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 ME" sheetId="1" r:id="rId5"/>
    <sheet state="visible" name="更新履歴" sheetId="2" r:id="rId6"/>
    <sheet state="visible" name="サイトマップ" sheetId="3" r:id="rId7"/>
    <sheet state="visible" name="faq（町田駅前）" sheetId="4" r:id="rId8"/>
    <sheet state="visible" name="faq（川崎駅前）" sheetId="5" r:id="rId9"/>
    <sheet state="visible" name="faq（横浜駅前）" sheetId="6" r:id="rId10"/>
    <sheet state="visible" name="faq（共通）" sheetId="7" r:id="rId11"/>
    <sheet state="visible" name="faq_町田_export" sheetId="8" r:id="rId12"/>
    <sheet state="visible" name="faq_川崎_export" sheetId="9" r:id="rId13"/>
    <sheet state="visible" name="faq_横浜_export" sheetId="10" r:id="rId14"/>
    <sheet state="visible" name="質問票" sheetId="11" r:id="rId15"/>
    <sheet state="visible" name="シート22" sheetId="12" r:id="rId16"/>
    <sheet state="visible" name="作成時間" sheetId="13" r:id="rId17"/>
  </sheets>
  <definedNames>
    <definedName hidden="1" localSheetId="2" name="_xlnm._FilterDatabase">'サイトマップ'!$A$1:$E$998</definedName>
    <definedName hidden="1" localSheetId="6" name="_xlnm._FilterDatabase">'faq（共通）'!$A$1:$E$1826</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tc={26a6a318-8623-4c40-8a6c-eb57d887741e}</author>
    <author>tc={2a2890af-a76d-47f0-ab46-320d2cb25ce3}</author>
    <author>tc={4bd64072-36c4-42e4-b858-d29805a57e28}</author>
    <author>tc={59a8d0f7-7323-4618-bb39-a5d69fdf33dd}</author>
    <author>tc={881382c8-8538-4325-b30e-6b8ded299012}</author>
    <author>tc={ae9f07e9-507a-49ab-8134-7f5cc5ef2276}</author>
  </authors>
  <commentList>
    <comment authorId="0" xr:uid="{26a6a318-8623-4c40-8a6c-eb57d887741e}" ref="B1000">
      <text>
        <t xml:space="preserve">[Threaded comment]
 Your version of Excel allows you to read this threaded comment; however, any edits to it will get removed if the file is opened in a newer version of Excel. Learn more: https://go.microsoft.com/fwlink/?linkid=870924
Comment:
	どう修正するべきか？
</t>
      </text>
    </comment>
    <comment authorId="1" xr:uid="{2a2890af-a76d-47f0-ab46-320d2cb25ce3}" ref="B79">
      <text>
        <t xml:space="preserve">[Threaded comment]
 Your version of Excel allows you to read this threaded comment; however, any edits to it will get removed if the file is opened in a newer version of Excel. Learn more: https://go.microsoft.com/fwlink/?linkid=870924
Comment:
	予約受付時間は
どこにどう追加すべきか？
Reply:
	予約受付時間はLINE促し
</t>
      </text>
    </comment>
    <comment authorId="2" xr:uid="{4bd64072-36c4-42e4-b858-d29805a57e28}" ref="B784">
      <text>
        <t xml:space="preserve">[Threaded comment]
 Your version of Excel allows you to read this threaded comment; however, any edits to it will get removed if the file is opened in a newer version of Excel. Learn more: https://go.microsoft.com/fwlink/?linkid=870924
Comment:
	どう修正するべきか？
</t>
      </text>
    </comment>
    <comment authorId="3" xr:uid="{59a8d0f7-7323-4618-bb39-a5d69fdf33dd}" ref="B974">
      <text>
        <t xml:space="preserve">[Threaded comment]
 Your version of Excel allows you to read this threaded comment; however, any edits to it will get removed if the file is opened in a newer version of Excel. Learn more: https://go.microsoft.com/fwlink/?linkid=870924
Comment:
	どう修正すべきか？
</t>
      </text>
    </comment>
    <comment authorId="4" xr:uid="{881382c8-8538-4325-b30e-6b8ded299012}" ref="B805">
      <text>
        <t xml:space="preserve">[Threaded comment]
 Your version of Excel allows you to read this threaded comment; however, any edits to it will get removed if the file is opened in a newer version of Excel. Learn more: https://go.microsoft.com/fwlink/?linkid=870924
Comment:
	どう修正するべきか？
</t>
      </text>
    </comment>
    <comment authorId="5" xr:uid="{ae9f07e9-507a-49ab-8134-7f5cc5ef2276}" ref="B788">
      <text>
        <t xml:space="preserve">[Threaded comment]
 Your version of Excel allows you to read this threaded comment; however, any edits to it will get removed if the file is opened in a newer version of Excel. Learn more: https://go.microsoft.com/fwlink/?linkid=870924
Comment:
	解答案をご作成いただけるとのこと
</t>
      </text>
    </comment>
  </commentList>
</comments>
</file>

<file path=xl/sharedStrings.xml><?xml version="1.0" encoding="utf-8"?>
<sst xmlns="http://schemas.openxmlformats.org/spreadsheetml/2006/main" count="8060" uniqueCount="4851">
  <si>
    <t>カラム</t>
  </si>
  <si>
    <t>目的</t>
  </si>
  <si>
    <t>作成方針</t>
  </si>
  <si>
    <t>例</t>
  </si>
  <si>
    <t>question</t>
  </si>
  <si>
    <t>患者が入力する想定の自然文</t>
  </si>
  <si>
    <t>- できるだけ会話調で1文に絞る
- タイトル型（例：診療時間）は禁止
- 〜を教えてください〜できますか？などで終わらせる</t>
  </si>
  <si>
    <t>✅ 予約方法を教えてください
✅ 土日の診療時間を教えてください
✅ 駐車場はありますか？</t>
  </si>
  <si>
    <t>answer</t>
  </si>
  <si>
    <t>案内・説明・リンクを含む回答文</t>
  </si>
  <si>
    <t>- 文末はです・ます調で統一
- 3〜6行程度で要点を整理
- Markdown対応（箇条書き・リンクOK）
- 電話番号やURLは表形式または箇条書き推奨</t>
  </si>
  <si>
    <t>✅ 当院は完全予約制です。WEB・LINE・お電話からご予約可能です。
✅ 診療時間は以下の通りです。
✅ 駐車場は提携パーキングがございます。</t>
  </si>
  <si>
    <t>category</t>
  </si>
  <si>
    <t>FAQ分類（検索補助）</t>
  </si>
  <si>
    <t>- 主要カテゴリから1つ選ぶ
- 患者目線で迷わない分類を優先
- 例：予約診療時間料金アクセス検査・施術支払いその他</t>
  </si>
  <si>
    <t>✅ 予約
✅ 診療時間
✅ アクセス</t>
  </si>
  <si>
    <t>keywords</t>
  </si>
  <si>
    <t>同義語・検索補助</t>
  </si>
  <si>
    <t>- 患者が入力しそうな表現を3〜5語
- 名詞・動詞混在OK- 代表語＋ゆらぎ語を含める- コンマ区切り（,）</t>
  </si>
  <si>
    <t>✅ 予約, 予約方法, web予約, 電話予約, line予約</t>
  </si>
  <si>
    <t>source_url</t>
  </si>
  <si>
    <t>出典ページURL</t>
  </si>
  <si>
    <t>- 元になった代表URLを1つ指定
- 複数ある場合は answer にMarkdownリンクで記載
- FAQ文中にリンクを含む場合は、ここは空でもOK</t>
  </si>
  <si>
    <r>
      <t xml:space="preserve">✅ </t>
    </r>
    <r>
      <rPr>
        <color rgb="FF1155CC"/>
        <u/>
      </rPr>
      <t>https://www.adeb.com/yoyaku/</t>
    </r>
  </si>
  <si>
    <t>日本語ゆらぎ対応</t>
  </si>
  <si>
    <t>同義語・話し言葉などへのロバスト性</t>
  </si>
  <si>
    <t>→ keywords列＋Difyの意味検索（semantic）で補完。FAQマスターでは手動で典型的な言い換えを追記する。</t>
  </si>
  <si>
    <t>日付</t>
  </si>
  <si>
    <t>更新内容</t>
  </si>
  <si>
    <t>更新者</t>
  </si>
  <si>
    <t>ページ名</t>
  </si>
  <si>
    <t>URL</t>
  </si>
  <si>
    <t>ステータス</t>
  </si>
  <si>
    <t>分類</t>
  </si>
  <si>
    <t>補足</t>
  </si>
  <si>
    <t>TOP</t>
  </si>
  <si>
    <t>https://luna-dr.com/</t>
  </si>
  <si>
    <t>完了</t>
  </si>
  <si>
    <t>共通</t>
  </si>
  <si>
    <t>FemCHECK LP</t>
  </si>
  <si>
    <t>https://luna-dr.com/femcheck/</t>
  </si>
  <si>
    <t>対象外</t>
  </si>
  <si>
    <t>https://luna-dr.com/femcheck/begginer/にて内容は担保</t>
  </si>
  <si>
    <t>オンライン診療</t>
  </si>
  <si>
    <t>https://luna-dr.com/telemedicine/</t>
  </si>
  <si>
    <t>採用情報</t>
  </si>
  <si>
    <t>https://luna-dr.com/recruit/</t>
  </si>
  <si>
    <t>メディアトップ</t>
  </si>
  <si>
    <t>https://luna-dr.com/subjects/media/</t>
  </si>
  <si>
    <t>TOP_町田</t>
  </si>
  <si>
    <t>https://luna-dr.com/machida/</t>
  </si>
  <si>
    <t>町田</t>
  </si>
  <si>
    <t>TOP_川崎</t>
  </si>
  <si>
    <t>https://luna-dr.com/kawasaki/</t>
  </si>
  <si>
    <t>川崎</t>
  </si>
  <si>
    <t>TOP_横浜</t>
  </si>
  <si>
    <t>https://luna-dr.com/yokohama/</t>
  </si>
  <si>
    <t>横浜</t>
  </si>
  <si>
    <t>特定の医師の指名について</t>
  </si>
  <si>
    <t>https://luna-dr.com/news/%e3%80%90%e7%89%b9%e5%ae%9a%e3%81%ae%e5%8c%bb%e5%b8%ab%e3%81%ae%e6%8c%87%e5%90%8d%e3%81%ab%e3%81%a4%e3%81%84%e3%81%a6%e3%80%91/</t>
  </si>
  <si>
    <t>メンテナンスのお知らせ</t>
  </si>
  <si>
    <t>https://luna-dr.com/news/%e3%83%a1%e3%83%b3%e3%83%86%e3%83%8a%e3%83%b3%e3%82%b9%e3%81%ae%e3%81%8a%e7%9f%a5%e3%82%89%e3%81%9b/</t>
  </si>
  <si>
    <t>令和6年度 年末年始休診のお知らせ</t>
  </si>
  <si>
    <t>https://luna-dr.com/news/%e4%bb%a4%e5%92%8c6%e5%b9%b4%e5%ba%a6-%e5%b9%b4%e6%9c%ab%e5%b9%b4%e5%a7%8b%e4%bc%91%e8%a8%ba%e3%81%ae%e3%81%8a%e7%9f%a5%e3%82%89%e3%81%9b/</t>
  </si>
  <si>
    <t>一般名での処方について</t>
  </si>
  <si>
    <t>https://luna-dr.com/news/%e4%b8%80%e8%88%ac%e5%90%8d%e3%81%a7%e3%81%ae%e5%87%a6%e6%96%b9%e3%81%ab%e3%81%a4%e3%81%84%e3%81%a6/</t>
  </si>
  <si>
    <t>監修記事の報告</t>
  </si>
  <si>
    <t>https://luna-dr.com/news/%e5%bd%93%e9%99%a2%e5%8c%bb%e5%b8%ab%e3%81%ae%e7%9b%a3%e4%bf%ae%e8%a8%98%e4%ba%8b%e6%8e%b2%e8%bc%89%e3%81%ab%e3%81%a4%e3%81%84%e3%81%a6/</t>
  </si>
  <si>
    <t>news一覧</t>
  </si>
  <si>
    <t>https://luna-dr.com/news/</t>
  </si>
  <si>
    <t>月経移動</t>
  </si>
  <si>
    <t>https://luna-dr.com/subjects/menstrual-manipulation/</t>
  </si>
  <si>
    <t>生理不順</t>
  </si>
  <si>
    <t>https://luna-dr.com/subjects/menstrual-irregularity/</t>
  </si>
  <si>
    <t>生理痛</t>
  </si>
  <si>
    <t>https://luna-dr.com/subjects/menstrual-pain/</t>
  </si>
  <si>
    <t>ピル処方</t>
  </si>
  <si>
    <t>https://luna-dr.com/subjects/pill-prescription/</t>
  </si>
  <si>
    <t>低用量ピル</t>
  </si>
  <si>
    <t>https://luna-dr.com/subjects/low-dose-contraceptive/</t>
  </si>
  <si>
    <t>アフターピル</t>
  </si>
  <si>
    <t>https://luna-dr.com/subjects/after-pill_page/</t>
  </si>
  <si>
    <t>ミレーナ</t>
  </si>
  <si>
    <t>https://luna-dr.com/subjects/ius-treatment/</t>
  </si>
  <si>
    <t>おりもの検査</t>
  </si>
  <si>
    <t>https://luna-dr.com/subjects/abnormal-vaginal-discharge/</t>
  </si>
  <si>
    <t>不正出血</t>
  </si>
  <si>
    <t>https://luna-dr.com/subjects/irregular-genital-bleeding/</t>
  </si>
  <si>
    <t>性感染症</t>
  </si>
  <si>
    <t>https://luna-dr.com/subjects/std/</t>
  </si>
  <si>
    <t>妊娠検査</t>
  </si>
  <si>
    <t>https://luna-dr.com/subjects/pregnancy-test/</t>
  </si>
  <si>
    <t>人口妊娠中絶</t>
  </si>
  <si>
    <t>https://luna-dr.com/subjects/abortion_page/</t>
  </si>
  <si>
    <t>ブライダルチェック</t>
  </si>
  <si>
    <t>https://luna-dr.com/subjects/bridal-check/</t>
  </si>
  <si>
    <t>婦人科検診</t>
  </si>
  <si>
    <t>https://luna-dr.com/subjects/medical-checkup/</t>
  </si>
  <si>
    <t>HPVワクチン</t>
  </si>
  <si>
    <t>https://luna-dr.com/subjects/hpv-vaccine/</t>
  </si>
  <si>
    <t>よくある質問</t>
  </si>
  <si>
    <t>https://luna-dr.com/question/</t>
  </si>
  <si>
    <t>提携医療機関一覧</t>
  </si>
  <si>
    <t>https://luna-dr.com/partner-clinic/</t>
  </si>
  <si>
    <t>フェムチェックについて</t>
  </si>
  <si>
    <t>https://luna-dr.com/femcheck/begginer/</t>
  </si>
  <si>
    <t>おりもの検査とは？</t>
  </si>
  <si>
    <t>https://luna-dr.com/femcheck/about/</t>
  </si>
  <si>
    <t>配送・梱包・決済に関して</t>
  </si>
  <si>
    <t>https://luna-dr.com/femcheck/deliver/</t>
  </si>
  <si>
    <t>フェムチェック FAQ</t>
  </si>
  <si>
    <t>https://luna-dr.com/femcheck/faq/</t>
  </si>
  <si>
    <t>アフターピル（緊急避妊薬）とは</t>
  </si>
  <si>
    <t>https://luna-dr.com/morning-after-pill/</t>
  </si>
  <si>
    <t>https://luna-dr.com/subjects/media/209/</t>
  </si>
  <si>
    <t>https://luna-dr.com/subjects/media/72/</t>
  </si>
  <si>
    <t>https://luna-dr.com/subjects/media/189/</t>
  </si>
  <si>
    <t>https://luna-dr.com/subjects/media/191/</t>
  </si>
  <si>
    <t>https://luna-dr.com/subjects/media/194/</t>
  </si>
  <si>
    <t>https://luna-dr.com/subjects/media/199/</t>
  </si>
  <si>
    <t>https://luna-dr.com/subjects/media/211/</t>
  </si>
  <si>
    <t>https://luna-dr.com/subjects/media/207/</t>
  </si>
  <si>
    <t>https://luna-dr.com/subjects/media/212/</t>
  </si>
  <si>
    <t>https://luna-dr.com/subjects/media/category/morning-after-pill/</t>
  </si>
  <si>
    <t>https://luna-dr.com/subjects/media/category/abnormal-vaginal-discharge/</t>
  </si>
  <si>
    <t>https://luna-dr.com/subjects/media/category/uncategorized/</t>
  </si>
  <si>
    <t>https://luna-dr.com/subjects/media/category/pill-prescription/</t>
  </si>
  <si>
    <t>https://luna-dr.com/subjects/media/category/bridal-check/</t>
  </si>
  <si>
    <t>https://luna-dr.com/subjects/media/category/irregular-genital-bleeding/</t>
  </si>
  <si>
    <t>https://luna-dr.com/subjects/media/category/abortion/</t>
  </si>
  <si>
    <t>https://luna-dr.com/subjects/media/category/low-dose-contraceptive/</t>
  </si>
  <si>
    <t>https://luna-dr.com/subjects/media/category/medical-checkup/</t>
  </si>
  <si>
    <t>https://luna-dr.com/subjects/media/category/pregnancy-test/</t>
  </si>
  <si>
    <t>https://luna-dr.com/subjects/media/category/std/</t>
  </si>
  <si>
    <t>https://luna-dr.com/subjects/media/category/menstrual-manipulation/</t>
  </si>
  <si>
    <t>https://luna-dr.com/subjects/media/category/menstrual-irregularity/</t>
  </si>
  <si>
    <t>https://luna-dr.com/subjects/media/category/menstrual-pain/</t>
  </si>
  <si>
    <t>https://luna-dr.com/subjects/media/10148/</t>
  </si>
  <si>
    <t>https://luna-dr.com/subjects/media/10143/</t>
  </si>
  <si>
    <t>https://luna-dr.com/subjects/media/10126/</t>
  </si>
  <si>
    <t>https://luna-dr.com/subjects/media/10121/</t>
  </si>
  <si>
    <t>https://luna-dr.com/subjects/media/10108/</t>
  </si>
  <si>
    <t>当院について</t>
  </si>
  <si>
    <t>https://luna-dr.com/machida/about/</t>
  </si>
  <si>
    <t>アクセス</t>
  </si>
  <si>
    <t>https://luna-dr.com/machida/access/</t>
  </si>
  <si>
    <t>診療時間</t>
  </si>
  <si>
    <t>https://luna-dr.com/machida/consultation-hours/</t>
  </si>
  <si>
    <t>ドクター紹介</t>
  </si>
  <si>
    <t>https://luna-dr.com/machida/doctors/</t>
  </si>
  <si>
    <t>診療内容</t>
  </si>
  <si>
    <t>https://luna-dr.com/machida/subjects/</t>
  </si>
  <si>
    <t>支払い方法と料金</t>
  </si>
  <si>
    <t>https://luna-dr.com/machida/price/</t>
  </si>
  <si>
    <t>検査結果</t>
  </si>
  <si>
    <t>https://luna-dr.com/machida/about_result/</t>
  </si>
  <si>
    <t>https://luna-dr.com/machida/recruit/</t>
  </si>
  <si>
    <t>https://luna-dr.com/machida/question/</t>
  </si>
  <si>
    <t>12月25日(木)の予約外の受付時間につきまして</t>
  </si>
  <si>
    <t>https://luna-dr.com/machida/news/12%e6%9c%8825%e6%97%a5%e6%9c%a8%e3%81%ae%e4%ba%88%e7%b4%84%e5%a4%96%e3%81%ae%e5%8f%97%e4%bb%98%e6%99%82%e9%96%93%e3%81%ab%e3%81%a4%e3%81%8d%e3%81%be%e3%81%97%e3%81%a6/</t>
  </si>
  <si>
    <t>1月22日(木)の診療時間につきまして</t>
  </si>
  <si>
    <t>https://luna-dr.com/machida/news/1%e6%9c%8822%e6%97%a5%e6%9c%a8%e3%81%ae%e8%a8%ba%e7%99%82%e6%99%82%e9%96%93%e3%81%ab%e3%81%a4%e3%81%8d%e3%81%be%e3%81%97%e3%81%a6/</t>
  </si>
  <si>
    <t>12月18日(木)の診療時間につきまして</t>
  </si>
  <si>
    <t>https://luna-dr.com/machida/news/12%e6%9c%8818%e6%97%a5%e6%9c%a8%e3%81%ae%e8%a8%ba%e7%99%82%e6%99%82%e9%96%93%e3%81%ab%e3%81%a4%e3%81%8d%e3%81%be%e3%81%97%e3%81%a6/</t>
  </si>
  <si>
    <t>12月29日(月)の診療時間につきまして</t>
  </si>
  <si>
    <t>https://luna-dr.com/machida/news/12%e6%9c%8829%e6%97%a5%e6%9c%88%e3%81%ae%e8%a8%ba%e7%99%82%e6%99%82%e9%96%93%e3%81%ab%e3%81%a4%e3%81%8d%e3%81%be%e3%81%97%e3%81%a6/</t>
  </si>
  <si>
    <t>12月15日(月)の診療時間につきまして</t>
  </si>
  <si>
    <t>https://luna-dr.com/machida/news/12%e6%9c%8815%e6%97%a5%e6%9c%88%e3%81%ae%e8%a8%ba%e7%99%82%e6%99%82%e9%96%93%e3%81%ab%e3%81%a4%e3%81%8d%e3%81%be%e3%81%97%e3%81%a6/</t>
  </si>
  <si>
    <t>お知らせ</t>
  </si>
  <si>
    <t>https://luna-dr.com/machida/news/</t>
  </si>
  <si>
    <t>https://luna-dr.com/kawasaki/about/</t>
  </si>
  <si>
    <t>https://luna-dr.com/kawasaki/access/</t>
  </si>
  <si>
    <t>川崎駅前</t>
  </si>
  <si>
    <t>https://luna-dr.com/kawasaki/consultation-hours/</t>
  </si>
  <si>
    <t>https://luna-dr.com/kawasaki/doctors/</t>
  </si>
  <si>
    <t>https://luna-dr.com/kawasaki/subjects/</t>
  </si>
  <si>
    <t>https://luna-dr.com/kawasaki/price/</t>
  </si>
  <si>
    <t>https://luna-dr.com/kawasaki/about_result/</t>
  </si>
  <si>
    <t>https://luna-dr.com/kawasaki/recruit/</t>
  </si>
  <si>
    <t>https://luna-dr.com/kawasaki/question/</t>
  </si>
  <si>
    <t>https://luna-dr.com/kawasaki/news/12%e6%9c%8829%e6%97%a5%e6%9c%88%e3%81%ae%e8%a8%ba%e7%99%82%e6%99%82%e9%96%93%e3%81%ab%e3%81%a4%e3%81%8d%e3%81%be%e3%81%97%e3%81%a6/</t>
  </si>
  <si>
    <t>https://luna-dr.com/kawasaki/news/12%e6%9c%8815%e6%97%a5%e6%9c%88%e3%81%ae%e8%a8%ba%e7%99%82%e6%99%82%e9%96%93%e3%81%ab%e3%81%a4%e3%81%8d%e3%81%be%e3%81%97%e3%81%a6/</t>
  </si>
  <si>
    <t>令和7年度　年末年始休診のお知らせ</t>
  </si>
  <si>
    <t>https://luna-dr.com/kawasaki/news/%e4%bb%a4%e5%92%8c7%e5%b9%b4%e5%ba%a6%e3%80%80%e5%b9%b4%e6%9c%ab%e5%b9%b4%e5%a7%8b%e4%bc%91%e8%a8%ba%e3%81%ae%e3%81%8a%e7%9f%a5%e3%82%89%e3%81%9b/</t>
  </si>
  <si>
    <t>医療DX推進体制整備加算につきまして</t>
  </si>
  <si>
    <t>https://luna-dr.com/kawasaki/news/%e5%8c%bb%e7%99%82dx%e6%8e%a8%e9%80%b2%e4%bd%93%e5%88%b6%e6%95%b4%e5%82%99%e5%8a%a0%e7%ae%97%e3%81%ab%e3%81%a4%e3%81%8d%e3%81%be%e3%81%97%e3%81%a6/</t>
  </si>
  <si>
    <t>医療情報取得加算につきまして</t>
  </si>
  <si>
    <t>https://luna-dr.com/kawasaki/news/%e5%8c%bb%e7%99%82%e6%83%85%e5%a0%b1%e5%8f%96%e5%be%97%e5%8a%a0%e7%ae%97%e3%81%ab%e3%81%a4%e3%81%8d%e3%81%be%e3%81%97%e3%81%a6/</t>
  </si>
  <si>
    <t>https://luna-dr.com/kawasaki/news/</t>
  </si>
  <si>
    <t>https://luna-dr.com/yokohama/about/</t>
  </si>
  <si>
    <t>https://luna-dr.com/yokohama/access/</t>
  </si>
  <si>
    <t>https://luna-dr.com/yokohama/consultation-hours/</t>
  </si>
  <si>
    <t>https://luna-dr.com/yokohama/doctors/</t>
  </si>
  <si>
    <t>https://luna-dr.com/yokohama/subjects/</t>
  </si>
  <si>
    <t>https://luna-dr.com/yokohama/price/</t>
  </si>
  <si>
    <t>https://luna-dr.com/yokohama/about_result/</t>
  </si>
  <si>
    <t>https://luna-dr.com/yokohama/recruit/</t>
  </si>
  <si>
    <t>https://luna-dr.com/yokohama/question/</t>
  </si>
  <si>
    <t>https://luna-dr.com/yokohama/news/12%e6%9c%8829%e6%97%a5%e6%9c%88%e3%81%ae%e8%a8%ba%e7%99%82%e6%99%82%e9%96%93%e3%81%ab%e3%81%a4%e3%81%8d%e3%81%be%e3%81%97%e3%81%a6/</t>
  </si>
  <si>
    <t>https://luna-dr.com/yokohama/news/12%e6%9c%8815%e6%97%a5%e6%9c%88%e3%81%ae%e8%a8%ba%e7%99%82%e6%99%82%e9%96%93%e3%81%ab%e3%81%a4%e3%81%8d%e3%81%be%e3%81%97%e3%81%a6/</t>
  </si>
  <si>
    <t>https://luna-dr.com/yokohama/news/%e4%bb%a4%e5%92%8c7%e5%b9%b4%e5%ba%a6%e3%80%80%e5%b9%b4%e6%9c%ab%e5%b9%b4%e5%a7%8b%e4%bc%91%e8%a8%ba%e3%81%ae%e3%81%8a%e7%9f%a5%e3%82%89%e3%81%9b/</t>
  </si>
  <si>
    <t>https://luna-dr.com/yokohama/news/%e5%8c%bb%e7%99%82dx%e6%8e%a8%e9%80%b2%e4%bd%93%e5%88%b6%e6%95%b4%e5%82%99%e5%8a%a0%e7%ae%97%e3%81%ab%e3%81%a4%e3%81%8d%e3%81%be%e3%81%97%e3%81%a6/</t>
  </si>
  <si>
    <t>https://luna-dr.com/yokohama/news/%e5%8c%bb%e7%99%82%e6%83%85%e5%a0%b1%e5%8f%96%e5%be%97%e5%8a%a0%e7%ae%97%e3%81%ab%e3%81%a4%e3%81%8d%e3%81%be%e3%81%97%e3%81%a6/</t>
  </si>
  <si>
    <t>https://luna-dr.com/yokohama/news/</t>
  </si>
  <si>
    <t>卓球Tリーグ「木下アビエル神奈川」女子選手向けに婦人科疾患講習会を開催しました</t>
  </si>
  <si>
    <t>https://luna-dr.com/news/%e5%8d%93%e7%90%83t%e3%83%aa%e3%83%bc%e3%82%b0%e3%80%8c%e6%9c%a8%e4%b8%8b%e3%82%a2%e3%83%93%e3%82%a8%e3%83%ab%e7%a5%9e%e5%a5%88%e5%b7%9d%e3%80%8d%e5%a5%b3%e5%ad%90%e9%81%b8%e6%89%8b%e5%90%91%e3%81%91/</t>
  </si>
  <si>
    <t>HPVワクチンにつきまして</t>
  </si>
  <si>
    <t>https://luna-dr.com/news/hpv%e3%83%af%e3%82%af%e3%83%81%e3%83%b3%e3%81%ab%e3%81%a4%e3%81%8d%e3%81%be%e3%81%97%e3%81%a6/</t>
  </si>
  <si>
    <t>サイトをリニューアルしました</t>
  </si>
  <si>
    <t>https://luna-dr.com/news/%e3%82%b5%e3%82%a4%e3%83%88%e3%83%aa%e3%83%8b%e3%83%a5%e3%83%bc%e3%82%a2%e3%83%ab/</t>
  </si>
  <si>
    <t>クリニック名変更のお知らせ</t>
  </si>
  <si>
    <t>https://luna-dr.com/news/%e3%82%af%e3%83%aa%e3%83%8b%e3%83%83%e3%82%af%e5%90%8d%e5%a4%89%e6%9b%b4%e3%81%ae%e3%81%8a%e7%9f%a5%e3%82%89%e3%81%9b/</t>
  </si>
  <si>
    <t>https://luna-dr.com/subjects/</t>
  </si>
  <si>
    <t>https://luna-dr.com/femcheck/?utm_source=lunamedia&amp;utm_medium=banner&amp;utm_campaign=femcheck_article_hpseo</t>
  </si>
  <si>
    <t>メディア著者</t>
  </si>
  <si>
    <t>https://luna-dr.com/subjects/media/author/good-dejavu0712gmail-com/</t>
  </si>
  <si>
    <t>https://luna-dr.com/subjects/media/author/adminluna-dr-com/</t>
  </si>
  <si>
    <t>カンジダとクラミジアの違い</t>
  </si>
  <si>
    <t>https://luna-dr.com/subjects/media/2719/</t>
  </si>
  <si>
    <t>性病の一種「梅毒」とは？</t>
  </si>
  <si>
    <t>https://luna-dr.com/subjects/media/2925/</t>
  </si>
  <si>
    <t>https://luna-dr.com/subjects/media/2708/</t>
  </si>
  <si>
    <t>https://luna-dr.com/subjects/media/2962/</t>
  </si>
  <si>
    <t>https://luna-dr.com/subjects/media/1715/</t>
  </si>
  <si>
    <t>https://luna-dr.com/subjects/media/210/</t>
  </si>
  <si>
    <t>https://luna-dr.com/subjects/media/344/</t>
  </si>
  <si>
    <t>https://luna-dr.com/subjects/media/2642/</t>
  </si>
  <si>
    <t>https://luna-dr.com/subjects/media/2646/</t>
  </si>
  <si>
    <t>https://luna-dr.com/subjects/media/2649/</t>
  </si>
  <si>
    <t>https://luna-dr.com/subjects/media/2847/</t>
  </si>
  <si>
    <t>https://luna-dr.com/subjects/media/2986/</t>
  </si>
  <si>
    <t>https://luna-dr.com/subjects/media/2976/</t>
  </si>
  <si>
    <t>https://luna-dr.com/subjects/media/116/</t>
  </si>
  <si>
    <t>https://luna-dr.com/subjects/media/971/</t>
  </si>
  <si>
    <t>https://luna-dr.com/subjects/media/2734/</t>
  </si>
  <si>
    <t>https://luna-dr.com/subjects/media/978/</t>
  </si>
  <si>
    <t>https://luna-dr.com/subjects/media/2668/</t>
  </si>
  <si>
    <t>https://luna-dr.com/subjects/media/2740/</t>
  </si>
  <si>
    <t>https://luna-dr.com/subjects/media/169/</t>
  </si>
  <si>
    <t>https://luna-dr.com/subjects/media/7577/</t>
  </si>
  <si>
    <t>https://luna-dr.com/subjects/media/8361/</t>
  </si>
  <si>
    <t>https://luna-dr.com/subjects/media/2129/</t>
  </si>
  <si>
    <t>https://luna-dr.com/subjects/media/3620/</t>
  </si>
  <si>
    <t>https://luna-dr.com/subjects/media/8230/</t>
  </si>
  <si>
    <t>https://luna-dr.com/subjects/media/3593/</t>
  </si>
  <si>
    <t>https://luna-dr.com/subjects/media/3822/</t>
  </si>
  <si>
    <t>https://luna-dr.com/subjects/media/2935/</t>
  </si>
  <si>
    <t>https://luna-dr.com/subjects/media/995/</t>
  </si>
  <si>
    <t>https://luna-dr.com/subjects/media/2841/</t>
  </si>
  <si>
    <t>https://luna-dr.com/subjects/media/4706/</t>
  </si>
  <si>
    <t>https://luna-dr.com/subjects/media/3035/</t>
  </si>
  <si>
    <t>https://luna-dr.com/subjects/media/2928/</t>
  </si>
  <si>
    <t>https://luna-dr.com/subjects/media/2623/</t>
  </si>
  <si>
    <t>https://luna-dr.com/subjects/media/3004/</t>
  </si>
  <si>
    <t>https://luna-dr.com/subjects/media/2762/</t>
  </si>
  <si>
    <t>https://luna-dr.com/subjects/media/2956/</t>
  </si>
  <si>
    <t>https://luna-dr.com/subjects/media/1429/</t>
  </si>
  <si>
    <t>https://luna-dr.com/subjects/media/2763/</t>
  </si>
  <si>
    <t>https://luna-dr.com/subjects/media/2902/</t>
  </si>
  <si>
    <t>https://luna-dr.com/subjects/media/2850/</t>
  </si>
  <si>
    <t>https://luna-dr.com/subjects/media/2674/</t>
  </si>
  <si>
    <t>https://luna-dr.com/subjects/media/1009/</t>
  </si>
  <si>
    <t>https://luna-dr.com/subjects/media/3031/</t>
  </si>
  <si>
    <t>https://luna-dr.com/subjects/media/3047/</t>
  </si>
  <si>
    <t>https://luna-dr.com/subjects/media/2680/</t>
  </si>
  <si>
    <t>https://luna-dr.com/subjects/media/2980/</t>
  </si>
  <si>
    <t>https://luna-dr.com/subjects/media/2989/</t>
  </si>
  <si>
    <t>https://luna-dr.com/subjects/media/114/</t>
  </si>
  <si>
    <t>https://luna-dr.com/subjects/media/2695/</t>
  </si>
  <si>
    <t>https://luna-dr.com/subjects/media/2759/</t>
  </si>
  <si>
    <t>https://luna-dr.com/subjects/media/4652/</t>
  </si>
  <si>
    <t>https://luna-dr.com/subjects/media/6982/</t>
  </si>
  <si>
    <t>https://luna-dr.com/subjects/media/6955/</t>
  </si>
  <si>
    <t>https://luna-dr.com/subjects/media/1261/</t>
  </si>
  <si>
    <t>https://luna-dr.com/subjects/media/6689/</t>
  </si>
  <si>
    <t>https://luna-dr.com/subjects/media/7008/</t>
  </si>
  <si>
    <t>https://luna-dr.com/subjects/media/7104/</t>
  </si>
  <si>
    <t>https://luna-dr.com/subjects/media/7157/</t>
  </si>
  <si>
    <t>https://luna-dr.com/subjects/media/5040/</t>
  </si>
  <si>
    <t>https://luna-dr.com/subjects/media/6140/</t>
  </si>
  <si>
    <t>https://luna-dr.com/subjects/media/4659/</t>
  </si>
  <si>
    <t>https://luna-dr.com/subjects/media/3807/</t>
  </si>
  <si>
    <t>https://luna-dr.com/subjects/media/4681/</t>
  </si>
  <si>
    <t>https://luna-dr.com/subjects/media/3050/</t>
  </si>
  <si>
    <t>https://luna-dr.com/subjects/media/1385/</t>
  </si>
  <si>
    <t>https://luna-dr.com/subjects/media/7500/</t>
  </si>
  <si>
    <t>https://luna-dr.com/subjects/media/8655/</t>
  </si>
  <si>
    <t>https://luna-dr.com/subjects/media/8939/</t>
  </si>
  <si>
    <t>https://luna-dr.com/subjects/media/8929/</t>
  </si>
  <si>
    <t>https://luna-dr.com/subjects/media/8908/</t>
  </si>
  <si>
    <t>https://luna-dr.com/subjects/media/8925/</t>
  </si>
  <si>
    <t>https://luna-dr.com/subjects/media/4127/</t>
  </si>
  <si>
    <t>https://luna-dr.com/subjects/media/9839/</t>
  </si>
  <si>
    <t>https://luna-dr.com/subjects/media/9804/</t>
  </si>
  <si>
    <t>https://luna-dr.com/subjects/media/9798/</t>
  </si>
  <si>
    <t>https://luna-dr.com/subjects/media/4736/</t>
  </si>
  <si>
    <t>https://luna-dr.com/subjects/media/2869/</t>
  </si>
  <si>
    <t>https://luna-dr.com/subjects/media/4738/</t>
  </si>
  <si>
    <t>https://luna-dr.com/subjects/media/4696/</t>
  </si>
  <si>
    <t>https://luna-dr.com/subjects/media/4734/</t>
  </si>
  <si>
    <t>https://luna-dr.com/subjects/media/4690/</t>
  </si>
  <si>
    <t>https://luna-dr.com/subjects/media/4663/</t>
  </si>
  <si>
    <t>https://luna-dr.com/subjects/media/1317/</t>
  </si>
  <si>
    <t>https://luna-dr.com/subjects/media/1534/</t>
  </si>
  <si>
    <t>https://luna-dr.com/subjects/media/4466/</t>
  </si>
  <si>
    <t>https://luna-dr.com/subjects/media/1493/</t>
  </si>
  <si>
    <t>https://luna-dr.com/subjects/media/4596/</t>
  </si>
  <si>
    <t>https://luna-dr.com/subjects/media/1639/</t>
  </si>
  <si>
    <t>https://luna-dr.com/subjects/media/4150/</t>
  </si>
  <si>
    <t>https://luna-dr.com/subjects/media/1689/</t>
  </si>
  <si>
    <t>https://luna-dr.com/subjects/media/3632/</t>
  </si>
  <si>
    <t>https://luna-dr.com/subjects/media/4253/</t>
  </si>
  <si>
    <t>https://luna-dr.com/subjects/media/4284/</t>
  </si>
  <si>
    <t>https://luna-dr.com/subjects/media/4060/</t>
  </si>
  <si>
    <t>https://luna-dr.com/subjects/media/4489/</t>
  </si>
  <si>
    <t>https://luna-dr.com/subjects/media/5713/</t>
  </si>
  <si>
    <t>https://luna-dr.com/subjects/media/5373/</t>
  </si>
  <si>
    <t>https://luna-dr.com/subjects/media/5590/</t>
  </si>
  <si>
    <t>https://luna-dr.com/subjects/media/5370/</t>
  </si>
  <si>
    <t>https://luna-dr.com/subjects/media/5430/</t>
  </si>
  <si>
    <t>https://luna-dr.com/subjects/media/6850/</t>
  </si>
  <si>
    <t>https://luna-dr.com/subjects/media/3498/</t>
  </si>
  <si>
    <t>https://luna-dr.com/subjects/media/5068/</t>
  </si>
  <si>
    <t>https://luna-dr.com/subjects/media/5052/</t>
  </si>
  <si>
    <t>https://luna-dr.com/subjects/media/8793/</t>
  </si>
  <si>
    <t>https://luna-dr.com/subjects/media/8791/</t>
  </si>
  <si>
    <t>https://luna-dr.com/subjects/media/8753/</t>
  </si>
  <si>
    <t>https://luna-dr.com/subjects/media/8751/</t>
  </si>
  <si>
    <t>https://luna-dr.com/subjects/media/4661/</t>
  </si>
  <si>
    <t>https://luna-dr.com/subjects/media/2992/</t>
  </si>
  <si>
    <t>https://luna-dr.com/subjects/media/4243/</t>
  </si>
  <si>
    <t>https://luna-dr.com/subjects/media/1750/</t>
  </si>
  <si>
    <t>https://luna-dr.com/subjects/media/2359/</t>
  </si>
  <si>
    <t>https://luna-dr.com/subjects/media/8203/</t>
  </si>
  <si>
    <t>https://luna-dr.com/subjects/media/8352/</t>
  </si>
  <si>
    <t>https://luna-dr.com/subjects/media/8232/</t>
  </si>
  <si>
    <t>https://luna-dr.com/subjects/media/8234/</t>
  </si>
  <si>
    <t>https://luna-dr.com/subjects/media/599/</t>
  </si>
  <si>
    <t>https://luna-dr.com/subjects/media/8456/</t>
  </si>
  <si>
    <t>https://luna-dr.com/subjects/media/8228/</t>
  </si>
  <si>
    <t>https://luna-dr.com/subjects/media/2629/</t>
  </si>
  <si>
    <t>https://luna-dr.com/subjects/media/471/</t>
  </si>
  <si>
    <t>https://luna-dr.com/subjects/media/2941/</t>
  </si>
  <si>
    <t>https://luna-dr.com/subjects/media/2932/</t>
  </si>
  <si>
    <t>https://luna-dr.com/subjects/media/472/</t>
  </si>
  <si>
    <t>https://luna-dr.com/subjects/media/2959/</t>
  </si>
  <si>
    <t>https://luna-dr.com/subjects/media/2919/</t>
  </si>
  <si>
    <t>https://luna-dr.com/subjects/media/4740/</t>
  </si>
  <si>
    <t>https://luna-dr.com/subjects/media/4665/</t>
  </si>
  <si>
    <t>https://luna-dr.com/subjects/media/1702/</t>
  </si>
  <si>
    <t>https://luna-dr.com/subjects/media/4115/</t>
  </si>
  <si>
    <t>https://luna-dr.com/subjects/media/4031/</t>
  </si>
  <si>
    <t>https://luna-dr.com/subjects/media/4045/</t>
  </si>
  <si>
    <t>https://luna-dr.com/subjects/media/3641/</t>
  </si>
  <si>
    <t>https://luna-dr.com/subjects/media/4732/</t>
  </si>
  <si>
    <t>https://luna-dr.com/subjects/media/4688/</t>
  </si>
  <si>
    <t>https://luna-dr.com/subjects/media/3581/</t>
  </si>
  <si>
    <t>https://luna-dr.com/subjects/media/1584/</t>
  </si>
  <si>
    <t>https://luna-dr.com/subjects/media/4261/</t>
  </si>
  <si>
    <t>https://luna-dr.com/subjects/media/1575/</t>
  </si>
  <si>
    <t>https://luna-dr.com/subjects/media/4683/</t>
  </si>
  <si>
    <t>https://luna-dr.com/subjects/media/4654/</t>
  </si>
  <si>
    <t>https://luna-dr.com/subjects/media/1157/</t>
  </si>
  <si>
    <t>https://luna-dr.com/subjects/media/1126/</t>
  </si>
  <si>
    <t>https://luna-dr.com/subjects/media/1502/</t>
  </si>
  <si>
    <t>https://luna-dr.com/subjects/media/1073/</t>
  </si>
  <si>
    <t>https://luna-dr.com/subjects/media/1462/</t>
  </si>
  <si>
    <t>https://luna-dr.com/subjects/media/1523/</t>
  </si>
  <si>
    <t>https://luna-dr.com/subjects/media/3570/</t>
  </si>
  <si>
    <t>https://luna-dr.com/subjects/media/1354/</t>
  </si>
  <si>
    <t>https://luna-dr.com/subjects/media/1166/</t>
  </si>
  <si>
    <t>https://luna-dr.com/subjects/media/1049/</t>
  </si>
  <si>
    <t>https://luna-dr.com/subjects/media/1148/</t>
  </si>
  <si>
    <t>https://luna-dr.com/subjects/media/1482/</t>
  </si>
  <si>
    <t>https://luna-dr.com/subjects/media/1668/</t>
  </si>
  <si>
    <t>https://luna-dr.com/subjects/media/1061/</t>
  </si>
  <si>
    <t>https://luna-dr.com/subjects/media/1106/</t>
  </si>
  <si>
    <t>https://luna-dr.com/subjects/media/1516/</t>
  </si>
  <si>
    <t>https://luna-dr.com/machida/news/%e4%bb%a4%e5%92%8c7%e5%b9%b4%e5%ba%a6%e3%80%80%e5%b9%b4%e6%9c%ab%e5%b9%b4%e5%a7%8b%e4%bc%91%e8%a8%ba%e3%81%ae%e3%81%8a%e7%9f%a5%e3%82%89%e3%81%9b/</t>
  </si>
  <si>
    <t>11月27日(木)の診療時間につきまして</t>
  </si>
  <si>
    <t>https://luna-dr.com/machida/news/11%e6%9c%8827%e6%97%a5%e6%9c%a8%e3%81%ae%e8%a8%ba%e7%99%82%e6%99%82%e9%96%93%e3%81%ab%e3%81%a4%e3%81%8d%e3%81%be%e3%81%97%e3%81%a6/</t>
  </si>
  <si>
    <t>看護師不在時の点滴・注射について</t>
  </si>
  <si>
    <t>https://luna-dr.com/machida/news/%e7%9c%8b%e8%ad%b7%e5%b8%ab%e4%b8%8d%e5%9c%a8%e6%99%82%e3%81%ae%e7%82%b9%e6%bb%b4%e3%83%bb%e6%b3%a8%e5%b0%84%e3%81%ab%e3%81%a4%e3%81%84%e3%81%a6/</t>
  </si>
  <si>
    <t>10月7日(火)の診療時間につきまして</t>
  </si>
  <si>
    <t>https://luna-dr.com/machida/news/10%e6%9c%887%e6%97%a5%e7%81%ab%e3%81%ae%e8%a8%ba%e7%99%82%e6%99%82%e9%96%93%e3%81%ab%e3%81%a4%e3%81%8d%e3%81%be%e3%81%97%e3%81%a6/</t>
  </si>
  <si>
    <t>9/6（土）の診療につきまして</t>
  </si>
  <si>
    <t>https://luna-dr.com/machida/news/9-6%ef%bc%88%e5%9c%9f%ef%bc%89%e3%81%ae%e8%a8%ba%e7%99%82%e3%81%ab%e3%81%a4%e3%81%8d%e3%81%be%e3%81%97%e3%81%a6/</t>
  </si>
  <si>
    <t>7月28日（月）町田院　午前診療について</t>
  </si>
  <si>
    <t>https://luna-dr.com/machida/news/7%e6%9c%8828%e6%97%a5%ef%bc%88%e6%9c%88%ef%bc%89%e7%94%ba%e7%94%b0%e9%99%a2%e3%80%80%e5%8d%88%e5%89%8d%e8%a8%ba%e7%99%82%e3%81%ab%e3%81%a4%e3%81%84%e3%81%a6/</t>
  </si>
  <si>
    <t>https://luna-dr.com/machida/news/%e4%b8%80%e8%88%ac%e5%90%8d%e3%81%a7%e3%81%ae%e5%87%a6%e6%96%b9%e3%81%ab%e3%81%a4%e3%81%84%e3%81%a6/</t>
  </si>
  <si>
    <t>お電話でのお問い合わせについて</t>
  </si>
  <si>
    <t>https://luna-dr.com/machida/news/%e3%81%8a%e9%9b%bb%e8%a9%b1%e3%81%a7%e3%81%ae%e3%81%8a%e5%95%8f%e3%81%84%e5%90%88%e3%82%8f%e3%81%9b%e3%81%ab%e3%81%a4%e3%81%84%e3%81%a6/</t>
  </si>
  <si>
    <t>予約外（LINE予約無し）でご来院される患者様へ</t>
  </si>
  <si>
    <t>https://luna-dr.com/machida/news/%e4%ba%88%e7%b4%84%e5%a4%96%ef%bc%88line%e4%ba%88%e7%b4%84%e7%84%a1%e3%81%97%ef%bc%89%e3%81%a7%e3%81%94%e6%9d%a5%e9%99%a2%e3%81%95%e3%82%8c%e3%82%8b%e6%82%a3%e8%80%85%e6%a7%98%e3%81%b8/</t>
  </si>
  <si>
    <t>町田院</t>
  </si>
  <si>
    <t>【特定の医師の指名について】</t>
  </si>
  <si>
    <t>https://luna-dr.com/machida/news/%e3%80%90%e7%89%b9%e5%ae%9a%e3%81%ae%e5%8c%bb%e5%b8%ab%e3%81%ae%e6%8c%87%e5%90%8d%e3%81%ab%e3%81%a4%e3%81%84%e3%81%a6%e3%80%91/</t>
  </si>
  <si>
    <t>開院日について</t>
  </si>
  <si>
    <t>https://luna-dr.com/machida/news/2021%e5%b9%b48%e6%9c%88%e5%b7%9d%e5%b4%8e%e9%a7%85%e6%9d%b1%e5%8f%a3%e3%81%99%e3%81%90%e3%81%ae%e5%a0%b4%e6%89%80%e3%81%ab%e3%80%8c%e5%b7%9d%e5%b4%8e%e9%a7%85%e5%89%8d%e3%83%ac%e3%83%87%e3%82%a3/</t>
  </si>
  <si>
    <t>9/4(木)の午前診療につきまして</t>
  </si>
  <si>
    <t>https://luna-dr.com/kawasaki/news/9-4%e6%9c%a8%e3%81%ae%e5%8d%88%e5%89%8d%e8%a8%ba%e7%99%82%e3%81%ab%e3%81%a4%e3%81%8d%e3%81%be%e3%81%97%e3%81%a6/</t>
  </si>
  <si>
    <t>美容点滴終了メニューのお知らせ</t>
  </si>
  <si>
    <t>https://luna-dr.com/kawasaki/news/%e7%be%8e%e5%ae%b9%e7%82%b9%e6%bb%b4%e7%b5%82%e4%ba%86%e3%83%a1%e3%83%8b%e3%83%a5%e3%83%bc%e3%81%ae%e3%81%8a%e7%9f%a5%e3%82%89%e3%81%9b/</t>
  </si>
  <si>
    <t>川崎院</t>
  </si>
  <si>
    <t>8月5日(火)の診療時間について</t>
  </si>
  <si>
    <t>https://luna-dr.com/kawasaki/news/8%e6%9c%885%e6%97%a5%e7%81%ab%e3%81%ae%e8%a8%ba%e7%99%82%e6%99%82%e9%96%93%e3%81%ab%e3%81%a4%e3%81%84%e3%81%a6/</t>
  </si>
  <si>
    <t>ゴールデンウィーク期間の受診について</t>
  </si>
  <si>
    <t>https://luna-dr.com/kawasaki/news/%e3%82%b4%e3%83%bc%e3%83%ab%e3%83%87%e3%83%b3%e3%82%a6%e3%82%a3%e3%83%bc%e3%82%af%e6%9c%9f%e9%96%93%e3%81%ae%e5%8f%97%e8%a8%ba%e3%81%ab%e3%81%a4%e3%81%84%e3%81%a6/</t>
  </si>
  <si>
    <t>https://luna-dr.com/kawasaki/news/%e3%80%90%e7%89%b9%e5%ae%9a%e3%81%ae%e5%8c%bb%e5%b8%ab%e3%81%ae%e6%8c%87%e5%90%8d%e3%81%ab%e3%81%a4%e3%81%84%e3%81%a6%e3%80%91/</t>
  </si>
  <si>
    <t>https://luna-dr.com/kawasaki/news/%e3%83%a1%e3%83%b3%e3%83%86%e3%83%8a%e3%83%b3%e3%82%b9%e3%81%ae%e3%81%8a%e7%9f%a5%e3%82%89%e3%81%9b/</t>
  </si>
  <si>
    <t>https://luna-dr.com/kawasaki/news/%e4%bb%a4%e5%92%8c6%e5%b9%b4%e5%ba%a6-%e5%b9%b4%e6%9c%ab%e5%b9%b4%e5%a7%8b%e4%bc%91%e8%a8%ba%e3%81%ae%e3%81%8a%e7%9f%a5%e3%82%89%e3%81%9b/</t>
  </si>
  <si>
    <t>https://luna-dr.com/kawasaki/news/%e4%b8%80%e8%88%ac%e5%90%8d%e3%81%a7%e3%81%ae%e5%87%a6%e6%96%b9%e3%81%ab%e3%81%a4%e3%81%84%e3%81%a6/</t>
  </si>
  <si>
    <t>卓球Tリーグ「木下アビエル神奈川」女子選手向けに婦人科疾患講習会を開催</t>
  </si>
  <si>
    <t>https://luna-dr.com/kawasaki/news/%e5%8d%93%e7%90%83t%e3%83%aa%e3%83%bc%e3%82%b0%e3%80%8c%e6%9c%a8%e4%b8%8b%e3%82%a2%e3%83%93%e3%82%a8%e3%83%ab%e7%a5%9e%e5%a5%88%e5%b7%9d%e3%80%8d%e5%a5%b3%e5%ad%90%e9%81%b8%e6%89%8b%e5%90%91%e3%81%91/</t>
  </si>
  <si>
    <t>https://luna-dr.com/kawasaki/news/hpv%e3%83%af%e3%82%af%e3%83%81%e3%83%b3%e3%81%ab%e3%81%a4%e3%81%8d%e3%81%be%e3%81%97%e3%81%a6/</t>
  </si>
  <si>
    <t>8/16 台風の影響による受付時間・電話対応時間の変更について</t>
  </si>
  <si>
    <t>https://luna-dr.com/kawasaki/news/8-16-%e5%8f%b0%e9%a2%a8%e3%81%ae%e5%bd%b1%e9%9f%bf%e3%81%ab%e3%82%88%e3%82%8b%e5%8f%97%e4%bb%98%e6%99%82%e9%96%93%e3%83%bb%e9%9b%bb%e8%a9%b1%e5%af%be%e5%bf%9c%e6%99%82%e9%96%93%e3%81%ae%e5%a4%89/</t>
  </si>
  <si>
    <t>8/13(火) 予約外の受付につきまして</t>
  </si>
  <si>
    <t>https://luna-dr.com/kawasaki/news/%e6%9c%ac%e6%97%a5%e3%81%ae%e4%ba%88%e7%b4%84%e5%a4%96%e5%8f%97%e4%bb%98%e3%81%ab%e3%81%a4%e3%81%8d%e3%81%be%e3%81%97%e3%81%a6/</t>
  </si>
  <si>
    <t>https://luna-dr.com/kawasaki/news/%e3%81%8a%e9%9b%bb%e8%a9%b1%e3%81%a7%e3%81%ae%e3%81%8a%e5%95%8f%e3%81%84%e5%90%88%e3%82%8f%e3%81%9b%e3%81%ab%e3%81%a4%e3%81%84%e3%81%a6/</t>
  </si>
  <si>
    <t>美容点滴ご希望の方へ</t>
  </si>
  <si>
    <t>https://luna-dr.com/kawasaki/news/%e7%be%8e%e5%ae%b9%e7%82%b9%e6%bb%b4%e3%81%94%e5%b8%8c%e6%9c%9b%e3%81%ae%e6%96%b9%e3%81%b8/</t>
  </si>
  <si>
    <t>当院医師監修の書籍出版</t>
  </si>
  <si>
    <t>https://luna-dr.com/kawasaki/news/%e5%bd%93%e9%99%a2%e5%8c%bb%e5%b8%ab%e7%9b%a3%e4%bf%ae%e3%81%ae%e6%9b%b8%e7%b1%8d%e5%87%ba%e7%89%88/</t>
  </si>
  <si>
    <t>https://luna-dr.com/yokohama/news/%e7%be%8e%e5%ae%b9%e7%82%b9%e6%bb%b4%e7%b5%82%e4%ba%86%e3%83%a1%e3%83%8b%e3%83%a5%e3%83%bc%e3%81%ae%e3%81%8a%e7%9f%a5%e3%82%89%e3%81%9b/</t>
  </si>
  <si>
    <t>横浜院</t>
  </si>
  <si>
    <t>8月19日(火)の診療時間について</t>
  </si>
  <si>
    <t>https://luna-dr.com/yokohama/news/8%e6%9c%8819%e6%97%a5%e7%81%ab%e3%81%ae%e8%a8%ba%e7%99%82%e6%99%82%e9%96%93%e3%81%ab%e3%81%a4%e3%81%84%e3%81%a6/</t>
  </si>
  <si>
    <t>https://luna-dr.com/yokohama/news/%e3%82%b4%e3%83%bc%e3%83%ab%e3%83%87%e3%83%b3%e3%82%a6%e3%82%a3%e3%83%bc%e3%82%af%e6%9c%9f%e9%96%93%e3%81%ae%e5%8f%97%e8%a8%ba%e3%81%ab%e3%81%a4%e3%81%84%e3%81%a6/</t>
  </si>
  <si>
    <t>https://luna-dr.com/yokohama/news/%e3%80%90%e7%89%b9%e5%ae%9a%e3%81%ae%e5%8c%bb%e5%b8%ab%e3%81%ae%e6%8c%87%e5%90%8d%e3%81%ab%e3%81%a4%e3%81%84%e3%81%a6%e3%80%91/</t>
  </si>
  <si>
    <t>https://luna-dr.com/yokohama/news/%e3%83%a1%e3%83%b3%e3%83%86%e3%83%8a%e3%83%b3%e3%82%b9%e3%81%ae%e3%81%8a%e7%9f%a5%e3%82%89%e3%81%9b/</t>
  </si>
  <si>
    <t>https://luna-dr.com/yokohama/news/%e4%bb%a4%e5%92%8c6%e5%b9%b4%e5%ba%a6-%e5%b9%b4%e6%9c%ab%e5%b9%b4%e5%a7%8b%e4%bc%91%e8%a8%ba%e3%81%ae%e3%81%8a%e7%9f%a5%e3%82%89%e3%81%9b/</t>
  </si>
  <si>
    <t>https://luna-dr.com/yokohama/news/%e4%b8%80%e8%88%ac%e5%90%8d%e3%81%a7%e3%81%ae%e5%87%a6%e6%96%b9%e3%81%ab%e3%81%a4%e3%81%84%e3%81%a6/</t>
  </si>
  <si>
    <t>https://luna-dr.com/yokohama/news/%e5%8d%93%e7%90%83t%e3%83%aa%e3%83%bc%e3%82%b0%e3%80%8c%e6%9c%a8%e4%b8%8b%e3%82%a2%e3%83%93%e3%82%a8%e3%83%ab%e7%a5%9e%e5%a5%88%e5%b7%9d%e3%80%8d%e5%a5%b3%e5%ad%90%e9%81%b8%e6%89%8b%e5%90%91%e3%81%91/</t>
  </si>
  <si>
    <t>https://luna-dr.com/yokohama/news/hpv%e3%83%af%e3%82%af%e3%83%81%e3%83%b3%e3%81%ab%e3%81%a4%e3%81%8d%e3%81%be%e3%81%97%e3%81%a6/</t>
  </si>
  <si>
    <t>https://luna-dr.com/yokohama/news/%e4%ba%88%e7%b4%84%e5%a4%96%ef%bc%88line%e4%ba%88%e7%b4%84%e7%84%a1%e3%81%97%ef%bc%89%e3%81%a7%e3%81%94%e6%9d%a5%e9%99%a2%e3%81%95%e3%82%8c%e3%82%8b%e6%82%a3%e8%80%85%e6%a7%98%e3%81%b8-2/</t>
  </si>
  <si>
    <t>横浜市・子宮頸がん検診＆HPVワクチンの取り扱いを開始しました</t>
  </si>
  <si>
    <t>https://luna-dr.com/yokohama/news/%e6%a8%aa%e6%b5%9c%e5%b8%82%e3%83%bb%e5%ad%90%e5%ae%ae%e9%a0%b8%e3%81%8c%e3%82%93%e6%a4%9c%e8%a8%ba%ef%bc%86hpv%e3%83%af%e3%82%af%e3%83%81%e3%83%b3%e3%81%ae%e5%8f%96%e3%82%8a%e6%89%b1%e3%81%84/</t>
  </si>
  <si>
    <t>https://luna-dr.com/yokohama/news/%e3%81%8a%e9%9b%bb%e8%a9%b1%e3%81%a7%e3%81%ae%e3%81%8a%e5%95%8f%e3%81%84%e5%90%88%e3%82%8f%e3%81%9b%e3%81%ab%e3%81%a4%e3%81%84%e3%81%a6/</t>
  </si>
  <si>
    <t>他院との誤りにご注意ください</t>
  </si>
  <si>
    <t>https://luna-dr.com/yokohama/news/%e4%bb%96%e9%99%a2%e3%81%a8%e3%81%ae%e8%aa%a4%e3%82%8a%e3%81%ab%e3%81%94%e6%b3%a8%e6%84%8f%e3%81%8f%e3%81%a0%e3%81%95%e3%81%84/</t>
  </si>
  <si>
    <t>https://luna-dr.com/subjects/media/470/</t>
  </si>
  <si>
    <t>https://luna-dr.com/subjects/media/469/</t>
  </si>
  <si>
    <t>https://luna-dr.com/subjects/media/349/</t>
  </si>
  <si>
    <t>https://luna-dr.com/subjects/media/339/</t>
  </si>
  <si>
    <t>https://luna-dr.com/subjects/media/355/</t>
  </si>
  <si>
    <t>https://luna-dr.com/subjects/media/8181/</t>
  </si>
  <si>
    <t>https://luna-dr.com/subjects/media/8431/</t>
  </si>
  <si>
    <t>https://luna-dr.com/subjects/media/2659/</t>
  </si>
  <si>
    <t>https://luna-dr.com/subjects/media/3016/</t>
  </si>
  <si>
    <t>https://luna-dr.com/subjects/media/2998/</t>
  </si>
  <si>
    <t>https://luna-dr.com/subjects/media/3008/</t>
  </si>
  <si>
    <t>https://luna-dr.com/subjects/media/2636/</t>
  </si>
  <si>
    <t>https://luna-dr.com/subjects/media/2716/</t>
  </si>
  <si>
    <t>https://luna-dr.com/subjects/media/2722/</t>
  </si>
  <si>
    <t>https://luna-dr.com/subjects/media/2947/</t>
  </si>
  <si>
    <t>https://luna-dr.com/subjects/media/2832/</t>
  </si>
  <si>
    <t>https://luna-dr.com/subjects/media/2922/</t>
  </si>
  <si>
    <t>https://luna-dr.com/subjects/media/3024/</t>
  </si>
  <si>
    <t>https://luna-dr.com/subjects/media/2859/</t>
  </si>
  <si>
    <t>https://luna-dr.com/subjects/media/2747/</t>
  </si>
  <si>
    <t>https://luna-dr.com/subjects/media/1416/</t>
  </si>
  <si>
    <t>https://luna-dr.com/subjects/media/2780/</t>
  </si>
  <si>
    <t>https://luna-dr.com/subjects/media/2908/</t>
  </si>
  <si>
    <t>https://luna-dr.com/subjects/media/2701/</t>
  </si>
  <si>
    <t>https://luna-dr.com/subjects/media/2712/</t>
  </si>
  <si>
    <t>https://luna-dr.com/subjects/media/1558/</t>
  </si>
  <si>
    <t>https://luna-dr.com/subjects/media/2737/</t>
  </si>
  <si>
    <t>https://luna-dr.com/subjects/media/2632/</t>
  </si>
  <si>
    <t>https://luna-dr.com/subjects/media/2965/</t>
  </si>
  <si>
    <t>https://luna-dr.com/subjects/media/2652/</t>
  </si>
  <si>
    <t>https://luna-dr.com/subjects/media/4729/</t>
  </si>
  <si>
    <t>https://luna-dr.com/subjects/media/2798/</t>
  </si>
  <si>
    <t>https://luna-dr.com/subjects/media/1681/</t>
  </si>
  <si>
    <t>https://luna-dr.com/subjects/media/1728/</t>
  </si>
  <si>
    <t>https://luna-dr.com/subjects/media/3059/</t>
  </si>
  <si>
    <t>https://luna-dr.com/subjects/media/2784/</t>
  </si>
  <si>
    <t>https://luna-dr.com/subjects/media/2905/</t>
  </si>
  <si>
    <t>https://luna-dr.com/subjects/media/2626/</t>
  </si>
  <si>
    <t>https://luna-dr.com/subjects/media/2950/</t>
  </si>
  <si>
    <t>https://luna-dr.com/subjects/media/2756/</t>
  </si>
  <si>
    <t>https://luna-dr.com/subjects/media/1406/</t>
  </si>
  <si>
    <t>https://luna-dr.com/subjects/media/2704/</t>
  </si>
  <si>
    <t>https://luna-dr.com/subjects/media/2639/</t>
  </si>
  <si>
    <t>https://luna-dr.com/subjects/media/2862/</t>
  </si>
  <si>
    <t>https://luna-dr.com/subjects/media/2876/</t>
  </si>
  <si>
    <t>https://luna-dr.com/subjects/media/935/</t>
  </si>
  <si>
    <t>https://luna-dr.com/subjects/media/2995/</t>
  </si>
  <si>
    <t>https://luna-dr.com/subjects/media/918/</t>
  </si>
  <si>
    <t>https://luna-dr.com/subjects/media/2938/</t>
  </si>
  <si>
    <t>https://luna-dr.com/subjects/media/2677/</t>
  </si>
  <si>
    <t>https://luna-dr.com/subjects/media/2916/</t>
  </si>
  <si>
    <t>https://luna-dr.com/subjects/media/3056/</t>
  </si>
  <si>
    <t>https://luna-dr.com/subjects/media/2731/</t>
  </si>
  <si>
    <t>https://luna-dr.com/subjects/media/1609/</t>
  </si>
  <si>
    <t>https://luna-dr.com/subjects/media/2844/</t>
  </si>
  <si>
    <t>https://luna-dr.com/subjects/media/3021/</t>
  </si>
  <si>
    <t>https://luna-dr.com/subjects/media/921/</t>
  </si>
  <si>
    <t>https://luna-dr.com/subjects/media/2983/</t>
  </si>
  <si>
    <t>https://luna-dr.com/subjects/media/1393/</t>
  </si>
  <si>
    <t>https://luna-dr.com/subjects/media/2968/</t>
  </si>
  <si>
    <t>https://luna-dr.com/subjects/media/2725/</t>
  </si>
  <si>
    <t>https://luna-dr.com/subjects/media/2895/</t>
  </si>
  <si>
    <t>https://luna-dr.com/subjects/media/2671/</t>
  </si>
  <si>
    <t>https://luna-dr.com/subjects/media/2662/</t>
  </si>
  <si>
    <t>https://luna-dr.com/subjects/media/964/</t>
  </si>
  <si>
    <t>https://luna-dr.com/subjects/media/2853/</t>
  </si>
  <si>
    <t>https://luna-dr.com/subjects/media/2767/</t>
  </si>
  <si>
    <t>https://luna-dr.com/subjects/media/1657/</t>
  </si>
  <si>
    <t>https://luna-dr.com/subjects/media/985/</t>
  </si>
  <si>
    <t>https://luna-dr.com/subjects/media/2892/</t>
  </si>
  <si>
    <t>https://luna-dr.com/subjects/media/1470/</t>
  </si>
  <si>
    <t>https://luna-dr.com/subjects/media/2788/</t>
  </si>
  <si>
    <t>https://luna-dr.com/subjects/media/2665/</t>
  </si>
  <si>
    <t>https://luna-dr.com/subjects/media/2791/</t>
  </si>
  <si>
    <t>https://luna-dr.com/subjects/media/2866/</t>
  </si>
  <si>
    <t>https://luna-dr.com/subjects/media/2953/</t>
  </si>
  <si>
    <t>https://luna-dr.com/subjects/media/1001/</t>
  </si>
  <si>
    <t>https://luna-dr.com/subjects/media/2821/</t>
  </si>
  <si>
    <t>https://luna-dr.com/subjects/media/2879/</t>
  </si>
  <si>
    <t>https://luna-dr.com/subjects/media/165/</t>
  </si>
  <si>
    <t>https://luna-dr.com/subjects/media/5733/</t>
  </si>
  <si>
    <t>https://luna-dr.com/subjects/media/6707/</t>
  </si>
  <si>
    <t>https://luna-dr.com/subjects/media/1623/</t>
  </si>
  <si>
    <t>https://luna-dr.com/subjects/media/595/</t>
  </si>
  <si>
    <t>https://luna-dr.com/subjects/media/7571/</t>
  </si>
  <si>
    <t>https://luna-dr.com/subjects/media/1806/</t>
  </si>
  <si>
    <t>https://luna-dr.com/subjects/media/8154/</t>
  </si>
  <si>
    <t>https://luna-dr.com/subjects/media/7892/</t>
  </si>
  <si>
    <t>https://luna-dr.com/subjects/media/6341/</t>
  </si>
  <si>
    <t>https://luna-dr.com/subjects/media/6883/</t>
  </si>
  <si>
    <t>https://luna-dr.com/subjects/media/7534/</t>
  </si>
  <si>
    <t>https://luna-dr.com/subjects/media/4364/</t>
  </si>
  <si>
    <t>https://luna-dr.com/subjects/media/7906/</t>
  </si>
  <si>
    <t>https://luna-dr.com/subjects/media/4586/</t>
  </si>
  <si>
    <t>https://luna-dr.com/subjects/media/8165/</t>
  </si>
  <si>
    <t>https://luna-dr.com/subjects/media/10065/</t>
  </si>
  <si>
    <t>https://luna-dr.com/subjects/media/4103/</t>
  </si>
  <si>
    <t>https://luna-dr.com/subjects/media/3044/</t>
  </si>
  <si>
    <t>https://luna-dr.com/subjects/media/1365/</t>
  </si>
  <si>
    <t>https://luna-dr.com/subjects/media/3843/</t>
  </si>
  <si>
    <t>https://luna-dr.com/subjects/media/1569/</t>
  </si>
  <si>
    <t>https://luna-dr.com/subjects/media/1544/</t>
  </si>
  <si>
    <t>https://luna-dr.com/subjects/media/992/</t>
  </si>
  <si>
    <t>https://luna-dr.com/subjects/media/1373/</t>
  </si>
  <si>
    <t>https://luna-dr.com/subjects/media/4138/</t>
  </si>
  <si>
    <t>https://luna-dr.com/subjects/media/4643/</t>
  </si>
  <si>
    <t>https://luna-dr.com/subjects/media/3533/</t>
  </si>
  <si>
    <t>https://luna-dr.com/subjects/media/2824/</t>
  </si>
  <si>
    <t>https://luna-dr.com/subjects/media/3001/</t>
  </si>
  <si>
    <t>https://luna-dr.com/subjects/media/988/</t>
  </si>
  <si>
    <t>https://luna-dr.com/subjects/media/3026/</t>
  </si>
  <si>
    <t>https://luna-dr.com/subjects/media/3011/</t>
  </si>
  <si>
    <t>https://luna-dr.com/subjects/media/2794/</t>
  </si>
  <si>
    <t>https://luna-dr.com/subjects/media/1647/</t>
  </si>
  <si>
    <t>https://luna-dr.com/subjects/media/2773/</t>
  </si>
  <si>
    <t>https://luna-dr.com/subjects/media/2899/</t>
  </si>
  <si>
    <t>https://luna-dr.com/subjects/media/3053/</t>
  </si>
  <si>
    <t>https://luna-dr.com/subjects/media/2971/</t>
  </si>
  <si>
    <t>https://luna-dr.com/subjects/media/2770/</t>
  </si>
  <si>
    <t>https://luna-dr.com/subjects/media/1007/</t>
  </si>
  <si>
    <t>https://luna-dr.com/subjects/media/1024/</t>
  </si>
  <si>
    <t>https://luna-dr.com/subjects/media/2776/</t>
  </si>
  <si>
    <t>https://luna-dr.com/subjects/media/2692/</t>
  </si>
  <si>
    <t>https://luna-dr.com/subjects/media/2944/</t>
  </si>
  <si>
    <t>https://luna-dr.com/subjects/media/3451/</t>
  </si>
  <si>
    <t>https://luna-dr.com/subjects/media/1201/</t>
  </si>
  <si>
    <t>https://luna-dr.com/subjects/media/4694/</t>
  </si>
  <si>
    <t>https://luna-dr.com/subjects/media/1230/</t>
  </si>
  <si>
    <t>https://luna-dr.com/subjects/media/6692/</t>
  </si>
  <si>
    <t>https://luna-dr.com/subjects/media/4180/</t>
  </si>
  <si>
    <t>https://luna-dr.com/subjects/media/6128/</t>
  </si>
  <si>
    <t>https://luna-dr.com/subjects/media/6933/</t>
  </si>
  <si>
    <t>https://luna-dr.com/subjects/media/6680/</t>
  </si>
  <si>
    <t>https://luna-dr.com/subjects/media/7080/</t>
  </si>
  <si>
    <t>https://luna-dr.com/subjects/media/6088/</t>
  </si>
  <si>
    <t>https://luna-dr.com/subjects/media/1252/</t>
  </si>
  <si>
    <t>https://luna-dr.com/subjects/media/1270/</t>
  </si>
  <si>
    <t>https://luna-dr.com/subjects/media/1294/</t>
  </si>
  <si>
    <t>https://luna-dr.com/subjects/media/7491/</t>
  </si>
  <si>
    <t>https://luna-dr.com/subjects/media/1281/</t>
  </si>
  <si>
    <t>https://luna-dr.com/subjects/media/4669/</t>
  </si>
  <si>
    <t>https://luna-dr.com/subjects/media/4212/</t>
  </si>
  <si>
    <t>https://luna-dr.com/subjects/media/4953/</t>
  </si>
  <si>
    <t>https://luna-dr.com/subjects/media/6685/</t>
  </si>
  <si>
    <t>https://luna-dr.com/subjects/media/7450/</t>
  </si>
  <si>
    <t>https://luna-dr.com/subjects/media/7453/</t>
  </si>
  <si>
    <t>https://luna-dr.com/subjects/media/3657/</t>
  </si>
  <si>
    <t>https://luna-dr.com/subjects/media/6458/</t>
  </si>
  <si>
    <t>https://luna-dr.com/subjects/media/8592/</t>
  </si>
  <si>
    <t>https://luna-dr.com/subjects/media/9342/</t>
  </si>
  <si>
    <t>https://luna-dr.com/subjects/media/7557/</t>
  </si>
  <si>
    <t>https://luna-dr.com/subjects/media/7486/</t>
  </si>
  <si>
    <t>https://luna-dr.com/subjects/media/7525/</t>
  </si>
  <si>
    <t>https://luna-dr.com/subjects/media/9733/</t>
  </si>
  <si>
    <t>https://luna-dr.com/subjects/media/7560/</t>
  </si>
  <si>
    <t>https://luna-dr.com/subjects/media/6161/</t>
  </si>
  <si>
    <t>https://luna-dr.com/subjects/media/7400/</t>
  </si>
  <si>
    <t>https://luna-dr.com/subjects/media/5667/</t>
  </si>
  <si>
    <t>https://luna-dr.com/subjects/media/8031/</t>
  </si>
  <si>
    <t>https://luna-dr.com/subjects/media/8124/</t>
  </si>
  <si>
    <t>https://luna-dr.com/subjects/media/7568/</t>
  </si>
  <si>
    <t>https://luna-dr.com/subjects/media/7391/</t>
  </si>
  <si>
    <t>https://luna-dr.com/subjects/media/5456/</t>
  </si>
  <si>
    <t>https://luna-dr.com/subjects/media/4268/</t>
  </si>
  <si>
    <t>https://luna-dr.com/subjects/media/7441/</t>
  </si>
  <si>
    <t>https://luna-dr.com/subjects/media/5656/</t>
  </si>
  <si>
    <t>https://luna-dr.com/subjects/media/6848/</t>
  </si>
  <si>
    <t>https://luna-dr.com/subjects/media/9171/</t>
  </si>
  <si>
    <t>https://luna-dr.com/subjects/media/7546/</t>
  </si>
  <si>
    <t>https://luna-dr.com/subjects/media/7853/</t>
  </si>
  <si>
    <t>https://luna-dr.com/subjects/media/7845/</t>
  </si>
  <si>
    <t>https://luna-dr.com/subjects/media/7447/</t>
  </si>
  <si>
    <t>https://luna-dr.com/subjects/media/8443/</t>
  </si>
  <si>
    <t>https://luna-dr.com/subjects/media/6672/</t>
  </si>
  <si>
    <t>https://luna-dr.com/subjects/media/3544/</t>
  </si>
  <si>
    <t>https://luna-dr.com/subjects/media/7898/</t>
  </si>
  <si>
    <t>https://luna-dr.com/subjects/media/7465/</t>
  </si>
  <si>
    <t>https://luna-dr.com/subjects/media/9748/</t>
  </si>
  <si>
    <t>https://luna-dr.com/subjects/media/9791/</t>
  </si>
  <si>
    <t>https://luna-dr.com/subjects/media/1175/</t>
  </si>
  <si>
    <t>https://luna-dr.com/subjects/media/1209/</t>
  </si>
  <si>
    <t>https://luna-dr.com/subjects/media/4017/</t>
  </si>
  <si>
    <t>https://luna-dr.com/subjects/media/1306/</t>
  </si>
  <si>
    <t>https://luna-dr.com/subjects/media/1241/</t>
  </si>
  <si>
    <t>https://luna-dr.com/subjects/media/4657/</t>
  </si>
  <si>
    <t>町田駅前院は駅から近いですか？/町田院の交通アクセスを教えてください</t>
  </si>
  <si>
    <t>ルナレディースクリニック町田駅前院は、町田駅から徒歩2分のTK町田ビル3階にあります。駅から近く、気軽にご来院いただけます。</t>
  </si>
  <si>
    <t>町田駅,徒歩2分,アクセス</t>
  </si>
  <si>
    <t>土日・祝日は診療していますか？</t>
  </si>
  <si>
    <t>ルナレディースクリニック町田駅前院の診療時間は、午前診療が10:00〜14:00、午後診療が15:30〜20:00です。日曜は休診となります。土曜日の午後診療は15:30〜19:00です。</t>
  </si>
  <si>
    <t>診療時間,町田</t>
  </si>
  <si>
    <t>遅刻した場合でも診察は受けられますか？/予約時間に遅れた場合はどうなりますか？</t>
  </si>
  <si>
    <t>ルナレディースクリニック町田駅前院では、10分以上遅刻された場合、事前にご連絡をいただいていても予約外来院扱いとなります。</t>
  </si>
  <si>
    <t>来院ルール</t>
  </si>
  <si>
    <t>遅刻,予約</t>
  </si>
  <si>
    <t>予約外来院の最終受付時間を教えてください/予約をしていない場合の最終受付時間を教えてください</t>
  </si>
  <si>
    <t xml:space="preserve">当院で処方済みのピル処方・アフターピル・月経移動は、午前13:30まで、午後は平日19:30まで、土日祝18:30までが最終受付です。それ以外の相談は、午前は平日13:00まで、土日祝12:00まで、午後は平日18:00まで、土日祝17:00までとなります。
平日18:00以降は大変込み合いますので、予約無しでご来院の際は極力17:00までに受付のご協力をよろしくお願いいたします。
混雑状況により18:00以降はピル処方・中絶相談以外の予約無し診察受付を制限させて頂くことがございますのでご理解の程をよろしくお願いいたします。 </t>
  </si>
  <si>
    <t>受付時間</t>
  </si>
  <si>
    <t>最終受付,受付時間</t>
  </si>
  <si>
    <t>女性医師による診察は可能ですか？</t>
  </si>
  <si>
    <t>ルナレディースクリニック町田駅前院では、女性医師による診察が可能です。ご希望の場合は、お電話でのご予約をお願いしています。婦人科の受診が初めての方は不安もあると思いますが、安心して受診していただけるよう丁寧な説明を心がけております。</t>
  </si>
  <si>
    <t>診察体制</t>
  </si>
  <si>
    <t>女性医師,医師希望</t>
  </si>
  <si>
    <t>初診でも受診できますか？</t>
  </si>
  <si>
    <t>ルナレディースクリニック町田駅前院では、初診の方も受診いただけます。資格確認書をご持参のうえ、受付時間内にご来院ください。
町田駅前院のご予約はこちら（https://cline-app.com/qr-codes/98ad6f149bfa20f4f2a9a2e91aac4187/preview）</t>
  </si>
  <si>
    <t>初診</t>
  </si>
  <si>
    <t>初診,持ち物</t>
  </si>
  <si>
    <t>再診の場合は予約が必要ですか？</t>
  </si>
  <si>
    <t>ルナレディースクリニック町田駅前院では、再診の方はスムーズなご案内のため、基本的にご予約をお願いしています。</t>
  </si>
  <si>
    <t>再診</t>
  </si>
  <si>
    <t>再診,予約</t>
  </si>
  <si>
    <t>男性の同伴は可能ですか？</t>
  </si>
  <si>
    <t>ルナレディースクリニック町田駅前院では、男性同伴でのご来院はお控えいただいています。</t>
  </si>
  <si>
    <t>男性同伴,注意事項</t>
  </si>
  <si>
    <t>日本語での会話が難しい場合はどうすればよいですか？</t>
  </si>
  <si>
    <t>ルナレディースクリニック町田駅前院では、日本語での会話が難しい方は、女性通訳の方の同伴をお願いしています。</t>
  </si>
  <si>
    <t>通訳,日本語</t>
  </si>
  <si>
    <t>町田駅前院ではどんな診療を行っていますか？</t>
  </si>
  <si>
    <t>ルナレディースクリニック町田駅前院では、ピルの処方、低用量ピル、アフターピル、月経移動、ブライダルチェック、生理不順、生理痛、おりもの異常、不正出血、妊娠検査、女性の健診、中絶、性感染症に対応しています。
※乳房に関する診療、更年期障害の治療、不妊治療は行っていません。</t>
  </si>
  <si>
    <t>町田,診療内容</t>
  </si>
  <si>
    <t>対応していない診療はありますか？</t>
  </si>
  <si>
    <t>ルナレディースクリニック町田駅前院では、乳房に関する診療、更年期障害の治療、不妊治療は行っていません。</t>
  </si>
  <si>
    <t>対応外,診療範囲</t>
  </si>
  <si>
    <t>町田駅前院の住所を教えてください</t>
  </si>
  <si>
    <t>ルナレディースクリニック町田駅前院の住所は、〒194-0013 東京都町田市原町田6丁目3-20 TK町田ビル3階です。町田駅から徒歩2分の場所にあります。</t>
  </si>
  <si>
    <t>住所,町田,アクセス</t>
  </si>
  <si>
    <t>町田駅前院の地図はどこで確認できますか？</t>
  </si>
  <si>
    <t>ルナレディースクリニック町田駅前院の場所は、Googleマップでご確認いただけます。町田駅から徒歩2分のTK町田ビル3階にあります。</t>
  </si>
  <si>
    <t>地図,Googleマップ,町田</t>
  </si>
  <si>
    <t>町田駅前院の電話番号を教えてください</t>
  </si>
  <si>
    <t>当院の電話番号は050-1730-2768 になります。（電話番号は全院共通です。）</t>
  </si>
  <si>
    <t>お問い合わせ</t>
  </si>
  <si>
    <t>電話番号,問い合わせ,町田</t>
  </si>
  <si>
    <t>小田急線町田駅から町田院までの行き方を教えてください</t>
  </si>
  <si>
    <t>小田急線町田駅西口改札を出て、左斜め方向（JR町田駅方面）へ進みます。ペデストリアンデッキ（2階の歩道橋）を直進すると、左手にDelifranceが入っているビルが見えます。そのビルの3階にルナレディースクリニック町田院があります。
動画でもクリニックへの行き方をご案内しております→https://www.youtube.com/watch?time_continue=4&amp;v=mqWJREBxW2E</t>
  </si>
  <si>
    <t>町田院,道案内,小田急町田駅,徒歩</t>
  </si>
  <si>
    <t>JR町田駅から町田院までの行き方を教えてください/町田駅からの行き方を教えてください/町田駅からクリニックまでの道順を教えてください</t>
  </si>
  <si>
    <t>JR町田駅中央改札を出て、小田急線方面へ進みます（改札を出て右方向です）。東急ツインズウエストを右手に見ながら左へ曲がり、道なりに進むとDelifranceが入っているビルがあります。そのビルの3階にルナレディースクリニック町田院があります。</t>
  </si>
  <si>
    <t>町田院,道案内,JR町田駅,徒歩</t>
  </si>
  <si>
    <t>診療日は何曜日ですか？</t>
  </si>
  <si>
    <t>当院は月曜日・火曜日・水曜日・木曜日・金曜日・土曜日に診療を行っています。日曜日は終日休診です。午前診療が10:00〜14:00、午後診療が15:30〜20:00です。土曜日の午後診療は15:30〜19:00です。</t>
  </si>
  <si>
    <t>診療日,曜日,休診日</t>
  </si>
  <si>
    <t>休診日はいつですか？</t>
  </si>
  <si>
    <t>当院の定休日は日曜日です。その他の曜日は診療を行っています。</t>
  </si>
  <si>
    <t>休診日,定休日,日曜休診</t>
  </si>
  <si>
    <t>祝日は診療していますか？</t>
  </si>
  <si>
    <t>祝日は、曜日に準じて診療を行っています。日曜日にあたる祝日は休診となります。</t>
  </si>
  <si>
    <t>祝日,祝日診療,休日</t>
  </si>
  <si>
    <t>統括院長の名前を教えてください。</t>
  </si>
  <si>
    <t>ルナレディースクリニックの統括院長は川原 正行 院長です。</t>
  </si>
  <si>
    <t>院長,医師名,ドクター</t>
  </si>
  <si>
    <t>院長の資格を教えてください。</t>
  </si>
  <si>
    <t>川原正行院長は、日本産婦人科学会専門医および母体保護法指定医の資格を有しています。</t>
  </si>
  <si>
    <t>資格,専門医,母体保護法指定医</t>
  </si>
  <si>
    <t>院長はどのような学会に所属していますか？</t>
  </si>
  <si>
    <t>川原正行院長は、日本産科婦人科学会、日本産婦人科医会、日本医師会に所属しています。</t>
  </si>
  <si>
    <t>学会,所属学会,産婦人科</t>
  </si>
  <si>
    <t>院長の経歴を教えてください。</t>
  </si>
  <si>
    <t>川原正行院長は1998年に岡山大学医学部を卒業後、大学病院・国立病院・総合病院で産婦人科診療を経験し、北京International SOS Clinicでの家庭医経験を経て、複数のレディースクリニックで診療に携わってきました。2021年には川崎駅前レディースクリニックを開業しています。日本産婦人科学会専門医および母体保護法指定医として、長年にわたり産婦人科診療に携わってきた医師です。</t>
  </si>
  <si>
    <t>経歴,医師経歴,院長経歴</t>
  </si>
  <si>
    <t>院長のインタビュー記事はありますか？</t>
  </si>
  <si>
    <t>川原正行院長のインタビューは「川崎ドクターズ（https://kanagawa-doctors.com/clinicList/66831/interview）」「ドクターズファイル（https://kanagawa-doctors.com/clinicList/66831/interview）」に掲載されています。院長の診療に対する考え方や想いをご覧いただけます。</t>
  </si>
  <si>
    <t>インタビュー,医師紹介</t>
  </si>
  <si>
    <t>低用量ピルの料金はいくらですか？</t>
  </si>
  <si>
    <t>低用量ピルは自費診療となり、1シート3,000円（税込）です。</t>
  </si>
  <si>
    <t>料金・ピル</t>
  </si>
  <si>
    <t>低用量ピル,料金,自費,</t>
  </si>
  <si>
    <t>低用量ピルは保険診療ですか？</t>
  </si>
  <si>
    <t>低用量ピルは避妊目的の場合、保険適用外の自費診療となります。</t>
  </si>
  <si>
    <t>保険適用・ピル</t>
  </si>
  <si>
    <t>低用量ピル,保険,自費,</t>
  </si>
  <si>
    <t>アフターピルの料金はいくらですか？</t>
  </si>
  <si>
    <t>アフターピルは自費診療となり、15,000円（税込）です。</t>
  </si>
  <si>
    <t>料金・アフターピル</t>
  </si>
  <si>
    <t>アフターピル,料金,</t>
  </si>
  <si>
    <t>アフターピルは保険診療ですか？</t>
  </si>
  <si>
    <t>アフターピルは健康保険適用外の自費診療です。</t>
  </si>
  <si>
    <t>保険適用・アフターピル</t>
  </si>
  <si>
    <t>アフターピル,保険,</t>
  </si>
  <si>
    <t>月経移動の費用はいくらですか？</t>
  </si>
  <si>
    <t>月経移動は自費診療となり、5,000円（税込）です。</t>
  </si>
  <si>
    <t>料金・月経移動</t>
  </si>
  <si>
    <t>月経移動,料金,</t>
  </si>
  <si>
    <t>月経移動は保険診療ですか？</t>
  </si>
  <si>
    <t>月経移動は健康保険適用外の自費診療です。</t>
  </si>
  <si>
    <t>保険適用・月経移動</t>
  </si>
  <si>
    <t>月経移動,保険,</t>
  </si>
  <si>
    <t>避妊リングの費用はいくらですか？/ミレーナの費用はいくらですか？</t>
  </si>
  <si>
    <t>避妊リング（ミレーナ）は自費診療となり、75,500円（税込）です。</t>
  </si>
  <si>
    <t>料金・ミレーナ</t>
  </si>
  <si>
    <t>ミレーナ,避妊リング,料金,</t>
  </si>
  <si>
    <t>避妊リングは保険診療ですか？/ミレーナは保険診療ですか？</t>
  </si>
  <si>
    <t>避妊リング（ミレーナ）は健康保険適用外の自費診療です。</t>
  </si>
  <si>
    <t>保険適用・ミレーナ</t>
  </si>
  <si>
    <t>ミレーナ,保険,</t>
  </si>
  <si>
    <t>人工妊娠中絶手術の費用はいくらですか？</t>
  </si>
  <si>
    <t>人工妊娠中絶手術は自費診療で、92,400円（税込）〜となります。別途、事前検査費用が発生します</t>
  </si>
  <si>
    <t>料金・中絶</t>
  </si>
  <si>
    <t>中絶,費用,自費,</t>
  </si>
  <si>
    <t>人工妊娠中絶手術は保険診療ですか？/中絶は保険診療ですか？</t>
  </si>
  <si>
    <t>人工妊娠中絶手術は健康保険適用外の自費診療です。</t>
  </si>
  <si>
    <t>保険適用・人工妊娠中絶手術</t>
  </si>
  <si>
    <t>人工妊娠中絶手術,保険,</t>
  </si>
  <si>
    <t>人工妊娠中絶の事前検査費用はいくらですか？</t>
  </si>
  <si>
    <t>人工妊娠中絶の事前検査は16,500円（税込）です。</t>
  </si>
  <si>
    <t>料金・中絶検査</t>
  </si>
  <si>
    <t>中絶,事前検査,</t>
  </si>
  <si>
    <t>クラミジア検査の費用はいくらですか？</t>
  </si>
  <si>
    <t>クラミジア検査は自費診療となり、5,000円（税込）です。</t>
  </si>
  <si>
    <t>料金・性病検査</t>
  </si>
  <si>
    <t>クラミジア,検査,料金,</t>
  </si>
  <si>
    <t>クラミジア検査は保険診療ですか？</t>
  </si>
  <si>
    <t>クラミジア検査は自費診療となり、健康保険は適用されません。</t>
  </si>
  <si>
    <t>保険適用・性病検査</t>
  </si>
  <si>
    <t>クラミジア,保険,自費,</t>
  </si>
  <si>
    <t>淋病検査の費用はいくらですか？</t>
  </si>
  <si>
    <t>淋病検査は自費診療となり、5,000円（税込）です。</t>
  </si>
  <si>
    <t>淋病,検査,料金,</t>
  </si>
  <si>
    <t>淋病検査は保険診療ですか？</t>
  </si>
  <si>
    <t>淋病検査は自費診療となり、健康保険は適用されません。</t>
  </si>
  <si>
    <t>淋病,保険,自費,</t>
  </si>
  <si>
    <t>カンジダ検査の費用はいくらですか？</t>
  </si>
  <si>
    <t>カンジダ検査は自費診療となり、5,000円（税込）です。</t>
  </si>
  <si>
    <t>カンジダ,検査,料金,</t>
  </si>
  <si>
    <t>カンジダ検査は保険診療ですか？</t>
  </si>
  <si>
    <t>カンジダ検査は自費診療となり、健康保険は適用されません。</t>
  </si>
  <si>
    <t>カンジダ,保険,自費,</t>
  </si>
  <si>
    <t>HIV検査の費用はいくらですか？</t>
  </si>
  <si>
    <t>HIV検査は自費診療となり、5,000円（税込）です。</t>
  </si>
  <si>
    <t>HIV,検査,料金,</t>
  </si>
  <si>
    <t>HIV検査は保険診療ですか？</t>
  </si>
  <si>
    <t>HIV検査は自費診療となり、健康保険は適用されません。</t>
  </si>
  <si>
    <t>HIV,保険,自費,</t>
  </si>
  <si>
    <t>B型肝炎検査の費用はいくらですか？</t>
  </si>
  <si>
    <t>B型肝炎検査は自費診療となり、5,000円（税込）です。</t>
  </si>
  <si>
    <t>B型肝炎,検査,料金,</t>
  </si>
  <si>
    <t>B型肝炎検査は保険診療ですか？</t>
  </si>
  <si>
    <t>B型肝炎検査は自費診療となり、健康保険は適用されません。</t>
  </si>
  <si>
    <t>B型肝炎,保険,自費,</t>
  </si>
  <si>
    <t>C型肝炎検査の費用はいくらですか？</t>
  </si>
  <si>
    <t>C型肝炎検査は自費診療となり、5,000円（税込）です。</t>
  </si>
  <si>
    <t>C型肝炎,検査,料金,</t>
  </si>
  <si>
    <t>C型肝炎検査は保険診療ですか？</t>
  </si>
  <si>
    <t>C型肝炎検査は自費診療となり、健康保険は適用されません。</t>
  </si>
  <si>
    <t>C型肝炎,保険,自費,</t>
  </si>
  <si>
    <t>梅毒検査の費用はいくらですか？</t>
  </si>
  <si>
    <t>梅毒検査は自費診療となり、5,000円（税込）です。</t>
  </si>
  <si>
    <t>梅毒,検査,料金,</t>
  </si>
  <si>
    <t>梅毒検査は保険診療ですか？</t>
  </si>
  <si>
    <t>梅毒検査は自費診療となり、健康保険は適用されません。</t>
  </si>
  <si>
    <t>梅毒,保険,自費,</t>
  </si>
  <si>
    <t>トリコモナス検査の費用はいくらですか？</t>
  </si>
  <si>
    <t>トリコモナス検査は自費診療となり、5,000円（税込）です。</t>
  </si>
  <si>
    <t>トリコモナス,検査,料金,</t>
  </si>
  <si>
    <t>トリコモナス検査は保険診療ですか？</t>
  </si>
  <si>
    <t>トリコモナス検査は自費診療となり、健康保険は適用されません。</t>
  </si>
  <si>
    <t>トリコモナス,保険,自費,</t>
  </si>
  <si>
    <t>子宮頸がん検診の料金はいくらですか？</t>
  </si>
  <si>
    <t>子宮頸がん検診（自費）は5,000円（税込）です。妊娠中の方は妊娠10週まで当院で経過を診ている場合に限ります。
また、町田市子宮頸がん検診を受診される場合の料金は1,000円（税込）となります。</t>
  </si>
  <si>
    <t>料金・検診</t>
  </si>
  <si>
    <t>子宮頸がん検診,料金,</t>
  </si>
  <si>
    <t>子宮頸がん検診は保険診療ですか？</t>
  </si>
  <si>
    <t>子宮頸がん検診は、原則として健康保険が使えない自費診療です。ただし、お住まいの市区町村が実施している「子宮頸がん検診の公費助成（クーポン）」の対象となる場合は、自己負担が軽減される場合もございます。公費の対象かどうかは、お住まいの地域・年齢・年度ごとの制度によって異なります。横浜市・川崎市・町田市などでは条件を満たす方に公費検診が用意されていますので、対象かどうかはお手数ですが自治体の案内をご確認いただくか、ご来院予定の院へお問い合わせください。</t>
  </si>
  <si>
    <t>料金・保険</t>
  </si>
  <si>
    <t>子宮頸がん検診,保険診療,自費診療,公費,クーポン,横浜市,川崎市,町田市</t>
  </si>
  <si>
    <t>町田市の子宮頸がん検診の料金はいくらですか？</t>
  </si>
  <si>
    <t>子宮頸がん検診（自費）は1,000円（税込）です。妊娠中の方は妊娠10週まで当院で経過を診ている場合に限ります。</t>
  </si>
  <si>
    <t>子宮体がん検診の料金はいくらですか？</t>
  </si>
  <si>
    <t>子宮体がん検診は6,000円（税込）です。</t>
  </si>
  <si>
    <t>子宮体がん検診,料金,</t>
  </si>
  <si>
    <t>子宮体がん検査は保険診療ですか？</t>
  </si>
  <si>
    <t>子宮体がん検査は、原則として自費診療です。実際に保険適用や公費対象となるかは、症状やお住まいの自治体、診察時の医師判断によって異なります。対象かどうかはお手数ですが自治体の案内をご確認いただくか、ご来院予定の院へお問い合わせください。</t>
  </si>
  <si>
    <t>子宮体がん検査,保険診療,自費診療,公費,川崎院,不正出血</t>
  </si>
  <si>
    <t>ホルモン検査の費用はいくらですか？</t>
  </si>
  <si>
    <t>ホルモン検査（自費）は8,000円（税込）です。</t>
  </si>
  <si>
    <t>料金・検査</t>
  </si>
  <si>
    <t>ホルモン検査,料金,</t>
  </si>
  <si>
    <t>ホルモン検査は保険診療ですか？</t>
  </si>
  <si>
    <t>ホルモン検査は自費診療となり、健康保険は適用されません。</t>
  </si>
  <si>
    <t>保険適用・ホルモン検査</t>
  </si>
  <si>
    <t>ホルモン検査,保険,自費,</t>
  </si>
  <si>
    <t>AMH検査の料金はいくらですか？</t>
  </si>
  <si>
    <t>AMH検査は10,000円（税込）です。</t>
  </si>
  <si>
    <t>AMH,卵巣年齢,</t>
  </si>
  <si>
    <t>AMH検査は保険診療ですか？</t>
  </si>
  <si>
    <t>AMH検査は自費診療となり、健康保険は適用されません。</t>
  </si>
  <si>
    <t>保険適用・AMH</t>
  </si>
  <si>
    <t>AMH検査,保険,自費,</t>
  </si>
  <si>
    <t>風疹の抗体検査の料金はいくらですか？</t>
  </si>
  <si>
    <t>風疹の抗体検査は4,000円（税込）です。</t>
  </si>
  <si>
    <t>風疹,抗体検査,</t>
  </si>
  <si>
    <t>風疹の抗体検査は保険診療ですか？</t>
  </si>
  <si>
    <t>風疹の抗体検査は自費診療となり、健康保険は適用されません。</t>
  </si>
  <si>
    <t>保険適用・風疹の抗体</t>
  </si>
  <si>
    <t>風疹の抗体検査,保険,自費,</t>
  </si>
  <si>
    <t>ブライダルチェックの料金はいくらですか？</t>
  </si>
  <si>
    <t>ブライダルチェックは15,500円（税込）です。</t>
  </si>
  <si>
    <t>料金・ブライダルチェック</t>
  </si>
  <si>
    <t>ブライダルチェック,料金,</t>
  </si>
  <si>
    <t>ブライダルチェックは保険診療ですか？</t>
  </si>
  <si>
    <t>ブライダルチェックは自費診療となり、健康保険は適用されません。</t>
  </si>
  <si>
    <t>保険適用・ブライダルチェック</t>
  </si>
  <si>
    <t>ブライダルチェック,保険,自費,</t>
  </si>
  <si>
    <t>かゆみやおりものの異常がある場合、いくらくらいかかりますか？</t>
  </si>
  <si>
    <t>かゆみ・おりもの異常の診察は保険診療となり、内容により費用が異なります。目安として、雑菌・真菌の検査は約1,200円、雑菌・真菌の治療は約400円、性病検査は約1,500円です。保険診療は医師の診察内容により変更となるため、ご来院前にお電話やチャットで正確な料金のご案内はできませんのでご了承ください。また、別途初診料・再診料がかかります。</t>
  </si>
  <si>
    <t>保険診療・かゆみおりもの</t>
  </si>
  <si>
    <t>かゆみ,おりもの,保険診療,料金,</t>
  </si>
  <si>
    <t>生理不順の相談では、どのくらいの費用がかかりますか？</t>
  </si>
  <si>
    <t>生理不順の診察は保険診療となり、診察内容に応じて費用が決まります。目安として、生理を起こす薬の処方は約400円、ホルモン検査は約3,000円、卵巣の超音波検査は約1,600円です。保険診療は医師判断により内容が変わるため、ご来院前にお電話やチャットで正確な料金のご案内はできませんのでご了承ください。別途、初診料・再診料がかかります。</t>
  </si>
  <si>
    <t>保険診療・生理不順</t>
  </si>
  <si>
    <t>生理不順,保険,料金,検査,</t>
  </si>
  <si>
    <t>生理痛で受診した場合、費用の目安はどれくらいですか？</t>
  </si>
  <si>
    <t>生理痛の診察は保険診療となります。目安として、子宮の超音波検査は約1,600円、痛み止めの処方は約400円、保険適用のピル処方は約2,700円です。診察内容により費用は変動するため、ご来院前にお電話やチャットで正確な料金のご案内はできませんのでご了承ください。別途、初診料・再診料がかかります。</t>
  </si>
  <si>
    <t>保険診療・生理痛</t>
  </si>
  <si>
    <t>生理痛,保険診療,料金,ピル,</t>
  </si>
  <si>
    <t>生理以外の出血がある場合、検査費用はいくらですか？/不正出血検査費用はいくらですか？</t>
  </si>
  <si>
    <t>生理以外の出血がある場合は保険診療での対応となります。目安として、子宮頸がん検査は約1,100円、子宮体がん検査は約2,100円、子宮の超音波検査は約1,600円、ホルモン検査は約3,000円です。診察内容により費用は変動しますので、ご来院前にお電話やチャットで正確な料金のご案内はできませんのでご了承ください。別途初診料・再診料がかかります。</t>
  </si>
  <si>
    <t>保険診療・不正出血</t>
  </si>
  <si>
    <t>不正出血,保険,子宮体がん,検査,</t>
  </si>
  <si>
    <t>腹痛で受診した場合の費用目安を教えてください。</t>
  </si>
  <si>
    <t>腹痛の診察は保険診療となります。目安として、超音波検査は約1,600円、性病検査は約1,500円です。医師の診察内容により検査項目が変わるため、料金も変動します。ご来院前にお電話やチャットで正確な料金のご案内はできませんのでご了承ください。別途初診料・再診料がかかります。</t>
  </si>
  <si>
    <t>保険診療・腹痛</t>
  </si>
  <si>
    <t>腹痛,保険診療,超音波,料金,</t>
  </si>
  <si>
    <t>性病検査を保険で受けた場合、いくらくらいですか？/性病検査はいくらくらいですか？</t>
  </si>
  <si>
    <t>症状があり医師が必要と判断した場合、性病検査は保険診療で行われます。目安の料金は約1,500円です。診察内容によって検査項目が変わるため、費用は前後する可能性があります。ご来院前にお電話やチャットで正確な料金のご案内はできませんのでご了承ください。別途、初診料・再診料がかかります。</t>
  </si>
  <si>
    <t>保険診療・性病検査</t>
  </si>
  <si>
    <t>性病検査,保険,料金,</t>
  </si>
  <si>
    <t>ポリープ切除は保険診療ですか？/ポリープ切除の費用はいくらですか？/ポリープの費用はいくらですか？</t>
  </si>
  <si>
    <t>ポリープ切除は保険診療で行われます。目安の費用は約6,700円です。ただし、診察内容や処置内容により費用が変動する場合があります。保険診療のため、ご来院前にお電話やチャットで正確な料金のご案内はできませんのでご了承ください。別途、初診料・再診料がかかります。</t>
  </si>
  <si>
    <t>保険診療・処置</t>
  </si>
  <si>
    <t>ポリープ切除,保険診療,料金,</t>
  </si>
  <si>
    <t>膀胱炎の診察費用はどのくらいですか？</t>
  </si>
  <si>
    <t>膀胱炎の診察は保険診療となり、尿検査と抗生剤処方を行った場合の目安料金は約600円です。診察内容によって費用が変わることがありますので、ご来院前にお電話やチャットで正確な料金のご案内はできませんのでご了承ください。別途、初診料・再診料がかかります。</t>
  </si>
  <si>
    <t>保険診療・膀胱炎</t>
  </si>
  <si>
    <t>膀胱炎,保険,尿検査,料金,</t>
  </si>
  <si>
    <t>雑菌・真菌の検査はいくらですか？</t>
  </si>
  <si>
    <t>雑菌・真菌の検査は、保険診療の場合の目安料金は約1,200円（税込）です。診察内容により検査内容が変わるため、料金は前後することがあります。別途、初診料・再診料がかかります。</t>
  </si>
  <si>
    <t>検査・料金</t>
  </si>
  <si>
    <t>雑菌検査,真菌検査,おりもの,かゆみ,料金,</t>
  </si>
  <si>
    <t>雑菌・真菌の治療はいくらですか？</t>
  </si>
  <si>
    <t>雑菌・真菌の治療は、保険診療の場合の目安料金は約400円（税込）です。処方内容や症状により費用が変動することがあります。別途、初診料・再診料がかかります。</t>
  </si>
  <si>
    <t>治療・料金</t>
  </si>
  <si>
    <t>真菌治療,雑菌治療,膣炎,料金,</t>
  </si>
  <si>
    <t>性病検査はいくらですか？</t>
  </si>
  <si>
    <t>性病検査は、保険診療の場合の目安料金は約1,500円（税込）です。検査項目や症状によって内容が異なるため、料金は診察後に確定します。別途、初診料・再診料がかかります。</t>
  </si>
  <si>
    <t>性病検査,STD,保険診療,料金,</t>
  </si>
  <si>
    <t>生理を起こす薬の処方はいくらですか？</t>
  </si>
  <si>
    <t>生理を起こす薬の処方は、保険診療の場合の目安料金は約400円（税込）です。診察内容により処方が変更となる場合があります。別途、初診料・再診料がかかります。</t>
  </si>
  <si>
    <t>生理不順,薬,ホルモン,料金,</t>
  </si>
  <si>
    <t>ホルモン検査はいくらですか？</t>
  </si>
  <si>
    <t>ホルモン検査は、保険診療の場合の目安料金は約3,000円（税込）です。検査項目は診察内容により決まるため、事前に正確な金額のご案内はできません。別途、初診料・再診料がかかります。</t>
  </si>
  <si>
    <t>ホルモン検査,血液検査,生理不順,料金,</t>
  </si>
  <si>
    <t>卵巣の超音波検査はいくらですか？</t>
  </si>
  <si>
    <t>卵巣の超音波検査は、保険診療の場合の目安料金は約1,600円（税込）です。症状や診察内容によって検査範囲が変わることがあります。別途、初診料・再診料がかかります。</t>
  </si>
  <si>
    <t>卵巣,超音波検査,エコー,料金,</t>
  </si>
  <si>
    <t>子宮の超音波検査はいくらですか？</t>
  </si>
  <si>
    <t>子宮の超音波検査は、保険診療の場合の目安料金は約1,600円（税込）です。診察内容により検査方法が変わる場合があります。別途、初診料・再診料がかかります。</t>
  </si>
  <si>
    <t>子宮,超音波検査,エコー,料金,</t>
  </si>
  <si>
    <t>痛み止めの処方はいくらですか？</t>
  </si>
  <si>
    <t>痛み止めの処方は、保険診療の場合の目安料金は約400円（税込）です。処方内容により金額が前後する場合があります。別途、初診料・再診料がかかります。</t>
  </si>
  <si>
    <t>生理痛,鎮痛剤,処方,料金,</t>
  </si>
  <si>
    <t>保険適用ピルはいくらですか？</t>
  </si>
  <si>
    <t>保険適用のピル処方は、保険診療の場合の目安料金は約2,700円（税込）です。適応可否は医師の診察により判断されます。別途、初診料・再診料がかかります。</t>
  </si>
  <si>
    <t>ピル,保険診療,生理痛,料金,</t>
  </si>
  <si>
    <t>子宮頸がん検査はいくらですか？</t>
  </si>
  <si>
    <t>子宮頸がん検査は、保険診療の場合の目安料金は約1,100円（税込）です。症状や検診目的により内容が異なる場合があります。別途、初診料・再診料がかかります。</t>
  </si>
  <si>
    <t>子宮頸がん検査,がん検診,料金,</t>
  </si>
  <si>
    <t>子宮体がん検査はいくらですか？</t>
  </si>
  <si>
    <t>子宮体がん検査は、保険診療の場合の目安料金は約2,100円（税込）です。症状がある場合に実施される検査です。別途、初診料・再診料がかかります。</t>
  </si>
  <si>
    <t>子宮体がん検査,不正出血,料金,</t>
  </si>
  <si>
    <t>子宮の超音波検査は、保険診療の場合、目安として約1,600円（税込）です。診察内容や検査内容により金額が前後することがあり、別途、初診料・再診料がかかります。</t>
  </si>
  <si>
    <t>子宮超音波検査,エコー,料金,保険診療,</t>
  </si>
  <si>
    <t>ホルモン検査は、保険診療の場合、目安として約3,000円（税込）です。診察内容や検査項目によって金額が変わることがあり、別途、初診料・再診料がかかります。</t>
  </si>
  <si>
    <t>ホルモン検査,血液検査,料金,保険診療,</t>
  </si>
  <si>
    <t>腹痛の際の超音波検査はいくらですか？</t>
  </si>
  <si>
    <t>腹痛の症状で行う超音波検査は、保険診療の場合、目安として約1,600円（税込）です。診察内容により検査が追加される場合があり、別途、初診料・再診料がかかります。</t>
  </si>
  <si>
    <t>料金・症状別</t>
  </si>
  <si>
    <t>腹痛,超音波検査,エコー,料金,保険診療,</t>
  </si>
  <si>
    <t>腹痛で行う性病検査はいくらですか？</t>
  </si>
  <si>
    <t>腹痛の症状により行う性病検査は、保険診療の場合、目安として約1,500円（税込）です。診察内容によって検査内容や金額が変わることがあり、別途、初診料・再診料がかかります。</t>
  </si>
  <si>
    <t>腹痛,性病検査,STD,料金,保険診療,</t>
  </si>
  <si>
    <t>保険の性病検査はいくらですか？</t>
  </si>
  <si>
    <t>性病検査は、症状があり医師が必要と判断した場合、保険診療で目安として約1,500円（税込）です。診察内容により検査項目が変更となる場合があります。別途、初診料・再診料がかかります。</t>
  </si>
  <si>
    <t>性病検査,STD,料金,保険診療,</t>
  </si>
  <si>
    <t>ポリープ切除はいくらですか？</t>
  </si>
  <si>
    <t>ポリープ切除は、保険診療の場合の目安料金は約6,700円（税込）です。ポリープの大きさや部位により費用が変動する場合があります。別途、初診料・再診料がかかります。</t>
  </si>
  <si>
    <t>処置・料金</t>
  </si>
  <si>
    <t>ポリープ切除,子宮ポリープ,料金,</t>
  </si>
  <si>
    <t>膀胱炎の検査と治療はいくらですか？</t>
  </si>
  <si>
    <t>膀胱炎の尿検査と抗生剤処方は、保険診療の場合の目安料金は約600円（税込）です。症状や治療内容により変動することがあります。別途、初診料・再診料がかかります。</t>
  </si>
  <si>
    <t>検査・治療・料金</t>
  </si>
  <si>
    <t>膀胱炎,尿検査,抗生剤,料金,</t>
  </si>
  <si>
    <t>検査結果はどこで確認できますか？</t>
  </si>
  <si>
    <t>検査結果は、当院の検査結果確認サイトからご確認いただけます。こちらのURLにアクセスしてください。https://result.luna-dr.com/clinic_login 患者番号は、会計時にお渡ししている領収書に記載のある10桁の番号となります。</t>
  </si>
  <si>
    <t>検査結果・確認方法</t>
  </si>
  <si>
    <t>検査結果,結果確認,確認方法,</t>
  </si>
  <si>
    <t>検査結果の確認方法を教えてください/検査結果をWebで確認したい/検査結果のWeb確認方法</t>
  </si>
  <si>
    <t>検査結果確認サイト（https://result.luna-dr.com/clinic_login）にアクセスし、患者番号と生年月日を入力して「結果を見る」ボタンをクリックしてください。患者番号は、会計時にお渡ししている領収書に記載のある10桁の番号となります。</t>
  </si>
  <si>
    <t>検査結果,診察券番号,生年月日,Web,確認方法,サイト</t>
  </si>
  <si>
    <t>検査結果はいつ頃わかりますか？</t>
  </si>
  <si>
    <t>検査項目によって結果が判明するまでの時間は異なります。結果が出た検査項目から順次システムに登録され、ご確認いただけるようになります。</t>
  </si>
  <si>
    <t>検査結果,結果判明,検査項目,</t>
  </si>
  <si>
    <t>検査結果が表示されません。どうすればいいですか？</t>
  </si>
  <si>
    <t>結果が表示されない場合は、まだ結果が確定していない可能性があります。しばらく時間をおいて再度ご確認ください。それでも確認できない場合は、お手数ですがクリニックまでお電話（050-1730-2768）またはメールにてお問い合わせください。</t>
  </si>
  <si>
    <t>検査結果,表示されない,問い合わせ,</t>
  </si>
  <si>
    <t>他の院でも受診できますか？</t>
  </si>
  <si>
    <t>ルナレディースクリニックでは、当院の別の院（横浜駅前院・川崎駅前院・町田駅前院）でのご受診も可能です。ただし、保険診療の場合は別途初診料が発生する可能性がございます。
また、当院より紹介状を発行しMRI検査を受けられた方につきましては、検査結果のご説明は紹介元のクリニックのみで行っております。あらかじめご了承くださいますようお願い申し上げます。</t>
  </si>
  <si>
    <t>受診案内・院変更</t>
  </si>
  <si>
    <t>院変更,横浜駅前院,川崎駅前院,町田駅前院,初診料,保険診療,MRI,紹介状,検査結果</t>
  </si>
  <si>
    <t>川崎駅前院は駅から近いですか？</t>
  </si>
  <si>
    <t>ルナレディースクリニック川崎駅前院は、川崎駅から徒歩30秒のNMF川崎東口ビルB1Fにあります。駅から非常に近く、通いやすい立地です。</t>
  </si>
  <si>
    <t>川崎駅,徒歩30秒,アクセス</t>
  </si>
  <si>
    <t>ルナレディースクリニック川崎駅前院の診療時間は、平日は午前診療が10:00〜14:00、午後診療が15:30〜20:00です。土日祝は午前診療が10:00〜14:00、午後診療が15:30〜19:00です。月曜から日曜まで毎日診療を行っています。詳しくはこちらをご確認ください。</t>
  </si>
  <si>
    <t>診療時間,川崎</t>
  </si>
  <si>
    <t>遅刻した場合でも診察は受けられますか？</t>
  </si>
  <si>
    <t>ルナレディースクリニック川崎駅前院では、10分以上遅刻された場合、事前にご連絡をいただいていても予約外来院扱いとなります。</t>
  </si>
  <si>
    <t xml:space="preserve">ルナレディースクリニック川崎駅前院では、当院で処方済みのピル処方・アフターピル・月経移動は、午前13:30まで、午後は平日19:30まで、土日祝18:30までが最終受付です。それ以外の相談は、午前は平日13:00まで、土日祝12:00まで、午後は平日18:00まで、土日祝17:00までとなります。
平日18:00以降は大変込み合いますので、予約無しでご来院の際は極力17:00までに受付のご協力をよろしくお願いいたします。
混雑状況により18:00以降はピル処方・中絶相談以外の予約無し診察受付を制限させて頂くことがございますのでご理解の程をよろしくお願いいたします。 </t>
  </si>
  <si>
    <t>ルナレディースクリニック川崎駅前院では、女性医師による診察が可能です。ご希望の場合は、お電話でのご予約をお願いしています。</t>
  </si>
  <si>
    <t>ルナレディースクリニック川崎駅前院では、初診の方も受診いただけます。マイナ保険証または資格確認書をご持参のうえ、受付時間内にご来院ください。
川崎駅前院のご予約はこちら（https://cline-app.com/qr-codes/98ad6f149bfa20f4f2a9a2e91aac4187/preview）</t>
  </si>
  <si>
    <t>ルナレディースクリニック川崎駅前院では、再診の方はスムーズなご案内のため、基本的にご予約をお願いしています。</t>
  </si>
  <si>
    <t>ルナレディースクリニック川崎駅前院では、男性同伴でのご来院はお控えいただいています。</t>
  </si>
  <si>
    <t>ルナレディースクリニック川崎駅前院では、日本語での会話が難しい方は、女性通訳の方の同伴をお願いしています。</t>
  </si>
  <si>
    <t>川崎駅前院ではどんな診療を行っていますか？</t>
  </si>
  <si>
    <t>ルナレディースクリニック川崎駅前院では、ピルの処方、低用量ピル、アフターピル、月経移動、ブライダルチェック、生理不順、生理痛、おりもの異常、不正出血、妊娠検査、女性の健診、中絶、性感染症に対応しています。
※乳房に関する診療、更年期障害の治療、不妊治療は行っていません。</t>
  </si>
  <si>
    <t>川崎,診療内容</t>
  </si>
  <si>
    <t>ルナレディースクリニック川崎駅前院では、乳房に関する診療、更年期障害の治療、不妊治療は行っていません。</t>
  </si>
  <si>
    <t>川崎駅前院の住所を教えてください</t>
  </si>
  <si>
    <t>ルナレディースクリニック川崎駅前院の住所は、〒210-0007 神奈川県川崎市川崎区駅前本町3-1 NMF川崎東口ビルB1Fです。川崎駅から徒歩30秒の場所にあります。</t>
  </si>
  <si>
    <t>住所,川崎,アクセス</t>
  </si>
  <si>
    <t>川崎駅前院の地図はどこで確認できますか？</t>
  </si>
  <si>
    <t>ルナレディースクリニック川崎駅前院の場所は、Googleマップでご確認いただけます。川崎駅から徒歩30秒のNMF川崎東口ビルB1Fにあります。</t>
  </si>
  <si>
    <t>地図,Googleマップ,川崎</t>
  </si>
  <si>
    <t>川崎駅前院の電話番号を教えてください</t>
  </si>
  <si>
    <t>電話番号,問い合わせ,川崎</t>
  </si>
  <si>
    <t>川崎駅から川崎駅前院までの行き方を教えてください/川崎駅からの行き方を教えて下さい/川崎駅からクリニックまでの道順を教えてください</t>
  </si>
  <si>
    <t>川崎駅東口改札を出て、直進します。エスカレーター、階段を降り、直進します。26番出口を出て、直進し、突き当りのビルがNMF川崎東口ビルで、当院は地下1階ございます。
動画でもクリニックへの行き方をご案内しております→youtube.com/watch?time_continue=8&amp;v=Tj4U66c9Y2Q&amp;embeds_referring_euri=https%3A%2F%2Fluna-dr.com%2F&amp;source_ve_path=MTM5MTE3LDEzOTExNywyODY2Ng</t>
  </si>
  <si>
    <t>川崎駅前院,道案内,川崎駅,徒歩</t>
  </si>
  <si>
    <t>当院は月曜日・火曜日・水曜日・木曜日・金曜日・土曜日・日曜日に診療を行っています。平日は午前診療が10:00〜14:00、午後診療が15:30〜20:00です。土日祝は午前診療が10:00〜14:00、午後診療が15:30〜19:00です。</t>
  </si>
  <si>
    <t>当院は、土日祝日も含め、毎日診療を行っています。平日は午前診療が10:00〜14:00、午後診療が15:30〜20:00です。土日祝は午前診療が10:00〜14:00、午後診療が15:30〜19:00です。月曜から日曜まで毎日診療を行っています。</t>
  </si>
  <si>
    <t>休診日,定休日</t>
  </si>
  <si>
    <t>祝日も診療を行っています。祝日は午前診療が10:00〜14:00、午後診療が15:30〜19:00です。</t>
  </si>
  <si>
    <t>子宮頸がん検診（自費）は5,000円（税込）です。妊娠中の方は妊娠10週まで当院で経過を診ている場合に限ります。
川崎市子宮頸がん検診を受診される場合の料金は1,000円（税込）となります。</t>
  </si>
  <si>
    <t>川崎市の子宮頸がん検診の料金はいくらですか？</t>
  </si>
  <si>
    <t>子宮体がん検診は6,000円（税込）です。妊娠中の方は妊娠10週まで当院で経過を診ている場合に限ります。
川崎市子宮頸がん検診＋体がん検診を受診される場合の料金は1,800円（税込）となります。</t>
  </si>
  <si>
    <t>川崎市の子宮体がん検診の料金はいくらですか？</t>
  </si>
  <si>
    <t>川崎市子宮頸がん検診＋体がん検診を受診される場合の料金は1,800円（税込）となります。妊娠中の方は妊娠10週まで当院で経過を診ている場合に限ります。</t>
  </si>
  <si>
    <t>若返り点滴は現在も受けられますか？</t>
  </si>
  <si>
    <t>若返り点滴は、2025年7月末をもって提供を終了しております。ご愛顧いただいていた患者様にはご不便をおかけいたしますが、何卒ご理解賜りますようお願い申し上げます。</t>
  </si>
  <si>
    <t>提供終了メニュー</t>
  </si>
  <si>
    <t>若返り点滴,美容点滴,提供終了</t>
  </si>
  <si>
    <t>美白点滴はいつまで受けられますか？</t>
  </si>
  <si>
    <t>美白点滴は、2025年8月15日をもって提供を終了いたします。ご愛顧いただいていた患者様にはご不便をおかけいたしますが、何卒ご理解賜りますようお願い申し上げます。</t>
  </si>
  <si>
    <t>美白点滴,美容点滴,提供終了</t>
  </si>
  <si>
    <t>疲労回復点滴は現在も実施していますか？</t>
  </si>
  <si>
    <t>疲労回復点滴は、2025年8月末をもって提供を終了しております。ご愛顧いただいていた患者様にはご不便をおかけいたしますが、何卒ご理解賜りますようお願い申し上げます。</t>
  </si>
  <si>
    <t>疲労回復点滴,美容点滴,提供終了</t>
  </si>
  <si>
    <t>プラセンタ点滴は今後も受けられますか？</t>
  </si>
  <si>
    <t>プラセンタ点滴は、2025年8月末をもって提供を終了しております。ご愛顧いただいていた患者様にはご不便をおかけいたしますが、何卒ご理解賜りますようお願い申し上げます。</t>
  </si>
  <si>
    <t>プラセンタ点滴,美容点滴,提供終了</t>
  </si>
  <si>
    <t>美容点滴の提供終了メニューについて教えてください</t>
  </si>
  <si>
    <t>若返り点滴（2025年7月末終了）、美白点滴（2025年8月15日終了）、疲労回復点滴（2025年8月末終了）、プラセンタ点滴（2025年8月末終了）の提供は終了しております。ご愛顧いただいていた患者様にはご不便をおかけいたしますが、何卒ご理解賜りますようお願い申し上げます。</t>
  </si>
  <si>
    <t>美容点滴,点滴終了,提供終了</t>
  </si>
  <si>
    <t>横浜駅前院は駅から近いですか？</t>
  </si>
  <si>
    <t>ルナレディースクリニック横浜駅前院は、横浜駅から徒歩2分のエキニア横浜7Fにあります。駅から近く、気軽にご来院いただけます。</t>
  </si>
  <si>
    <t>横浜駅,徒歩2分,アクセス</t>
  </si>
  <si>
    <t>ルナレディースクリニック横浜駅前院の診療時間は、平日は午前診療が10:00〜14:00、午後診療が15:30〜20:00です。土日祝は午前診療が10:00〜14:00、午後診療が15:30〜19:00です。月曜から日曜まで毎日診療を行っています。</t>
  </si>
  <si>
    <t>診療時間,横浜</t>
  </si>
  <si>
    <t>ルナレディースクリニック横浜駅前院では、10分以上遅刻された場合、事前にご連絡をいただいていても予約外来院扱いとなります。</t>
  </si>
  <si>
    <t>ルナレディースクリニック横浜駅前院では、女性医師による診察が可能です。ご希望の場合は、お電話でのご予約をお願いしています。</t>
  </si>
  <si>
    <t>ルナレディースクリニック横浜駅前院では、初診の方も受診いただけます。マイナ保険証または資格確認書をご持参のうえ、受付時間内にご来院ください。
横浜駅前院のご予約はこちら（https://cline-app.com/qr-codes/98ad6f149bfa20f4f2a9a2e91aac4187/preview）</t>
  </si>
  <si>
    <t>ルナレディースクリニック横浜駅前院では、再診の方はスムーズなご案内のため、基本的にご予約をお願いしています。</t>
  </si>
  <si>
    <t>ルナレディースクリニック横浜駅前院では、男性同伴でのご来院はお控えいただいています。</t>
  </si>
  <si>
    <t>ルナレディースクリニック横浜駅前院では、日本語での会話が難しい方は、女性通訳の方の同伴をお願いしています。</t>
  </si>
  <si>
    <t>横浜駅前院ではどんな診療を行っていますか？</t>
  </si>
  <si>
    <t>ルナレディースクリニック横浜駅前院では、ピルの処方、低用量ピル、アフターピル、月経移動、ブライダルチェック、生理不順、生理痛、おりもの異常、不正出血、妊娠検査、女性の健診、中絶、性感染症に対応しています。
※乳房に関する診療、更年期障害の治療、不妊治療は行っていません。</t>
  </si>
  <si>
    <t>横浜,診療内容</t>
  </si>
  <si>
    <t>ルナレディースクリニック横浜駅前院では、乳房に関する診療、更年期障害の治療、不妊治療は行っていません。</t>
  </si>
  <si>
    <t>横浜駅前院の住所を教えてください</t>
  </si>
  <si>
    <t>ルナレディースクリニック横浜駅前院の住所は、〒220-0004 神奈川県横浜市西区北幸1丁目1-8 エキニア横浜7Fです。横浜駅から徒歩2分の場所にあります。</t>
  </si>
  <si>
    <t>住所,横浜,アクセス</t>
  </si>
  <si>
    <t>横浜駅前院の地図はどこで確認できますか？</t>
  </si>
  <si>
    <t>ルナレディースクリニック横浜駅前院の場所は、Googleマップでご確認いただけます。横浜駅から徒歩2分のエキニア横浜7Fにあります。</t>
  </si>
  <si>
    <t>地図,Googleマップ,横浜</t>
  </si>
  <si>
    <t>横浜駅前院の電話番号を教えてください</t>
  </si>
  <si>
    <t>電話番号,問い合わせ,横浜</t>
  </si>
  <si>
    <t>横浜駅から横浜駅前院までの行き方を教えてください/横浜駅からの行き方を教えて下さい/横浜駅からクリニックまでの道順を教えてください</t>
  </si>
  <si>
    <t>横浜駅中央北改札を出ましたら、西口へお進みください。※中央南改札の場合も同様です。
下りの短いエスカレーター・階段がありますので、下りて直進してください。
右手に「無印良品」さんが見えてきます。2ブロックに分かれていますので、2ブロック目を過ぎたところで右に曲がってください。
直進すると、突き当りに「横浜銀行」さんがあり、その手前を左に曲がり進みます。
左手に「三菱UFJ銀行」さん、右手に本屋「有隣堂」さんがあります。「有隣堂」さんに沿って右に曲がります。
突き当りを左に曲がるとエレベーターがありますので、7階へお越しくださいませ。
動画でもクリニックへの行き方をご案内しております→https://www.youtube.com/watch?v=HCDkLrmnfz0&amp;t=1s</t>
  </si>
  <si>
    <t>子宮頸がん検診（自費）は5,000円（税込）です。妊娠中の方は妊娠10週まで当院で経過を診ている場合に限ります。
横浜市子宮頸がん検診を受診される場合の料金は1,360円（税込）となります。</t>
  </si>
  <si>
    <t>横浜市の子宮頸がん検診の料金はいくらですか？</t>
  </si>
  <si>
    <t>子宮頸がん検診（自費）は1,360円（税込）です。妊娠中の方は妊娠10週まで当院で経過を診ている場合に限ります。</t>
  </si>
  <si>
    <t>子宮体がん検診は6,000円（税込）です。妊娠中の方は妊娠10週まで当院で経過を診ている場合に限ります。</t>
  </si>
  <si>
    <t>どんな想いで運営しているクリニックですか？</t>
  </si>
  <si>
    <t>ルナレディースクリニックでは、忙しい毎日の中でもご自身のカラダと向き合いたい女性が、もっと身近に、もっと気軽に通えるクリニックを目指しています。ひとりひとりの悩みや気持ちに寄り添いながら、ご利用いただける環境づくりを大切にしています。</t>
  </si>
  <si>
    <t>クリニックについて</t>
  </si>
  <si>
    <t>コンセプト,想い,特徴</t>
  </si>
  <si>
    <t>仕事やプライベートが忙しくても通えますか？</t>
  </si>
  <si>
    <t>ルナレディースクリニックでは、ライフスタイルに合わせて通っていただけるよう、オンライン診療やLINE予約などを取り入れています。忙しい方でもご利用しやすい体制を整えています。</t>
  </si>
  <si>
    <t>通いやすさ,忙しい,オンライン診療</t>
  </si>
  <si>
    <t>プライバシーへの配慮はされていますか？</t>
  </si>
  <si>
    <t>ルナレディースクリニックでは、患者さまが安心してご相談いただけるよう、プライバシーに配慮した院内環境を整えています。</t>
  </si>
  <si>
    <t>プライバシー,院内環境</t>
  </si>
  <si>
    <t>オンライン診療には対応していますか？</t>
  </si>
  <si>
    <t>ルナレディースクリニックでは、スマートフォンを使って自宅から受診できるオンライン診療を行っています。来院が難しい場合でもご相談いただけます。</t>
  </si>
  <si>
    <t>オンライン診療,スマホ診療</t>
  </si>
  <si>
    <t>オンライン診療では待ち時間はありますか？</t>
  </si>
  <si>
    <t>ルナレディースクリニックでは、事前にWEB問診を行っていただくことで、待ち時間の短縮を目指しています。</t>
  </si>
  <si>
    <t>待ち時間,WEB問診</t>
  </si>
  <si>
    <t>予約はどこからできますか？/予約はどのようにできますか？</t>
  </si>
  <si>
    <t>ルナレディースクリニックでは、LINE予約を受け付けています。LINEはこちら→https://cline-app.com/qr-codes/98ad6f149bfa20f4f2a9a2e91aac4187/preview</t>
  </si>
  <si>
    <t>予約・導線</t>
  </si>
  <si>
    <t>予約,LINE予約,全院共通</t>
  </si>
  <si>
    <t>町田駅前院の予約方法を教えてください</t>
  </si>
  <si>
    <t>ルナレディースクリニック町田駅前院では、LINEから24時間いつでもご予約いただけます。LINEはこちら→https://cline-app.com/qr-codes/98ad6f149bfa20f4f2a9a2e91aac4187/preview</t>
  </si>
  <si>
    <t>町田,予約,LINE予約</t>
  </si>
  <si>
    <t>https://cline-app.com/qr-codes/98ad6f149bfa20f4f2a9a2e91aac4187/preview</t>
  </si>
  <si>
    <t>横浜駅前院の予約方法を教えてください</t>
  </si>
  <si>
    <t>ルナレディースクリニック横浜駅前院では、LINEを利用した予約を受け付けています。LINEはこちら→https://cline-app.com/qr-codes/98ad6f149bfa20f4f2a9a2e91aac4187/preview</t>
  </si>
  <si>
    <t>横浜,予約,LINE予約</t>
  </si>
  <si>
    <t>川崎駅前院の予約方法を教えてください</t>
  </si>
  <si>
    <t>ルナレディースクリニック川崎駅前院では、LINEから簡単にご予約いただけます。LINEはこちら→https://cline-app.com/qr-codes/98ad6f149bfa20f4f2a9a2e91aac4187/preview</t>
  </si>
  <si>
    <t>川崎,予約,LINE予約</t>
  </si>
  <si>
    <t>どの院を予約すればよいか迷っています</t>
  </si>
  <si>
    <t>ルナレディースクリニックでは、町田駅前院・横浜駅前院・川崎駅前院がございます。ご自宅・職場から通いやすい院をご選択ください。診療内容によってはご自宅でも受けられるオンライン診療をご提供しております。</t>
  </si>
  <si>
    <t>院選択,どこで予約</t>
  </si>
  <si>
    <t>クリニックは駅から近いですか？</t>
  </si>
  <si>
    <t>ルナレディースクリニックは、すべての院が最寄り駅から徒歩5分以内の場所にあります。通いやすい立地です。</t>
  </si>
  <si>
    <t>駅チカ,徒歩5分以内</t>
  </si>
  <si>
    <t>どんな診療を行っていますか？/受け付けてる診察内容を教えてください</t>
  </si>
  <si>
    <t>ルナレディースクリニックでは、ピルの処方、低用量ピル、月経移動、ブライダルチェック、生理不順、生理痛、おりもの検査、不正出血、妊娠検査、女性の検診・検査、中絶、アフターピル、IUS（子宮内システム）、HPVワクチン（子宮頸がんワクチン）、性感染症に対応しています。
※乳房に関する診療、更年期障害の治療、不妊治療は行っていません。</t>
  </si>
  <si>
    <t>診療内容,対応している治療,婦人科</t>
  </si>
  <si>
    <t>生理に関する相談はできますか？</t>
  </si>
  <si>
    <t>ルナレディースクリニックでは、生理不順や生理痛、月経移動など、生理に関するお悩みのご相談を受け付けています。</t>
  </si>
  <si>
    <t>生理,月経,生理痛</t>
  </si>
  <si>
    <t>生理不順の相談はできますか？</t>
  </si>
  <si>
    <t>ルナレディースクリニックでは、生理不順に関するご相談を行っています。</t>
  </si>
  <si>
    <t>生理不順,月経</t>
  </si>
  <si>
    <t>生理痛について相談できますか？</t>
  </si>
  <si>
    <t>ルナレディースクリニックでは、生理痛に関するご相談を受け付けています。</t>
  </si>
  <si>
    <t>生理痛,月経</t>
  </si>
  <si>
    <t>中絶の相談はできますか？</t>
  </si>
  <si>
    <t>ルナレディースクリニックでは、中絶に関するご相談を行っています。</t>
  </si>
  <si>
    <t>中絶,妊娠</t>
  </si>
  <si>
    <t>ピルや避妊の相談はできますか？</t>
  </si>
  <si>
    <t>ルナレディースクリニックでは、低用量ピルやアフターピル、IUSなど、ピルや避妊に関するご相談を行っています。</t>
  </si>
  <si>
    <t>ピル,避妊,低用量ピル</t>
  </si>
  <si>
    <t>アフターピルの相談はできますか？</t>
  </si>
  <si>
    <t>ルナレディースクリニックでは、アフターピルについてのご相談と処方を行っています。</t>
  </si>
  <si>
    <t>アフターピル,緊急避妊</t>
  </si>
  <si>
    <t>低用量ピルの相談はできますか？</t>
  </si>
  <si>
    <t>ルナレディースクリニックでは、低用量ピルについてのご相談と処方を行っています。</t>
  </si>
  <si>
    <t>低用量ピル,ピル</t>
  </si>
  <si>
    <t>ピルの処方は行っていますか？</t>
  </si>
  <si>
    <t>ルナレディースクリニックでは、ピルの処方に対応しています。ご相談内容に応じて診察を行っています。</t>
  </si>
  <si>
    <t>ピル,処方</t>
  </si>
  <si>
    <t>月経移動の相談はできますか？</t>
  </si>
  <si>
    <t>ルナレディースクリニックでは、月経移動に関するご相談を受け付けています。</t>
  </si>
  <si>
    <t>月経移動,生理調整</t>
  </si>
  <si>
    <t>おりものの検査はできますか？/おりもの検査の診察もしてますか？/おりものが気になるので検査したい/おりものの検査は来院が必要ですか？</t>
  </si>
  <si>
    <t>ルナレディースクリニックでは、おりもの検査を行っています。来院での検査のほか、ご自宅で検査できる郵送検査キット「FemCHECK（フェムチェック）」もご利用いただけます。症状について直接医師に相談したい方は来院での受診をおすすめしております。</t>
  </si>
  <si>
    <t>おりもの検査,症状,FemCHECK,来院,郵送検査</t>
  </si>
  <si>
    <t>ブライダルチェックは受けられますか？</t>
  </si>
  <si>
    <t>ルナレディースクリニックでは、ブライダルチェックに対応しています。「そろそろ赤ちゃんを考えたい」「結婚の前に、自分の体に問題がないか知っておきたい」将来、妊娠・出産を考えている場合、ご自身の体の状態を把握しておくことはとても大切です。ルナレディースクリニックでは、ブライダルチェックを「結婚前だけの検査」とは考えていません。結婚の有無にかかわらず、将来妊娠を望むすべての女性に受けていただきたい、ご自身の体を守るための大切な検査です。ぜひご受診をご検討ください。※当院では、不妊治療や妊活に関する専門的なご相談・治療は行っておりません。※当院では男性の院内への入室はできないため、パートナー様と一緒にご来院して検査を受けていただくことはできません。男性の方には、ご自宅で検査ができる郵送検査キット「FemCHECK（フェムチェック）」をご用意しております。詳細はこちらをご確認ください。https://luna-dr.com/femcheck/?utm_source=lunamedia&amp;utm_medium=banner&amp;utm_campaign=femcheck_article_hpseo</t>
  </si>
  <si>
    <t>ブライダルチェック,検査</t>
  </si>
  <si>
    <t>性感染症の検査はできますか？</t>
  </si>
  <si>
    <t>ルナレディースクリニックでは、性感染症に関する検査のご相談を受け付けています。</t>
  </si>
  <si>
    <t>性感染症,検査</t>
  </si>
  <si>
    <t>妊娠検査や中絶の相談はできますか？</t>
  </si>
  <si>
    <t>ルナレディースクリニックでは、妊娠検査や中絶に関するご相談を行っています。</t>
  </si>
  <si>
    <t>妊娠検査,中絶</t>
  </si>
  <si>
    <r>
      <rPr>
        <color rgb="FF1155CC"/>
        <u/>
      </rPr>
      <t>https://luna-dr.com/subjects/pregnancy-test/</t>
    </r>
    <r>
      <rPr>
        <color rgb="FF000000"/>
      </rPr>
      <t>,</t>
    </r>
    <r>
      <rPr>
        <color rgb="FF1155CC"/>
        <u/>
      </rPr>
      <t>https://luna-dr.com/subjects/abortion_page/</t>
    </r>
  </si>
  <si>
    <t>妊娠検査は行っていますか？</t>
  </si>
  <si>
    <t>ルナレディースクリニックでは、妊娠検査に対応しています。</t>
  </si>
  <si>
    <t>妊娠検査,妊娠</t>
  </si>
  <si>
    <t>不正出血の相談は可能ですか？</t>
  </si>
  <si>
    <t>ルナレディースクリニックでは、不正出血に関するご相談を受け付けています。</t>
  </si>
  <si>
    <t>不正出血,症状</t>
  </si>
  <si>
    <t>女性の検診・検査は受けられますか？</t>
  </si>
  <si>
    <t>ルナレディースクリニックでは、女性の検診・検査に対応しています。</t>
  </si>
  <si>
    <t>女性の検診,検査</t>
  </si>
  <si>
    <t>IUSに対応していますか？/子宮内システムに対応していますか？/ミレーナはできますか？/ミレーナは対応していますか？</t>
  </si>
  <si>
    <t>ルナレディースクリニックでは、ミレーナ（IUS：子宮内システム）に関するご相談を受け付けています。</t>
  </si>
  <si>
    <t>IUS,子宮内システム,ミレーナ</t>
  </si>
  <si>
    <t>HPVワクチンは受けられますか？/子宮頸がんワクチンは受けられますか？</t>
  </si>
  <si>
    <t>ルナレディースクリニックでは、HPVワクチン（子宮頸がんワクチン）に対応しています。</t>
  </si>
  <si>
    <t>HPVワクチン,ワクチン,子宮頸がん</t>
  </si>
  <si>
    <t>ルナレディースクリニックは、町田駅前院は町田駅から徒歩2分、横浜駅前院は横浜駅から徒歩2分、川崎駅前院は川崎駅から徒歩30秒の場所にあります。いずれの院も駅から近く、通いやすい立地です。</t>
  </si>
  <si>
    <t>駅チカ,アクセス,徒歩</t>
  </si>
  <si>
    <t>受けられない診療内容はありますか？/対応していない診療内容はありますか？</t>
  </si>
  <si>
    <t>ルナレディースクリニックでは、乳房に関する診療、更年期障害の治療、不妊治療は行っていません。</t>
  </si>
  <si>
    <t>更年期障害の治療は行っていますか？/更年期はみれますか？</t>
  </si>
  <si>
    <t>大変恐縮ですが、当院では、更年期障害の治療は行っていません。お近くの婦人科へご相談ください。</t>
  </si>
  <si>
    <t>受診案内</t>
  </si>
  <si>
    <t>更年期,更年期障害,更年期症状,ホルモン療法,のぼせ,ほてり,診療可否</t>
  </si>
  <si>
    <t>乳房の検査はできますか？/胸の検査はできますか？/乳腺炎は診てもらえますか？/乳腺炎の診察はできますか？/乳腺炎について相談したい/乳腺炎の治療/乳腺炎の症状がある場合の受診方法を教えてください/マンモグラフィ検査はありますか？/マンモグラフィはできますか？/乳がん検診は受けられますか？/乳腺エコーはできますか？/胸にしこりがあるのですが/胸が痛いのですが受診できますか？/乳がん検査はできますか？/授乳中のトラブルは診てもらえますか？</t>
  </si>
  <si>
    <t>当院では乳腺炎・マンモグラフィ・乳腺エコー・乳がん検診を含む乳房に関する診療・検査は行っておりません。胸のしこりや痛み、授乳中のトラブルについても対応しておりませんので、乳腺外科へのご受診をお願いいたします。</t>
  </si>
  <si>
    <t>乳房,胸,乳がん検査,乳腺,マンモグラフィ,マンモ,エコー,超音波,乳腺エコー,しこり,痛み,検診,健診,診療可否,乳腺炎</t>
  </si>
  <si>
    <t>不妊治療はできますか？</t>
  </si>
  <si>
    <t>大変恐縮ですが、当院では、不妊治療は行っていません。お近くの婦人科へご相談ください。</t>
  </si>
  <si>
    <t>不妊,不妊治療,妊活,タイミング法,排卵誘発,人工授精,AIH,体外受精,IVF,顕微授精,ICSI,卵巣機能,診療可否</t>
  </si>
  <si>
    <t>診断書や紹介状などの書類は発行できますか？/紹介状の宛名変更をしたい/診断書を紛失したので再発行したい</t>
  </si>
  <si>
    <t>ルナレディースクリニックでは、内容によっては診断書や紹介状（診療情報提供書）を発行できない場合があります。発行をご希望の場合は診察時に医師へご相談ください。外来の混雑状況により当日中の発行が難しい場合もありますので、平日17:00までのご予約・ご来院をおすすめしています。</t>
  </si>
  <si>
    <t>書類発行</t>
  </si>
  <si>
    <t>診断書,紹介状,書類発行</t>
  </si>
  <si>
    <t>妊婦でも診察は受けられますか？</t>
  </si>
  <si>
    <t>ルナレディースクリニックでは、妊娠12週までの方の診察を行っています。ただし、すでに他の医療機関で妊娠経過を診てもらっている場合は、原則としてかかりつけ医での受診をお願いしています。</t>
  </si>
  <si>
    <t>妊娠中の受診</t>
  </si>
  <si>
    <t>妊婦,妊娠初期</t>
  </si>
  <si>
    <t>連休中でも検査結果は通常通り反映されますか？</t>
  </si>
  <si>
    <t>ルナレディースクリニックでは、ゴールデンウィークや年末年始などの連休期間中は、検査結果の反映が通常より遅れる場合があります。あらかじめご了承ください。</t>
  </si>
  <si>
    <t>検査</t>
  </si>
  <si>
    <t>検査結果,連休</t>
  </si>
  <si>
    <t>市区町村のHPVワクチンと保険診療は同じ日に受けられますか？/市区町村の子宮頸がんワクチンと保険診療は同じ日に受けられますか？</t>
  </si>
  <si>
    <t>ルナレディースクリニックでは、市区町村のHPVワクチンと保険診療を同一日に行うことはできません。保険診療は別日に受診をお願いしています。</t>
  </si>
  <si>
    <t>ワクチン・健診</t>
  </si>
  <si>
    <t>HPVワクチン,保険診療,子宮頸がん</t>
  </si>
  <si>
    <t>市区町村の子宮頸がん検診と保険診療は同じ日に受けられますか？</t>
  </si>
  <si>
    <t>ルナレディースクリニックでは、市区町村の子宮頸がん検診と保険診療を同一日に行うことはできません。保険診療は別日に受診をお願いしています。</t>
  </si>
  <si>
    <t>子宮頸がん検診,保険診療</t>
  </si>
  <si>
    <t>生理中でも診察は受けられますか？</t>
  </si>
  <si>
    <t>ルナレディースクリニックでは、出血量が多い場合に正確な検査ができないことがあり、診察時に検査をお断りする場合があります。できるだけ生理中の受診は避けてください。</t>
  </si>
  <si>
    <t>受診について</t>
  </si>
  <si>
    <t>生理中,受診</t>
  </si>
  <si>
    <t>生理中でも子宮頸がん検診はできますか？</t>
  </si>
  <si>
    <t>ルナレディースクリニックでは、子宮頸がん検診は生理中には行っていません。より正確な結果のため、生理期間を避けての受診をお願いしています。</t>
  </si>
  <si>
    <t>子宮頸がん検診,生理中</t>
  </si>
  <si>
    <t>予約時間に遅れても診察は受けられますか？/遅刻しても診察は受けられますか？/電車の遅延で遅れそう/予約時間より遅れそう/遅刻しそうなのですがどうすればいいですか？/遅刻の連絡方法/遅刻しそうの場合どこに連絡すればいい？/遅刻の連絡先はどこですか？</t>
  </si>
  <si>
    <t>予約されている方であれば、10分以内の遅れであれば診察が可能です。
ただし、10分以上遅刻された場合は、事前にご連絡をいただいていても予約外来院扱いとなります。
なお、診療内容によって最終受付時間が異なる場合がございますので、あらかじめご了承ください。</t>
  </si>
  <si>
    <t>予約・来院</t>
  </si>
  <si>
    <t>遅刻,予約,遅刻連絡</t>
  </si>
  <si>
    <t>淋菌の点滴抗生剤治療は受けられますか？</t>
  </si>
  <si>
    <t>ルナレディースクリニックでは、淋菌陽性などの点滴治療について、診療時間内の決められた受付時間までにご来院いただく必要があります。</t>
  </si>
  <si>
    <t>淋菌,点滴治療</t>
  </si>
  <si>
    <t>医師の指名はできますか？/女性医師を指名したい/女性の先生に診てもらえますか？/女性の医師はいますか？/女医さんはいますか？/女性の先生を希望したい/女性医師に担当してほしい/女性医師希望だがwebから予約できますか？/女性医師希望だがwebから予約できますか？</t>
  </si>
  <si>
    <t>ルナレディースクリニックでは、外来の混雑緩和のため、特定の医師の指名はお受けしていません。女性医師をご希望の場合はお電話でご予約・お問い合わせください。お電話は 050-1730-2768 までご連絡ください。電話受付時間は、平日9:45〜13:40・15:15〜19:40、土日祝9:45〜13:40・15:15〜18:40です。</t>
  </si>
  <si>
    <t>医師指名,女性医師,女医,電話予約</t>
  </si>
  <si>
    <t>日本語以外での診察は可能ですか？</t>
  </si>
  <si>
    <t>当院では、日本語のみでの診察を行っています。日本語での会話が難しい場合は、女性通訳の同伴をお願いしています。なお、中絶のご相談および診察はご本人様が日本語で医師と直接会話できることを前提としており、カウンセリングおよび診察の際にご同伴いただけるのはご家族のみとなります。ご友人の同伴はご遠慮いただいております。</t>
  </si>
  <si>
    <t>外国語対応,日本語</t>
  </si>
  <si>
    <t>中絶を希望していますが日本語が話せません。受診できますか？</t>
  </si>
  <si>
    <t>当院では、中絶のご相談・診察はご本人様が日本語で医師と直接会話できることを前提としております。そのため、お一人で医師との会話が難しい場合はお断りする可能性がございます。また、カウンセリングおよび診察の際にご同伴いただけるのはご家族のみとなり、ご友人の同伴はご遠慮いただいております。あらかじめご了承ください。</t>
  </si>
  <si>
    <t>中絶・受診案内</t>
  </si>
  <si>
    <t>中絶,日本語対応,通訳,同伴,家族のみ,友人不可,受診条件</t>
  </si>
  <si>
    <t>妊娠何週まで子宮頸がん検診を受けられますか？</t>
  </si>
  <si>
    <t>ルナレディースクリニックでは、当院で妊娠経過を診ている妊娠10週までの方を対象に子宮頸がん検診を行っています。</t>
  </si>
  <si>
    <t>妊娠中の検査</t>
  </si>
  <si>
    <t>妊娠,子宮頸がん検診</t>
  </si>
  <si>
    <t>妊娠何週まで受診できますか？</t>
  </si>
  <si>
    <t>ルナレディースクリニックでは、超音波検査は経腟走査のみのため、妊娠12週までの診察対応としています。</t>
  </si>
  <si>
    <t>妊娠週数,受診</t>
  </si>
  <si>
    <t>他院で妊婦健診を受けていますが受診できますか？</t>
  </si>
  <si>
    <t>ルナレディースクリニックでは、妊娠中の方は妊婦健診を受けているかかりつけの産婦人科での受診をお願いしています。</t>
  </si>
  <si>
    <t>他院通院,妊婦健診</t>
  </si>
  <si>
    <t>診察券番号が分かりません/診察券はありますか？/診察カードを忘れた/診察券を忘れた</t>
  </si>
  <si>
    <t>ルナレディースクリニックでは診察券の発行を行っていません。LINEや領収書などからご確認いただけます。領収書もお手元にない場合は、お電話（050-1730-2768）または問い合わせフォームよりお問い合わせください。問い合わせフォームはこちら（https://share.hsforms.com/1mH5zNVXTSSSolb2TyIvhuw4rffl）。LINEでの診察券番号の確認方法については、こちらのページをご参照ください。→https://luna-dr.notion.site/f0a26ab231534d8fa9cb069193c411a4</t>
  </si>
  <si>
    <t>診察券,番号</t>
  </si>
  <si>
    <t>女性医師はいますか？</t>
  </si>
  <si>
    <t>ルナレディースクリニックでは女性医師が在籍しています。曜日によって不在の場合がありますので、ご希望の方はお電話ください。お電話は 050-1730-2768 までご連絡ください。電話受付時間は、平日9:45〜13:40・15:15〜19:40、土日祝9:45〜13:40・15:15〜18:40です。</t>
  </si>
  <si>
    <t>女性医師,医師</t>
  </si>
  <si>
    <t>何歳から診察を受けられますか？/小学生が受診できますか？/中学生でも受診できますか？/年齢制限はありますか？/未成年でも検査は受けられますか？/未成年の検査/検査可能な年齢は？/子供でも受診できますか？/15歳未満は受診できますか？/10代でも診てもらえますか？/年齢制限は何歳ですか？</t>
  </si>
  <si>
    <t>当院は15歳以上の方からご受診いただけます。18歳未満の患者さまは保護者の方の同伴が必須となります。</t>
  </si>
  <si>
    <t>年齢制限,未成年,15歳,18歳未満,小学生,中学生,高校生,保護者,同伴</t>
  </si>
  <si>
    <t>オンライン診療ではどんな相談ができますか？</t>
  </si>
  <si>
    <t>ルナレディースクリニックのオンライン診療では、「おりものが少し変かも」「この症状で病院に行く必要があるか不安」など、気になる婦人科のお悩みについて、実際の診察前に無料でご相談いただけます。オンライン診療はLINEからご利用いただけます。こちらのオンライン診療ページ（https://liff-gateway.lineml.jp/landing?follow=%40590gpxrd&amp;lp=fX73yx&amp;liff_id=1657094566-LmjNPPbV）からご利用ください。</t>
  </si>
  <si>
    <t>オンライン診療,無料相談,婦人科相談</t>
  </si>
  <si>
    <t>オンライン診療の特徴を教えてください</t>
  </si>
  <si>
    <t>ルナレディースクリニックのオンライン診療では、問診から診察、決済、お薬の処方まで、すべてLINEで完結します。実際の診察前に「おりものが少し変かも」「この症状で受診が必要か不安」といった婦人科のお悩みを、無料で気軽にご相談いただけます。専用アプリは不要で、LINEのチャットを使って相談員や医師とやりとりができ、初診の方もオンライン診療が可能です。処方されたお薬はご自宅まで配送されるため、外出の必要はありません。</t>
  </si>
  <si>
    <t>オンライン診療,特徴,無料相談,LINE診療</t>
  </si>
  <si>
    <t>オンライン診療は初診から利用できますか？</t>
  </si>
  <si>
    <t>ルナレディースクリニックのオンライン診療では、再診だけでなく初診の方もオンラインで診療を受けていただけます。LINEから診察予約が可能です。</t>
  </si>
  <si>
    <t>初診,オンライン診療</t>
  </si>
  <si>
    <t>オンライン診療はどのように受けられますか？</t>
  </si>
  <si>
    <t>ルナレディースクリニックのオンライン診療は、LINEのお友だち登録後、診察予約・WEB問診・医師の診察・決済・お薬の処方まで、すべてスマートフォンで完結します。こちらのオンライン診療ページ（https://liff-gateway.lineml.jp/landing?follow=%40590gpxrd&amp;lp=fX73yx&amp;liff_id=1657094566-LmjNPPbV）からご利用ください。</t>
  </si>
  <si>
    <t>LINE診療,スマホ診療</t>
  </si>
  <si>
    <t>オンライン診療で対応している診療内容を教えてください</t>
  </si>
  <si>
    <t>ルナレディースクリニックのオンライン診療では、ピルの処方、低用量ピル、アフターピル、月経移動、おりもの異常に対応しています。</t>
  </si>
  <si>
    <t>ピル,月経移動,おりもの</t>
  </si>
  <si>
    <t>オンライン診療の流れを教えてください</t>
  </si>
  <si>
    <t>ルナレディースクリニックのオンライン診療は、LINEのお友だち登録後、診察予約、WEB問診への回答、スタッフとのやりとり、医師による電話またはチャット診療、決済、お薬の発送という流れで進みます。</t>
  </si>
  <si>
    <t>診療の流れ,オンライン</t>
  </si>
  <si>
    <t>オンライン診療で処方された薬はどこで受け取れますか？</t>
  </si>
  <si>
    <t>ルナレディースクリニックのオンライン診療で処方されたお薬は、ご自宅まで郵送でお届けしています。外出の必要はありません。</t>
  </si>
  <si>
    <t>薬の受け取り,配送</t>
  </si>
  <si>
    <t>オンライン診療の支払い方法を教えてください</t>
  </si>
  <si>
    <t>ルナレディースクリニックのオンライン診療では、原則クレジットカード払いをお願いしております。対応ブランドは、VISA、Master、JCB、Diners、AmericanExpressです。
診察後にお支払い用のURLをご案内していますので、ご対応をいただきます。
※クレジットカード以外をご希望の場合は、振込または代引き（別途手数料あり）への変更も可能です。詳しくはカウンセラーへお問い合わせください。</t>
  </si>
  <si>
    <t>支払い方法,クレジットカード</t>
  </si>
  <si>
    <t>オンライン診療の対象年齢について教えてください</t>
  </si>
  <si>
    <t>ルナレディースクリニックのオンライン診療は、全メニュー18歳以上の方が対象です。低用量ピルは18歳以上40歳未満の方が対象となり、低用量ピルの定期配送は45歳までご継続いただけます。</t>
  </si>
  <si>
    <t>対象年齢,年齢制限,オンライン診療</t>
  </si>
  <si>
    <t>オンライン診療の料金について教えてください</t>
  </si>
  <si>
    <t>ルナレディースクリニックのオンライン診療では、医師診察代は3,000円です。別途、お薬代と送料500円～1,000円がかかります。低用量ピルについては、医師診察代が無料となるキャンペーンを行っています。</t>
  </si>
  <si>
    <t>料金,診察代,オンライン診療</t>
  </si>
  <si>
    <t>オンライン診療は保険が使えますか？/オンライン診療で保険が適用されますか？</t>
  </si>
  <si>
    <t>ルナレディースクリニックのオンライン診療は、現在すべて自費診療で行っています。</t>
  </si>
  <si>
    <t>自費診療,保険</t>
  </si>
  <si>
    <t>オンライン診療の申し込みはどこからできますか？</t>
  </si>
  <si>
    <t>ルナレディースクリニックのオンライン診療は、専用のLINE公式アカウントからお申し込みいただけます。こちらのオンライン診療ページ（https://liff-gateway.lineml.jp/landing?follow=%40590gpxrd&amp;lp=fX73yx&amp;liff_id=1657094566-LmjNPPbV）からご利用ください。</t>
  </si>
  <si>
    <t>オンライン診療URL,LINE</t>
  </si>
  <si>
    <t>薬の受け取り,郵送,オンライン診療</t>
  </si>
  <si>
    <t>オンライン診療の薬はどれくらいで届きますか？/ピルの定期配送は何日で届く？/ピルの定期便は注文して何日で届きますか？</t>
  </si>
  <si>
    <t>ルナレディースクリニックのオンライン診療では、診察当日または翌営業日に神奈川県川崎市よりお薬を発送しています。到着までの時間は、お住まいの地域によって異なります。</t>
  </si>
  <si>
    <t>薬の到着,配送日数,オンライン診療</t>
  </si>
  <si>
    <t>支払い方法/支払い方法には何が使えますか？/支払い方法を教えてください/どんな支払い方法がありますか？/お会計方法は？/お支払いはどうすればいいですか？</t>
  </si>
  <si>
    <t>ルナレディースクリニックでは、現金のほか、クレジットカード（VISA、Mastercard、JCB、American Express、Diners Club、Discover）、交通系電子マネー（Suica、PASMO、Kitaca、TOICA、manaca、ICOCA、SUGOCA、nimoca、はやかけん）、電子マネー（QUICPay、iD、WAON）、QRコード決済（Alipay、WeChat Pay、PayPay、d払い、mPay）をご利用いただけます。</t>
  </si>
  <si>
    <t>料金・支払い</t>
  </si>
  <si>
    <t>支払い方法,クレジットカード,電子マネー,QR決済</t>
  </si>
  <si>
    <t>クレジットカードは使えますか？</t>
  </si>
  <si>
    <t>ルナレディースクリニックでは、VISA、Mastercard、JCB、American Express、Diners Club、Discoverのクレジットカードをご利用いただけます。</t>
  </si>
  <si>
    <t>クレジットカード,支払い方法,カード決済</t>
  </si>
  <si>
    <t>現金は使えますか？</t>
  </si>
  <si>
    <t>ルナレディースクリニックでは、現金でのお支払いが可能です。</t>
  </si>
  <si>
    <t>現金,支払い方法</t>
  </si>
  <si>
    <t>交通系ICカードは使えますか？</t>
  </si>
  <si>
    <t>ルナレディースクリニックでは、Suica、PASMO、Kitaca、TOICA、manaca、ICOCA、SUGOCA、nimoca、はやかけんの交通系電子マネーをご利用いただけます。</t>
  </si>
  <si>
    <t>交通系IC,電子マネー,支払い方法</t>
  </si>
  <si>
    <t>電子マネーは使えますか？</t>
  </si>
  <si>
    <t>ルナレディースクリニックでは、QUICPay、iD、WAONの電子マネーをご利用いただけます。</t>
  </si>
  <si>
    <t>電子マネー,QUICPay,iD,WAON</t>
  </si>
  <si>
    <t>PayPayは使えますか？</t>
  </si>
  <si>
    <t>ルナレディースクリニックでは、PayPayでのお支払いが可能です。</t>
  </si>
  <si>
    <t>PayPay,QR決済</t>
  </si>
  <si>
    <t>QRコード決済は使えますか？</t>
  </si>
  <si>
    <t>ルナレディースクリニックでは、Alipay、WeChat Pay、PayPay、d払い、mPayのQRコード決済をご利用いただけます。</t>
  </si>
  <si>
    <t>QR決済,スマホ決済</t>
  </si>
  <si>
    <t>海外発行のクレジットカードは使えますか？</t>
  </si>
  <si>
    <t>ルナレディースクリニックでは、VISA、Mastercard、American Express、Diners Club、Discoverに対応しており、海外発行のカードもご利用いただけます。</t>
  </si>
  <si>
    <t>海外カード,クレジットカード</t>
  </si>
  <si>
    <t>ルナレディースクリニックが選ばれている理由は何ですか？</t>
  </si>
  <si>
    <t>ルナレディースクリニックでは、女性が安心して気軽に相談でき、無理なく通い続けられるクリニックを目指しています。そのため、通いやすい立地、予約のしやすさ、プライバシーへの配慮、来院とオンラインを選べる診療体制を整えています。</t>
  </si>
  <si>
    <t>選ばれる理由,特徴</t>
  </si>
  <si>
    <t>どの院も駅から近く通いやすいですか？</t>
  </si>
  <si>
    <t>ルナレディースクリニックは、横浜・川崎・町田のすべての院が駅直結の立地にあります。雨の日でも濡れる心配が少なく、お仕事やお買い物のついでにも立ち寄りやすい環境です。</t>
  </si>
  <si>
    <t>駅直結,通いやすさ</t>
  </si>
  <si>
    <t>夜間や土日祝も診療していますか？</t>
  </si>
  <si>
    <t>ルナレディースクリニックでは、平日は夜20時まで、土日祝は19時まで診療を行っています。診療内容により、最終の受付可能なお時間が異なることがありますので、夜間での受診をお考えの際は、事前にご予約の上、来院をお願いします。</t>
  </si>
  <si>
    <t>夜間診療,土日祝診療</t>
  </si>
  <si>
    <t>予約はいつでもできますか？</t>
  </si>
  <si>
    <t>ルナレディースクリニックでは、公式LINEから24時間いつでもご予約いただけます。深夜や早朝、移動中など、ご自身のタイミングで簡単に予約が可能です。</t>
  </si>
  <si>
    <t>予約</t>
  </si>
  <si>
    <t>LINE予約,24時間予約</t>
  </si>
  <si>
    <t>WEB問診を利用するメリットは何ですか？</t>
  </si>
  <si>
    <t>ルナレディースクリニックでは、来院前にWEB問診へご回答いただくことで、デリケートな内容を落ち着いた環境で入力できます。プライバシーに配慮できるほか、院内での待ち時間短縮にもつながります。</t>
  </si>
  <si>
    <t>WEB問診,プライバシー</t>
  </si>
  <si>
    <t>来院診療とオンライン診療は選べますか？</t>
  </si>
  <si>
    <t>ルナレディースクリニックでは、医師と直接相談できる来院診療を基本としつつ、ご自宅から受診できるオンライン診療にも対応しています。ライフスタイルに合わせて診療方法を選べます。</t>
  </si>
  <si>
    <t>診療体制</t>
  </si>
  <si>
    <t>来院診療,オンライン診療</t>
  </si>
  <si>
    <t>月経移動とは何ですか？/初診でも月経移動ピルは処方してもらえますか？/初めてでも月経移動できますか？</t>
  </si>
  <si>
    <t>月経移動とは、ホルモン剤の一種であるピルを服用することで、生理が始まるタイミングを意図的に「早める」または「遅らせる」医療技術です。
ルナレディースクリニックでは、ピルを服用することで生理が始まるタイミングを「早める」または「遅らせる」月経移動を行っています。海外旅行や結婚式、試験など大切な予定に合わせてご相談いただけます。</t>
  </si>
  <si>
    <t>月経移動,生理調整,ピル</t>
  </si>
  <si>
    <t>どんな予定があるときに月経移動を利用できますか？</t>
  </si>
  <si>
    <t>月経移動は、海外旅行、結婚式、温泉旅行、スポーツ大会、試験など、さまざまな予定に合わせた月経移動のご相談を受け付けています。患者様一人ひとりのご予定やライフスタイルに合わせて、最適な月経移動プランをご提案します。</t>
  </si>
  <si>
    <t>旅行,試験,イベント,月経移動</t>
  </si>
  <si>
    <t>月経移動は生理と大事な予定が重なりそうなときは相談できますか？</t>
  </si>
  <si>
    <t>大切なご予定に合わせて生理日を調整したい場合の月経移動についてご相談いただけます。患者様一人ひとりのご予定やライフスタイルに合わせて、最適な月経移動プランをご提案します。</t>
  </si>
  <si>
    <t>生理,予定,相談,月経移動</t>
  </si>
  <si>
    <t>月経移動はどのように行いますか？</t>
  </si>
  <si>
    <t>ルナレディースクリニックでは、ピルを使用して生理日を早める、または遅らせる方法で月経移動を行います。ご予定や生理周期に合わせて医師がご提案します。</t>
  </si>
  <si>
    <t>方法,ピル,月経移動</t>
  </si>
  <si>
    <t>ルナレディースクリニックでは、月経移動（ピル処方・診察料込み）を5,000円（税込）で行っています。</t>
  </si>
  <si>
    <t>料金,費用,月経移動</t>
  </si>
  <si>
    <t>月経移動にはどんな方法がありますか？</t>
  </si>
  <si>
    <t>月経移動には、生理を「遅らせる」方法と「早める」方法があります。どちらの方法を選ぶかは、生理予定日とご予定までの日数によって異なります。</t>
  </si>
  <si>
    <t>方法,早める,遅らせる,月経移動</t>
  </si>
  <si>
    <t>生理を遅らせる月経移動はどのような方法ですか？</t>
  </si>
  <si>
    <t>生理を遅らせる方法は、生理予定日の5日前からピルを服用し、生理を避けたいイベントの最終日まで毎日1錠飲み続ける方法です。内服終了後2～3日程度で生理が来る場合があります。</t>
  </si>
  <si>
    <t>生理を遅らせる,服用方法,月経移動</t>
  </si>
  <si>
    <t>生理を早める月経移動はどのような方法ですか？</t>
  </si>
  <si>
    <t>生理を早める方法は、移動させたい生理の一つ前の生理開始5日目からピルを服用し、内服終了後2～3日程度で生理が来るよう調整する方法です。</t>
  </si>
  <si>
    <t>生理を早める,服用方法,月経移動</t>
  </si>
  <si>
    <t>生理を早めるか遅らせるか迷っています</t>
  </si>
  <si>
    <t>生理を早めるか遅らせるかは、ご予定までの期間によって異なります。ルナレディースクリニックでは、診察時に医師が状況を確認し、適した方法をご提案します。</t>
  </si>
  <si>
    <t>方法選択,相談,月経移動</t>
  </si>
  <si>
    <t>月経移動の相談はいつまでにすればよいですか？</t>
  </si>
  <si>
    <t>生理を遅らせたい場合は生理予定日の1週間前まで、生理を早めたい場合はずらしたい生理の一つ前の生理期間中にご相談ください。</t>
  </si>
  <si>
    <t>相談時期,タイミング,月経移動</t>
  </si>
  <si>
    <t>ピルはいつから飲めばいいですか？</t>
  </si>
  <si>
    <t>ピルを飲み始める時期は、生理を「早める」か「遅らせる」かによって異なります。生理を遅らせる場合は生理予定日の5日前から、生理を早める場合はずらしたい生理の一つ前の生理開始5日目から服用を開始します。どちらの方法が合っているかは、ご予定と生理周期を確認したうえで診察時にご案内します。</t>
  </si>
  <si>
    <t>服用開始,いつから,選び方,月経移動</t>
  </si>
  <si>
    <t>ピルはいつまで飲み続ける必要がありますか？</t>
  </si>
  <si>
    <t>ピルを飲み続ける期間は、生理を遅らせる場合と早める場合で異なります。生理を遅らせる場合は、生理を避けたいイベントの最終日まで毎日服用します。生理を早める場合は、医師から案内された期間、毎日服用します。服用期間については診察時にご説明します。</t>
  </si>
  <si>
    <t>服用期間,いつまで,月経移動</t>
  </si>
  <si>
    <t>ピルを飲んだあとは、いつ生理が来ますか？</t>
  </si>
  <si>
    <t>生理を早める場合・遅らせる場合のいずれも、ピルの服用を終了してから2～3日程度で生理が来ることがあります。生理が来るまでの日数には個人差があるため、詳しくは診察時にご説明します。</t>
  </si>
  <si>
    <t>生理が来る時期,いつ来る,月経移動</t>
  </si>
  <si>
    <t>月経移動の診察・処方の流れを教えてください</t>
  </si>
  <si>
    <t>ルナレディースクリニックでは、月経移動の診察・処方を来院診療またはオンライン診療から選べます。来院診療の場合は、公式LINEから予約後、WEB問診に回答し、診察で生理周期や生理を避けたい期間を確認します。診察後は必要日数分のお薬をその場でお渡しし、お会計となります。オンライン診療の場合は、公式LINEから予約し、WEB問診に回答後、予約時間に医師が電話またはチャットで診察を行います。診察後は決済リンクで支払いを行い、確認後にお薬を発送します。いずれの場合も、服用中に不安があればLINEで相談できます。</t>
  </si>
  <si>
    <t>診察の流れ,来院診療,オンライン診療,月経移動</t>
  </si>
  <si>
    <t>月経移動はどうやって相談できますか？/月経移動は来院とオンライン、どちらで相談できますか？</t>
  </si>
  <si>
    <t>ルナレディースクリニックでは、来院診療とオンライン診療のどちらでも月経移動のご相談と処方を行っています。</t>
  </si>
  <si>
    <t>来院,オンライン診療,月経移動</t>
  </si>
  <si>
    <t>月経移動は来院で相談できますか？</t>
  </si>
  <si>
    <t>クリニックにご来院いただき、医師に直接相談しながら月経移動の処方を受けることができます。診察時に不安な点をその場で相談したい方に向いています。</t>
  </si>
  <si>
    <t>来院診療,相談,月経移動</t>
  </si>
  <si>
    <t>来院で月経移動を相談する場合、最初に何をすればよいですか？</t>
  </si>
  <si>
    <t>ルナレディースクリニックでは、来院で月経移動を相談する場合、公式LINEからのご予約とWEB問診のご回答をお願いしています。事前にWEB問診へご回答いただくことで、受付から診察までスムーズにご案内できます。</t>
  </si>
  <si>
    <t>来院予約,WEB問診,月経移動</t>
  </si>
  <si>
    <t>来院前のWEB問診では何を入力しますか？</t>
  </si>
  <si>
    <t>ルナレディースクリニックのWEB問診では、現在の体調や生理周期、月経移動についてのご希望などをご入力いただきます。来院前に落ち着いた環境で入力できるため、デリケートな内容も相談しやすくなります。</t>
  </si>
  <si>
    <t>WEB問診,事前準備,月経移動</t>
  </si>
  <si>
    <t>来院診療では医師にどんなことを聞かれますか？</t>
  </si>
  <si>
    <t>ルナレディースクリニックでは、診察時に現在の生理周期や「いつからいつまで生理を避けたいか」について確認します。その内容をもとに、月経移動の方法についてご説明します。</t>
  </si>
  <si>
    <t>診察内容,相談,月経移動</t>
  </si>
  <si>
    <t>来院診療ではどんな説明を受けられますか？</t>
  </si>
  <si>
    <t>ルナレディースクリニックでは、診察時に生理を早めるか遅らせるかの考え方や、ピルの服用方法、副作用について医師から説明を行います。</t>
  </si>
  <si>
    <t>服用方法,説明,月経移動</t>
  </si>
  <si>
    <t>来院での診察後はどうなりますか？</t>
  </si>
  <si>
    <t>ルナレディースクリニックでは、来院診療の場合、診察後に月経移動に必要な日数分のお薬をその場でお渡しし、お会計となります。</t>
  </si>
  <si>
    <t>処方,会計,月経移動</t>
  </si>
  <si>
    <t>来院で月経移動を相談する場合の流れを教えてください</t>
  </si>
  <si>
    <t>公式LINEから予約後、WEB問診にご回答いただき、医師が生理周期やご予定を確認します。診察後に必要日数分のお薬をお渡しし、お会計となります。</t>
  </si>
  <si>
    <t>来院診療,流れ,月経移動</t>
  </si>
  <si>
    <t>月経移動はオンライン診療でも相談できますか？</t>
  </si>
  <si>
    <t>月経移動はオンライン診療でのご相談と処方が可能です。ご自宅などからスマートフォンで受診できます。</t>
  </si>
  <si>
    <t>オンライン診療,初診,月経移動</t>
  </si>
  <si>
    <t>オンライン診療で月経移動を相談する場合、最初に何をしますか？</t>
  </si>
  <si>
    <t>ルナレディースクリニックでは、公式LINEから「オンライン診療」を選択し、ご希望の日時を予約していただきます。スマートフォン一つで予約が完了します。</t>
  </si>
  <si>
    <t>オンライン予約,LINE,月経移動</t>
  </si>
  <si>
    <t>オンライン診療で月経移動を相談する流れを教えてください</t>
  </si>
  <si>
    <t>公式LINEから予約し、WEB問診後に電話またはチャットで医師が診察します。診察後は決済確認後にお薬を発送します。</t>
  </si>
  <si>
    <t>オンライン診療,流れ,月経移動</t>
  </si>
  <si>
    <t>オンライン診療のWEB問診では何を入力しますか？</t>
  </si>
  <si>
    <t>ルナレディースクリニックでは、オンライン診療の予約後に届くWEB問診フォームに、お悩みや健康状態、生理周期などをご入力いただきます。</t>
  </si>
  <si>
    <t>WEB問診,オンライン,月経移動</t>
  </si>
  <si>
    <t>オンライン診療ではどのように診察が行われますか？/オンライン診療はビデオですか</t>
  </si>
  <si>
    <t>ルナレディースクリニックでは、予約時間にビデオ診療での診察を行います。お薬の服用方法や注意点についてもご説明いたします。</t>
  </si>
  <si>
    <t>電話診療,チャット診療,月経移動</t>
  </si>
  <si>
    <t>オンライン診療後の支払いはどうなりますか？</t>
  </si>
  <si>
    <t>ルナレディースクリニックでは、オンライン診療後に決済リンクをご案内します。リンクからお支払いを行い、決済確認後にお薬を発送します。</t>
  </si>
  <si>
    <t>支払い,薬の発送,月経移動</t>
  </si>
  <si>
    <t>オンライン診療で処方された薬はどのように受け取りますか？</t>
  </si>
  <si>
    <t>ルナレディースクリニックでは、オンライン診療の場合、決済確認後にご指定の場所へお薬を発送します。ご自宅で受け取ることができます。</t>
  </si>
  <si>
    <t>薬の受け取り,配送,月経移動</t>
  </si>
  <si>
    <t>月経移動は初診でもオンライン診療が可能ですか？</t>
  </si>
  <si>
    <t>月経移動は自由診療のため、初診からオンライン診療でのご相談と処方が可能です。</t>
  </si>
  <si>
    <t>初診,オンライン,月経移動</t>
  </si>
  <si>
    <t>ピルの副作用はありますか？</t>
  </si>
  <si>
    <t>個人差はありますが、服用初期に吐き気や頭痛、だるさを感じることがあります。これらは数日で軽快することがほとんどです。</t>
  </si>
  <si>
    <t>副作用,ピル,月経移動</t>
  </si>
  <si>
    <t>生理不順でも月経移動はできますか？</t>
  </si>
  <si>
    <t>生理不順の方でも月経移動の相談は可能です。ただし、服用開始のタイミングが難しい場合があるため、診察時にご相談ください。</t>
  </si>
  <si>
    <t>生理不順,相談,月経移動</t>
  </si>
  <si>
    <t>月経移動に使うピルに避妊効果はありますか？</t>
  </si>
  <si>
    <t>月経移動に使用するピルには、低用量ピルのような継続的な避妊効果はありません。避妊が必要な場合は他の方法を併用してください。</t>
  </si>
  <si>
    <t>避妊効果,注意,月経移動</t>
  </si>
  <si>
    <t>服用中に不安がある場合は相談できますか？</t>
  </si>
  <si>
    <t>ルナレディースクリニックでは、服用中に不安なことがあれば、LINEでご相談いただけます。</t>
  </si>
  <si>
    <t>アフターフォロー,LINE相談,月経移動</t>
  </si>
  <si>
    <t>月経移動の相談はどうやって予約すればいいですか？</t>
  </si>
  <si>
    <t>公式LINEから月経移動の診察予約が可能です。24時間いつでもご自身のタイミングで予約できます。
来院診療の場合は「月経移動ピル」のメニューでご予約ください。→https://cline-app.com/qr-codes/98ad6f149bfa20f4f2a9a2e91aac4187/preview
オンライン診療のご予約はこちら→https://liff-gateway.lineml.jp/landing?follow=%40590gpxrd&amp;lp=fX73yx&amp;liff_id=1657094566-LmjNPPbV</t>
  </si>
  <si>
    <t>予約方法,LINE予約,電話予約,月経移動</t>
  </si>
  <si>
    <t>月経移動はLINEから予約できますか？</t>
  </si>
  <si>
    <t>LINE予約,婦人科予約,月経移動</t>
  </si>
  <si>
    <t>月経移動は電話でも予約できますか？</t>
  </si>
  <si>
    <t>LINEでの予約後、事前問診等もLINEから行うことができ、スムーズに受診ができるため、当院ではLINEでのご予約を推奨しております。
来院診療の場合は「月経移動ピル」のメニューでご予約ください。→https://cline-app.com/qr-codes/98ad6f149bfa20f4f2a9a2e91aac4187/preview
オンライン診療のご予約はこちら→https://liff-gateway.lineml.jp/landing?follow=%40590gpxrd&amp;lp=fX73yx&amp;liff_id=1657094566-LmjNPPbV</t>
  </si>
  <si>
    <t>電話予約,問い合わせ,月経移動</t>
  </si>
  <si>
    <t>月経移動は予約なしでも相談できますか？</t>
  </si>
  <si>
    <t>来院治療の場合、予約外来院も可能です。スムーズなご案内のため、事前予約をおすすめしています。
来院診療の場合は「月経移動ピル」のメニューでご予約ください。→https://cline-app.com/qr-codes/98ad6f149bfa20f4f2a9a2e91aac4187/preview</t>
  </si>
  <si>
    <t>予約なし,受診,月経移動</t>
  </si>
  <si>
    <t>月経移動の予約前に準備しておくことはありますか？</t>
  </si>
  <si>
    <t>月経移動の診察前に、最終生理日やご予定日などをWEB問診にご入力いただくと、診察がスムーズに進みます。</t>
  </si>
  <si>
    <t>月経移動は初診でも予約できますか？</t>
  </si>
  <si>
    <t>月経移動は初診の方もご予約いただけます。ご予約は公式LINEから受け付けておりますので、友だち追加の上ご利用ください。
来院診療の場合は「月経移動ピル」のメニューでご予約ください。→https://cline-app.com/qr-codes/98ad6f149bfa20f4f2a9a2e91aac4187/preview
オンライン診療のご予約はこちら→https://liff-gateway.lineml.jp/landing?follow=%40590gpxrd&amp;lp=fX73yx&amp;liff_id=1657094566-LmjNPPbV</t>
  </si>
  <si>
    <t>初診,予約,月経移動</t>
  </si>
  <si>
    <t>月経移動は来院とオンライン、どちらで予約できますか？</t>
  </si>
  <si>
    <t>月経移動のご相談は来院診療とオンライン診療のどちらでも予約が可能です。ご自身のライフスタイルに合わせて選べます。
来院診療の場合は「月経移動ピル」のメニューでご予約ください。→https://cline-app.com/qr-codes/98ad6f149bfa20f4f2a9a2e91aac4187/preview
オンライン診療のご予約はこちら→https://liff-gateway.lineml.jp/landing?follow=%40590gpxrd&amp;lp=fX73yx&amp;liff_id=1657094566-LmjNPPbV</t>
  </si>
  <si>
    <t>来院診療,オンライン診療,月経移動</t>
  </si>
  <si>
    <t>生理不順とは何ですか？</t>
  </si>
  <si>
    <t>生理不順とは、生理周期が正常な範囲から外れ、不規則になっている状態を指します。健康な女性の生理周期は25日～38日とされており、この範囲を大きく外れる場合や、周期が毎回大きく変動する場合は注意が必要です。</t>
  </si>
  <si>
    <t>生理不順,月経不順,周期</t>
  </si>
  <si>
    <t>生理不順はよくあることですか？</t>
  </si>
  <si>
    <t>生理不順は多くの女性が経験する身近な症状ですが、背景にホルモンバランスの乱れや病気が隠れている可能性もあるため、放置せずに相談することが大切です。</t>
  </si>
  <si>
    <t>よくある症状,不安,生理不順</t>
  </si>
  <si>
    <t>生理不順にはどんな種類がありますか？</t>
  </si>
  <si>
    <t>生理不順は、生理周期や出血の状態によっていくつかの種類に分けられます。ご自身の状態を知る目安として確認し、どのタイプであってもまずは専門医に相談することが大切です。</t>
  </si>
  <si>
    <t>生理不順・概要</t>
  </si>
  <si>
    <t>生理不順,種類,生理周期,婦人科</t>
  </si>
  <si>
    <t>生理周期が短いタイプの生理不順とはどんな状態ですか？/生理周期が短いです/すぐに生理がくる</t>
  </si>
  <si>
    <t>生理周期が24日以内と短く、月に2回以上生理が来ることもある頻発月経（ひんぱつげっけい）という状態の可能性があります。ホルモンバランスの乱れや卵巣機能の低下が考えられます。まずは専門医に相談することが大切ですので、お気軽に当院にご相談ください。</t>
  </si>
  <si>
    <t>生理不順・種類</t>
  </si>
  <si>
    <t>生理不順,頻発月経,生理周期が短い</t>
  </si>
  <si>
    <t>生理周期が長いタイプの生理不順とはどんな状態ですか？/生理周期がながいです/生理が来ない/生理が遅れている</t>
  </si>
  <si>
    <t>生理周期が39日以上と長く、なかなか次の生理が来ない稀発月経（きはつげっけい）という状態の可能性があります。排卵までに時間がかかっている可能性があり、無排卵になっているケースもあります。
また、妊娠していないのに3ヶ月以上生理が来ていない状態は、生理不順の中でも注意が必要です。ホルモン分泌に深刻な異常が起きている可能性があり、早期の受診が必要となります。まずは専門医に相談することが大切ですので、お気軽に当院にご相談ください。</t>
  </si>
  <si>
    <t>生理不順,稀発月経,生理が遅れる</t>
  </si>
  <si>
    <t>出血が長い・量が多い生理不順とはどんな状態ですか？/生理の血が多い/生理の血の量が多い</t>
  </si>
  <si>
    <t>出血が8日以上と長く続いたり、経血量が極端に多かったりする過長月経、過多月経という状態の可能性があります。子宮の病気などが隠れている可能性も考えられます。まずは専門医に相談することが大切ですので、お気軽に当院にご相談ください。</t>
  </si>
  <si>
    <t>生理不順,過多月経,出血が多い</t>
  </si>
  <si>
    <t>出血が少ない・期間が短い生理不順とはどんな状態ですか？/生理の血が少ない/生理の血の量が少ない</t>
  </si>
  <si>
    <t>出血が2日以内で終わってしまったり、経血量が極端に少なかったりする過短月経、過少月経という状態の可能性があります。女性ホルモンの分泌不足や、子宮の発育に問題がある可能性も考えられます。まずは専門医に相談することが大切ですので、お気軽に当院にご相談ください。</t>
  </si>
  <si>
    <t>生理不順,過少月経,生理が少ない</t>
  </si>
  <si>
    <t>3ヶ月以上生理が来ない場合は生理不順ですか？/生理周期がながいです/生理が来ない/生理が遅れている</t>
  </si>
  <si>
    <t>妊娠していないのに3ヶ月以上生理が来ていない状態は、生理不順の中でも注意が必要です。ホルモン分泌に深刻な異常が起きている可能性があり、早期の受診が必要です。まずは専門医に相談することが大切ですので、お気軽に当院にご相談ください。</t>
  </si>
  <si>
    <t>生理不順,無月経,生理が来ない</t>
  </si>
  <si>
    <t>生理不順はどんな症状がありますか？</t>
  </si>
  <si>
    <t>生理不順には、生理周期が短い、長い、出血が長く続く、経血量が多い・少ない、生理が数ヶ月来ないなど、さまざまな症状があります。</t>
  </si>
  <si>
    <t>症状,タイプ,生理不順</t>
  </si>
  <si>
    <t>生理周期が短いのも生理不順ですか？</t>
  </si>
  <si>
    <t>生理周期が24日以内と短く、月に2回以上生理が来る場合は、生理不順に該当することがあります。ホルモンバランスの乱れや卵巣機能の低下が関係している場合があります。</t>
  </si>
  <si>
    <t>頻発月経,周期が短い,生理不順</t>
  </si>
  <si>
    <t>生理周期が長いのも生理不順ですか？</t>
  </si>
  <si>
    <t>生理周期が39日以上と長く、次の生理がなかなか来ない状態は、生理不順に該当します。排卵までに時間がかかっている可能性があり、無排卵になっているケースもあります。</t>
  </si>
  <si>
    <t>希発月経,周期が長い,生理不順</t>
  </si>
  <si>
    <t>生理の出血が長かったり多かったりするのも生理不順ですか？</t>
  </si>
  <si>
    <t>出血が8日以上続いたり、経血量が極端に多い状態も生理不順の一つです。子宮の病気が隠れている可能性もあるため、早めの相談が大切です。</t>
  </si>
  <si>
    <t>過多月経,出血が多い,生理不順</t>
  </si>
  <si>
    <t>生理の量が少なかったり期間が短いのも問題ですか？</t>
  </si>
  <si>
    <t>出血が2日以内で終わったり、経血量が極端に少ない状態も生理不順に含まれます。女性ホルモンの分泌不足などが関係している場合があります。</t>
  </si>
  <si>
    <t>過少月経,出血が少ない,生理不順</t>
  </si>
  <si>
    <t>どのくらい生理が来なかったら受診すべきですか？</t>
  </si>
  <si>
    <t>3ヶ月以上生理が来ていない場合は、年齢にかかわらず早めの受診が必要です。また、これまで周期的だった生理が急に不順になった場合も相談をおすすめします。</t>
  </si>
  <si>
    <t>無月経,受診目安,生理不順</t>
  </si>
  <si>
    <t>生理不順はなぜ起こるのですか？/生理不順の原因にはどんなものがありますか？</t>
  </si>
  <si>
    <t>生理不順は、脳からのホルモン分泌の指令と卵巣の働きがうまく連携していないときに起こります。その背景には、生活習慣や体のホルモンバランスの乱れなど、さまざまな要因があります。</t>
  </si>
  <si>
    <t>生理不順・原因</t>
  </si>
  <si>
    <t>生理不順,原因,ホルモンバランス,婦人科</t>
  </si>
  <si>
    <t>生活習慣の乱れは生理不順の原因になりますか？</t>
  </si>
  <si>
    <t>なります。過度なストレス、睡眠不足、急激なダイエットなどの生活習慣の乱れは、ホルモン分泌に影響し、生理不順の引き金になることがあります。</t>
  </si>
  <si>
    <t>生理不順,生活習慣,ストレス,睡眠不足,ダイエット</t>
  </si>
  <si>
    <t>多嚢胞性卵巣症候群（PCOS）とは何ですか？</t>
  </si>
  <si>
    <t>多嚢胞性卵巣症候群（PCOS）は、排卵が起こりにくくなる体質で、生理不順の患者様に多く見られる原因の一つです。</t>
  </si>
  <si>
    <t>生理不順,多嚢胞性卵巣症候群,PCOS,排卵障害</t>
  </si>
  <si>
    <t>甲状腺の病気は生理不順に関係しますか？</t>
  </si>
  <si>
    <t>関係します。甲状腺ホルモンのバランスが崩れると、体全体の代謝やホルモン調整に影響し、生理周期が乱れることがあります。</t>
  </si>
  <si>
    <t>生理不順,甲状腺機能異常,ホルモン異常</t>
  </si>
  <si>
    <t>高プロラクチン血症とはどんな状態ですか？</t>
  </si>
  <si>
    <t>高プロラクチン血症とは、授乳中でないにもかかわらず母乳を出すホルモン（プロラクチン）の値が高くなり、排卵が抑制されてしまう状態です。生理不順の原因になることがあります。</t>
  </si>
  <si>
    <t>生理不順,高プロラクチン血症,排卵抑制</t>
  </si>
  <si>
    <t>生理不順を放置するとどんなリスクがありますか？</t>
  </si>
  <si>
    <t>生理不順を放置すると、将来の不妊につながる可能性があります。また、長期間排卵がない状態が続くことで、子宮体がんのリスクを高める可能性も指摘されています。</t>
  </si>
  <si>
    <t>生理不順・リスク</t>
  </si>
  <si>
    <t>生理不順,不妊,子宮体がん,リスク</t>
  </si>
  <si>
    <t>生理不順の診察ではどんな検査をしますか？</t>
  </si>
  <si>
    <t>ルナレディースクリニックでは、生理不順の診察で、必要に応じて超音波（エコー）検査や血液検査を行います。</t>
  </si>
  <si>
    <t>検査,エコー,血液検査,生理不順</t>
  </si>
  <si>
    <t>生理不順の診察・検査の流れを教えてください</t>
  </si>
  <si>
    <t>ルナレディースクリニックでは、予約後に問診を行い、医師が生活習慣や生理の状況を確認します。その後、必要に応じて検査を行い、結果をもとに治療方針をご提案します。</t>
  </si>
  <si>
    <t>診察の流れ,検査,生理不順</t>
  </si>
  <si>
    <t>生理不順の治療にはどんな方法がありますか？</t>
  </si>
  <si>
    <t>ルナレディースクリニックでは、生理不順の原因に応じて、低用量ピルによるホルモン治療、漢方薬、生活習慣の改善指導などをご提案します。</t>
  </si>
  <si>
    <t>治療方法,ピル,漢方,生理不順</t>
  </si>
  <si>
    <t>生理不順の診察は保険適用ですか？</t>
  </si>
  <si>
    <t>ルナレディースクリニックでは、生理不順の診察や検査は保険診療を基本としています。</t>
  </si>
  <si>
    <t>保険診療,費用,生理不順</t>
  </si>
  <si>
    <t>生理不順の診察や検査の費用はいくらくらいですか？</t>
  </si>
  <si>
    <t>ルナレディースクリニックでは、生理を起こす薬の処方が約400円、ホルモン検査が約2,400円、超音波検査が約1,600円、保険適用ピル処方が約2,700円です。別途初診料・再診料がかかります。</t>
  </si>
  <si>
    <t>料金,費用目安,生理不順</t>
  </si>
  <si>
    <t>生理不順の場合、基礎体温は測った方がいいですか？</t>
  </si>
  <si>
    <t>基礎体温を記録すると排卵の有無を推測できるため、可能であれば測定をおすすめします。記録があると診察がスムーズに進みます。</t>
  </si>
  <si>
    <t>基礎体温,排卵,生理不順</t>
  </si>
  <si>
    <t>生理不順は治りますか？</t>
  </si>
  <si>
    <t>生理不順は原因によって治療法や期間は異なりますが、多くの場合、適切な治療で改善が見込めます。まずは原因を確認することが大切です。</t>
  </si>
  <si>
    <t>改善,治療,生理不順</t>
  </si>
  <si>
    <t>生理不順でも生理日をずらすことはできますか？</t>
  </si>
  <si>
    <t>生理不順の方でも、ピルを使って生理日を調整する月経移動という方法があります。大切なご予定がある場合はご相談ください。</t>
  </si>
  <si>
    <t>月経移動,相談,生理不順</t>
  </si>
  <si>
    <t xml:space="preserve">生理不順の相談はどうやって予約すればいいですか？ /生理不順の場合はどの項目を選べばいい？/生理不順のメニュー/生理不順の予約メニュー
</t>
  </si>
  <si>
    <t>ルナレディースクリニックでは、公式LINEから生理不順の診察予約が可能です。24時間いつでもご自身のタイミングで予約できます。
来院診療の場合は「一般婦人科診療」のメニューでご予約ください。WEB問診票に症状をご入力いただくとスムーズです。→https://cline-app.com/qr-codes/98ad6f149bfa20f4f2a9a2e91aac4187/preview
オンライン診療のご予約はこちら→https://liff-gateway.lineml.jp/landing?follow=%40590gpxrd&amp;lp=fX73yx&amp;liff_id=1657094566-LmjNPPbV</t>
  </si>
  <si>
    <t>予約方法,LINE予約,電話予約,生理不順</t>
  </si>
  <si>
    <t>生理不順はLINEから予約できますか？</t>
  </si>
  <si>
    <t>LINE予約,婦人科予約,生理不順</t>
  </si>
  <si>
    <t>生理不順は電話でも予約できますか？</t>
  </si>
  <si>
    <t>LINEでの予約後、事前問診等もLINEから行うことができ、スムーズに受診ができるため、当院ではLINEでのご予約を推奨しております。
来院診療の場合は「一般婦人科診療」のメニューでご予約ください→https://cline-app.com/qr-codes/98ad6f149bfa20f4f2a9a2e91aac4187/preview
オンライン診療のご予約はこちら→https://liff-gateway.lineml.jp/landing?follow=%40590gpxrd&amp;lp=fX73yx&amp;liff_id=1657094566-LmjNPPbV</t>
  </si>
  <si>
    <t>電話予約,問い合わせ,生理不順</t>
  </si>
  <si>
    <t>生理不順は予約なしでも相談できますか？</t>
  </si>
  <si>
    <t>来院治療の場合、予約外来院も可能です。スムーズなご案内のため、事前予約をおすすめしています。</t>
  </si>
  <si>
    <t>予約なし,受診,生理不順</t>
  </si>
  <si>
    <t>生理不順の予約前に準備しておくことはありますか？</t>
  </si>
  <si>
    <t>ルナレディースクリニックでは、生理不順の診察前に、最終生理日やご予定日などをWEB問診にご入力いただくと、診察がスムーズに進みます。</t>
  </si>
  <si>
    <t>WEB問診,事前準備,生理不順</t>
  </si>
  <si>
    <t>生理不順は初診でも予約できますか？</t>
  </si>
  <si>
    <t>生理不順は初診の方もご予約いただけます。ご予約は公式LINEから受け付けておりますので、友だち追加の上ご利用ください。
来院診療の場合は「一般婦人科診療」のメニューでご予約ください。WEB問診票に症状をご入力いただくとスムーズです。→https://cline-app.com/qr-codes/98ad6f149bfa20f4f2a9a2e91aac4187/preview
オンライン診療のご予約はこちら→https://liff-gateway.lineml.jp/landing?follow=%40590gpxrd&amp;lp=fX73yx&amp;liff_id=1657094566-LmjNPPbV</t>
  </si>
  <si>
    <t>初診,予約,生理不順</t>
  </si>
  <si>
    <t>生理不順は来院とオンライン、どちらで予約できますか？</t>
  </si>
  <si>
    <t>ルナレディースクリニックでは、生理不順のご相談は来院診療とオンライン診療のどちらでも予約が可能です。ご自身のライフスタイルに合わせて選べます。
来院診療の場合は「一般婦人科診療」のメニューでご予約ください。WEB問診票に症状をご入力いただくとスムーズです。→https://cline-app.com/qr-codes/98ad6f149bfa20f4f2a9a2e91aac4187/preview
オンライン診療のご予約はこちら→https://liff-gateway.lineml.jp/landing?follow=%40590gpxrd&amp;lp=fX73yx&amp;liff_id=1657094566-LmjNPPbV</t>
  </si>
  <si>
    <t>来院診療,オンライン診療,生理不順</t>
  </si>
  <si>
    <t>生理痛とは何ですか？</t>
  </si>
  <si>
    <t>生理痛とは、生理の前後や生理中に下腹部や腰に痛みを感じる症状のことです。軽い不快感から、日常生活に支障をきたす強い痛みまで程度には個人差があります。大切なのは、痛みを我慢しないこと。ルナレディースクリニックでは、痛みの原因を的確に診断し、患者さまのライフスタイルに合わせた最適な治療法を一緒に考えていきます。</t>
  </si>
  <si>
    <t>生理痛,月経痛,生理痛</t>
  </si>
  <si>
    <t>つらい生理痛は病気ですか？</t>
  </si>
  <si>
    <t>日常生活に支障をきたすほどの強い生理痛は、「月経困難症」と呼ばれ、体質だけでなく病気が隠れている場合もあります。生理痛は誰にでもあるもの、と思いがちですが、放置すると悪化したり、病気の発見が遅れたりすることもあります。以下の項目に一つでも当てはまる方は、我慢せずにご相談ください。
1. 毎月、市販の痛み止めを飲まないと過ごせない
2. 痛みで仕事や学校を休んでしまうことがある
3. 年々、生理痛がひどくなっている気がする
4. 経血の量が増えてきた（レバーのような塊が出る）
5. 生理期間以外にも下腹部痛や腰痛がある</t>
  </si>
  <si>
    <t>月経困難症,病気,生理痛</t>
  </si>
  <si>
    <t>生理痛は我慢するものですか？</t>
  </si>
  <si>
    <t>生理痛は我慢する必要はありません。痛みが強い場合は、適切な治療によって症状が軽くなる可能性があります。生理痛は誰にでもあるもの、と思いがちですが、放置すると悪化したり、病気の発見が遅れたりすることもあります。以下の項目に一つでも当てはまる方は、我慢せずにご相談ください。
1. 毎月、市販の痛み止めを飲まないと過ごせない
2. 痛みで仕事や学校を休んでしまうことがある
3. 年々、生理痛がひどくなっている気がする
4. 経血の量が増えてきた（レバーのような塊が出る）
5. 生理期間以外にも下腹部痛や腰痛がある</t>
  </si>
  <si>
    <t>我慢,相談,生理痛</t>
  </si>
  <si>
    <t>どんな生理痛が受診の目安ですか？</t>
  </si>
  <si>
    <t>以下の項目に一つでも当てはまる方は、我慢せずにご相談ください。
1. 毎月、市販の痛み止めを飲まないと過ごせない
2. 痛みで仕事や学校を休んでしまうことがある
3. 年々、生理痛がひどくなっている気がする
4. 経血の量が増えてきた（レバーのような塊が出る）
5. 生理期間以外にも下腹部痛や腰痛がある</t>
  </si>
  <si>
    <t>受診目安,チェック,生理痛</t>
  </si>
  <si>
    <t>生理痛が年々ひどくなるのは問題ですか？</t>
  </si>
  <si>
    <t>生理痛が徐々に強くなる場合、子宮内膜症や子宮筋腫などの病気が関係している可能性があります。早めの相談が大切です。</t>
  </si>
  <si>
    <t>悪化,原因,生理痛</t>
  </si>
  <si>
    <t>経血量が多いと生理痛も重くなりますか？</t>
  </si>
  <si>
    <t>経血量が多い場合、生理痛が強くなることがあります。子宮の病気が隠れている可能性もあるため、相談をおすすめします。</t>
  </si>
  <si>
    <t>経血量,過多月経,生理痛</t>
  </si>
  <si>
    <t>生理痛の原因にはどんなものがありますか？</t>
  </si>
  <si>
    <t>生理痛は、子宮を収縮させる物質の分泌が多いことや、子宮・卵巣の病気が原因となることがあります。</t>
  </si>
  <si>
    <t>原因,ホルモン,生理痛</t>
  </si>
  <si>
    <t>月経困難症とは何ですか？</t>
  </si>
  <si>
    <t>月経困難症とは、生理期間中に起こる強い下腹部痛や腰痛、吐き気などにより、日常生活に支障をきたす状態を指します。</t>
  </si>
  <si>
    <t>月経困難症,定義,生理痛</t>
  </si>
  <si>
    <t>月経困難症には種類がありますか？</t>
  </si>
  <si>
    <t>月経困難症には、病気が原因ではない「機能性月経困難症」と、子宮内膜症や子宮筋腫などが原因の「器質性月経困難症」があります。当院では、患者様一人ひとりの症状や原因、ライフプランに合わせて、様々な治療法をご提案しています。</t>
  </si>
  <si>
    <t>種類,機能性,器質性,生理痛</t>
  </si>
  <si>
    <t>子宮内膜症は生理痛の原因になりますか？</t>
  </si>
  <si>
    <t>子宮内膜症は強い生理痛や慢性的な下腹部痛の原因となることがあります。</t>
  </si>
  <si>
    <t>子宮内膜症,原因,生理痛</t>
  </si>
  <si>
    <t>生理痛の診察ではどんな検査をしますか？</t>
  </si>
  <si>
    <t>ルナレディースクリニックでは、生理痛の診察で必要に応じて超音波（エコー）検査を行い、子宮や卵巣の状態を確認します。</t>
  </si>
  <si>
    <t>検査,エコー,生理痛</t>
  </si>
  <si>
    <t>生理痛の治療にはどんな方法がありますか？</t>
  </si>
  <si>
    <t>生理痛の治療には、鎮痛剤、低用量ピル、漢方薬などがあります。ルナレディースクリニックでは、痛みの原因を的確に診断し、患者さまのライフスタイルに合わせた最適な治療法を一緒に考えていきます。</t>
  </si>
  <si>
    <t>治療方法,ピル,漢方,生理痛</t>
  </si>
  <si>
    <t>鎮痛剤とは？/NSAIDsとは？</t>
  </si>
  <si>
    <t>痛みの原因物質「プロスタグランジン」が作られるのを抑えるお薬です。ルナレディースクリニックでは、市販薬よりも効果の高いものを処方できます。</t>
  </si>
  <si>
    <t>生理痛,鎮痛剤,NSAIDs,処方,生理痛</t>
  </si>
  <si>
    <t>鎮痛剤はいつ飲むのが効果的ですか？</t>
  </si>
  <si>
    <t>鎮痛剤は、痛みが強くなる前や「痛くなりそう」と感じた初期の段階で服用すると効果的です。</t>
  </si>
  <si>
    <t>鎮痛剤,飲むタイミング,生理痛</t>
  </si>
  <si>
    <t>低用量ピルとは？/超低用量ピルとは？LEPとは？</t>
  </si>
  <si>
    <t>低用量ピルとは、毎日1錠ずつ服用して生理周期を安定させるお薬です。
排卵を抑え、子宮内膜が厚くなるのを根本から抑えることで、プロスタグランジンの産生を減らし、生理痛を劇的に改善します。経血量が減る、月経不順やPMS（月経前症候群）も改善するといった多くの良い副効用があります。
大きく2種類に分けることができます。
OC（自費ピル）：主に避妊に効果があり、個人差はありますが、ニキビ、生理痛、PMSにも効果が期待できます。
LEP（保険適用もあり）：月経困難症・子宮内膜症の治療</t>
  </si>
  <si>
    <t>低用量,超低用量ピル,LEP,生理痛</t>
  </si>
  <si>
    <t>ピルは生理痛に効果がありますか？</t>
  </si>
  <si>
    <t>低用量ピルは排卵を抑え、子宮内膜が厚くなるのを根本から抑えることで、プロスタグランジンの産生を減らし、生理痛を劇的に改善します。経血量が減る、月経不順やPMS（月経前症候群）も改善するといった多くの良い副効用があります。
保険適用で治療でき、中には生理の回数を年4回まで減らせるタイプのピルもあります。</t>
  </si>
  <si>
    <t>低用量ピル,効果,生理痛</t>
  </si>
  <si>
    <t>漢方薬で生理痛は改善しますか？</t>
  </si>
  <si>
    <t>漢方薬は体質改善を目的とした治療で、生理痛の緩和につながる場合があります。ピルに抵抗がある方にも選択肢となります。</t>
  </si>
  <si>
    <t>漢方薬,体質改善,生理痛</t>
  </si>
  <si>
    <t>生理痛の診察・検査の流れを教えてください</t>
  </si>
  <si>
    <t>ルナレディースクリニックでは、生理痛の診察は以下の流れで行っています。まず、公式LINEからご予約いただき、来院前にWEB問診で痛みの程度や始まった時期、月経周期などをご入力いただきます。次に、診察では医師が問診内容をもとに痛みの特徴や妊娠のご希望の有無などを確認し、必要な検査についてご説明します。病気が隠れている可能性がある場合は、超音波（エコー）検査で子宮や卵巣の状態を確認します。その後、診察・検査結果をもとに、症状やライフスタイルに合わせた治療方針をご提案し、ご納得いただいたうえで治療を開始します。</t>
  </si>
  <si>
    <t>診察の流れ,検査,エコー,治療,生理痛</t>
  </si>
  <si>
    <t>低用量ピルは初診からオンライン診療で処方できますか？</t>
  </si>
  <si>
    <t>治療目的での初回処方は症状の診察や検査が必要なため、必ず【来院】での診療予約をお願いいたします。
※避妊目的の低用量ピル（OC）の場合は来院診療・オンライン診療のどちらも選択可能です。</t>
  </si>
  <si>
    <t>初診,来院診療,検査,生理痛</t>
  </si>
  <si>
    <t>https://luna-dr.com/subjects/low-dose-pill/</t>
  </si>
  <si>
    <t>アフターピルは初診でもオンライン診療を利用できますか？</t>
  </si>
  <si>
    <t>アフターピルは初診の方でもオンライン診療をご利用いただけます。来院せずにご相談・処方が可能です。</t>
  </si>
  <si>
    <t>初診,オンライン診療,緊急避妊</t>
  </si>
  <si>
    <t>https://luna-dr.com/subjects/after-pill/</t>
  </si>
  <si>
    <t>低用量ピルとアフターピルで診療方法が違うのはなぜですか？</t>
  </si>
  <si>
    <t>ルナレディースクリニックでは、安全に治療を行うため、薬の目的や性質に応じて診療方法を分けています。アフターピルは緊急性を考慮し初診からオンライン診療に対応していますが、低用量ピルの治療目的での初回処方は検査が必要なため来院診療をご案内しています。</t>
  </si>
  <si>
    <t>ピル共通</t>
  </si>
  <si>
    <t>診療方法,オンライン,来院</t>
  </si>
  <si>
    <t>生理痛の診察や検査はオンラインでも受けられますか？</t>
  </si>
  <si>
    <t>治療目的での初回処方は検査が必要なため【来院診療】となります。2回目以降はオンライン診療でピルの処方が可能です。</t>
  </si>
  <si>
    <t>オンライン診療,検査,来院診療</t>
  </si>
  <si>
    <t>生理痛の診察は保険適用ですか？</t>
  </si>
  <si>
    <t>ルナレディースクリニックでは、生理痛の診察や治療は保険診療を基本としています。</t>
  </si>
  <si>
    <t>保険診療,費用,生理痛</t>
  </si>
  <si>
    <t>生理痛の検査や治療の費用はいくらくらいですか？</t>
  </si>
  <si>
    <t>子宮の超音波検査は約1,600円、鎮痛剤処方は約400円、保険適用ピル処方は約2,700円が目安です。別途初診料・再診料がかかります。</t>
  </si>
  <si>
    <t>料金,費用目安,生理痛</t>
  </si>
  <si>
    <t>生理痛と生理不順は関係がありますか？</t>
  </si>
  <si>
    <t>ホルモンバランスの乱れにより、生理不順と生理痛が同時に起こることがあります。気になる場合は相談をおすすめします。</t>
  </si>
  <si>
    <t>生理不順,ホルモン,生理痛</t>
  </si>
  <si>
    <t>生理痛がある場合、生理日をずらすことはできますか？</t>
  </si>
  <si>
    <t>生理痛がつらい場合、ピルを使って生理日を調整する月経移動という方法があります。ご予定がある場合はご相談ください。</t>
  </si>
  <si>
    <t>月経移動,相談,生理痛</t>
  </si>
  <si>
    <t>生理痛の相談はどうやって予約すればいいですか？</t>
  </si>
  <si>
    <t>ルナレディースクリニックでは、公式LINEから生理痛の診察予約が可能です。24時間いつでもご自身のタイミングで予約できます。
来院診療の場合は「一般婦人科診療」のメニューでご予約ください。WEB問診票に症状をご入力いただくとスムーズです。→https://cline-app.com/qr-codes/98ad6f149bfa20f4f2a9a2e91aac4187/preview
オンライン診療のご予約はこちら→https://liff-gateway.lineml.jp/landing?follow=%40590gpxrd&amp;lp=fX73yx&amp;liff_id=1657094566-LmjNPPbV</t>
  </si>
  <si>
    <t>予約方法,LINE予約,電話予約,生理痛</t>
  </si>
  <si>
    <t>生理痛はLINEから予約できますか？</t>
  </si>
  <si>
    <t>LINE予約,婦人科予約,生理痛</t>
  </si>
  <si>
    <t>生理痛は電話でも予約できますか？</t>
  </si>
  <si>
    <t>LINEでの予約後、事前問診等もLINEから行うことができ、スムーズに受診ができるため、当院ではLINEでのご予約を推奨しております。
来院診療の場合は「一般婦人科診療」のメニューでご予約ください→https://cline-app.com/qr-codes/98ad6f149bfa20f4f2a9a2e91aac4187/preview
オンライン診療のご予約はこちら→https://liff-gateway.lineml.jp/landing?follow=%40590gpxrd&amp;lp=fX73yx&amp;liff_id=1657094566-LmjNPPbV</t>
  </si>
  <si>
    <t>電話予約,問い合わせ,生理痛</t>
  </si>
  <si>
    <t>生理痛は予約なしでも相談できますか？</t>
  </si>
  <si>
    <t>予約なし,受診,生理痛</t>
  </si>
  <si>
    <t>生理痛の予約前に準備しておくことはありますか？</t>
  </si>
  <si>
    <t>ルナレディースクリニックでは、診察前に、痛みの程度や月経周期などをWEB問診にご入力いただくと、診察がスムーズに進みます。</t>
  </si>
  <si>
    <t>WEB問診,事前準備,生理痛</t>
  </si>
  <si>
    <t>生理痛は初診でも予約できますか？</t>
  </si>
  <si>
    <t>生理痛は初診の方もご予約いただけます。ご予約は公式LINEから受け付けておりますので、友だち追加の上ご利用ください。
来院診療の場合は「一般婦人科診療」のメニューでご予約ください。WEB問診票に症状をご入力いただくとスムーズです。→https://cline-app.com/qr-codes/98ad6f149bfa20f4f2a9a2e91aac4187/preview
オンライン診療のご予約はこちら→https://liff-gateway.lineml.jp/landing?follow=%40590gpxrd&amp;lp=fX73yx&amp;liff_id=1657094566-LmjNPPbV</t>
  </si>
  <si>
    <t>初診,予約,生理痛</t>
  </si>
  <si>
    <t>生理痛は来院とオンライン、どちらで予約できますか？</t>
  </si>
  <si>
    <t>ルナレディースクリニックでは、生理痛のご相談は来院診療とオンライン診療のどちらでも予約が可能です。ご自身のライフスタイルに合わせて選べます。
来院診療の場合は「一般婦人科診療」のメニューでご予約ください。WEB問診票に症状をご入力いただくとスムーズです。→https://cline-app.com/qr-codes/98ad6f149bfa20f4f2a9a2e91aac4187/preview
オンライン診療のご予約はこちら→https://liff-gateway.lineml.jp/landing?follow=%40590gpxrd&amp;lp=fX73yx&amp;liff_id=1657094566-LmjNPPbV</t>
  </si>
  <si>
    <t>来院診療,オンライン診療,生理痛</t>
  </si>
  <si>
    <t>ピルとは何ですか？</t>
  </si>
  <si>
    <t>ピルとは、女性ホルモンを含むお薬で、排卵を抑えるなどの作用により、避妊や生理に関するトラブルの改善を目的として使用されます。ルナレディースクリニックでは、目的に応じて低用量ピルやアフターピルの処方を行っています。また患者さまのライフスタイルに合わせて、ご自宅から受診できる「オンライン診療」と、直接相談できる「来院診療」をお選びいただけます。</t>
  </si>
  <si>
    <t>ピル,定義</t>
  </si>
  <si>
    <t>低用量ピルとは何ですか？</t>
  </si>
  <si>
    <t>低用量ピルとは、毎日1錠を継続して服用することで、排卵を抑え、避妊や生理痛・生理不順・PMSの改善を目的としたお薬です。</t>
  </si>
  <si>
    <t>低用量ピル,定義</t>
  </si>
  <si>
    <t>アフターピルとは何ですか？</t>
  </si>
  <si>
    <t>アフターピルとは、避妊に失敗した場合などに、性行為後できるだけ早く服用することで、緊急的に妊娠を防ぐためのお薬です。</t>
  </si>
  <si>
    <t>アフターピル,定義,緊急避妊</t>
  </si>
  <si>
    <t>ピルにはどんな種類がありますか？</t>
  </si>
  <si>
    <t>ピルには、毎日服用して避妊や生理トラブルの改善を行う低用量ピルと、緊急時に1回だけ服用するアフターピルがあります。目的によって使い分けます。</t>
  </si>
  <si>
    <t>種類,低用量ピル,アフターピル</t>
  </si>
  <si>
    <t>自分には低用量ピルとアフターピル、どちらが合っていますか？</t>
  </si>
  <si>
    <t>継続的な避妊や生理痛・PMSの改善を目的とする場合は低用量ピル、避妊に失敗した場合の緊急対応にはアフターピルが適しています。診察時に医師が目的に合わせてご案内します。</t>
  </si>
  <si>
    <t>選び方,相談,ピル</t>
  </si>
  <si>
    <t>ピルは避妊以外にも使えますか？</t>
  </si>
  <si>
    <t>低用量ピルは、避妊だけでなく、生理痛や生理不順、PMSの改善、経血量の軽減などを目的として使用されることがあります。</t>
  </si>
  <si>
    <t>避妊以外,効果,ピル</t>
  </si>
  <si>
    <t>生理痛や生理不順の改善にピルは使えますか？</t>
  </si>
  <si>
    <t>低用量ピルは排卵を抑え、子宮内膜の増殖を抑えることで、生理痛や生理不順の改善が期待できます。</t>
  </si>
  <si>
    <t>生理痛,生理不順,ピル</t>
  </si>
  <si>
    <t>ピルはPMS（月経前症候群）にも効果がありますか？</t>
  </si>
  <si>
    <t>低用量ピルはホルモンの変動を抑えることで、PMSの症状が軽減する場合があります。</t>
  </si>
  <si>
    <t>PMS,効果,ピル</t>
  </si>
  <si>
    <t>ニキビや肌荒れにピルは効果がありますか？</t>
  </si>
  <si>
    <t>低用量ピルは、ホルモンバランスを整えることで、ニキビや肌荒れの改善につながる場合があります。</t>
  </si>
  <si>
    <t>ニキビ,肌荒れ,ピル</t>
  </si>
  <si>
    <t>将来妊娠したい場合でもピルは飲めますか？</t>
  </si>
  <si>
    <t>低用量ピルやアフターピルを服用しても、服用を中止すれば排卵は再開し、将来の妊娠に影響を与えることはありません。ご自身の身体の状態を知りたい方には、ブライダルチェックもおすすめです。</t>
  </si>
  <si>
    <t>妊娠,将来,ピル</t>
  </si>
  <si>
    <t>ピルを飲むと将来、妊娠しにくくなりますか？</t>
  </si>
  <si>
    <t>低用量ピルもアフターピルも、服用をやめれば身体は元の状態に戻り、排卵が再開します。将来の妊娠能力に影響を与えることはありませんのでご安心ください。ご自身の身体の状態を知りたい方には、ブライダルチェックもおすすめです。</t>
  </si>
  <si>
    <t>妊娠,将来,不妊の不安,ピル</t>
  </si>
  <si>
    <t>ピルを飲むと副作用はありますか？</t>
  </si>
  <si>
    <t>飲み始めに吐き気や頭痛、不正出血、むくみなどが起こることがありますが、3～6ヶ月ほど内服すると徐々に副作用は落ち着いてくるとされています。アフターピルの場合も同様の症状がみられますが、通常は24時間以内におさまります。ルナレディースクリニックでは、副作用についても丁寧に説明し、必要に応じて吐き気止めなども処方しますのでご安心ください。</t>
  </si>
  <si>
    <t>副作用,吐き気,頭痛,不正出血,ピル</t>
  </si>
  <si>
    <t>ピルを飲むと太りますか？</t>
  </si>
  <si>
    <t>ピルによって一時的にむくみを感じることはありますが、体脂肪が増えるわけではありません。</t>
  </si>
  <si>
    <t>体重増加,不安,ピル</t>
  </si>
  <si>
    <t>血栓症が心配なのですが、ピルを飲んでも大丈夫ですか？</t>
  </si>
  <si>
    <t>低用量ピルには血栓症のリスクがありますが、医師が体質や既往歴を確認した上で処方します。気になる場合は必ずご相談ください。</t>
  </si>
  <si>
    <t>血栓症,安全性,ピル</t>
  </si>
  <si>
    <t>ピルは長期間飲み続けても問題ありませんか？</t>
  </si>
  <si>
    <t>医師の管理のもとであれば、低用量ピルを長期間服用することは可能です。定期的な診察をおすすめしています。</t>
  </si>
  <si>
    <t>長期服用,安全性,ピル</t>
  </si>
  <si>
    <t>ピルをやめたら体は元に戻りますか？</t>
  </si>
  <si>
    <t>服用を中止すればホルモンバランスは元に戻り、排卵も再開します。</t>
  </si>
  <si>
    <t>中止,影響,ピル</t>
  </si>
  <si>
    <t>低用量ピルはどのように飲みますか？</t>
  </si>
  <si>
    <t>低用量ピルは、毎日決まった時間に1錠ずつ服用します。21日または28日を1周期として継続します。</t>
  </si>
  <si>
    <t>飲み方,ピル</t>
  </si>
  <si>
    <t>いつから避妊効果が出ますか？</t>
  </si>
  <si>
    <t>低用量ピルは、服用開始から約7〜8日で安定した避妊効果が得られるとされています。アフターピルは性行為から72時間（または120時間）以内の服用で、緊急的な妊娠を回避する高い効果が得られます。（服用が早ければ早いほど効果は高まります）</t>
  </si>
  <si>
    <t>避妊効果,いつから,ピル</t>
  </si>
  <si>
    <t>生理はいつ来ますか？</t>
  </si>
  <si>
    <t>低用量ピルでは、休薬期間中または偽薬期間中に生理のような出血が起こります。</t>
  </si>
  <si>
    <t>生理,出血,ピル</t>
  </si>
  <si>
    <t>他の薬と一緒に飲んでも大丈夫ですか？</t>
  </si>
  <si>
    <t>薬の飲み合わせに関しましては、お電話にてお問い合わせください。お電話は 050-1730-2768 となります。</t>
  </si>
  <si>
    <t>併用薬,注意,ピル</t>
  </si>
  <si>
    <t>低用量ピルとアフターピルの違いは何ですか？</t>
  </si>
  <si>
    <t>低用量ピルは、毎日1錠ずつ計画的に服用することで排卵を抑制し、継続的な避妊や生理痛・PMSの改善を目指すお薬です。一方、アフターピルは、避妊に失敗した際などに、性行為後できるだけ早く1回だけ服用することで、緊急的に妊娠を防ぐためのお薬です。目的と飲み方が全く異なります。</t>
  </si>
  <si>
    <t>低用量ピル,アフターピル,違い,比較,ピル</t>
  </si>
  <si>
    <t>アフターピルはいつまでに飲めばいいですか？</t>
  </si>
  <si>
    <t>アフターピルは性行為から72時間（または120時間）以内の服用で、緊急的な妊娠を回避する高い効果が得られます。（服用が早ければ早いほど効果は高まります）</t>
  </si>
  <si>
    <t>服用期限,ピル</t>
  </si>
  <si>
    <t>アフターピルを飲んだ後、生理はどうなりますか？</t>
  </si>
  <si>
    <t>服用後、数日から数週間で生理が来ることがあります。個人差があります。</t>
  </si>
  <si>
    <t>生理,服用後,ピル</t>
  </si>
  <si>
    <t>アフターピルを何度も使っても大丈夫ですか？</t>
  </si>
  <si>
    <t>使用は可能ですが、継続的な避妊には低用量ピルをおすすめしています。</t>
  </si>
  <si>
    <t>繰り返し使用,ピル</t>
  </si>
  <si>
    <t>ピル処方は来院とオンライン、どちらで受けられますか？</t>
  </si>
  <si>
    <t>ルナレディースクリニックでは、来院診療とオンライン診療の両方でピル処方を行っています。ただし、生理痛などの治療を目的とする低用量ピルは、初回は検査が必要なため来院診療をご案内しています。</t>
  </si>
  <si>
    <t>来院,オンライン診療,ピル</t>
  </si>
  <si>
    <t>オンラインでもピルは処方してもらえますか？</t>
  </si>
  <si>
    <t>アフターピルは初診からオンライン診療で処方できます。ご自宅にいながら専門医の診察を受け、お薬を郵送でお受け取りいただけます。ただし、生理痛などの治療を目的とする低用量ピルは、初回は検査が必要なため来院診療をご案内しています。</t>
  </si>
  <si>
    <t>オンライン診療,初診,来院診療,ピル</t>
  </si>
  <si>
    <t>アフターピルは初診でもオンライン診療できますか？</t>
  </si>
  <si>
    <t>アフターピルは初診の方でもオンライン診療をご利用いただけます。</t>
  </si>
  <si>
    <t>初診,オンライン,ピル</t>
  </si>
  <si>
    <t>低用量ピルは初診からオンライン診療できますか？</t>
  </si>
  <si>
    <t>治療目的での初回処方は検査が必要なため、来院診療となります。</t>
  </si>
  <si>
    <t>初診,来院診療,ピル</t>
  </si>
  <si>
    <t>なぜ低用量ピルは初回に来院が必要な場合があるのですか？</t>
  </si>
  <si>
    <t>安全に治療を行うため、治療目的の場合は検査が必要となるためです。</t>
  </si>
  <si>
    <t>検査,安全性,ピル</t>
  </si>
  <si>
    <t>ピル処方は保険適用ですか？</t>
  </si>
  <si>
    <t>低用量ピルは治療目的の場合、保険適用となることがあります。アフターピルは自由診療です。</t>
  </si>
  <si>
    <t>保険適用,費用,ピル</t>
  </si>
  <si>
    <t>ピル処方はどうやって予約すればいいですか？</t>
  </si>
  <si>
    <t>ルナレディースクリニックでは、公式LINEからピル処方の診察予約が可能です。24時間いつでもご自身のタイミングで予約できます。
※アフターピルは初診からオンライン診療で処方できますが、生理痛などの治療を目的とする低用量ピルは、初回は検査が必要なため来院診療となりますので、ご注意ください。
来院診療の場合は「ピル処方」のメニューでご予約ください→https://cline-app.com/qr-codes/98ad6f149bfa20f4f2a9a2e91aac4187/preview
オンライン診療のご予約はこちら→https://liff-gateway.lineml.jp/landing?follow=%40590gpxrd&amp;lp=fX73yx&amp;liff_id=1657094566-LmjNPPbV</t>
  </si>
  <si>
    <t>予約方法,LINE,電話,ピル</t>
  </si>
  <si>
    <t>ピル処方はLINEから予約できますか？</t>
  </si>
  <si>
    <t>LINE予約,婦人科予約,ピル処方</t>
  </si>
  <si>
    <t>ピル処方は電話でも予約できますか？</t>
  </si>
  <si>
    <t>LINEでの予約後、事前問診等もLINEから行うことができ、スムーズに受診ができるため、当院ではLINEでのご予約を推奨しております。
来院診療の場合は「ピル処方」のメニューでご予約ください→https://cline-app.com/qr-codes/98ad6f149bfa20f4f2a9a2e91aac4187/preview
オンライン診療のご予約はこちら→https://liff-gateway.lineml.jp/landing?follow=%40590gpxrd&amp;lp=fX73yx&amp;liff_id=1657094566-LmjNPPbV</t>
  </si>
  <si>
    <t>電話予約,問い合わせ,ピル処方</t>
  </si>
  <si>
    <t>ピル処方は予約なしでも相談できますか？</t>
  </si>
  <si>
    <t>予約なし,受診,ピル処方</t>
  </si>
  <si>
    <t>ピル処方の予約前に準備しておくことはありますか？</t>
  </si>
  <si>
    <t>ルナレディースクリニックでは、ピル処方の診察前に、最終生理日やご予定日などをWEB問診にご入力いただくと、診察がスムーズに進みます。</t>
  </si>
  <si>
    <t>WEB問診,事前準備,ピル処方</t>
  </si>
  <si>
    <t>ピル処方は初診でも予約できますか？</t>
  </si>
  <si>
    <t>ピル処方は初診の方もご予約いただけます。ご予約は公式LINEから受け付けておりますので、友だち追加の上ご利用ください。
※アフターピルは初診からオンライン診療で処方できますが、生理痛などの治療を目的とする低用量ピルは、初回は検査が必要なため来院診療となりますので、ご注意ください。
来院診療の場合は「ピル処方」のメニューでご予約ください→https://cline-app.com/qr-codes/98ad6f149bfa20f4f2a9a2e91aac4187/preview
オンライン診療のご予約はこちら→https://liff-gateway.lineml.jp/landing?follow=%40590gpxrd&amp;lp=fX73yx&amp;liff_id=1657094566-LmjNPPbV</t>
  </si>
  <si>
    <t>初診,予約,ピル処方</t>
  </si>
  <si>
    <t>ピル処方は来院とオンライン、どちらで予約できますか？</t>
  </si>
  <si>
    <t>ルナレディースクリニックでは、ピル処方のご相談は来院診療とオンライン診療のどちらでも予約が可能です。ご自身のライフスタイルに合わせて選べます。初診の場合、アフターピルは初診からオンライン診療で処方できますが、生理痛などの治療を目的とする低用量ピルは、初回は検査が必要なため来院診療となりますので、ご注意ください。
来院診療の場合は「ピル処方」のメニューでご予約ください→https://cline-app.com/qr-codes/98ad6f149bfa20f4f2a9a2e91aac4187/preview
オンライン診療のご予約はこちら→https://liff-gateway.lineml.jp/landing?follow=%40590gpxrd&amp;lp=fX73yx&amp;liff_id=1657094566-LmjNPPbV</t>
  </si>
  <si>
    <t>来院診療,オンライン診療,ピル処方</t>
  </si>
  <si>
    <t>低用量ピルはどんな悩みに使われますか？</t>
  </si>
  <si>
    <t>低用量ピル（ピル）は、避妊、生理痛の軽減、生理不順の改善、PMS（月経前症候群）の緩和、ニキビ改善など幅広い目的で使用されます。</t>
  </si>
  <si>
    <t>低用量ピル（ピル）</t>
  </si>
  <si>
    <t>低用量ピル,悩み,改善</t>
  </si>
  <si>
    <t>OCピルとLEPピルの違いは何ですか？</t>
  </si>
  <si>
    <t>OC（経口避妊薬）は避妊目的で使用される低用量ピルで自由診療です。LEP（低用量エストロゲン・プロゲスチン製剤）は生理痛や子宮内膜症など治療目的で使用され、保険適用となります。</t>
  </si>
  <si>
    <t>低用量ピル（OC／LEP）</t>
  </si>
  <si>
    <t>OC,LEP,違い,治療</t>
  </si>
  <si>
    <t>低用量ピルは避妊以外にも効果がありますか？</t>
  </si>
  <si>
    <t>低用量ピル（ピル）は、生理痛の軽減、PMS改善、経血量の減少、月経周期の安定、ニキビ改善などの副効用も期待できます。</t>
  </si>
  <si>
    <t>ピルを飲み始めてすぐに避妊効果はありますか？</t>
  </si>
  <si>
    <t>低用量ピル（ピル）は、最初の1シート目では避妊効果が安定しません。2シート目以降から避妊効果が期待できるため、最初の1シート目は他の避妊法を併用してください。飲み忘れなく服用を続け、2シート目からは避妊効果が期待できます。</t>
  </si>
  <si>
    <t>ピル,避妊効果,いつから</t>
  </si>
  <si>
    <t>ピルを飲み忘れたらどうなりますか？</t>
  </si>
  <si>
    <t>ピルの飲み忘れが続くと避妊効果が低下するため、ご注意ください。低用量ピルを飲み忘れた場合は、飲み忘れた日数によって対応が異なります。異変を感じた場合はすぐにご相談ください。
・1日飲み忘れた場合
気づいた時点ですぐ1錠服用し、その後は通常通り同じ時間に服用してください。
1日の飲み忘れであれば、避妊効果への影響はほとんどありません。
・2日飲み忘れた場合
気づいた時点で飲み忘れた2錠を服用し、その後は通常通り続けてください。
ホルモン低下により不正出血が起こることがありますが、軽度であれば継続可能です。
強い腹痛や鮮血の出血がある場合は服用を中止し、ご相談ください。
・3日以上飲み忘れた場合
服用を中止し、生理が来たら5日以内に新しいシートを開始してください。
新しいシートを7日間連続で服用するまでは、必ず別の避妊方法を併用してください。
※休薬期間前後の飲み忘れは妊娠リスクが高まるため、特に注意が必要です。
"回答が遅れ申し訳ございません。
低用量ピルのなかでも、保険診療のものと自費診療のもので飲み忘れた際の服用方法や注意事項が異なるため、下記にて反映いただけますと幸いです。
こちらの件は当院勤務の看護師確認内容となります。
●自費診療の低用量ピル（ラベルフィーユやファボワールなど）
《1日飲み忘れの場合》
低用量ピルの服用を中止する必要はありません。
飲み忘れに気づいた時点で前日の分を服用し、本日分はいつも服用している時間に服用します。
本日分を服用する時に前日の飲み忘れに気づいた場合は、その時に前日分と合わせて2錠内服してください。
飲み忘れが1日なら避妊効果に影響はないと言われています。
《2日以上飲み忘れの場合》
2日以上内服を忘れた場合は一度内服を中止していただき、次回の自然な月経が来るのを待ってから内服再開していただきます。月経開始5日以内に内服再開するようにしてください。避妊効果は7日以上連続で内服をしてから出ますので内服再開したシートの最初の1列目は別の方法で避妊を兼ねるようにしてください。
ただし、4列目の偽薬で忘れた場合は元々ホルモン剤が入っていない錠剤のため、追加で服用は不要です。
●保険診療の低用量ピル（ヤーズフレックスなど）
《1日飲み忘れの場合》
低用量ピルの服用を中止する必要はありません。
飲み忘れに気づいた時点で前日の分を服用し、本日分はいつも服用している時間に服用します。
本日分を服用する時に前日の飲み忘れに気づいた場合は、その時に前日分と合わせて2錠内服してください。
《2日以上飲み忘れの場合》
気付いた時点で飲み忘れた分の直近の錠剤を内服、本日分はいつもの時間に内服して下さい。
本日分を服用する時に飲み忘れに気づいた場合は、その時に前日分と合わせて2錠内服して下さい。
その後は今までのスケジュール通り内服を続けて下さい。
※個人差はありますが、ホルモンの低下により不正出血が起こる可能性があります。
茶褐色の不正出血なら、ほとんどの場合ピルの服用を続けるとホルモンの量が正常に戻り収まります。
しかし、鮮血の出血や量が多い場合はピルの服用を続けても不正出血が続く可能性があります。
もし鮮血の出血が起きてしまった場合は現在のシートを中断していただき、次回月経が開始して5日以内に新しいシートの1錠目から内服再開してください。
《4日以上飲み忘れた場合》
医師への確認が必要です。
処方された医療機関を受診してご相談ください。"</t>
  </si>
  <si>
    <t>ピル,飲み忘れ,対処</t>
  </si>
  <si>
    <t>個人差はありますが、飲み始めにピルのホルモンの影響で食欲が増したり、むくみやすくなったりする方がいらっしゃいます。しかし、多くの場合、体が慣れてホルモンの状態が整ってくると、むくみや食欲も落ち着いてきます。まずは3ヶ月ほど、様子を見ながら服用を続けることをお勧めしています。</t>
  </si>
  <si>
    <t>ピル,太る,副作用</t>
  </si>
  <si>
    <t>ピルを飲むと将来妊娠しにくくなりますか？</t>
  </si>
  <si>
    <t>低用量ピル（ピル）やアフターピル（緊急避妊薬）は、服用をやめれば排卵が再開し、将来の妊娠能力に影響することはありません。</t>
  </si>
  <si>
    <t>ピル,妊娠,将来</t>
  </si>
  <si>
    <t>ピルの副作用にはどんなものがありますか？</t>
  </si>
  <si>
    <t>低用量ピル（ピル）の副作用として、吐き気、頭痛、不正出血、むくみなどが起こることがありますが、多くは3〜6ヶ月で軽快します。</t>
  </si>
  <si>
    <t>ピル,副作用,吐き気</t>
  </si>
  <si>
    <t>ピルで血栓症になることはありますか？</t>
  </si>
  <si>
    <t>ピルを服用していない人と比べると、血栓症（血管の中に血の塊が詰まる病気）のリスクは高まります。しかし、その頻度は「自動車を運転する人が事故に遭うリスク」とよく比較されます。私たちは、車の運転が危険だからといって、その利便性を手放したりはしませんよね。それと同じで、ピルにも避妊やQOL向上といった、リスクを上回る大きなメリットがあります。当院では、このリスクとメリットを丁寧にご説明し、ご理解いただいた上で処方しています。</t>
  </si>
  <si>
    <t>ピル,血栓症,リスク</t>
  </si>
  <si>
    <t>低用量ピルは誰でも飲めますか？</t>
  </si>
  <si>
    <t>以下に該当する方は原則としてピルを服用できません。
・50歳以上の方、または初経前の方
・BMIが30以上の方
・35歳以上で1日に15本以上タバコを吸う方
・その他、重い持病をお持ちの方 など
当院では、国のガイドラインに加え、より安全にピルを服用いただくために以下の基準を設けております。
・40歳以上で初めてピルの服用を開始される方
・40歳以上で、喫煙されている方、BMIが25以上の方、高血圧のいずれかに該当する方
上記に当てはまる場合、ピルを処方できない可能性がございます。安全な処方のため、診察時に医師が詳しくお話を伺い、丁寧に判断させていただきます。</t>
  </si>
  <si>
    <t>ピル,飲めない,人</t>
  </si>
  <si>
    <t>生理の回数を減らしても体に影響はありませんか？</t>
  </si>
  <si>
    <t>大きな害はありませんのでご安心ください。むしろ、生理の回数が減ることで、排卵や月経に伴う身体的・精神的な負担が軽減されます。また、子宮筋腫や子宮内膜症といった、生理がある間は進行しやすい病気の進行を遅らせる効果も期待できます。</t>
  </si>
  <si>
    <t>ピル,生理の回数,影響</t>
  </si>
  <si>
    <t>避妊目的の低用量ピル（OC）は初診からオンライン診療が可能です。治療目的の低用量ピル（LEP）は初回は検査が必要なため来院診療となります。</t>
  </si>
  <si>
    <t>ピル,初診,オンライン</t>
  </si>
  <si>
    <t>アフターピル（緊急避妊薬）は初診の方でもオンライン診療で相談・処方が可能です。</t>
  </si>
  <si>
    <t>アフターピル（緊急避妊薬）</t>
  </si>
  <si>
    <t>アフターピル,初診,オンライン</t>
  </si>
  <si>
    <t>ピルの処方には内診がありますか？</t>
  </si>
  <si>
    <t>避妊目的の低用量ピル（OC）は問診が中心で、基本的に内診はありません。治療目的（LEP）の場合は検査が必要です。</t>
  </si>
  <si>
    <t>ピル,内診,不安</t>
  </si>
  <si>
    <t>ピルは保険適用されますか？</t>
  </si>
  <si>
    <t>治療目的の低用量ピル（LEP）は保険適用です。避妊目的の低用量ピル（OC）とアフターピルは自由診療となります。</t>
  </si>
  <si>
    <t>ピル,保険,適用</t>
  </si>
  <si>
    <t>ピルの費用はいくらくらいですか？</t>
  </si>
  <si>
    <t>低用量ピル（ピル）は1シート3,000円前後から、定期配送プランもあります。診察料が別途かかります。</t>
  </si>
  <si>
    <t>ピル,費用,料金</t>
  </si>
  <si>
    <t>ピルの処方はどれくらいまとめてもらえますか？/低用量ピルは何ヶ月分まとめて処方してもらえますか？</t>
  </si>
  <si>
    <t>低用量ピル（OC）は最大6ヶ月分、治療目的のLEPは最大3ヶ月分まで処方可能です。</t>
  </si>
  <si>
    <t>ピル,処方,何ヶ月</t>
  </si>
  <si>
    <t>低用量ピルの処方の流れを教えてください</t>
  </si>
  <si>
    <t>ルナレディースクリニックでは、低用量ピルの処方は「来院診療」または「オンライン診療」から選べます。まずは公式LINEからご予約いただき、WEB問診にご回答ください。来院診療の場合は、医師が目的に応じた診察を行い、避妊目的（OCピル）の場合は主に問診のみ、治療目的（LEPピル）の場合は超音波（エコー）検査を行うことがあります。診察後にお薬を処方し、お会計となります。初診時は1シートのみの処方となり、2回目以降はOCピルは最大6ヶ月分、LEPピルは最大3ヶ月分まで処方可能です。オンライン診療は避妊目的の低用量ピル（OC・自費診療）のみ対象で、LINE予約後にWEB問診、電話またはチャットでの診察、決済確認後にお薬を発送します。服用中に不安がある場合は、LINEでいつでもご相談いただけます。</t>
  </si>
  <si>
    <t>低用量ピル（OC,LEP）</t>
  </si>
  <si>
    <t>低用量ピル,ピル処方,診察の流れ,来院診療,オンライン診療,避妊,生理痛</t>
  </si>
  <si>
    <t>ピルの相談はどうやって予約しますか？</t>
  </si>
  <si>
    <t>ルナレディースクリニックでは、低用量ピルの診察は公式LINEまたはお電話からご予約いただけます。避妊目的の低用量ピル（OC）の場合は来院診療・オンライン診療のどちらも選択可能です。治療目的の低用量ピル（LEP）の場合は、症状の診察や検査が必要なため、初診・再診にかかわらず必ず【来院】での診療予約をお願いいたします。
来院診療の場合は「ピル処方」のメニューでご予約ください→https://cline-app.com/qr-codes/98ad6f149bfa20f4f2a9a2e91aac4187/preview
オンライン診療のご予約はこちら→https://liff-gateway.lineml.jp/landing?follow=%40590gpxrd&amp;lp=fX73yx&amp;liff_id=1657094566-LmjNPPbV</t>
  </si>
  <si>
    <t>ピル,予約,方法</t>
  </si>
  <si>
    <t>低用量ピルはどうやって予約すればいいですか？</t>
  </si>
  <si>
    <t>低用量ピルはLINEから予約できますか？</t>
  </si>
  <si>
    <t>LINE予約,婦人科予約,低用量ピル</t>
  </si>
  <si>
    <t>低用量ピルは電話でも予約できますか？</t>
  </si>
  <si>
    <t>電話予約,問い合わせ,低用量ピル</t>
  </si>
  <si>
    <t>低用量ピルは予約なしでも相談できますか？</t>
  </si>
  <si>
    <t>予約なし,受診,低用量ピル</t>
  </si>
  <si>
    <t>低用量ピルの予約前に準備しておくことはありますか？</t>
  </si>
  <si>
    <t>低用量ピルの診察前にはWEB問診へのご回答をお願いしています。避妊目的（OC）の場合は主に服用目的や体調について、治療目的（LEP）の場合は生理痛や月経状況などについてご入力いただきます。事前に回答いただくことで診察がスムーズに進みます。</t>
  </si>
  <si>
    <t>WEB問診,事前準備,低用量ピル</t>
  </si>
  <si>
    <t>低用量ピルは初診でも予約できますか？</t>
  </si>
  <si>
    <t>低用量ピルは初診の方もご予約いただけます。ご予約は公式LINEから受け付けておりますので、友だち追加の上ご利用ください。
※避妊目的の低用量ピル（OC）の場合は来院診療・オンライン診療のどちらも選択可能です。治療目的の低用量ピル（LEP）の場合は、検査が必要なため来院診療での予約をお願いします。
来院診療の場合は「ピル処方」のメニューでご予約ください→https://cline-app.com/qr-codes/98ad6f149bfa20f4f2a9a2e91aac4187/preview
オンライン診療のご予約はこちら→https://liff-gateway.lineml.jp/landing?follow=%40590gpxrd&amp;lp=fX73yx&amp;liff_id=1657094566-LmjNPPbV</t>
  </si>
  <si>
    <t>初診,予約,低用量ピル</t>
  </si>
  <si>
    <t>低用量ピルは来院とオンライン、どちらで予約できますか？</t>
  </si>
  <si>
    <t>ルナレディースクリニックでは、低用量ピルのご相談は来院診療とオンライン診療のどちらでも予約が可能です。ご自身のライフスタイルに合わせて選べます。避妊目的の低用量ピル（OC）の場合は来院診療・オンライン診療のどちらも選択可能です。保険適用のピル（LEP）をご希望の場合は、症状の診察や検査が必要なため、初診・再診にかかわらず必ず【来院】での診療予約をお願いいたします。
来院診療の場合は「ピル処方」のメニューでご予約ください→https://cline-app.com/qr-codes/98ad6f149bfa20f4f2a9a2e91aac4187/preview
オンライン診療のご予約はこちら→https://liff-gateway.lineml.jp/landing?follow=%40590gpxrd&amp;lp=fX73yx&amp;liff_id=1657094566-LmjNPPbV</t>
  </si>
  <si>
    <t>来院診療,オンライン診療,低用量ピル</t>
  </si>
  <si>
    <t>低用量ピルの診察前にWEB問診は必要ですか？</t>
  </si>
  <si>
    <t>低用量ピル,WEB問診,診察準備,避妊,生理痛</t>
  </si>
  <si>
    <t>低用量ピルの診察では何を聞かれますか？</t>
  </si>
  <si>
    <t>低用量ピルの診察では、服用の目的（避妊か治療か）、これまでの月経状況、体調、既往歴などを確認します。避妊目的（OC）の場合は問診が中心となり、治療目的（LEP）の場合は生理痛や症状の経過について詳しくお伺いします。</t>
  </si>
  <si>
    <t>低用量ピル,診察内容,避妊,生理痛</t>
  </si>
  <si>
    <t>避妊目的の低用量ピルの診察の流れを教えてください/OCの診察の流れを教えてください</t>
  </si>
  <si>
    <t>避妊目的の低用量ピル（OC）は、公式LINEまたは電話で予約後、WEB問診に回答し、医師が問診を中心に診察を行います。基本的に内診はありません。ピルの効果や正しい飲み方について説明を受けた後、お薬を処方し、お会計となります。来院診療・オンライン診療のどちらも選択可能です。</t>
  </si>
  <si>
    <t>低用量ピル（OC）</t>
  </si>
  <si>
    <t>低用量ピル,OC,避妊,診察の流れ</t>
  </si>
  <si>
    <t>治療目的の低用量ピルの診察の流れを教えてください/LEPの診察の流れを教えてください</t>
  </si>
  <si>
    <t>治療目的の低用量ピル（LEP）は、公式LINEで来院予約後、WEB問診に回答し、医師が診察を行います。生理痛などの原因を確認するため、必要に応じて超音波（エコー）検査を行います。検査結果をもとに症状に合ったピルを提案し、処方・お会計となります。</t>
  </si>
  <si>
    <t>低用量ピル（LEP）</t>
  </si>
  <si>
    <t>低用量ピル,LEP,生理痛,治療,診察の流れ</t>
  </si>
  <si>
    <t>低用量ピルの初診当日はどこまで進みますか？</t>
  </si>
  <si>
    <t>低用量ピルの初診当日は、問診・診察（治療目的の場合は検査）まで行い、その日のうちにお薬を処方します。初診時はお薬が体に合うか確認するため、1シートのみの処方となります。</t>
  </si>
  <si>
    <t>低用量ピル,初診,当日の流れ</t>
  </si>
  <si>
    <t>低用量ピルは何ヶ月分まとめて処方してもらえますか？</t>
  </si>
  <si>
    <t>2回目以降は、避妊目的の低用量ピル（OC）は最大6ヶ月分、治療目的の低用量ピル（LEP）は最大3ヶ月分までまとめて処方することが可能です。</t>
  </si>
  <si>
    <t>低用量ピル,処方日数,継続</t>
  </si>
  <si>
    <t>低用量ピルの診察後の支払いはいつ行いますか？</t>
  </si>
  <si>
    <t>低用量ピルの診察後、処方内容が決まった時点でお会計となります。オンライン診療の場合は、診察後に送付される決済リンクからお支払いください。</t>
  </si>
  <si>
    <t>低用量ピル,支払い,会計</t>
  </si>
  <si>
    <t>低用量ピルはオンライン診療でも処方できますか？</t>
  </si>
  <si>
    <t>避妊目的の低用量ピル（OC）は初診からオンライン診療で処方可能です。一方、治療目的の低用量ピル（LEP）は検査が必要なため、初診・再診にかかわらず来院診療となります。</t>
  </si>
  <si>
    <t>低用量ピル,オンライン診療,避妊,生理痛</t>
  </si>
  <si>
    <t>オンライン診療で低用量ピルを処方してもらう流れを教えてください</t>
  </si>
  <si>
    <t>オンライン診療は避妊目的の低用量ピル（OC）のみ対象です。公式LINEからオンライン診療を予約し、WEB問診に回答後、予約時間に医師が電話またはチャットで診察を行います。診察後に決済を行い、確認後にお薬を発送します。</t>
  </si>
  <si>
    <t>低用量ピル,オンライン診療,OC,処方の流れ</t>
  </si>
  <si>
    <t>低用量ピルの処方後、相談はできますか？</t>
  </si>
  <si>
    <t>低用量ピルの服用中に不安なことや副作用について気になる点があれば、LINEでいつでもご相談いただけます。</t>
  </si>
  <si>
    <t>低用量ピル,アフターフォロー,相談</t>
  </si>
  <si>
    <t>低用量ピルの診察では、服用目的（避妊・生理痛・PMSなど）、月経周期、体調、既往歴、喫煙の有無などについて確認します。目的に応じて診察内容が異なります。</t>
  </si>
  <si>
    <t>低用量ピル,診察内容,問診,ピル相談</t>
  </si>
  <si>
    <t>避妊目的の低用量ピル（OC）の診察の流れを教えてください</t>
  </si>
  <si>
    <t>避妊目的の低用量ピル（OC）は、主に問診を中心とした診察で処方します。基本的に内診や検査は行わず、医師がピルの効果や飲み方、副作用について説明したうえで処方します。</t>
  </si>
  <si>
    <t>治療目的の低用量ピル（LEP）の診察の流れを教えてください</t>
  </si>
  <si>
    <t>生理痛やPMSなど治療目的の低用量ピル（LEP）の場合、問診に加えて超音波（エコー）検査などを行い、症状の原因を確認したうえで処方します。</t>
  </si>
  <si>
    <t>低用量ピル,LEP,生理痛,診察の流れ</t>
  </si>
  <si>
    <t>低用量ピルの診察後に、お会計となります。来院診療の場合はその場で、オンライン診療の場合は決済リンクからお支払いを行います。</t>
  </si>
  <si>
    <t>低用量ピル,支払い,会計,ピル処方</t>
  </si>
  <si>
    <t>避妊目的の低用量ピル（OC）は、初診からオンライン診療で処方が可能です。一方、治療目的の低用量ピル（LEP）は検査が必要なため、来院診療となります。</t>
  </si>
  <si>
    <t>低用量ピル,オンライン診療,来院診療,ピル処方</t>
  </si>
  <si>
    <t>公式LINEからオンライン診療を予約し、WEB問診に回答後、医師が電話またはチャットで診察を行います。診察後は決済確認後にお薬を発送します。避妊目的の低用量ピル（OC）は、初診からオンライン診療で処方が可能ですが、治療目的の低用量ピル（LEP）は検査が必要なため、来院診療となりますのでご注意ください。</t>
  </si>
  <si>
    <t>低用量ピル,オンライン診療,診察の流れ,ピル郵送</t>
  </si>
  <si>
    <t>低用量ピルの服用中に不安なことがある場合は、LINEからいつでもご相談いただけます。</t>
  </si>
  <si>
    <t>低用量ピル,アフターフォロー,LINE相談,ピル不安</t>
  </si>
  <si>
    <t>アフターピル（緊急避妊薬）とは、避妊に失敗した、または避妊をせずに性行為をしてしまった後に、妊娠を防ぐために服用するお薬です。性行為後できるだけ早く服用することで、高い避妊効果が期待できます。</t>
  </si>
  <si>
    <t>アフターピル,緊急避妊薬,妊娠防止</t>
  </si>
  <si>
    <t>緊急避妊とは何ですか？</t>
  </si>
  <si>
    <t>緊急避妊とは、性行為後に妊娠を防ぐために行う避妊方法のことです。主にアフターピル（緊急避妊薬）を服用する方法があります。</t>
  </si>
  <si>
    <t>緊急避妊,アフターピル,妊娠回避</t>
  </si>
  <si>
    <t>どんなときにアフターピルを使いますか？</t>
  </si>
  <si>
    <t>避妊をしなかった場合や、コンドームが破れた・外れたなど、妊娠の可能性がある性行為があった場合に使用します。</t>
  </si>
  <si>
    <t>アフターピル,避妊失敗,妊娠不安</t>
  </si>
  <si>
    <t>低用量ピルは毎日服用して妊娠を防ぐお薬であるのに対し、アフターピルは性行為後に緊急的に服用するお薬です。目的と飲み方が異なります。</t>
  </si>
  <si>
    <t>アフターピル,低用量ピル,違い</t>
  </si>
  <si>
    <t>アフターピルは何回使っても大丈夫ですか？</t>
  </si>
  <si>
    <t>アフターピルは緊急時の避妊法として使用されるお薬で、将来の妊娠能力に影響するという報告はありません。ただし、繰り返し使用する場合は、継続的な避妊方法についての相談をおすすめします。</t>
  </si>
  <si>
    <t>アフターピル,繰り返し使用,安全性</t>
  </si>
  <si>
    <t>アフターピルは性行為から何時間以内に飲めばいいですか？</t>
  </si>
  <si>
    <t>アフターピルは、性行為後できるだけ早く服用するほど効果が高くなります。種類によって72時間以内、または120時間以内まで服用可能です。</t>
  </si>
  <si>
    <t>アフターピル,何時間以内,服用タイミング</t>
  </si>
  <si>
    <t>アフターピルは72時間を過ぎたらもう間に合いませんか？</t>
  </si>
  <si>
    <t>72時間を過ぎた場合でも、120時間以内であればエラ（エラワン）やジョセイといったアフターピルを服用できる場合があります。</t>
  </si>
  <si>
    <t>アフターピル,72時間以上,120時間</t>
  </si>
  <si>
    <t>アフターピルは120時間以内なら必ず効きますか？</t>
  </si>
  <si>
    <t>120時間以内であっても、避妊効果は100%ではありません。早く服用するほど効果が高いため、できるだけ早い受診と服用が大切です。</t>
  </si>
  <si>
    <t>アフターピル,120時間,避妊効果</t>
  </si>
  <si>
    <t>アフターピルは排卵後でも効果はありますか？</t>
  </si>
  <si>
    <t>アフターピルは排卵を遅らせる作用が主ですが、排卵直前でも効果が期待できる種類があります。状況により医師が判断します。</t>
  </si>
  <si>
    <t>アフターピル,排卵後,効果</t>
  </si>
  <si>
    <t>レボノルゲストレルとは何ですか？</t>
  </si>
  <si>
    <t>レボノルゲストレルは、黄体ホルモン作用の成分が、排卵を遅らせ、子宮内膜の状態を変化させて着床を妨げます。
国内で認可されているため、処方可能な医療機関が多く、エラワンやエラ、ジョセイに比べて安いというメリットがあります。
一方で、性行為後24時間以内に服用した場合の避妊成功率は約95%、72時間以内では約85%と時間が経つほど効果は低下します。</t>
  </si>
  <si>
    <t>レボノルゲストレル,アフターピル,72時間</t>
  </si>
  <si>
    <t>エラとは何ですか？/エラワンとは何ですか？</t>
  </si>
  <si>
    <t>エラ（エラワン）はウリプリスタル製剤とも呼ばれ、黄体ホルモンへの感度を調節することで避妊効果を発揮します。
最大のメリットは性交後120時間以内まで98%という高い避妊効果を維持できる点で、時間が経ってしまった場合の強い味方です。
特に、排卵直前でも強い排卵抑制効果を示し、BMIが30以上の肥満女性でも効果が低下しにくいというメリットがあります。
一方で、国内では未承認薬のため、価格が高い傾向があるというデメリットがあります。
また、取り扱っている医療機関が限られ、オンライン診療による処方が主流です。</t>
  </si>
  <si>
    <t>エラ,エラワン,アフターピル</t>
  </si>
  <si>
    <t>ジョセイとは何ですか？</t>
  </si>
  <si>
    <t>ジョセイはエラ（エラワン）と同じウリプリスタル製剤で、ジェネリック（後発）医薬品です。
取り扱っている医療機関が限られるため、オンライン診療が主流です。
ルナレディースクリニックでは、対面診療でもエラ（エラワン）とジョセイの処方に対応しています。
時間的な余裕がなく郵送が心配な方でも、確実かつ安全にエラ（エラワン）やジョセイを服用していただくことができます。</t>
  </si>
  <si>
    <t>ジョセイ,アフターピル,120時間</t>
  </si>
  <si>
    <t>アフターピルの副作用には何がありますか？</t>
  </si>
  <si>
    <t>吐き気、頭痛、めまい、下痢、腹痛、不正出血、どがみられることがありますが、
ほとんどの副作用は、安静にしていれば数時間〜1日程度でおさまることがほとんどです。
当クリニックでは吐き気止めも処方しています。ご希望があれば、遠慮なく医師にお伝えください。</t>
  </si>
  <si>
    <t>アフターピル,副作用,吐き気</t>
  </si>
  <si>
    <t>アフターピルの飲み方は？</t>
  </si>
  <si>
    <t>当クリニックで処方しているアフターピル（レボノルゲストレル、エラ、ジョセイ）は、全て1回1錠のみで服用が完了します。
アフターピルは時間の経過とともに避妊率が低下するため、食前・食後を問わず、処方後すぐに服用してください。
万一、服用後2時間以内に吐いてしまった場合は、薬の成分が体に吸収されていない可能性があるため、もう一度服用する必要があります。
その場合は、すぐに当クリニックへご連絡ください。</t>
  </si>
  <si>
    <t>アフターピル,飲み方,食前,食後,副作用,吐き気</t>
  </si>
  <si>
    <t>アフターピルの服用後に吐いてしまったらどうなりますか？</t>
  </si>
  <si>
    <t>服用後2時間以内に嘔吐した場合、薬が十分に吸収されていない可能性があるため、早めにご相談ください。</t>
  </si>
  <si>
    <t>アフターピル,嘔吐,飲み直し</t>
  </si>
  <si>
    <t>アフターピルを飲むと不妊になりますか？</t>
  </si>
  <si>
    <t>アフターピルは一時的に作用するお薬で、将来の妊娠能力に影響するという報告はありません。</t>
  </si>
  <si>
    <t>アフターピル,不妊,将来妊娠</t>
  </si>
  <si>
    <t>アフターピルを飲んだ後、生理はいつ来ますか？</t>
  </si>
  <si>
    <t>服用後1〜3週間以内に生理が来ることが多いですが、個人差があります。3週間以上来ない場合は妊娠検査薬の使用をおすすめします。</t>
  </si>
  <si>
    <t>アフターピル,生理いつ,妊娠検査</t>
  </si>
  <si>
    <t>アフターピル服用後、生理が来たら避妊は成功ですか？</t>
  </si>
  <si>
    <t>生理が来た場合、多くは避妊が成功していますが、判断に迷う場合はご相談ください。</t>
  </si>
  <si>
    <t>アフターピル,生理,避妊成功</t>
  </si>
  <si>
    <t>アフターピル服用後、妊娠検査薬はいつ使えばいいですか？</t>
  </si>
  <si>
    <t>性行為から3週間以上経過してから使用することをおすすめします。</t>
  </si>
  <si>
    <t>アフターピル,妊娠検査薬,いつ</t>
  </si>
  <si>
    <t>アフターピルは初診でもオンライン診療で処方できますか？</t>
  </si>
  <si>
    <t>アフターピル,オンライン診療,初診</t>
  </si>
  <si>
    <t>アフターピルのWEB問診では何を聞かれますか？</t>
  </si>
  <si>
    <t>最終月経日、性行為の日時、避妊状況、服用歴などをお伺いします。</t>
  </si>
  <si>
    <t>アフターピル,WEB問診,質問内容</t>
  </si>
  <si>
    <t>アフターピルの内診はありますか？</t>
  </si>
  <si>
    <t>多くの場合、内診なしで処方可能ですが、必要に応じて行うことがあります。</t>
  </si>
  <si>
    <t>アフターピル,内診,診察内容</t>
  </si>
  <si>
    <t>アフターピルの診察は当日どこまで進みますか？</t>
  </si>
  <si>
    <t>診察・説明後、適応があればその場で処方、またはオンライン診療の場合は発送手続きまで進みます。
来院治療の場合の処方の流れはこちらの動画でも説明をしておりますので、よろしければご参考ください。https://www.youtube.com/watch?v=vujdrnpks7Q&amp;t=4s</t>
  </si>
  <si>
    <t>アフターピル,当日,流れ</t>
  </si>
  <si>
    <t>アフターピル服用後に相談はできますか？</t>
  </si>
  <si>
    <t>服用後の体調変化や不安についても、LINEなどでご相談いただけます。</t>
  </si>
  <si>
    <t>アフターピル,服用後相談,副作用不安</t>
  </si>
  <si>
    <t>アフターピルの診察の流れを教えてください</t>
  </si>
  <si>
    <t>ルナレディースクリニックでは、アフターピルは来院診療とオンライン診療の2つの方法で処方しています。来院の場合は、公式LINEから予約・WEB問診後に受付、医師の診察を行い、その場でお薬をお渡しします。オンライン診療の場合は、LINE予約後にWEB問診、医師の電話・チャット診察、決済確認後にお薬を発送します。
来院治療の場合の処方の流れはこちらの動画でも説明をしておりますので、よろしければご参考ください。https://www.youtube.com/watch?v=vujdrnpks7Q&amp;t=4s</t>
  </si>
  <si>
    <t>アフターピル,診察の流れ,来院,オンライン診療</t>
  </si>
  <si>
    <t>アフターピルは来院しなくても処方してもらえますか？</t>
  </si>
  <si>
    <t>ルナレディースクリニックでは、初診の方でもオンライン診療でアフターピルの処方が可能です。LINEから予約・WEB問診・医師の診察・決済まで完結し、ご自宅へお薬をお届けします。</t>
  </si>
  <si>
    <t>アフターピルの予約はどうすればいいですか？</t>
  </si>
  <si>
    <t>ルナレディースクリニックでは、アフターピルの予約は24時間対応の公式LINEから行えます。予約外でも待ち時間が最小限になるよう対応いたします。公式LINEからのご予約とWEB問診での来院が最もスムーズです。女性医師の診察を希望される方は、診療時間内にお電話（050-1730-2768）でご予約ください。
アフターピルは、来院診療・オンライン診療どちらも対応をしております。ご希望の診療方法をご選択ください。
来院診療のご予約：こちらのLINEをご利用ください→https://cline-app.com/qr-codes/98ad6f149bfa20f4f2a9a2e91aac4187/preview
オンライン診療のご予約：こちらのオンライン診療LINEページをご利用ください→https://liff-gateway.lineml.jp/landing?follow=%40590gpxrd&amp;lp=fX73yx&amp;liff_id=1657094566-LmjNPPbVr</t>
  </si>
  <si>
    <t>予約方法,LINE,電話,アフターピル</t>
  </si>
  <si>
    <t>アフターピルはLINEから予約できますか？</t>
  </si>
  <si>
    <t>ルナレディースクリニックでは、公式LINEからアフターピルの診察予約が可能です。24時間いつでもご自身のタイミングで予約できます。
来院診療のご予約：こちらのLINEをご利用ください→https://cline-app.com/qr-codes/98ad6f149bfa20f4f2a9a2e91aac4187/preview
オンライン診療のご予約：こちらのオンライン診療LINEページをご利用ください→https://liff-gateway.lineml.jp/landing?follow=%40590gpxrd&amp;lp=fX73yx&amp;liff_id=1657094566-LmjNPPbV</t>
  </si>
  <si>
    <t>LINE予約,婦人科予約,アフターピル</t>
  </si>
  <si>
    <t>アフターピルは電話でも予約できますか？</t>
  </si>
  <si>
    <t>LINEでの予約後、事前問診等もLINEから行うことができ、スムーズに受診ができるため、当院ではLINEでのご予約を推奨しております。
来院診療のご予約：こちらのLINEをご利用ください→https://cline-app.com/qr-codes/98ad6f149bfa20f4f2a9a2e91aac4187/preview
オンライン診療のご予約：こちらのオンライン診療LINEページをご利用ください→https://liff-gateway.lineml.jp/landing?follow=%40590gpxrd&amp;lp=fX73yx&amp;liff_id=1657094566-LmjNPPbV</t>
  </si>
  <si>
    <t>電話予約,問い合わせ,アフターピル</t>
  </si>
  <si>
    <t>アフターピルは予約なしでも相談できますか？</t>
  </si>
  <si>
    <t>予約なし,受診,アフターピル</t>
  </si>
  <si>
    <t>アフターピルの予約前に準備しておくことはありますか？</t>
  </si>
  <si>
    <t>ルナレディースクリニックでは、アフターピルの診察前にWEB問診の入力をお願いしています。最終月経日や性行為の日時などを事前に入力することで、診察がスムーズになります。みます。</t>
  </si>
  <si>
    <t>WEB問診,事前準備,アフターピル</t>
  </si>
  <si>
    <t>アフターピルは初診でも予約できますか？</t>
  </si>
  <si>
    <t>アフターピルは初診の方もご予約いただけます。ご予約は公式LINEから受け付けておりますので、友だち追加の上ご利用ください。
来院診療のご予約：こちらのLINEをご利用ください→https://cline-app.com/qr-codes/98ad6f149bfa20f4f2a9a2e91aac4187/preview
オンライン診療のご予約：こちらのオンライン診療LINEページをご利用ください→https://liff-gateway.lineml.jp/landing?follow=%40590gpxrd&amp;lp=fX73yx&amp;liff_id=1657094566-LmjNPPbV</t>
  </si>
  <si>
    <t>初診,予約,アフターピル</t>
  </si>
  <si>
    <t>アフターピルは来院とオンライン、どちらで予約できますか？</t>
  </si>
  <si>
    <t>ルナレディースクリニックでは、アフターピルのご相談は来院診療とオンライン診療のどちらでも予約が可能です。ご自身のライフスタイルに合わせて選べます。
来院診療のご予約：こちらのLINEをご利用ください→https://cline-app.com/qr-codes/98ad6f149bfa20f4f2a9a2e91aac4187/preview
オンライン診療のご予約：こちらのオンライン診療LINEページをご利用ください→https://liff-gateway.lineml.jp/landing?follow=%40590gpxrd&amp;lp=fX73yx&amp;liff_id=1657094566-LmjNPPbV</t>
  </si>
  <si>
    <t>来院診療,オンライン診療,アフターピル</t>
  </si>
  <si>
    <t>アフターピルの診察前にWEB問診は必要ですか？</t>
  </si>
  <si>
    <t>ルナレディースクリニックでは、アフターピルの診察前にWEB問診の入力をお願いしています。最終月経日や性行為の日時などを事前に入力することで、診察がスムーズになります。</t>
  </si>
  <si>
    <t>アフターピル,WEB問診,事前準備</t>
  </si>
  <si>
    <t>アフターピルの診察では何を聞かれますか？</t>
  </si>
  <si>
    <t>ルナレディースクリニックのアフターピル診察では、最終月経日、心配な性行為の日時、避妊状況、過去のアフターピル服用歴、アレルギーや持病などを確認します。</t>
  </si>
  <si>
    <t>アフターピル,診察内容,問診</t>
  </si>
  <si>
    <t>アフターピルの診察で内診はありますか？</t>
  </si>
  <si>
    <t>アフターピルの診察は、原則として内診なしで処方可能な場合がほとんどです。ただし、医師が必要と判断した場合には内診や超音波検査を行うことがあります。</t>
  </si>
  <si>
    <t>アフターピル,内診,検査</t>
  </si>
  <si>
    <t>アフターピルは初診当日に処方されますか？</t>
  </si>
  <si>
    <t>ルナレディースクリニックでは、診察後すぐにアフターピルを処方しています。来院診療の場合は当日お渡し、オンライン診療の場合は決済確認後に当日または翌日に発送します。</t>
  </si>
  <si>
    <t>アフターピル,即日処方,初診</t>
  </si>
  <si>
    <t>アフターピルの支払いはいつ行いますか？</t>
  </si>
  <si>
    <t>アフターピルの支払いは、診察後に行います。来院診療では受付でのお会計、オンライン診療では決済リンクからクレジットカード決済となります。</t>
  </si>
  <si>
    <t>アフターピル,支払い,決済方法</t>
  </si>
  <si>
    <t>アフターピル処方後に相談はできますか？</t>
  </si>
  <si>
    <t>ルナレディースクリニックでは、アフターピル服用後の体調不安やご質問について、LINEでの相談が可能です。服用後2時間以内の嘔吐などがあった場合も早めにご相談ください。</t>
  </si>
  <si>
    <t>アフターピル,アフターケア,相談</t>
  </si>
  <si>
    <t>アフターピル服用後は何に注意すればいいですか？</t>
  </si>
  <si>
    <t>アフターピル服用後は避妊を継続し、3週間後に妊娠検査薬を使用することをおすすめしています。体調不良がある場合は、ルナレディースクリニックへご相談ください。</t>
  </si>
  <si>
    <t>アフターピル,服用後,注意点</t>
  </si>
  <si>
    <t>ミレーナとは何ですか？</t>
  </si>
  <si>
    <t>ミレーナ（Mirena／子宮内システム・IUS）は、子宮内に装着するT字型の医療器具で、黄体ホルモンを持続的に放出することで、生理痛や経血量の多さを改善したり、長期的な避妊効果を得る治療法です。</t>
  </si>
  <si>
    <t>ミレーナ 子宮内システム,ミレーナ とは,ミレーナ 治療</t>
  </si>
  <si>
    <t>ミレーナはどんな人が対象ですか？</t>
  </si>
  <si>
    <t>ミレーナ（Mirena／子宮内システム・IUS）は、毎月の生理痛や経血量の多さに悩んでいる方、低用量ピルが体質に合わない方、毎日の服薬管理が負担な方などが対象です。</t>
  </si>
  <si>
    <t>ミレーナ 対象,ミレーナ ピル 合わない</t>
  </si>
  <si>
    <t>ミレーナはどのような仕組みで効果を発揮しますか？</t>
  </si>
  <si>
    <t>ミレーナは、子宮内に装着した器具から黄体ホルモンを持続的に放出し、月経症状の原因となる子宮内膜が厚くなるのを抑制する仕組みです。</t>
  </si>
  <si>
    <t>ミレーナ仕組み</t>
  </si>
  <si>
    <t>ミレーナ,仕組み,黄体ホルモン</t>
  </si>
  <si>
    <t>ミレーナはどんな悩みに使われますか？</t>
  </si>
  <si>
    <t>ミレーナは、ひどい生理痛や経血量の多さといった月経に関する症状の治療や、長期的な避妊を目的として使用されます。</t>
  </si>
  <si>
    <t>ミレーナ適応</t>
  </si>
  <si>
    <t>ミレーナ,生理痛,過多月経,避妊</t>
  </si>
  <si>
    <t>ミレーナは保険適用になりますか？</t>
  </si>
  <si>
    <t>ミレーナは使用目的によって保険適用の有無が異なります。生理痛や経血量の多さなどの治療目的の場合は保険が適用されます。</t>
  </si>
  <si>
    <t>ミレーナ保険</t>
  </si>
  <si>
    <t>ミレーナ,保険適用,治療目的</t>
  </si>
  <si>
    <t>治療目的でミレーナを使用する場合の特徴は何ですか？</t>
  </si>
  <si>
    <t>治療目的でミレーナを使用する場合、保険診療となり、経血量の減少や生理痛の緩和が主な効果です。症状の原因を診断するため、超音波（エコー）検査などを行います。</t>
  </si>
  <si>
    <t>ミレーナ治療目的</t>
  </si>
  <si>
    <t>ミレーナ,治療,生理痛,経血量</t>
  </si>
  <si>
    <t>避妊目的でミレーナを使用する場合は保険適用されますか？</t>
  </si>
  <si>
    <t>長期的な避妊を主な目的としてミレーナを使用する場合は、自費診療となり、保険は適用されません。</t>
  </si>
  <si>
    <t>ミレーナ避妊目的</t>
  </si>
  <si>
    <t>ミレーナ,避妊,自費診療</t>
  </si>
  <si>
    <t>避妊目的のミレーナにはどんな効果がありますか？</t>
  </si>
  <si>
    <t>避妊目的で使用するミレーナには、最長5年間の高い避妊効果（99.8%以上）が期待できます。</t>
  </si>
  <si>
    <t>ミレーナ避妊効果</t>
  </si>
  <si>
    <t>ミレーナ,避妊効果,5年間</t>
  </si>
  <si>
    <t>避妊目的でミレーナを使用する場合、検査は必要ですか？</t>
  </si>
  <si>
    <t>避妊目的でミレーナを使用する場合は、主に問診が中心となり、安全性が確認できれば内診や検査は必須ではありません。</t>
  </si>
  <si>
    <t>ミレーナ検査</t>
  </si>
  <si>
    <t>ミレーナ,問診,検査</t>
  </si>
  <si>
    <t>ミレーナの効果はどれくらい続きますか？</t>
  </si>
  <si>
    <t>ミレーナは、治療目的・避妊目的のいずれの場合でも、一度装着すれば最長5年間効果が持続します。</t>
  </si>
  <si>
    <t>ミレーナ期間</t>
  </si>
  <si>
    <t>ミレーナ,効果期間,5年</t>
  </si>
  <si>
    <t>治療目的でミレーナを使っても避妊効果はありますか？</t>
  </si>
  <si>
    <t>治療目的でミレーナを装着した場合でも、副次的に高い避妊効果が得られます。</t>
  </si>
  <si>
    <t>ミレーナ副次効果</t>
  </si>
  <si>
    <t>ミレーナ,治療,避妊効果</t>
  </si>
  <si>
    <t>ミレーナの効果はいつから実感できますか？</t>
  </si>
  <si>
    <t>ミレーナ（Mirena／子宮内システム・IUS）の効果は、装着後1〜3か月ほどで徐々に実感されることが多いです。</t>
  </si>
  <si>
    <t>ミレーナ 効果 いつ,ミレーナ 生理 改善</t>
  </si>
  <si>
    <t>ミレーナの効果はどれくらい続きますか？/ミレーナは何年間使えますか？</t>
  </si>
  <si>
    <t>ミレーナ（Mirena／子宮内システム・IUS）は、1回の装着で最長5年間効果が持続します。</t>
  </si>
  <si>
    <t>ミレーナ 効果 期間,ミレーナ 5年</t>
  </si>
  <si>
    <t>ミレーナを継続したい場合はどうしますか？</t>
  </si>
  <si>
    <t>5年経過時に抜去し、同日に新しいミレーナを再装着することも可能です。</t>
  </si>
  <si>
    <t>ミレーナ,継続,交換</t>
  </si>
  <si>
    <t>ミレーナ装着時の痛みはどの程度でしょうか？</t>
  </si>
  <si>
    <t>痛みを心配されるのは当然のことです。痛みの感じ方には個人差があり、特に出産経験の有無によって異なります。出産経験のない方は生理痛のような痛みを感じやすい傾向にありますが、当院では、患者様の状態を確認しながら、痛みを最小限に抑えるよう細心の注意を払って処置を行います。</t>
  </si>
  <si>
    <t>ミレーナ,痛み,装着時</t>
  </si>
  <si>
    <t>ミレーナの副作用にはどんなものがありますか？</t>
  </si>
  <si>
    <t>最も多いのは、装着後数ヶ月間にわたる不正出血です。これはミレーナが子宮に馴染む過程で起こるもので、多くの場合、時間の経過とともにおさまります。その他、下腹部痛などが起こることもありますが、ご不安な症状があれば、検診を待たずにいつでもご相談ください。</t>
  </si>
  <si>
    <t>ミレーナ 副作用,ミレーナ 不正出血</t>
  </si>
  <si>
    <t>低用量ピルとミレーナはどちらが良いですか？</t>
  </si>
  <si>
    <t>低用量ピルとミレーナはそれぞれに利点があり、どちらが適しているかは患者様のご希望やライフスタイルによって異なります。大きな違いは、ピルが全身に作用するのに対し、ミレーナはホルモンの作用が子宮内に限定される点です。そのため、血栓症のリスクが極めて低く、全身的な副作用も起こりにくいのが特徴です。</t>
  </si>
  <si>
    <t>ミレーナ ピル 比較,ミレーナ 低用量ピル 違い</t>
  </si>
  <si>
    <t>ミレーナを使えない人はいますか？</t>
  </si>
  <si>
    <t>妊娠中の方、子宮の形に大きな異常がある方、活動性の感染症がある方などは使用できません。</t>
  </si>
  <si>
    <t>ミレーナ 禁忌,ミレーナ 使えない人</t>
  </si>
  <si>
    <t>ミレーナの診察・装着の流れを教えてください</t>
  </si>
  <si>
    <t>ルナレディースクリニックでは、ミレーナ（Mirena／子宮内システム・IUS）の診察・装着は以下の流れで行います。まず、公式LINEまたはお電話でご予約のうえご来院ください。事前にWEB問診へご入力いただくと受付がスムーズです。次に、医師が問診内容をもとに診察を行い、安全に装着できるか確認するため、内診台で超音波（エコー）検査を行います。問題がなければ、月経4〜7日目頃に装着日を予約します。装着当日は、腟鏡で子宮の入口を確認・消毒し、子宮の大きさを測定したうえで専用器具を使ってミレーナを子宮内に挿入します。処置は数分で終了します。装着後は、1か月後・半年後・1年後、その後は年1回の定期検診で位置確認を行います。</t>
  </si>
  <si>
    <t>ミレーナ 診察 流れ,ミレーナ 装着 流れ,ミレーナ エコー検査,ミレーナ 定期検診</t>
  </si>
  <si>
    <t>ミレーナはいつ装着しますか？</t>
  </si>
  <si>
    <t>ミレーナ（Mirena／子宮内システム・IUS）は、月経4〜7日目頃に装着することが一般的です。</t>
  </si>
  <si>
    <t>ミレーナ 装着 時期,ミレーナ いつ</t>
  </si>
  <si>
    <t>ミレーナ装着後の注意点はありますか？</t>
  </si>
  <si>
    <t>装着当日からシャワーは可能で、日常生活に大きな制限はありません。ただし、感染予防の観点から、装着後数日間はタンポンの使用、性交渉、湯船での入浴はお控えいただくようご案内しています。</t>
  </si>
  <si>
    <t>ミレーナ 注意点,ミレーナ 装着後</t>
  </si>
  <si>
    <t>ミレーナは来院で診察できますか？</t>
  </si>
  <si>
    <t>ミレーナ（Mirena／子宮内システム・IUS）は来院診療で行います。</t>
  </si>
  <si>
    <t>ミレーナ 来院診療,ミレーナ 婦人科</t>
  </si>
  <si>
    <t>ミレーナはオンライン診療でできますか？</t>
  </si>
  <si>
    <t>ミレーナ（Mirena／子宮内システム・IUS）の装着は医療行為のため、オンライン診療のみでは対応できません。</t>
  </si>
  <si>
    <t>ミレーナ オンライン 不可,ミレーナ 診療方法</t>
  </si>
  <si>
    <t>初診でもミレーナの相談はできますか？</t>
  </si>
  <si>
    <t>ミレーナ（Mirena／子宮内システム・IUS）は初診の方でもご相談いただけます。</t>
  </si>
  <si>
    <t>ミレーナ 初診,ミレーナ 相談</t>
  </si>
  <si>
    <t>ミレーナの診察では内診や検査はありますか？</t>
  </si>
  <si>
    <t>装着前に安全確認のため、超音波（エコー）検査などを行います。</t>
  </si>
  <si>
    <t>ミレーナ 内診,ミレーナ エコー検査</t>
  </si>
  <si>
    <t>ミレーナは保険適用されますか？</t>
  </si>
  <si>
    <t>過多月経や月経困難症の治療目的で使用する場合は保険適用となります。避妊目的の場合は、自費診療となります。</t>
  </si>
  <si>
    <t>ミレーナ 保険適用,ミレーナ 治療目的</t>
  </si>
  <si>
    <t>ミレーナの費用はいくらくらいですか？</t>
  </si>
  <si>
    <t>治療目的（3割負担）の場合は約10,000〜12,000円、避妊目的の自費診療では約75,500円が目安です。</t>
  </si>
  <si>
    <t>ミレーナ 費用,ミレーナ 料金</t>
  </si>
  <si>
    <t>ミレーナの支払い方法は何がありますか？</t>
  </si>
  <si>
    <t>現金、クレジットカード、電子マネーでのお支払いが可能です。</t>
  </si>
  <si>
    <t>ミレーナ 支払い方法,ミレーナ クレジットカード</t>
  </si>
  <si>
    <t>ミレーナの予約はどうすればいいですか？</t>
  </si>
  <si>
    <t>公式LINEからご予約いただけます。メニューは「一般婦人科診療」をご選択いただき、ご予約ください。LINEはこちら→https://cline-app.com/qr-codes/98ad6f149bfa20f4f2a9a2e91aac4187/preview</t>
  </si>
  <si>
    <t>予約方法,LINE,電話,ミレーナ</t>
  </si>
  <si>
    <t>ミレーナはLINEから予約できますか？</t>
  </si>
  <si>
    <t>ルナレディースクリニックでは、公式LINEからミレーナの診察予約が可能です。24時間いつでもご自身のタイミングで予約できます。メニューは「一般婦人科診療」をご選択いただき、ご予約ください。
こちらのLINEをご利用ください→https://cline-app.com/qr-codes/98ad6f149bfa20f4f2a9a2e91aac4187/preview</t>
  </si>
  <si>
    <t>LINE予約,婦人科予約,ミレーナ</t>
  </si>
  <si>
    <t>ミレーナは電話でも予約できますか？</t>
  </si>
  <si>
    <t>電話予約,問い合わせ,ミレーナ</t>
  </si>
  <si>
    <t>ミレーナは予約なしでも相談できますか？</t>
  </si>
  <si>
    <t>ミレーナは検査や装着の準備が必要なため、事前予約をお願いしています。</t>
  </si>
  <si>
    <t>予約なし,受診,ミレーナ</t>
  </si>
  <si>
    <t>ミレーナの予約前に準備しておくことはありますか？</t>
  </si>
  <si>
    <t>ルナレディースクリニックでは、ミレーナの診察前にWEB問診の入力をお願いしています。事前に入力することで、診察がスムーズになります。みます。</t>
  </si>
  <si>
    <t>WEB問診,事前準備,ミレーナ</t>
  </si>
  <si>
    <t>ミレーナは初診でも予約できますか？</t>
  </si>
  <si>
    <t>ミレーナは初診の方もご予約いただけます。ご予約は公式LINEから受け付けておりますので、友だち追加の上ご利用ください。メニューは「一般婦人科診療」をご選択いただき、ご予約ください。
LINEはこちら→https://cline-app.com/qr-codes/98ad6f149bfa20f4f2a9a2e91aac4187/preview</t>
  </si>
  <si>
    <t>初診,予約,ミレーナ</t>
  </si>
  <si>
    <t>ミレーナは来院とオンライン、どちらで予約できますか？</t>
  </si>
  <si>
    <t>ルナレディースクリニックでは、ミレーナのご相談は来院診療のみで承っています。予約の際は、こちらのLINEをご利用ください→https://cline-app.com/qr-codes/98ad6f149bfa20f4f2a9a2e91aac4187/preview　メニューは「一般婦人科診療」をご選択いただき、ご予約ください。</t>
  </si>
  <si>
    <t>来院診療,オンライン診療,ミレーナ</t>
  </si>
  <si>
    <t>おりものの異常とは何ですか？</t>
  </si>
  <si>
    <t>おりものの異常とは、色・量・臭い・性状が普段と異なる状態を指します。感染症や膣内環境の乱れが原因となることがあります。</t>
  </si>
  <si>
    <t>おりもの異常,膣分泌物異常,おりもの,色,臭い</t>
  </si>
  <si>
    <t>おりものが白くポロポロしていますが大丈夫ですか？</t>
  </si>
  <si>
    <t>白くポロポロしたおりもの（カッテージチーズや酒粕のような状態）は、おりものの異常のサインの一つです。おりものの変化は多くの女性が経験する身近な悩みであり、その多くは適切な治療によって改善できます。大切なのは、そのサインを見逃さずに専門医へ相談することです。当院では患者さまの不安に寄り添い、一緒に解決策を見つけていきます。お気軽にご相談ください。</t>
  </si>
  <si>
    <t>おりもの異常</t>
  </si>
  <si>
    <t>おりもの異常,白いおりもの,ポロポロ,カンジダ</t>
  </si>
  <si>
    <t>おりものが黄色や緑色っぽいのは異常ですか？</t>
  </si>
  <si>
    <t>黄色〜緑色がかったおりものは、感染症などが原因で起こることがあります。自己判断せず、専門医による診察を受けることで原因を確認し、適切な治療につなげることができます。おりものの変化は多くの女性が経験する身近な悩みであり、その多くは適切な治療によって改善できます。大切なのは、そのサインを見逃さずに専門医へ相談することです。当院では患者さまの不安に寄り添い、一緒に解決策を見つけていきます。お気軽にご相談ください。</t>
  </si>
  <si>
    <t>おりもの異常,黄色のおりもの,緑色のおりもの</t>
  </si>
  <si>
    <t>泡立つおりものが出ていますが問題ありますか？</t>
  </si>
  <si>
    <t>泡立つおりものは、おりもの異常のサインの一つとされています。原因によって治療法が異なるため、気になる場合は専門医への相談をおすすめします。おりものの変化は多くの女性が経験する身近な悩みであり、その多くは適切な治療によって改善できます。大切なのは、そのサインを見逃さずに専門医へ相談することです。当院では患者さまの不安に寄り添い、一緒に解決策を見つけていきます。お気軽にご相談ください。</t>
  </si>
  <si>
    <t>おりもの異常,泡立つおりもの</t>
  </si>
  <si>
    <t>おりものが灰色っぽいのですが受診した方がいいですか？</t>
  </si>
  <si>
    <t>灰色がかったおりものは、膣内環境の乱れなどが関係している場合があります。おりものの色の変化に気づいたら、早めに専門医へご相談ください。おりものの変化は多くの女性が経験する身近な悩みであり、その多くは適切な治療によって改善できます。大切なのは、そのサインを見逃さずに専門医へ相談することです。当院では患者さまの不安に寄り添い、一緒に解決策を見つけていきます。お気軽にご相談ください。</t>
  </si>
  <si>
    <t>おりもの異常,灰色のおりもの</t>
  </si>
  <si>
    <t>おりものに血が混じっていますが大丈夫ですか？</t>
  </si>
  <si>
    <t>茶色いおりものや血液が混じる場合、体の変化や病気が隠れている可能性があります。おりものの変化は多くの女性が経験する身近な悩みであり、その多くは適切な治療によって改善できます。大切なのは、そのサインを見逃さずに専門医へ相談することです。当院では患者さまの不安に寄り添い、一緒に解決策を見つけていきます。お気軽にご相談ください。</t>
  </si>
  <si>
    <t>おりもの異常,血の混じったおりもの</t>
  </si>
  <si>
    <t>おりものの量が急に増えましたが異常ですか？</t>
  </si>
  <si>
    <t>明らかにおりものの量が増えた場合は、体調や膣内環境の変化が影響していることがあります。おりものの変化は多くの女性が経験する身近な悩みであり、その多くは適切な治療によって改善できます。大切なのは、そのサインを見逃さずに専門医へ相談することです。当院では患者さまの不安に寄り添い、一緒に解決策を見つけていきます。お気軽にご相談ください。</t>
  </si>
  <si>
    <t>おりもの異常,おりもの量が多い</t>
  </si>
  <si>
    <t>水のようにサラサラしたおりものは問題ありますか？</t>
  </si>
  <si>
    <t>水のようにサラサラしたおりものも、状態によっては検査が必要な場合があります。おりものの変化は多くの女性が経験する身近な悩みであり、その多くは適切な治療によって改善できます。大切なのは、そのサインを見逃さずに専門医へ相談することです。当院では患者さまの不安に寄り添い、一緒に解決策を見つけていきます。お気軽にご相談ください。</t>
  </si>
  <si>
    <t>おりもの異常,水っぽいおりもの</t>
  </si>
  <si>
    <t>おりものが魚が腐ったような臭いがします</t>
  </si>
  <si>
    <t>魚が腐ったような生臭い臭いは、おりもの異常のサインの一つです。おりものの変化は多くの女性が経験する身近な悩みであり、その多くは適切な治療によって改善できます。大切なのは、そのサインを見逃さずに専門医へ相談することです。当院では患者さまの不安に寄り添い、一緒に解決策を見つけていきます。お気軽にご相談ください。</t>
  </si>
  <si>
    <t>おりもの異常,生臭い臭い,魚の臭い</t>
  </si>
  <si>
    <t>おりものの臭いがいつもと違いますが受診すべきですか？</t>
  </si>
  <si>
    <t>いつもと違う酸っぱい臭いや悪臭がする場合は、膣内環境の乱れや感染症が関係していることがあります。おりものの変化は多くの女性が経験する身近な悩みであり、その多くは適切な治療によって改善できます。大切なのは、そのサインを見逃さずに専門医へ相談することです。当院では患者さまの不安に寄り添い、一緒に解決策を見つけていきます。お気軽にご相談ください。</t>
  </si>
  <si>
    <t>おりもの異常,おりものの臭い,悪臭</t>
  </si>
  <si>
    <t>外陰部に強いかゆみがありますが関係ありますか？</t>
  </si>
  <si>
    <t>外陰部（デリケートゾーン）の強いかゆみは、おりもの異常と関連して起こることがあります。自己判断せず、医師の診察を受けることをおすすめします。おりものの変化は多くの女性が経験する身近な悩みであり、その多くは適切な治療によって改善できます。大切なのは、そのサインを見逃さずに専門医へ相談することです。当院では患者さまの不安に寄り添い、一緒に解決策を見つけていきます。お気軽にご相談ください。</t>
  </si>
  <si>
    <t>おりもの異常,外陰部のかゆみ</t>
  </si>
  <si>
    <t>性交時に痛みがありますが相談できますか？</t>
  </si>
  <si>
    <t>性交時の痛みは、おりもの異常や膣内のトラブルが関係している場合があります。不安な症状がある場合は、専門医にご相談ください。おりものの変化は多くの女性が経験する身近な悩みであり、その多くは適切な治療によって改善できます。大切なのは、そのサインを見逃さずに専門医へ相談することです。当院では患者さまの不安に寄り添い、一緒に解決策を見つけていきます。お気軽にご相談ください。</t>
  </si>
  <si>
    <t>おりもの異常,性交痛</t>
  </si>
  <si>
    <t>下腹部に痛みがありますが受診の目安ですか？</t>
  </si>
  <si>
    <t>下腹部の痛みや出血がある場合、症状の内容によって受診可否やご案内が異なります。
個別の確認が必要となるため、恐れ入りますがお電話にてご相談ください。お電話は 050-1730-2768 となります。</t>
  </si>
  <si>
    <t>おりもの異常,下腹部痛</t>
  </si>
  <si>
    <t>おりものの変化はよくあることですか？</t>
  </si>
  <si>
    <t>おりものの変化は多くの女性が経験する身近な悩みであり、その多くは適切な治療によって改善できます。大切なのは、そのサインを見逃さずに専門医へ相談することです。当院では患者さまの不安に寄り添い、一緒に解決策を見つけていきます。お気軽にご相談ください。</t>
  </si>
  <si>
    <t>おりもの異常,よくある症状</t>
  </si>
  <si>
    <t>おりものに異変を感じたらどうすればいいですか？</t>
  </si>
  <si>
    <t>大切なのは、そのサインを見逃さずに専門医へ相談することです。当院では患者さまの不安に寄り添い、一緒に解決策を見つけていきます。お気軽にご相談ください。</t>
  </si>
  <si>
    <t>おりもの異常,相談,婦人科</t>
  </si>
  <si>
    <t>おりものの異常はどんな人が対象ですか？</t>
  </si>
  <si>
    <t>年齢に関係なく、おりものの変化や違和感に気づいた方が対象です。</t>
  </si>
  <si>
    <t>おりもの異常,対象,婦人科</t>
  </si>
  <si>
    <t>おりものの異常はなぜ起こりますか？</t>
  </si>
  <si>
    <t>細菌や真菌の増殖、性感染症、膣内の善玉菌バランスの乱れなどが原因で起こります。</t>
  </si>
  <si>
    <t>おりもの異常,原因,細菌,真菌,性感染症</t>
  </si>
  <si>
    <t>治療するとどんな効果がありますか？</t>
  </si>
  <si>
    <t>原因に応じた治療により、かゆみや臭い、おりものの異常は改善が期待できます。</t>
  </si>
  <si>
    <t>おりもの異常,治療効果,改善</t>
  </si>
  <si>
    <t>おりもの異常で考えられる病気には何がありますか？</t>
  </si>
  <si>
    <t>膣カンジダ症、細菌性膣症、トリコモナス膣炎、クラミジア感染症、淋菌感染症などがあります。</t>
  </si>
  <si>
    <t>おりもの異常,膣カンジダ,細菌性膣症,性感染症</t>
  </si>
  <si>
    <t>おりもの検査でどの病気かはどうやって判断しますか？</t>
  </si>
  <si>
    <t>内診でのおりもの検査や顕微鏡検査、培養検査、遺伝子検査などで原因を特定します。</t>
  </si>
  <si>
    <t>おりもの検査,原因特定,顕微鏡検査</t>
  </si>
  <si>
    <t>膣カンジダ症とはどんな病気ですか？</t>
  </si>
  <si>
    <t>膣カンジダ症とは、常在菌であるカンジダ真菌が増殖することで起こる病気です。白くポロポロしたカッテージチーズ状のおりものや、強いかゆみが特徴です。大切なのは、そのサインを見逃さずに専門医へ相談することです。当院では患者さまの不安に寄り添い、一緒に解決策を見つけていきます。お気軽にご相談ください。</t>
  </si>
  <si>
    <t>膣カンジダ症,白いおりもの,かゆみ</t>
  </si>
  <si>
    <t>白くポロポロしたおりものは何の病気の可能性がありますか？</t>
  </si>
  <si>
    <t>白くポロポロしたカッテージチーズ状のおりものが見られる場合、膣カンジダ症が考えられます。強いかゆみを伴うことが多いのが特徴です。大切なのは、そのサインを見逃さずに専門医へ相談することです。当院では患者さまの不安に寄り添い、一緒に解決策を見つけていきます。お気軽にご相談ください。</t>
  </si>
  <si>
    <t>白いおりもの,ポロポロ,膣カンジダ症</t>
  </si>
  <si>
    <t>細菌性膣症とはどんな病気ですか？</t>
  </si>
  <si>
    <t>細菌性膣症とは、膣内の善玉菌が減少し、悪玉菌が増えることで膣内環境が乱れる病気です。灰色っぽく水っぽいおりものや、魚の生臭い臭いが特徴です。大切なのは、そのサインを見逃さずに専門医へ相談することです。当院では患者さまの不安に寄り添い、一緒に解決策を見つけていきます。お気軽にご相談ください。</t>
  </si>
  <si>
    <t>細菌性膣症,灰色のおりもの,生臭い臭い</t>
  </si>
  <si>
    <t>魚のような生臭い臭いのおりものは何が原因ですか？</t>
  </si>
  <si>
    <t>魚のような生臭い臭いを伴うおりものは、細菌性膣症が原因となっている場合があります。膣内環境の乱れが関係しています。大切なのは、そのサインを見逃さずに専門医へ相談することです。当院では患者さまの不安に寄り添い、一緒に解決策を見つけていきます。お気軽にご相談ください。</t>
  </si>
  <si>
    <t>生臭い臭い,細菌性膣症</t>
  </si>
  <si>
    <t>トリコモナス膣炎とはどんな病気ですか？</t>
  </si>
  <si>
    <t>トリコモナス膣炎とは、性感染症（STD）の一つで、原虫の一種が原因となる病気です。黄〜緑色で泡立つおりものや、悪臭、強いかゆみが特徴です。大切なのは、そのサインを見逃さずに専門医へ相談することです。当院では患者さまの不安に寄り添い、一緒に解決策を見つけていきます。お気軽にご相談ください。</t>
  </si>
  <si>
    <t>トリコモナス膣炎,泡立つおりもの,性感染症</t>
  </si>
  <si>
    <t>泡立つ黄緑色のおりものは性病ですか？</t>
  </si>
  <si>
    <t>黄〜緑色で泡立つおりものが見られる場合、トリコモナス膣炎などの性感染症が考えられます。正確な診断のため、専門医への相談が必要です。大切なのは、そのサインを見逃さずに専門医へ相談することです。当院では患者さまの不安に寄り添い、一緒に解決策を見つけていきます。お気軽にご相談ください。</t>
  </si>
  <si>
    <t>泡立つおりもの,黄緑色,トリコモナス</t>
  </si>
  <si>
    <t>クラミジア感染症とはどんな病気ですか？</t>
  </si>
  <si>
    <t>クラミジア感染症とは、性感染症（STD）の一つで、日本で最も多いとされています。水っぽい、または黄色いおりものが増えることがあり、症状が出にくい場合もあります。大切なのは、そのサインを見逃さずに専門医へ相談することです。当院では患者さまの不安に寄り添い、一緒に解決策を見つけていきます。お気軽にご相談ください。</t>
  </si>
  <si>
    <t>クラミジア感染症,水っぽいおりもの,性感染症</t>
  </si>
  <si>
    <t>おりものが増えていますが自覚症状が少ない場合もありますか？</t>
  </si>
  <si>
    <t>クラミジア感染症などでは、水っぽい、または黄色いおりものが増えても、自覚症状がほとんど出ない場合があります。下腹部痛を伴うこともあります。大切なのは、そのサインを見逃さずに専門医へ相談することです。当院では患者さまの不安に寄り添い、一緒に解決策を見つけていきます。お気軽にご相談ください。</t>
  </si>
  <si>
    <t>おりもの増加,クラミジア</t>
  </si>
  <si>
    <t>淋菌感染症とはどんな病気ですか？</t>
  </si>
  <si>
    <t>淋菌感染症とは、性感染症（STD）の一つで、黄色く膿のようなおりものや、排尿時痛、下腹部痛が見られることがあります。大切なのは、そのサインを見逃さずに専門医へ相談することです。当院では患者さまの不安に寄り添い、一緒に解決策を見つけていきます。お気軽にご相談ください。</t>
  </si>
  <si>
    <t>淋菌感染症,黄色いおりもの,性感染症</t>
  </si>
  <si>
    <t>膿のような黄色いおりものが出ていますが原因は何ですか？</t>
  </si>
  <si>
    <t>黄色く膿のようなおりものが見られる場合、淋菌感染症が原因となっている可能性があります。クラミジア感染症との合併も多いとされています。大切なのは、そのサインを見逃さずに専門医へ相談することです。当院では患者さまの不安に寄り添い、一緒に解決策を見つけていきます。お気軽にご相談ください。</t>
  </si>
  <si>
    <t>黄色いおりもの,膿,淋菌</t>
  </si>
  <si>
    <t>おりものの異常は原因によって治療が変わりますか？</t>
  </si>
  <si>
    <t>おりものの異常は、原因となる病気によって治療法が異なります。そのため、専門医による正確な診断が重要です。大切なのは、そのサインを見逃さずに専門医へ相談することです。当院では患者さまの不安に寄り添い、一緒に解決策を見つけていきます。お気軽にご相談ください。</t>
  </si>
  <si>
    <t>おりもの異常,原因,治療</t>
  </si>
  <si>
    <t>おりもの検査に市販薬を使ってもいいですか？</t>
  </si>
  <si>
    <t xml:space="preserve"> 市販薬は主にカンジダ症を対象としていますが、原因が異なる場合は効果がなく、かえって診断を遅らせてしまう可能性があります。おりものの異常とかゆみがある場合、まずは婦人科を受診し、正確な診断を受けることをお勧めします。</t>
  </si>
  <si>
    <t>おりもの異常,市販薬,注意</t>
  </si>
  <si>
    <t>おりもの異常の検査はいつ受けますか？</t>
  </si>
  <si>
    <t>症状に気づいた時点で、できるだけ早めの受診が推奨されます。</t>
  </si>
  <si>
    <t>おりもの異常,検査タイミング</t>
  </si>
  <si>
    <t>FemCHECK（フェムチェック）は、市販の郵送検査キットと何が違うのですか？</t>
  </si>
  <si>
    <t>一番の違いは、「検査後のサポート体制」と「安心感」です。市販のキットは「検査会社」が販売しており、陽性が出た後はご自身で病院を探さなくてはなりません。
一方、当院のフェムチェックは「医療機関」が提供しています。陽性の場合はもちろん、「陰性だけど症状が改善しない」といった場合でも、検査結果を把握した私たちが、そのまま治療や追加の診察まで責任を持ってサポートします。「検査だけで終わらない安心感」が、フェムチェックの最大の強みです。</t>
  </si>
  <si>
    <t>FemCHECK,郵送検査,おりもの異常,違い</t>
  </si>
  <si>
    <t>おりもの検査は痛いですか？/おりもの検査はどんな検査をしますか？</t>
  </si>
  <si>
    <t>内診台で膣の中を拝見し、綿棒のようなものでおりものを採取する検査が主です。力を抜いていただければ、痛みはほとんどありません。医師やスタッフが丁寧にお声がけしながら進めますのでご安心ください。</t>
  </si>
  <si>
    <t>おりもの検査,痛み</t>
  </si>
  <si>
    <t>おりもの検査では性病かどうかも分かりますか？</t>
  </si>
  <si>
    <t>わかります。クラミジア、淋菌、トリコモナスといった性感染症（STD）の検査も可能です。気になる症状があれば、診察時にご相談ください。</t>
  </si>
  <si>
    <t>おりもの検査,性病</t>
  </si>
  <si>
    <t>パートナーも治療が必要ですか？</t>
  </si>
  <si>
    <t>トリコモナスやクラミジア、淋菌などの性感染症と診断された場合は、ご自身が治療してもパートナーから再度うつされてしまう「ピンポン感染」を防ぐため、パートナーも同時に検査・治療を受けることが非常に重要です。</t>
  </si>
  <si>
    <t>おりもの検査,性病,パートナー</t>
  </si>
  <si>
    <t>おりもの異常は来院しないと診察できませんか？</t>
  </si>
  <si>
    <t>ルナレディースクリニックでは、ライフスタイルに合わせて来院診療に加え、自宅で検査できる自己採取キット「FemCHECK（フェムチェック）」も利用できます。症状について直接医師に相談し、その日のうちに検査・診断・治療へ進みたい方は来院治療がおすすめです。「病院に行くのは少し勇気がいる」「忙しくてすぐには行けない」という方には、ご自宅で簡単に性感染症の検査ができる自己採取キット「FemCHECK（フェムチェック）」がおすすめです。FemCHECKはこちらをご参考ください→https://luna-dr.com/femcheck/?utm_source=lunamedia&amp;utm_medium=banner&amp;utm_campaign=femcheck_article_hpseo</t>
  </si>
  <si>
    <t>FemCHECK,郵送検査,おりもの異常</t>
  </si>
  <si>
    <t>おりもの異常はオンライン診療だけで完結しますか？</t>
  </si>
  <si>
    <t>FemCHECKで検査は可能ですが、検査結果で陽性が出た場合、または陰性でも症状が続く場合は、治療や詳しい診察が必要です。フェムチェックの検査結果をもとに、医師が診察を行い、最適な治療が開始できますので、事前に検査結果が分かっているとスムーズに治療へと進むことができます。</t>
  </si>
  <si>
    <t>おりもの異常,オンライン診療,来院</t>
  </si>
  <si>
    <t>おりもの異常は初診でも診察できますか？</t>
  </si>
  <si>
    <t>おりものの異常は初診の方でも診察可能です。当院では、ライフスタイルに合わせて来院診療に加え、自宅で検査できる自己採取キット「FemCHECK（フェムチェック）」も利用できます。FemCHECKはこちらをご参考ください→https://luna-dr.com/femcheck/?utm_source=lunamedia&amp;utm_medium=banner&amp;utm_campaign=femcheck_article_hpseo</t>
  </si>
  <si>
    <t>おりもの異常,初診,婦人科</t>
  </si>
  <si>
    <t>当日の診察ではどこまで進みますか？</t>
  </si>
  <si>
    <t>来院の場合、問診・内診・検査まで行い、必要に応じてその日のうちに治療を開始します。</t>
  </si>
  <si>
    <t>おりもの異常,当日,検査,治療</t>
  </si>
  <si>
    <t>おりもの異常の診察は保険適用ですか？</t>
  </si>
  <si>
    <t>おりものの異常に関する診察・検査・治療は基本的に健康保険が適用されます。</t>
  </si>
  <si>
    <t>おりもの異常,保険適用</t>
  </si>
  <si>
    <t>おりもの異常の診察や検査は保険適用されますか？</t>
  </si>
  <si>
    <t>おりものの異常に関する診察・検査・治療は、基本的に健康保険が適用されます。</t>
  </si>
  <si>
    <t>おりもの異常,保険適用,婦人科</t>
  </si>
  <si>
    <t>おりもの異常の検査費用はいくらくらいですか？</t>
  </si>
  <si>
    <t xml:space="preserve">雑菌・真菌の検査は、約1,100円（税込）が目安です。
※上記はあくまで目安の料金です。別途、初診料・再診料がかかります。
※診察内容や検査項目によって料金は変動いたします。正確な料金はチャットやお電話ではお答えできかねますので、ご了承ください。
</t>
  </si>
  <si>
    <t>おりもの異常,検査費用,雑菌検査,真菌検査</t>
  </si>
  <si>
    <t>おりもの異常の治療費用はいくらくらいですか？</t>
  </si>
  <si>
    <t xml:space="preserve">雑菌・真菌によるおりもの異常の治療費は、約400円（税込）が目安です。
※上記はあくまで目安の料金です。別途、初診料・再診料がかかります。
※診察内容や検査項目によって料金は変動いたします。正確な料金はチャットやお電話ではお答えできかねますので、ご了承ください。
</t>
  </si>
  <si>
    <t>おりもの異常,治療費用,膣炎治療</t>
  </si>
  <si>
    <t>おりもの異常で性病検査をする場合、費用はいくらですか？</t>
  </si>
  <si>
    <t xml:space="preserve">おりもの異常に関連する性病検査は、約1,500円（税込）が目安です。検査内容により費用は前後します。
※上記はあくまで目安の料金です。別途、初診料・再診料がかかります。
※診察内容や検査項目によって料金は変動いたします。正確な料金はチャットやお電話ではお答えできかねますので、ご了承ください。
</t>
  </si>
  <si>
    <t>おりもの異常,性病検査,STD検査</t>
  </si>
  <si>
    <t>おりもの検査は診察前に正確な料金を電話で教えてもらえますか？</t>
  </si>
  <si>
    <t>診察内容や検査項目によって料金が変動するため、正確な料金はチャットやお電話ではお答えできません。ご了承ください。</t>
  </si>
  <si>
    <t>おりもの異常,料金,問い合わせ</t>
  </si>
  <si>
    <t>FemCHECKは何回使えますか？</t>
  </si>
  <si>
    <t>FemCHECKは1回の検査ごとに購入して使用します。</t>
  </si>
  <si>
    <t>FemCHECK,郵送検査,回数</t>
  </si>
  <si>
    <t>おりもの治療が終わった後はどうしますか？</t>
  </si>
  <si>
    <t>症状が改善しない場合や再発時は再度受診が必要です。</t>
  </si>
  <si>
    <t>おりもの異常,再診</t>
  </si>
  <si>
    <t>おりもの異常の予約はどうすればいいですか？</t>
  </si>
  <si>
    <t>おりもの異常のご相談は公式LINEからご予約いただけます。「一般婦人科診療」のメニューでご予約ください。事前にWEB問診票に症状のご入力をお願いいたします。→https://cline-app.com/qr-codes/98ad6f149bfa20f4f2a9a2e91aac4187/preview
「病院に行くのは少し勇気がいる」「忙しくてすぐには行けない」という方には、ご自宅で簡単に性感染症の検査ができる自己採取キット「FemCHECK（フェムチェック）」という方法もございます。詳細はこちら→https://luna-dr.com/femcheck/?utm_source=lunamedia&amp;utm_medium=banner&amp;utm_campaign=femcheck_article_hpseo</t>
  </si>
  <si>
    <t>おりもの異常,予約,LINE予約</t>
  </si>
  <si>
    <t>ルナレディースクリニックでは、公式LINEからおりもの異常の検査の診察予約が可能です。24時間いつでもご自身のタイミングで予約できます。
予約の際は、こちらのLINEをご利用ください→https://cline-app.com/qr-codes/98ad6f149bfa20f4f2a9a2e91aac4187/preview</t>
  </si>
  <si>
    <t>おりもの検査は電話で予約できますか？</t>
  </si>
  <si>
    <t>LINEでの予約後、事前問診等もLINEから行うことができ、スムーズに受診ができるため、当院ではLINEでのご予約を推奨しております。
おりもの検査の予約は「一般婦人科診療」のメニューでご予約ください。事前にWEB問診票に症状のご入力をお願いいたします。→https://cline-app.com/qr-codes/98ad6f149bfa20f4f2a9a2e91aac4187/preview
「病院に行くのは少し勇気がいる」「忙しくてすぐには行けない」という方には、ご自宅で簡単に性感染症の検査ができる自己採取キット「FemCHECK（フェムチェック）」という方法もございます。詳細はこちら→https://luna-dr.com/femcheck/?utm_source=lunamedia&amp;utm_medium=banner&amp;utm_campaign=femcheck_article_hpseo</t>
  </si>
  <si>
    <t>おりもの異常,電話予約</t>
  </si>
  <si>
    <t>おりもの検査はWEB問診は必要ですか？</t>
  </si>
  <si>
    <t>来院治療の場合、WEB問診に事前にご協力いただくことで、受付でデリケートな内容を話す必要がなく、プライバシーを守りながら診察までスムーズに進めます。</t>
  </si>
  <si>
    <t>おりもの異常,WEB問診</t>
  </si>
  <si>
    <t>おりもの検査は予約なしでも相談できますか？</t>
  </si>
  <si>
    <t>予約なし,受診,アおりもの異常</t>
  </si>
  <si>
    <t>おりもの異常の検査の予約前に準備しておくことはありますか？</t>
  </si>
  <si>
    <t>ルナレディースクリニックでは、おりもの異常の検査の診察前にWEB問診の入力をお願いしています。最終月経日や性行為の日時などを事前に入力することで、診察がスムーズになります。みます。</t>
  </si>
  <si>
    <t>おりもの異常の検査</t>
  </si>
  <si>
    <t>WEB問診,事前準備,おりもの異常の検査</t>
  </si>
  <si>
    <t>おりもの異常の検査は初診でも予約できますか？</t>
  </si>
  <si>
    <t>おりもの異常の検査は初診の方もご予約いただけます。ご予約は公式LINEから受け付けておりますので、友だち追加の上ご利用ください。
おりもの検査の予約は「一般婦人科診療」のメニューでご予約ください。事前にWEB問診票に症状のご入力をお願いいたします。→https://cline-app.com/qr-codes/98ad6f149bfa20f4f2a9a2e91aac4187/preview
「病院に行くのは少し勇気がいる」「忙しくてすぐには行けない」という方には、ご自宅で簡単に性感染症の検査ができる自己採取キット「FemCHECK（フェムチェック）」という方法もございます。詳細はこちら→https://luna-dr.com/femcheck/?utm_source=lunamedia&amp;utm_medium=banner&amp;utm_campaign=femcheck_article_hpseo</t>
  </si>
  <si>
    <t>初診,予約,おりもの異常の検査</t>
  </si>
  <si>
    <t>おりもの異常の検査は来院とオンライン、どちらで予約できますか？</t>
  </si>
  <si>
    <t>おりもの異常の検査のご相談は来院診療とオンライン診療のどちらでも予約が可能です。ご自身のライフスタイルに合わせて選べます。
おりもの検査の予約は「一般婦人科診療」のメニューでご予約ください。事前にWEB問診票に症状のご入力をお願いいたします。→https://cline-app.com/qr-codes/98ad6f149bfa20f4f2a9a2e91aac4187/preview
「病院に行くのは少し勇気がいる」「忙しくてすぐには行けない」という方には、ご自宅で簡単に性感染症の検査ができる自己採取キット「FemCHECK（フェムチェック）」という方法もございます。詳細はこちら→https://luna-dr.com/femcheck/?utm_source=lunamedia&amp;utm_medium=banner&amp;utm_campaign=femcheck_article_hpseo</t>
  </si>
  <si>
    <t>来院診療,オンライン診療,おりもの異常の検査</t>
  </si>
  <si>
    <t>不正出血とは何ですか？</t>
  </si>
  <si>
    <t>不正出血とは、生理期間以外に起こる出血や、おりものに血が混じる状態を指します。一時的なホルモンバランスの乱れによるものから、治療が必要な病気が原因の場合まで、さまざまな可能性があります。下腹部の痛みや出血がある場合、症状の内容によって受診可否やご案内が異なります。個別の確認が必要となるため、恐れ入りますがお電話にてご相談ください。お電話は 050-1730-2768 となります。</t>
  </si>
  <si>
    <t>不正出血・概要</t>
  </si>
  <si>
    <t>不正出血,生理以外の出血,おりもの血,婦人科</t>
  </si>
  <si>
    <t>不正出血はどんな悩みのときに起こりますか？</t>
  </si>
  <si>
    <t>「生理でもないのに出血がある」「おりものに血が混じる」といった症状が見られる場合に、不正出血が疑われます。ルナレディースクリニックでは、出血の原因を的確に診断し、最適な治療をご提案します。</t>
  </si>
  <si>
    <t>不正出血,生理じゃない出血,おりもの血</t>
  </si>
  <si>
    <t>不正出血の原因にはどんなものがありますか？</t>
  </si>
  <si>
    <t xml:space="preserve">不正出血は、ホルモンバランスの乱れによる一時的なものから、治療が必要な病気が原因の場合まで、さまざまな原因が考えられます。ルナレディースクリニックでは、出血の原因を的確に診断し、最適な治療をご提案します。
</t>
  </si>
  <si>
    <t>不正出血・原因</t>
  </si>
  <si>
    <t>不正出血,原因,ホルモンバランス</t>
  </si>
  <si>
    <t>不正出血は重大な病気のサインのこともありますか？</t>
  </si>
  <si>
    <t>あります。不正出血は、子宮頸がんや子宮体がんといった重大な病気の、唯一の初期症状であるケースも少なくありません。ルナレディースクリニックでは、出血の原因を的確に診断し、最適な治療をご提案します。</t>
  </si>
  <si>
    <t>不正出血・リスク</t>
  </si>
  <si>
    <t>不正出血,子宮頸がん,子宮体がん,初期症状</t>
  </si>
  <si>
    <t>不正出血は放置しても大丈夫ですか？</t>
  </si>
  <si>
    <t>不正出血は、自己判断で「大丈夫だろう」と放置せず、必ず専門医に相談することが大切です。早期に原因を確認することが、体を守るために重要です。ルナレディースクリニックでは、出血の原因を的確に診断し、最適な治療をご提案します。</t>
  </si>
  <si>
    <t>不正出血・注意点</t>
  </si>
  <si>
    <t>不正出血,放置,婦人科受診</t>
  </si>
  <si>
    <t>不正出血で、すぐに受診したほうがいいのはどんな場合ですか？/血が出ているのですが大丈夫ですか？/出血しているのですが受診できますか？/血が出ていても行っていいですか？</t>
  </si>
  <si>
    <t xml:space="preserve">生理期間以外に出血が続く場合、性交渉の後に必ず出血する場合、閉経後の出血、血の塊が出る、出血量が増えている、鮮血が出る、下腹部痛や発熱を伴う場合は、放置せずにご相談ください。ルナレディースクリニックでは、出血の原因を的確に診断し、最適な治療をご提案します。ご予約は公式LINEで受け付けています。「一般婦人科診療」のメニューでご予約ください。事前にWEB問診票に症状のご入力をお願いいたします。→https://cline-app.com/qr-codes/98ad6f149bfa20f4f2a9a2e91aac4187/preview
</t>
  </si>
  <si>
    <t>不正出血・受診目安</t>
  </si>
  <si>
    <t>不正出血,受診目安,鮮血,血の塊</t>
  </si>
  <si>
    <t>性交後に出血がある場合も受診が必要ですか？/性交後に出血があった</t>
  </si>
  <si>
    <t>性交渉の後に必ず出血がある場合は、不正出血の可能性があるため、放置せずに専門医へ相談してください。下腹部の痛みや出血がある場合、症状の内容によって受診可否やご案内が異なります。個別の確認が必要となるため、恐れ入りますがお電話にてご相談ください。お電話は 050-1730-2768 となります。</t>
  </si>
  <si>
    <t>不正出血,性交後出血,婦人科</t>
  </si>
  <si>
    <t>閉経後の出血は問題ありますか？</t>
  </si>
  <si>
    <t>閉経したはずなのに出血があった場合は、不正出血にあたり、重大な病気が隠れている可能性もあるため、必ず受診してください。ルナレディースクリニックでは、出血の原因を的確に診断し、最適な治療をご提案します。</t>
  </si>
  <si>
    <t>不正出血,閉経後出血,婦人科</t>
  </si>
  <si>
    <t>不正出血の診察では何をしてもらえますか？</t>
  </si>
  <si>
    <t>ルナレディースクリニックでは、不正出血の原因を的確に診断し、症状や原因に応じた最適な治療をご提案します。</t>
  </si>
  <si>
    <t>不正出血・診療内容</t>
  </si>
  <si>
    <t>不正出血,診察,治療,婦人科</t>
  </si>
  <si>
    <t>不正出血の診察や検査は保険適用ですか？</t>
  </si>
  <si>
    <t>当院では、不正出血の診察・検査について保険診療を基本としております。症状や検査内容に応じて、健康保険が適用されます。</t>
  </si>
  <si>
    <t>不正出血・費用保険</t>
  </si>
  <si>
    <t>不正出血,保険適用,婦人科検査</t>
  </si>
  <si>
    <t>不正出血の検査費用はいくらくらいですか？</t>
  </si>
  <si>
    <t>不正出血の検査費用は、3割負担の場合、子宮の超音波検査が約1,600円、子宮頸がん検査が約1,100円、子宮体がん検査が約2,100円、性病検査が約1,500円が目安です。
※※料金表はあくまで目安(3割負担の場合)となります。別途初診料・再診料がかかります。</t>
  </si>
  <si>
    <t>不正出血,検査費用,超音波検査,がん検査</t>
  </si>
  <si>
    <t>不正出血の検査費用には初診料や再診料も含まれますか？</t>
  </si>
  <si>
    <t>検査費用はあくまで目安であり、別途初診料・再診料がかかります。</t>
  </si>
  <si>
    <t>不正出血,初診料,再診料,費用</t>
  </si>
  <si>
    <t>不正出血で行う子宮の超音波検査とは何ですか？</t>
  </si>
  <si>
    <t>子宮の超音波検査は、子宮や卵巣の状態を確認する検査で、不正出血の原因となる病気がないかを調べるために行います。費用の目安は約1,600円です。
※料金表はあくまで目安(3割負担の場合)となります。別途初診料・再診料がかかります。</t>
  </si>
  <si>
    <t>不正出血・検査内容</t>
  </si>
  <si>
    <t>不正出血,超音波検査,エコー検査</t>
  </si>
  <si>
    <t>不正出血で子宮頸がん検査は行いますか？</t>
  </si>
  <si>
    <t>不正出血の原因を調べるために、必要に応じて子宮頸がん検査を行います。費用の目安は約1,100円です。
※料金表はあくまで目安(3割負担の場合)となります。別途初診料・再診料がかかります。</t>
  </si>
  <si>
    <t>不正出血,子宮頸がん検査,婦人科</t>
  </si>
  <si>
    <t>不正出血で子宮体がん検査が必要になるのはどんな時ですか？</t>
  </si>
  <si>
    <t>閉経後の出血など、症状に応じて子宮体がん検査を行うことがあります。費用の目安は約2,100円です。
※料金表はあくまで目安(3割負担の場合)となります。別途初診料・再診料がかかります。</t>
  </si>
  <si>
    <t>不正出血,子宮体がん検査,閉経後出血</t>
  </si>
  <si>
    <t>不正出血の原因は、ホルモンバランスの乱れ、子宮・卵巣・膣の病気、性感染症、妊娠に伴う出血など多岐にわたります。</t>
  </si>
  <si>
    <t>不正出血,原因,婦人科疾患</t>
  </si>
  <si>
    <t>ホルモンバランスの乱れでも不正出血は起こりますか？</t>
  </si>
  <si>
    <t>ストレスや疲れ、環境の変化などによるホルモンバランスの乱れで排卵がうまくいかない場合、不正出血が起こることがあります。気になる症状がある場合は、早めにご相談ください。</t>
  </si>
  <si>
    <t>不正出血,ホルモンバランス,ストレス</t>
  </si>
  <si>
    <t>不正出血の原因として子宮や卵巣の病気は考えられますか？</t>
  </si>
  <si>
    <t>子宮頸管ポリープ、子宮内膜ポリープ、子宮筋腫、子宮腺筋症などが、不正出血の原因となることがあります。ルナレディースクリニックでは、出血の原因を的確に診断し、最適な治療をご提案します。気になる症状がある場合は、早めにご相談ください。</t>
  </si>
  <si>
    <t>不正出血,子宮筋腫,子宮内膜ポリープ</t>
  </si>
  <si>
    <t>不正出血はがんが原因のこともありますか？</t>
  </si>
  <si>
    <t>子宮頸がんや子宮体がんは、不正出血の原因となることがあります。性交渉後の出血は子宮頸がん、閉経後の出血は子宮体がんの重要なサインです。気になる症状がある場合は、早めにご相談ください。</t>
  </si>
  <si>
    <t>不正出血,子宮頸がん,子宮体がん</t>
  </si>
  <si>
    <t>性感染症でも不正出血は起こりますか？</t>
  </si>
  <si>
    <t>クラミジアなどの性感染症による炎症で、子宮の入り口などがただれ、不正出血が起こることがあります。気になる症状がある場合は、早めにご相談ください。</t>
  </si>
  <si>
    <t>不正出血,クラミジア,性病検査</t>
  </si>
  <si>
    <t>妊娠している場合の不正出血はありますか？</t>
  </si>
  <si>
    <t>妊娠初期には着床出血や切迫流産の兆候として出血が見られることがあります。妊娠の可能性がある場合は、速やかに受診してください。</t>
  </si>
  <si>
    <t>不正出血,妊娠初期,着床出血</t>
  </si>
  <si>
    <t>不正出血の診察・検査の流れを教えてください</t>
  </si>
  <si>
    <t>不正出血の診察は、①予約・WEB問診 → ②医師による診察 → ③内診・検査 → ④診断・治療方針の説明 → ⑤処方・お会計、という流れで行います。まず公式LINEでご予約ください。予約後、WEB問診にて出血の時期・量・色、最終生理日、妊娠の可能性などをご入力いただくと受付がスムーズです。来院後は医師が問診内容をもとに詳しくお話を伺い、必要に応じて内診・超音波（エコー）検査、子宮頸がん・体がん検査、性感染症検査を行います。検査結果をもとに出血の原因と治療方針をご説明し、必要な治療やお薬の処方を行います。</t>
  </si>
  <si>
    <t>不正出血,診察の流れ,検査,内診,エコー検査,予約方法,電話予約,LINE予約</t>
  </si>
  <si>
    <t>https://luna-dr.com/subjects/abnormal-uterine-bleeding/</t>
  </si>
  <si>
    <t>不正出血の予約はどうすればいいですか？/不正出血があり早めに受診したいです/不正出血があるため早めの受診を希望しています/不正出血が心配なので早く診てほしい</t>
  </si>
  <si>
    <t>生理期間以外に出血が続く場合、性交渉の後に必ず出血する場合、閉経後の出血、血の塊が出る、出血量が増えている、鮮血が出る、下腹部痛や発熱を伴う場合は、放置せずにご相談ください。ルナレディースクリニックでは、出血の原因を的確に診断し、最適な治療をご提案します。ご予約は公式LINEから受け付けています。不正出血のご相談は「一般婦人科診療」のメニューでご予約ください。LINEはこちら→https://cline-app.com/qr-codes/98ad6f149bfa20f4f2a9a2e91aac4187/preview</t>
  </si>
  <si>
    <t>予約方法,LINE,電話,不正出血,早め,急ぎ,早く診てほしい</t>
  </si>
  <si>
    <t>不正出血はLINEから予約できますか？</t>
  </si>
  <si>
    <t>ナレディースクリニックでは、公式LINEから不正出血の診察予約が可能です。24時間いつでもご自身のタイミングで予約できます。不正出血のご相談は「一般婦人科診療」のメニューでご予約ください。LINEはこちら→https://cline-app.com/qr-codes/98ad6f149bfa20f4f2a9a2e91aac4187/preview</t>
  </si>
  <si>
    <t>LINE予約,婦人科予約,不正出血</t>
  </si>
  <si>
    <t>不正出血は電話でも予約できますか？</t>
  </si>
  <si>
    <t>LINEでの予約後、事前問診等もLINEから行うことができ、スムーズに受診ができるため、当院ではLINEでのご予約を推奨しております。
ご予約は公式LINEから受け付けています。不正出血のご相談は「一般婦人科診療」のメニューでご予約ください。LINEはこちら→https://cline-app.com/qr-codes/98ad6f149bfa20f4f2a9a2e91aac4187/preview</t>
  </si>
  <si>
    <t>電話予約,問い合わせ,不正出血</t>
  </si>
  <si>
    <t>不正出血の予約前に準備しておくことはありますか？</t>
  </si>
  <si>
    <t>ルナレディースクリニックでは、不正出血の診察前にWEB問診の入力をお願いしています。いつから出血があるか、量や色、他の症状などを事前にご入力いただくと診察がスムーズです。</t>
  </si>
  <si>
    <t>WEB問診,事前準備,不正出血</t>
  </si>
  <si>
    <t>不正出血は初診でも予約できますか？</t>
  </si>
  <si>
    <t>不正出血は初診の方もご予約いただけます。ご予約は公式LINEから受け付けておりますので、友だち追加の上ご利用ください。
不正出血のご相談は「一般婦人科診療」のメニューでご予約ください。LINEはこちら→https://cline-app.com/qr-codes/98ad6f149bfa20f4f2a9a2e91aac4187/preview</t>
  </si>
  <si>
    <t>初診,予約,不正出血</t>
  </si>
  <si>
    <t>不正出血は来院とオンライン、どちらで予約できますか？</t>
  </si>
  <si>
    <t>ルナレディースクリニックでは、不正出血のご相談は【来院診療のみ】で承っています。
ご予約は公式LINEから受け付けています。不正出血のご相談は「一般婦人科診療」のメニューでご予約ください。LINEはこちら→https://cline-app.com/qr-codes/98ad6f149bfa20f4f2a9a2e91aac4187/preview</t>
  </si>
  <si>
    <t>来院診療,オンライン診療,不正出血</t>
  </si>
  <si>
    <t>不正出血の診察は予約が必要ですか？</t>
  </si>
  <si>
    <t>直接のご来院でも可能ですが、待ち時間が発生する場合があります。事前にご予約をいただくことでスムーズに診察に進むことができます。
ご予約は公式LINEから受け付けています。不正出血のご相談は「一般婦人科診療」のメニューでご予約ください。LINEはこちら→https://cline-app.com/qr-codes/98ad6f149bfa20f4f2a9a2e91aac4187/preview</t>
  </si>
  <si>
    <t>不正出血・予約</t>
  </si>
  <si>
    <t>不正出血,予約,LINE予約,電話予約</t>
  </si>
  <si>
    <t>不正出血の診察前にWEB問診は必要ですか？</t>
  </si>
  <si>
    <t>必須ではありませんが、WEB問診で出血の時期や量、色、他の症状をご入力いただくと、診察がよりスムーズになります。</t>
  </si>
  <si>
    <t>不正出血・WEB問診</t>
  </si>
  <si>
    <t>不正出血,WEB問診,事前準備</t>
  </si>
  <si>
    <t>不正出血の診察ではどんなことを聞かれますか？</t>
  </si>
  <si>
    <t>医師は、最終生理日、出血の状況、性交渉の有無、妊娠の可能性などを確認し、考えられる原因と必要な検査について説明します。</t>
  </si>
  <si>
    <t>不正出血・診察内容</t>
  </si>
  <si>
    <t>不正出血,問診内容,妊娠の可能性</t>
  </si>
  <si>
    <t>不正出血の診察ではどんな検査をしますか？</t>
  </si>
  <si>
    <t>不正出血の原因を特定するため、内診・超音波（エコー）検査、子宮頸がん・子宮体がん検査、必要に応じて性感染症検査を行います。</t>
  </si>
  <si>
    <t>不正出血,検査,エコー,がん検査,性病検査</t>
  </si>
  <si>
    <t>不正出血の内診・超音波検査では何を確認しますか？</t>
  </si>
  <si>
    <t>内診・超音波（エコー）検査では、子宮や卵巣にポリープや筋腫がないか、子宮内膜の厚さなどを確認します。</t>
  </si>
  <si>
    <t>不正出血,内診,超音波検査,子宮内膜</t>
  </si>
  <si>
    <t>不正出血の診察当日はどこまで進みますか？</t>
  </si>
  <si>
    <t>診察当日は、医師の問診後、必要に応じて内診・超音波検査やがん検査、性感染症検査まで行い、その結果をもとに治療方針をご提案します。</t>
  </si>
  <si>
    <t>不正出血・当日の流れ</t>
  </si>
  <si>
    <t>不正出血,当日診察,検査,治療方針</t>
  </si>
  <si>
    <t>不正出血の検査後はどのような治療になりますか？</t>
  </si>
  <si>
    <t>検査結果に基づき、ホルモン剤による治療、ポリープ切除、必要に応じて高度医療機関へのご紹介など、最適な治療方針をご提案します。</t>
  </si>
  <si>
    <t>不正出血・治療</t>
  </si>
  <si>
    <t>不正出血,治療方針,ホルモン治療</t>
  </si>
  <si>
    <t>不正出血と生理の見分けがつきません</t>
  </si>
  <si>
    <t>生理予定日と大きくずれている、量が極端に少ない（または多い）、色がいつもと違う（鮮血、茶色など）、だらだらと長く続くといった場合は、不正出血の可能性が高いです。判断に迷う場合は、自己判断せずご相談ください。</t>
  </si>
  <si>
    <t>不正出血・よくある質問</t>
  </si>
  <si>
    <t>不正出血,生理との違い,見分け方</t>
  </si>
  <si>
    <t>少量ですが、茶色い出血が続きます。大丈夫ですか？</t>
  </si>
  <si>
    <t>少量でも、だらだらと続く出血は異常のサインです。古い血液が酸化して茶色く見えることがありますが、子宮体がんなどでも見られる症状です。必ず一度、婦人科を受診してください。</t>
  </si>
  <si>
    <t>不正出血,茶色い出血,受診目安</t>
  </si>
  <si>
    <t>不正出血は、がんの可能性が高いのでしょうか？</t>
  </si>
  <si>
    <t>不正出血の原因で最も多いのはホルモンバランスの乱れです。しかし、子宮頸がんや子宮体がんは、不正出血が唯一の自覚症状であることも事実です。「がんではない」ことを確認するためにも、検査を受けることが非常に重要です。</t>
  </si>
  <si>
    <t>不正出血,がんの可能性,検査</t>
  </si>
  <si>
    <t>不正出血は生理不順や生理痛と関係がありますか？</t>
  </si>
  <si>
    <t>深く関係している場合があります。ホルモンバランスの乱れが原因で生理不順やひどい生理痛が起きている場合、同じ原因で不正出血（機能性出血）が起こることがよくあります。包括的に診断・治療することが大切です。</t>
  </si>
  <si>
    <t>不正出血・関連症状</t>
  </si>
  <si>
    <t>不正出血,生理不順,生理痛,ホルモン</t>
  </si>
  <si>
    <t>性感染症（性病）とは何ですか？</t>
  </si>
  <si>
    <t>性感染症（STD）とは、主に性的な接触によって感染する病気の総称です。原因となる病原体には、クラミジア、淋菌、トリコモナス、ヒトパピローマウイルス（尖圭コンジローマ）、ヘルペスウイルス、梅毒、HIVなど、様々な種類があります。これらの感染症は、おりものの異常やかゆみといった症状を引き起こすだけでなく、自覚症状がないまま進行するケースが非常に多いのが特徴です。放置してしまうと、炎症が卵管や腹腔内にまで広がり、不妊症や子宮外妊娠のリスクを高めることがあります。また、妊娠中に感染が判明すると、赤ちゃんに影響が及ぶ可能性もゼロではありません。 「もしかして？」と思ったら、早期に検査を受け、必要であれば正しい治療を開始することが、ご自身の健康と大切なパートナーを守るために何よりも重要です。少しでも気になることがあれば、お気軽にルナレディースクリニックへご相談ください。</t>
  </si>
  <si>
    <t>性感染症検査</t>
  </si>
  <si>
    <t>性感染症,性病,STD,検査</t>
  </si>
  <si>
    <t>性感染症検査はどんな悩みのときに受けますか？</t>
  </si>
  <si>
    <t>おりものの異常、かゆみ、性交時痛、できもの、不正出血、パートナーが性感染症と診断された場合などに検査を行います。症状がなくても感染していることがあるため、不安があれば検査をおすすめします。</t>
  </si>
  <si>
    <t>性感染症検査,おりもの異常,かゆみ,性交痛</t>
  </si>
  <si>
    <t>症状がなくても性感染症検査は必要ですか？</t>
  </si>
  <si>
    <t>はい。性感染症は無症状のまま進行することが多く、不妊やパートナーへの感染につながる場合があります。症状がなくても心配な機会があれば検査を受けることが大切です。</t>
  </si>
  <si>
    <t>性感染症,無症状,検査必要</t>
  </si>
  <si>
    <t>性感染症はどのような仕組みで感染しますか？</t>
  </si>
  <si>
    <t>主に性行為（腟性交・口腔性交・肛門性交）を通じて、細菌やウイルス、原虫などの病原体が体内に侵入することで感染します。</t>
  </si>
  <si>
    <t>性感染症,感染経路,性行為</t>
  </si>
  <si>
    <t>性感染症は自然に治りますか？</t>
  </si>
  <si>
    <t>自然に治ることはほとんどありません。放置すると症状が悪化したり、将来の不妊や合併症につながるため、検査と適切な治療が必要です。</t>
  </si>
  <si>
    <t>性感染症,自然治癒,リスク</t>
  </si>
  <si>
    <t>どんな性感染症を検査できますか？/性病検査のセットはありますか？/性感染症検査のセットメニュー/まとめて検査できますか？</t>
  </si>
  <si>
    <t>ルナレディースクリニックでは、クラミジア、淋菌、トリコモナス、カンジダ、梅毒、HIV、B型肝炎、C型肝炎などの検査に対応しています。来院での検査を推奨しておりますが、病院に行く時間がない方には当院では、ご自宅で簡単に検査ができる郵送検査キット「FemCHECK（フェムチェック）」をご用意しています。Webサイトやお近くのクリニックで購入でき、クラミジアや淋菌などを調べることが可能です。万が一、陽性だった場合は、そのままオンライン診療でお薬を処方することもできますので、ぜひご活用ください。詳細はこちらをご確認ください。https://luna-dr.com/femcheck/?utm_source=lunamedia&amp;utm_medium=banner&amp;utm_campaign=femcheck_article_hpseo</t>
  </si>
  <si>
    <t>性感染症検査,クラミジア,淋菌,HIV</t>
  </si>
  <si>
    <t>性感染症検査の方法を教えてください</t>
  </si>
  <si>
    <t>内診台にて、医師が声かけをしながら丁寧に検査を進めます。綿棒などでおりものや分泌物を採取しますが、痛みはほとんどありませんのでご安心ください。必要に応じて、うがいによる喉の検査も行います。
※梅毒やHIV、B型肝炎など、血液で調べる必要がある項目については、腕から採血を行います。</t>
  </si>
  <si>
    <t>性感染症検査方法,内診,血液検査</t>
  </si>
  <si>
    <t>性感染症検査は来院が必要ですか？</t>
  </si>
  <si>
    <t>性感染症検査は基本的に来院で行います。医師の診察と検体採取が必要です。</t>
  </si>
  <si>
    <t>性感染症検査,来院診療</t>
  </si>
  <si>
    <t>性感染症検査はオンライン診療でできますか？</t>
  </si>
  <si>
    <t>来院での検査を推奨しておりますが、病院に行く時間がない方には当院では、ご自宅で簡単に検査ができる郵送検査キット「FemCHECK（フェムチェック）」をご用意しています。Webサイトやお近くのクリニックで購入でき、クラミジアや淋菌などを調べることが可能です。万が一、陽性だった場合は、そのままオンライン診療でお薬を処方することもできますので、ぜひご活用ください。</t>
  </si>
  <si>
    <t>性感染症,オンライン診療,検査</t>
  </si>
  <si>
    <t>性感染症検査は初診でも受けられますか？</t>
  </si>
  <si>
    <t>はい。初診の方でも性感染症検査を受けていただけます。</t>
  </si>
  <si>
    <t>性感染症検査,初診</t>
  </si>
  <si>
    <t>性感染症検査では内診がありますか？</t>
  </si>
  <si>
    <t>性感染症検査,内診</t>
  </si>
  <si>
    <t>性感染症検査当日はどこまで進みますか？</t>
  </si>
  <si>
    <t>当日は問診、検査（内診・採血など）まで行います。
検査結果は、項目によって判明する時期やご説明方法が異なります。
・Webで確認できる検査（約4日～10日後）▶ クラミジア、淋菌、トリコモナスなど
・ご来院いただき医師から説明する検査 ▶︎ 血液検査
万が一、陽性だった場合は、お薬の処方など、速やかに治療を開始します。パートナーの治療の重要性や、完治までの注意点もしっかりとご説明しますのでご安心ください。
結果が当日出ない検査もあり、その場合は後日ご案内します。</t>
  </si>
  <si>
    <t>性感染症検査,当日の流れ</t>
  </si>
  <si>
    <t>性感染症検査の費用はいくらくらいですか？</t>
  </si>
  <si>
    <t>クラミジア・淋菌・カンジダ・HIV・梅毒・トリコモナス・B型肺炎・C型肺炎などは1項目5,000円（税込）が目安です。</t>
  </si>
  <si>
    <t>性感染症検査,費用</t>
  </si>
  <si>
    <t>クラミジア検査の費用はいくらですか？/クラミジアの治療費はいくらですか？/クラミジア陽性の治療費用</t>
  </si>
  <si>
    <t>ルナレディースクリニックでは、クラミジア検査は1項目あたり5,000円（税込）です。</t>
  </si>
  <si>
    <t>クラミジア検査,性感染症検査,費用</t>
  </si>
  <si>
    <t>淋病（淋菌）検査の費用はいくらですか？/淋病の治療費用はいくらですか？</t>
  </si>
  <si>
    <t>淋病（淋菌）の検査費用は1項目5,000円（税込）です。治療費用については、保険適用か自費かは医師の判断となります。自費の場合の治療費は18,700円（税込）です。ご予約は「一般婦人科診療」のメニューからお取りください。→https://cline-app.com/qr-codes/98ad6f149bfa20f4f2a9a2e91aac4187/preview</t>
  </si>
  <si>
    <t>淋病検査,淋菌,性感染症検査,費用</t>
  </si>
  <si>
    <t>カンジダ検査は1項目5,000円（税込）です。</t>
  </si>
  <si>
    <t>カンジダ検査,膣カンジダ,性感染症検査,費用</t>
  </si>
  <si>
    <t>ルナレディースクリニックでは、HIV検査は5,000円（税込）で実施しています。</t>
  </si>
  <si>
    <t>HIV検査,性感染症検査,費用</t>
  </si>
  <si>
    <t>B型肝炎検査は5,000円（税込）です。</t>
  </si>
  <si>
    <t>B型肝炎検査,性感染症検査,費用</t>
  </si>
  <si>
    <t>C型肝炎検査は1項目5,000円（税込）です。</t>
  </si>
  <si>
    <t>C型肝炎検査,性感染症検査,費用</t>
  </si>
  <si>
    <t>梅毒検査は5,000円（税込）です。</t>
  </si>
  <si>
    <t>梅毒検査,性感染症検査,費用</t>
  </si>
  <si>
    <t>トリコモナス検査は1項目5,000円（税込）です。</t>
  </si>
  <si>
    <t>トリコモナス検査,性感染症検査,費用</t>
  </si>
  <si>
    <t>性感染症検査の結果が出た後はどうなりますか？</t>
  </si>
  <si>
    <t>万が一、陽性だった場合は、お薬の処方など、速やかに治療を開始します。パートナーの治療の重要性や、完治までの注意点もしっかりとご説明しますのでご安心ください。</t>
  </si>
  <si>
    <t>性感染症検査,治療</t>
  </si>
  <si>
    <t>パートナーも検査や治療が必要ですか？</t>
  </si>
  <si>
    <t>性感染症と診断された場合、再感染を防ぐためパートナーも検査・治療を受けることが重要です。</t>
  </si>
  <si>
    <t>性感染症,パートナー,治療</t>
  </si>
  <si>
    <t>性感染症検査はどうやって予約しますか？</t>
  </si>
  <si>
    <t>性感染症検査のご予約は公式LINEから24時間いつでも受け付けています。「一般婦人科診療」のメニューからお取りください。→https://cline-app.com/qr-codes/98ad6f149bfa20f4f2a9a2e91aac4187/preview</t>
  </si>
  <si>
    <t>予約方法,LINE,電話,性感染症</t>
  </si>
  <si>
    <t>性感染症検査はLINEから予約できますか？</t>
  </si>
  <si>
    <t>LINE予約,婦人科予約,性感染症</t>
  </si>
  <si>
    <t>性感染症検査は電話でも予約できますか？</t>
  </si>
  <si>
    <t>LINEでの予約後、事前問診等もLINEから行うことができ、スムーズに受診ができるため、当院ではLINEでのご予約を推奨しております。
ご予約は「一般婦人科診療」のメニューからお取りください。→https://cline-app.com/qr-codes/98ad6f149bfa20f4f2a9a2e91aac4187/preview</t>
  </si>
  <si>
    <t>電話予約,問い合わせ,性感染症</t>
  </si>
  <si>
    <t>性感染症検査の予約前に準備しておくことはありますか？</t>
  </si>
  <si>
    <t>ルナレディースクリニックでは、診察前にWEB問診の入力をお願いしています。事前にご入力いただくと診察がスムーズです。</t>
  </si>
  <si>
    <t>WEB問診,事前準備,性感染症</t>
  </si>
  <si>
    <t>性感染症検査は初診でも予約できますか？</t>
  </si>
  <si>
    <t>性感染症検査はは初診の方もご予約いただけます。ご予約は公式LINEから受け付けておりますので、友だち追加の上ご利用ください。
ご予約は「一般婦人科診療」のメニューからお取りください。→https://cline-app.com/qr-codes/98ad6f149bfa20f4f2a9a2e91aac4187/preview</t>
  </si>
  <si>
    <t>初診,予約,性感染症</t>
  </si>
  <si>
    <t>性感染症検査は来院とオンライン、どちらで予約できますか？</t>
  </si>
  <si>
    <t>ルナレディースクリニックでは、性感染症検査のご相談は来院診療のみで承っています。
ご予約は「一般婦人科診療」のメニューからお取りください。→https://cline-app.com/qr-codes/98ad6f149bfa20f4f2a9a2e91aac4187/preview</t>
  </si>
  <si>
    <t>来院診療,オンライン診療,性感染症</t>
  </si>
  <si>
    <t>予約なしでも性感染症検査は受けられますか？</t>
  </si>
  <si>
    <t>直接のご来院でも可能ですが、待ち時間が発生する場合があります。事前にご予約をいただくことでスムーズに診察に進むことができます。
ご予約は公式LINEから24時間いつでも受け付けています。「一般婦人科診療」のメニューからお取りください。→https://cline-app.com/qr-codes/98ad6f149bfa20f4f2a9a2e91aac4187/preview</t>
  </si>
  <si>
    <t>性感染症検査,予約なし</t>
  </si>
  <si>
    <t>性感染症検査後に相談はできますか？</t>
  </si>
  <si>
    <t>検査結果や治療後の不安について、診察や相談が可能です。</t>
  </si>
  <si>
    <t>性感染症検査,アフターケア,相談</t>
  </si>
  <si>
    <t>性感染症検査の診察・検査の流れを教えてください</t>
  </si>
  <si>
    <t>ルナレディースクリニックの性感染症検査は以下の流れで行います。①公式LINEでご予約・ご来院いただき、WEB問診に症状をご入力ください。②医師が症状や心配な点を詳しく確認し、必要な検査項目をご説明します。③内診台でおりものや分泌物を採取します。④必要に応じて採血を行います。⑤検査結果をご説明し、陽性の場合は速やかに治療を開始します。</t>
  </si>
  <si>
    <t>性感染症検査,診察の流れ,検査の流れ</t>
  </si>
  <si>
    <t>性感染症検査の診察では何を聞かれますか？</t>
  </si>
  <si>
    <t>診察では、症状が出始めた時期、内容、心配な性行為の有無、パートナーの状況、過去の性感染症歴などを確認します。その上で、必要な検査項目をご説明します。</t>
  </si>
  <si>
    <t>性感染症検査,問診内容</t>
  </si>
  <si>
    <t>性感染症検査で採血はありますか？</t>
  </si>
  <si>
    <t>梅毒、HIV、B型肝炎などは血液検査が必要なため、腕から採血を行います。必要な検査項目は診察時に医師が判断します。</t>
  </si>
  <si>
    <t>性感染症検査,採血,血液検査</t>
  </si>
  <si>
    <t>性感染症検査の結果はいつわかりますか？カンジダ検査は即日でわかりますか？/カンジダの結果はすぐ出ますか？</t>
  </si>
  <si>
    <t>検査結果は、項目によって判明する時期やご説明方法が異なります。
クラミジア・淋菌・マイコプラズマなどは約4～10日後にWebで確認できます。血液検査はご来院時に医師から直接結果をご説明します。</t>
  </si>
  <si>
    <t>性感染症検査,結果,判明時期</t>
  </si>
  <si>
    <t>性感染症検査で陽性だった場合はどうなりますか？</t>
  </si>
  <si>
    <t>陽性の場合は、お薬の処方など速やかに治療を開始します。パートナーの治療の必要性や、完治までの注意点も医師が詳しくご説明します。</t>
  </si>
  <si>
    <t>性感染症検査,陽性,治療</t>
  </si>
  <si>
    <t>性感染症検査に痛みはありますか？</t>
  </si>
  <si>
    <t>内診台での検査は、綿棒でおりものをぬぐう程度ですので、強い痛みを感じることはほとんどありません。リラックスできるよう丁寧な声かけを心がけておりますので、ご安心ください。</t>
  </si>
  <si>
    <t>性感染症検査,痛み,内診</t>
  </si>
  <si>
    <t>症状がなくても性感染症検査は受けられますか？</t>
  </si>
  <si>
    <t>可能です。性感染症は自覚症状がない場合も多いため、ご不安な方や、パートナーが変わったタイミングなどで検査を受けていただくことは非常に重要です。その場合は、自費診療となります。</t>
  </si>
  <si>
    <t>性感染症検査,無症状,自費診療</t>
  </si>
  <si>
    <t>性感染症検査はパートナーも一緒に検査を受けたほうがいいですか？</t>
  </si>
  <si>
    <t>パートナーとの検査を強くお勧めします。どちらか一方が治療しても、パートナーが感染したままだと再びうつし合ってしまう「ピンポン感染」に陥ってしまいます。ご自身に陽性が見つかった場合は、必ずパートナーにも検査と治療を受けていただくようお伝えください。当院ではオンラインのみ取り扱う男性向けの郵送検査キット「STDチェック」もご用意しております。</t>
  </si>
  <si>
    <t>性感染症検査,パートナー,ピンポン感染</t>
  </si>
  <si>
    <t>性病検査を受けたいけれど、忙しくて来院できない場合はどうすればいいですか？</t>
  </si>
  <si>
    <t>当院では、ご自宅で簡単に検査ができる郵送検査キット「FemCHECK（フェムチェック）」をご用意しています。Webサイトやお近くのクリニックで購入でき、クラミジアや淋菌などを調べることが可能です。万が一、陽性だった場合は、そのままオンライン診療でお薬を処方することもできますので、ぜひご活用ください。</t>
  </si>
  <si>
    <t>性感染症検査,郵送検査,FemCHECK</t>
  </si>
  <si>
    <t>性感染症はきちんと治りますか？</t>
  </si>
  <si>
    <t>ほとんどの性感染症は、お薬を正しく服用・使用することで完治します。例えばクラミジアの場合、1回の服用で治療できるお薬もあります。大切なのは、医師の指示通りに最後まで治療をやりきることと、治癒したことを確認する検査まできちんと受けることです。私たちが責任をもってサポートします。</t>
  </si>
  <si>
    <t>性感染症,完治,治療</t>
  </si>
  <si>
    <t>妊娠したかもしれない場合、いつ受診すればいいですか？</t>
  </si>
  <si>
    <t>ルナレディースクリニックでは、市販の妊娠検査薬で陽性反応が出た後、または生理予定日から1〜2週間経過した頃の受診をおすすめしています。妊娠週数が早すぎると、超音波（エコー）検査で胎嚢が確認できない場合があるため、適切なタイミングでの受診がより正確な診断につながります。</t>
  </si>
  <si>
    <t>妊娠検査,妊娠したかも,受診タイミング</t>
  </si>
  <si>
    <t>市販の妊娠検査薬で陽性が出た</t>
  </si>
  <si>
    <t>ルナレディースクリニックでは、問診・尿検査・超音波（エコー）検査を行います。尿検査で妊娠反応を確認し、超音波検査では子宮内に胎嚢があるか、正常な妊娠かどうかを確認します。異所性妊娠（子宮外妊娠）の有無も確認できる重要な検査です。</t>
  </si>
  <si>
    <t>妊娠検査,市販検査薬,エコー検査</t>
  </si>
  <si>
    <t>妊娠検査の費用はいくらですか？</t>
  </si>
  <si>
    <t>ルナレディースクリニックでの妊娠検査の費用は、妊娠判定（尿検査）が1,000円（税込）、超音波（エコー）検査が5,500円（税込）です。別途、初診料・再診料がかかります。</t>
  </si>
  <si>
    <t>妊娠検査,費用,料金</t>
  </si>
  <si>
    <t>妊娠検査は保険適用になりますか？</t>
  </si>
  <si>
    <t>ルナレディースクリニックでは、妊娠検査は原則として自費診療となります。診察内容や症状によって対応が異なる場合がありますので、医師の診察時にご説明します。</t>
  </si>
  <si>
    <t>妊娠検査,保険適用,自費診療</t>
  </si>
  <si>
    <t>妊娠検査は初診でも受けられますか？</t>
  </si>
  <si>
    <t>ルナレディースクリニックでは初診の方でも妊娠検査を受けていただけます。市販の妊娠検査薬で陽性が出た場合や、生理が来ない場合はお気軽にご相談ください。</t>
  </si>
  <si>
    <t>妊娠検査,初診OK,妊娠確認</t>
  </si>
  <si>
    <t>妊娠検査はオンライン診療でもできますか？</t>
  </si>
  <si>
    <t>妊娠の確定診断には超音波（エコー）検査が必要なため、ルナレディースクリニックでは妊娠検査は来院での診療のみ対応しています。</t>
  </si>
  <si>
    <t>妊娠検査,オンライン診療,来院必須</t>
  </si>
  <si>
    <t>他院で妊娠の診察を受けていますが、こちらでも診てもらえますか？</t>
  </si>
  <si>
    <t>当院では妊娠12週までの方の診察を承っておりますが、すでに他の医療機関にて妊娠経過の診察を受けておられる方につきましては、当院で妊娠の経過を把握することが難しいため、原則として、これまで通院されている医療機関（かかりつけ医）でのご受診をお願いいたします。</t>
  </si>
  <si>
    <t>妊娠検査,転院,他院通院中</t>
  </si>
  <si>
    <t>妊娠検査の診察はどのような流れで行われますか？</t>
  </si>
  <si>
    <t>当院での妊娠検査は、ご来院いただき、①ご予約・WEB問診、②受付・尿検査、③医師による診察・超音波（エコー）検査、④診断結果のご説明と今後のご案内、⑤お会計、という流れで行います。事前にWEB問診をご利用いただくことで、院内での待ち時間を短縮し、スムーズにご案内できます。</t>
  </si>
  <si>
    <t>妊娠検査,診察の流れ,エコー検査</t>
  </si>
  <si>
    <t>妊娠検査の予約はどうすればいいですか？</t>
  </si>
  <si>
    <t>妊娠検査は、公式LINEからご予約ください。LINEはこちら→https://cline-app.com/qr-codes/98ad6f149bfa20f4f2a9a2e91aac4187/preview</t>
  </si>
  <si>
    <t>妊娠検査,予約方法,LINE予約</t>
  </si>
  <si>
    <t>妊娠検査はどうやって予約しますか？</t>
  </si>
  <si>
    <t>妊娠検査のご予約は公式LINEから受け付けています。ご予約は「妊娠検査」のメニューからお取りください。→https://cline-app.com/qr-codes/5281ce9ad8d178106e15ddf61c996e66/previewpage?utm_customid=977137868.1765506771-176673049</t>
  </si>
  <si>
    <t>予約方法,LINE,電話,妊娠検査</t>
  </si>
  <si>
    <t>妊娠検査はLINEから予約できますか？</t>
  </si>
  <si>
    <t>公式LINEから24時間いつでも予約できます。ご予約は「妊娠検査」のメニューからお取りください。→https://cline-app.com/qr-codes/5281ce9ad8d178106e15ddf61c996e66/previewpage?utm_customid=977137868.1765506771-176673049</t>
  </si>
  <si>
    <t>LINE予約,婦人科予約,妊娠検査</t>
  </si>
  <si>
    <t>妊娠検査は電話でも予約できますか？</t>
  </si>
  <si>
    <t>LINEでの予約後、事前問診等もLINEから行うことができ、スムーズに受診ができるため、当院ではLINEでのご予約を推奨しております。
ご予約は「妊娠検査」のメニューからお取りください。→https://cline-app.com/qr-codes/5281ce9ad8d178106e15ddf61c996e66/previewpage?utm_customid=977137868.1765506771-176673049</t>
  </si>
  <si>
    <t>電話予約,問い合わせ,妊娠検査</t>
  </si>
  <si>
    <t>妊娠検査の予約前に準備しておくことはありますか？</t>
  </si>
  <si>
    <t>WEB問診,事前準備,妊娠検査</t>
  </si>
  <si>
    <t>妊娠検査は初診でも予約できますか？</t>
  </si>
  <si>
    <t>妊娠検査は初診の方もご予約いただけます。ご予約は公式LINEから受け付けておりますので、友だち追加の上ご利用ください。
ご予約は「妊娠検査」のメニューからお取りください。→https://cline-app.com/qr-codes/5281ce9ad8d178106e15ddf61c996e66/previewpage?utm_customid=977137868.1765506771-176673049</t>
  </si>
  <si>
    <t>初診,予約,妊娠検査</t>
  </si>
  <si>
    <t>妊娠検査は来院とオンライン、どちらで予約できますか？</t>
  </si>
  <si>
    <t>ルナレディースクリニックでは、妊娠検査のご相談は来院診療のみで承っています。
ご予約は「妊娠検査」のメニューからお取りください。→https://cline-app.com/qr-codes/5281ce9ad8d178106e15ddf61c996e66/previewpage?utm_customid=977137868.1765506771-176673049</t>
  </si>
  <si>
    <t>来院診療,オンライン診療,妊娠検査</t>
  </si>
  <si>
    <t>予約なしでも妊娠検査は受けられますか？</t>
  </si>
  <si>
    <t>直接のご来院でも可能ですが、待ち時間が発生する場合があります。事前にご予約をいただくことでスムーズに診察に進むことができます。
ご予約は公式LINEから受け付けています。ご予約は「妊娠検査」のメニューからお取りください。→https://cline-app.com/qr-codes/5281ce9ad8d178106e15ddf61c996e66/previewpage?utm_customid=977137868.1765506771-176673049</t>
  </si>
  <si>
    <t>妊娠検査検査,予約なし</t>
  </si>
  <si>
    <t>妊娠検査では最初に何をしますか？</t>
  </si>
  <si>
    <t>ご来院後、受付でご本人確認を行った後、妊娠反応を調べるために院内で尿検査を行います。</t>
  </si>
  <si>
    <t>妊娠検査,尿検査,初診</t>
  </si>
  <si>
    <t>妊娠検査ではエコー検査は行いますか？</t>
  </si>
  <si>
    <t>問診内容と尿検査の結果をもとに、医師が膣からの超音波（エコー）検査を行い、子宮内の様子を確認します。正常な妊娠かどうか、異所性妊娠の可能性がないかを診断します。</t>
  </si>
  <si>
    <t>妊娠検査,エコー検査,超音波</t>
  </si>
  <si>
    <t>妊娠検査の結果はどのように説明されますか？</t>
  </si>
  <si>
    <t>検査結果については、モニターの映像をお見せしながら、医師が分かりやすくご説明します。正常な妊娠が確認できた場合は、今後の妊婦健診のスケジュールについてもご案内します。</t>
  </si>
  <si>
    <t>妊娠検査,結果説明,妊婦健診</t>
  </si>
  <si>
    <t>妊娠検査の当日はどこまで進みますか？</t>
  </si>
  <si>
    <t>妊娠検査当日は、尿検査と超音波（エコー）検査による妊娠の確認まで行います。正常な妊娠が確認できた場合は、今後の流れや妊婦健診についてご説明します。</t>
  </si>
  <si>
    <t>妊娠検査,初診当日,どこまで</t>
  </si>
  <si>
    <t>妊娠検査後のお会計はいつ行いますか？</t>
  </si>
  <si>
    <t>診察と結果説明が終了した後にお会計となります。母子手帳の受け取り方など、ご不明点があればお会計時にご相談いただけます。</t>
  </si>
  <si>
    <t>妊娠検査,支払い,会計</t>
  </si>
  <si>
    <t>妊娠検査で陽性だった場合、その後どうなりますか？</t>
  </si>
  <si>
    <t>当院で正常な妊娠が確認された後は、お住まいの市区町村で母子健康手帳を受け取り、その後、定期的な妊婦健診が始まります。当院では分娩は行っていないため、分娩施設への紹介状を作成いたします。紹介先の医療機関は患者さまご自身でお探しいただいております。</t>
  </si>
  <si>
    <t>妊娠検査,陽性後の流れ,母子手帳</t>
  </si>
  <si>
    <t>妊娠検査薬で陽性が出たら、いつ受診すればいいですか？</t>
  </si>
  <si>
    <t>生理予定日から1〜2週間後が、超音波検査で胎嚢が確認しやすいタイミングです。ただし、出血や腹痛がある場合や不安が強い場合は、早めにご相談ください。</t>
  </si>
  <si>
    <t>妊娠検査,受診タイミング,陽性</t>
  </si>
  <si>
    <t>妊娠検査の費用はいくらですか？保険は使えますか？</t>
  </si>
  <si>
    <t>妊娠検査は自費診療となり、健康保険は使用できません。費用は妊娠判定（尿検査）1,000円（税込）、超音波（エコー）検査5,500円（税込）が目安となります。万が一、異所性妊娠などの異常が見つかった場合は、その後の治療は保険適用となります。</t>
  </si>
  <si>
    <t>妊娠検査,費用,保険適用</t>
  </si>
  <si>
    <t>妊娠検査の診察では内診はありますか？痛みはありますか？</t>
  </si>
  <si>
    <t>主に問診と、膣からの超音波（エコー）検査を行います。力を抜いてリラックスしていただければ、痛みはほとんどありません。医師やスタッフが丁寧にお声がけしながら進めますのでご安心ください。</t>
  </si>
  <si>
    <t>妊娠検査,内診,痛み</t>
  </si>
  <si>
    <t>妊娠検査の持ち物はありますか？</t>
  </si>
  <si>
    <t>健康保険証をご持参ください。また、基礎体温を測っている方は、基礎体温表をお持ちいただくと診察の参考になります。</t>
  </si>
  <si>
    <t>妊娠検査,持ち物,初診準備</t>
  </si>
  <si>
    <t>パートナーと一緒に妊娠検査を受けられますか？</t>
  </si>
  <si>
    <t>申し訳ございませんが、当院では男性の同伴をご遠慮いただいております。あらかじめご了承ください。</t>
  </si>
  <si>
    <t>妊娠検査,同伴,パートナー</t>
  </si>
  <si>
    <t>ルナレディースクリニックでは中絶手術にどのように向き合っていますか？</t>
  </si>
  <si>
    <t>ルナレディースクリニックでは、予期しない妊娠や望まない妊娠に気づいた際に生じる不安や葛藤に寄り添い、後悔のない決断ができるようサポートしています。どんな些細なことでもご相談いただける、身近で通いやすいクリニックを目指しています。</t>
  </si>
  <si>
    <t>中絶手術</t>
  </si>
  <si>
    <t>中絶手術,人工妊娠中絶,相談</t>
  </si>
  <si>
    <t>人工妊娠中絶手術は保険適用ですか？/中絶は保険適用ですか？</t>
  </si>
  <si>
    <t>人工妊娠中絶手術は、健康保険が適用されない自費診療となります。</t>
  </si>
  <si>
    <t>中絶手術,保険適用,自費診療</t>
  </si>
  <si>
    <t>ルナレディースクリニックの中絶手術の方法は何ですか？</t>
  </si>
  <si>
    <t>当院では「手動真空吸引法（MVA）」による人工妊娠中絶手術を行っています。使いきりの器具を使用する方法で、術後の診察費用を含めた明確な料金体系となるよう努めています。</t>
  </si>
  <si>
    <t>中絶手術,MVA,手動真空吸引法</t>
  </si>
  <si>
    <t>初期中絶手術の費用はいくらですか？/中絶の費用はいくら？/中絶にはどれぐらいお金がかかりますか？</t>
  </si>
  <si>
    <t xml:space="preserve">初期中絶手術の費用は92,400円（税込）からとなります。
当院で採用をしている「手動真空吸引法（MVA）」は使いきりの器具を使用するため高額になりやすい手術方法ですが、術後の診察費用を無料とし、明確な料金体系となるよう努めています。
※曜日と時間帯、経過週数によって手術料金が異なります。
※各種クレジットカードや電子マネーもご使用いただけます。
※当クリニックでは1回払いのみ対応しております。
※分割払いをご希望の場合は、患者様ご自身でクレジットカード会社に分割払いへの変更手続きを行っていただく必要がありますので、予めご了承ください。
以下に該当する方は中絶手術をお受けできませんので予めご了承くださいませ・妊娠12週以降の方（当院では妊娠11週6日までの初期中絶のみ対応）・帝王切開歴のある方・喘息をお持ちの方で直近3ヶ月以内に発作がある場合・BMI32以上の方（BMI28以上は医師の判断）・日本語でのコミュニケーションが難しい方 </t>
  </si>
  <si>
    <t>中絶手術,費用,初期中絶</t>
  </si>
  <si>
    <t>中絶手術の支払いは分割でできますか？</t>
  </si>
  <si>
    <t>クレジットカード会社と患者様のご契約内容によっては、中絶費用も分割でお支払いも可能です。</t>
  </si>
  <si>
    <t>中絶手術,費用,初期中絶,分割,分割払い</t>
  </si>
  <si>
    <t>中絶手術後の診察には費用がかかりますか？</t>
  </si>
  <si>
    <t>術後の診察は、1回目・2回目ともに無料で行っています。</t>
  </si>
  <si>
    <t>中絶手術,術後診察,費用</t>
  </si>
  <si>
    <t>中絶手術の初診時にはどのような検査を行いますか？</t>
  </si>
  <si>
    <t>初診時には、手術を安全に行うために、妊娠の確認や子宮口の状態確認に加え、感染症検査や血液検査を行います。</t>
  </si>
  <si>
    <t>中絶手術,初診,検査内容</t>
  </si>
  <si>
    <t>中絶手術の支払い方法には何がありますか？</t>
  </si>
  <si>
    <t>中絶手術のお支払いには、各種クレジットカードや電子マネーをご利用いただけます。</t>
  </si>
  <si>
    <t>中絶手術,支払い方法,クレジットカード</t>
  </si>
  <si>
    <t>中絶手術は分割払いに対応していますか？</t>
  </si>
  <si>
    <t>当クリニックでは1回払いのみ対応しています。分割払いをご希望の場合は、患者様ご自身でクレジットカード会社へ分割払いへの変更手続きを行っていただく必要があります。</t>
  </si>
  <si>
    <t>中絶手術,分割払い,支払い方法</t>
  </si>
  <si>
    <t>中絶手術の費用には何が含まれていますか？</t>
  </si>
  <si>
    <t>手動真空吸引法（MVA）による中絶手術費用には、手術費用に加え、術後の診察費用が含まれています。初診時の検査費用については、手術を安全に行うための検査として別途実施されます。</t>
  </si>
  <si>
    <t>中絶手術,費用内訳,MVA</t>
  </si>
  <si>
    <t>妊婦のための支援給付制度とは何ですか？</t>
  </si>
  <si>
    <t>妊婦のための支援給付制度は、妊娠期から出産・子育てまでを支援するために、自治体が実施している給付金制度です。妊娠届を提出した方を対象に、給付金が支給されます。公式LINEでは制度概要をご案内しておりますので、ご利用ください。https://cline-app.com/qr-codes/b243ab6a55e32b967cab9b2589de5aae/previewpage?utm_customid=977137868.1765506771-1767184286</t>
  </si>
  <si>
    <t>妊婦支援給付制度,出産子育て応援給付金,給付金</t>
  </si>
  <si>
    <t>妊婦支援給付制度はいくらもらえますか？</t>
  </si>
  <si>
    <t>一般的には、妊娠届提出後に1回目として妊婦1人あたり5万円、出産後に2回目として胎児の数×5万円が支給されます。ただし金額は自治体によって異なります。公式LINEでは制度概要をご案内しておりますので、ご利用ください。https://cline-app.com/qr-codes/b243ab6a55e32b967cab9b2589de5aae/previewpage?utm_customid=977137868.1765506771-1767184286</t>
  </si>
  <si>
    <t>妊婦支援給付制度,給付額,5万円</t>
  </si>
  <si>
    <t>妊婦支援給付制度は中絶した場合も対象になりますか？</t>
  </si>
  <si>
    <t>妊娠届を提出している場合、自治体によっては中絶手術を受けた方も給付の対象となるケースがあります。ただし、支給条件は自治体ごとに異なるため、必ずお住まいの自治体へご確認ください。公式LINEでは制度概要をご案内しておりますので、ご利用ください。https://cline-app.com/qr-codes/b243ab6a55e32b967cab9b2589de5aae/previewpage?utm_customid=977137868.1765506771-1767184286</t>
  </si>
  <si>
    <t>妊婦支援給付制度,中絶,給付対象</t>
  </si>
  <si>
    <t>妊婦支援給付制度を受けるには何が必要ですか？</t>
  </si>
  <si>
    <t>妊婦支援給付制度を受けるには、原則として妊娠届の提出が必要です。申請方法や必要書類は自治体によって異なります。公式LINEでは制度概要をご案内しておりますので、ご利用ください。https://cline-app.com/qr-codes/b243ab6a55e32b967cab9b2589de5aae/previewpage?utm_customid=977137868.1765506771-1767184286公式LINEでは制度概要をご案内しておりますので、ご利用ください。https://cline-app.com/qr-codes/b243ab6a55e32b967cab9b2589de5aae/previewpage?utm_customid=977137868.1765506771-1767184286</t>
  </si>
  <si>
    <t>妊婦支援給付制度,妊娠届,申請方法</t>
  </si>
  <si>
    <t>妊婦支援給付制度は全国共通ですか？</t>
  </si>
  <si>
    <t>制度の枠組みは国の事業に基づいていますが、給付の有無や金額、申請条件は自治体ごとに異なります。必ずお住まいの自治体の案内をご確認ください。公式LINEでは制度概要をご案内しておりますので、ご利用ください。https://cline-app.com/qr-codes/b243ab6a55e32b967cab9b2589de5aae/previewpage?utm_customid=977137868.1765506771-1767184286</t>
  </si>
  <si>
    <t>妊婦支援給付制度,自治体,違い</t>
  </si>
  <si>
    <t>ルナレディースクリニックの中絶手術は安全ですか？/中絶はできますか？</t>
  </si>
  <si>
    <t>ルナレディースクリニックでは、WHO（世界保健機関）が推奨する安全性の高い「吸引法」の中でも、子宮に優しい手動真空吸引法（MVA）を採用し、中絶手術を行っています。柔らかく細い使い捨て器具を使用するため、子宮を傷つけるリスクや感染症のリスクを極めて低く抑えています。</t>
  </si>
  <si>
    <t>中絶手術,安全性,WHO,吸引法,MVA</t>
  </si>
  <si>
    <t>中絶手術で採用している手術方法は何ですか？</t>
  </si>
  <si>
    <t>当院ではWHOが推奨する吸引法の一つである「手動真空吸引法（MVA）」を採用しています。痛みが少なく、子宮への負担が少ないことが特長です。</t>
  </si>
  <si>
    <t>中絶手術,MVA,吸引法,手動真空吸引法</t>
  </si>
  <si>
    <t>中絶手術はどの医師が担当しますか？</t>
  </si>
  <si>
    <t>中絶手術は、産婦人科専門医の資格を持つ母体保護法指定医が担当します。豊富な経験と専門知識を持つ医師が、患者様一人ひとりの状態を丁寧に確認したうえで手術を行います。</t>
  </si>
  <si>
    <t>中絶手術,母体保護法指定医,産婦人科専門医</t>
  </si>
  <si>
    <t>中絶手術は日帰りで受けられますか？</t>
  </si>
  <si>
    <t>中絶手術は日帰り手術です。来院からご帰宅までの目安は3〜4時間で、手術時間自体は約15分と短時間です。手術後は2時間ほど休息してからご帰宅いただきます。</t>
  </si>
  <si>
    <t>中絶手術,日帰り手術,所要時間</t>
  </si>
  <si>
    <t>中絶手術中の痛みはありますか？</t>
  </si>
  <si>
    <t>静脈麻酔と笑気麻酔を併用し手術を行うため、手術中はほとんど痛みを感じません。※医師判断で局所麻酔を使用する場合もあります。
手術時間が15分と短いため、麻酔が十分に効いている間に手術を終えられます。
不安や緊張で気分が悪くなる場合もありますので、些細なことでもぜひご相談ください。</t>
  </si>
  <si>
    <t>中絶手術,痛み,麻酔,静脈麻酔,笑気麻酔</t>
  </si>
  <si>
    <t>中絶手術後の感染リスクは高くありませんか？</t>
  </si>
  <si>
    <t>当院では滅菌済みの使い捨て器具のみを使用しているため、手術器具を介した感染リスクを限りなくゼロに近づけています。</t>
  </si>
  <si>
    <t>中絶手術,感染リスク,使い捨て器具</t>
  </si>
  <si>
    <t>中絶手術後のアフターケアはありますか？</t>
  </si>
  <si>
    <t>子宮と体調の回復を確認することはもちろん、望まない妊娠を繰り返さないためにも、中絶後のケアは大切です。
当クリニックでは術後1週間後と3週間後の2回の検診を無料で受けられますので、安心してご来院ください。</t>
  </si>
  <si>
    <t>中絶後,アフターケア,術後検診</t>
  </si>
  <si>
    <t>中絶手術ではプライバシーには配慮されていますか？</t>
  </si>
  <si>
    <t>手術前後は完全個室でお休みいただけます。プライバシーに十分配慮した環境でお過ごしいただけます。</t>
  </si>
  <si>
    <t>中絶手術,プライバシー,個室</t>
  </si>
  <si>
    <t>ルナレディースクリニックで対応している中絶の妊娠週数は？</t>
  </si>
  <si>
    <t>当院では妊娠11週6日までの初期中絶に対応しています。妊娠週数が進むほど身体的・精神的・経済的負担が大きくなるため、早めの受診をおすすめしています。</t>
  </si>
  <si>
    <t>初期中絶,妊娠週数,中絶可能週数</t>
  </si>
  <si>
    <t>当日中絶できますか？/中絶手術は当日できますか？</t>
  </si>
  <si>
    <t xml:space="preserve">大変恐縮ではありますが、当院では当日に中絶手術を行うことはできません。当クリニックでは、中絶手術の1回目としてカウンセリングと検査を行います。公式LINEからご予約のうえご来院いただき、問診・超音波（エコー）検査・血液検査を行い、妊娠週数やお身体の状態を確認します。その後、手術方法やリスク、費用について医師が詳しくご説明し、ご納得いただいた場合に手術日の予約を行います。患者様のご負担を軽減するため、「手術当日以外」はお近くのクリニックをご利用いただける体制を整えております。■初回相談・術前検査：川崎駅前院／横浜駅前院／町田駅前院→ご都合の良い院で受診可能 ■手術当日：横浜駅前院のみ→施術当日のみ横浜へご来院いただきます ■術後フォロー：川崎駅前院／横浜駅前院／町田駅前院→お近くの院で受診可能 ご予約は公式LINEから24時間承っております。LINEはこちら→https://cline-app.com/qr-codes/98ad6f149bfa20f4f2a9a2e91aac4187/preview
以下に該当する方は中絶手術をお受けできませんので予めご了承くださいませ・妊娠12週以降の方（当院では妊娠11週6日までの初期中絶のみ対応）・帝王切開歴のある方・喘息をお持ちの方で直近3ヶ月以内に発作がある場合・BMI32以上の方（BMI28以上は医師の判断）・日本語でのコミュニケーションが難しい方 </t>
  </si>
  <si>
    <t>中絶手術,当日中絶,初回診療,手術日,横浜駅前院</t>
  </si>
  <si>
    <t>中絶手術の初回診療はどのような流れですか？</t>
  </si>
  <si>
    <t>当クリニックでは、中絶手術の1回目としてカウンセリングと検査を行います。公式LINEからご予約のうえご来院いただき、問診・超音波（エコー）検査・血液検査を行い、妊娠週数やお身体の状態を確認します。その後、手術方法やリスク、費用について医師が詳しくご説明し、ご納得いただいた場合に手術日の予約を行います。患者様のご負担を軽減するため、「手術当日以外」はお近くのクリニックをご利用いただける体制を整えております。
■ 初回相談・術前検査
川崎駅前院／横浜駅前院／町田駅前院
→ご都合の良い院で受診可能
■ 手術当日
横浜駅前院のみ
→施術当日のみ横浜へご来院いただきます
■ 術後フォロー
川崎駅前院／横浜駅前院／町田駅前院
→お近くの院で受診可能
ご予約は公式LINEから24時間承っております。LINEはこちら→https://cline-app.com/qr-codes/98ad6f149bfa20f4f2a9a2e91aac4187/preview</t>
  </si>
  <si>
    <t>中絶手術,初回診療,流れ,2日間</t>
  </si>
  <si>
    <t>中絶の相談はどのように行いますか？</t>
  </si>
  <si>
    <t xml:space="preserve">中絶相談の初回診療は予約制です。公式LINEからご予約のうえご来院いただき、問診・超音波（エコー）検査・血液検査を行い、妊娠週数やお身体の状態を確認します。その後、手術方法やリスク、費用について医師が詳しくご説明し、ご納得いただいた場合に手術日の予約を行います。患者様のご負担を軽減するため、「手術当日以外」はお近くのクリニックをご利用いただける体制を整えております。■初回相談・術前検査：川崎駅前院／横浜駅前院／町田駅前院→ご都合の良い院で受診可能 ■手術当日：横浜駅前院のみ→施術当日のみ横浜へご来院いただきます ■術後フォロー：川崎駅前院／横浜駅前院／町田駅前院→お近くの院で受診可能 ご予約は公式LINEから24時間承っております。LINEはこちら→https://cline-app.com/qr-codes/98ad6f149bfa20f4f2a9a2e91aac4187/preview
以下に該当する方は中絶手術をお受けできませんので予めご了承くださいませ・妊娠12週以降の方（当院では妊娠11週6日までの初期中絶のみ対応）・帝王切開歴のある方・喘息をお持ちの方で直近3ヶ月以内に発作がある場合・BMI32以上の方（BMI28以上は医師の判断）・日本語でのコミュニケーションが難しい方 </t>
  </si>
  <si>
    <t>中絶手術,予約,LINE予約,電話予約</t>
  </si>
  <si>
    <t>中絶手術の予約はどのように行いますか？</t>
  </si>
  <si>
    <t xml:space="preserve">中絶手術の初回診療は予約制です。当院では患者様のご負担を軽減するため、「手術当日以外」はお近くのクリニックをご利用いただける体制を整えております。初回相談・術前検査はご都合が良いクリニックをご選択ください。手術当日のみ、横浜駅前院へご来院いただきます。術後フォローはお近くの院で受診可能となります。ご予約は公式LINEから24時間承っております。LINEはこちら→https://cline-app.com/qr-codes/98ad6f149bfa20f4f2a9a2e91aac4187/preview
以下に該当する方は中絶手術をお受けできませんので予めご了承くださいませ・妊娠12週以降の方（当院では妊娠11週6日までの初期中絶のみ対応）・帝王切開歴のある方・喘息をお持ちの方で直近3ヶ月以内に発作がある場合・BMI32以上の方（BMI28以上は医師の判断）・日本語でのコミュニケーションが難しい方 </t>
  </si>
  <si>
    <t>中絶手術の初回来院時に必要な持ち物は何ですか？</t>
  </si>
  <si>
    <t>初回来院時は、保険証またはマイナンバーカード、お薬手帳（お持ちの方）、筆記用具をご持参ください。問診票記入のため、予約時間より10分ほど早めの来院をおすすめしています。</t>
  </si>
  <si>
    <t>中絶手術,初診,持ち物</t>
  </si>
  <si>
    <t>中絶手術の1回目はどのような流れですか？/中絶手術の初回診療はどのような流れですか？</t>
  </si>
  <si>
    <t>当クリニックでは、中絶手術の1回目としてカウンセリングと検査を行います。公式LINEからご予約のうえご来院いただき、問診・超音波（エコー）検査・血液検査を行い、妊娠週数やお身体の状態を確認します。その後、手術方法やリスク、費用について医師が詳しくご説明し、ご納得いただいた場合に手術日の予約を行います。患者様のご負担を軽減するため、「手術当日以外」はお近くのクリニックをご利用いただける体制を整えております。■初回相談・術前検査：川崎駅前院／横浜駅前院／町田駅前院→ご都合の良い院で受診可能 ■手術当日：横浜駅前院のみ→施術当日のみ横浜へご来院いただきます ■術後フォロー：川崎駅前院／横浜駅前院／町田駅前院→お近くの院で受診可能 ご予約は公式LINEから24時間承っております。LINEはこちら→https://cline-app.com/qr-codes/98ad6f149bfa20f4f2a9a2e91aac4187/preview</t>
  </si>
  <si>
    <t>中絶,初回診療,カウンセリング,検査,予約</t>
  </si>
  <si>
    <t>中絶手術の初回診療は予約が必要ですか？/町田院でも中絶手術はできますか？/川崎院でも中絶手術はできますか？</t>
  </si>
  <si>
    <t xml:space="preserve">当クリニックではスムーズなご案内のため、初回診療は完全予約制としています。当院では患者様のご負担を軽減するため、「手術当日以外」はお近くのクリニックをご利用いただける体制を整えております。初回相談・術前検査はご都合が良いクリニックをご選択ください。手術当日のみ、横浜駅前院へご来院いただきます。術後フォローはお近くの院で受診可能となります。ご予約は公式LINEから24時間予約可能です。LINEはこちら→https://cline-app.com/qr-codes/98ad6f149bfa20f4f2a9a2e91aac4187/preview
以下に該当する方は中絶手術をお受けできませんので予めご了承くださいませ・妊娠12週以降の方（当院では妊娠11週6日までの初期中絶のみ対応）・帝王切開歴のある方・喘息をお持ちの方で直近3ヶ月以内に発作がある場合・BMI32以上の方（BMI28以上は医師の判断）・日本語でのコミュニケーションが難しい方 </t>
  </si>
  <si>
    <t>中絶,初回,予約,LINE,電話</t>
  </si>
  <si>
    <t>中絶手術はどうやって予約しますか？</t>
  </si>
  <si>
    <t xml:space="preserve">公式LINEでご予約ができます。LINEはこちら→https://cline-app.com/qr-codes/98ad6f149bfa20f4f2a9a2e91aac4187/preview
※当院では患者様のご負担を軽減するため、「手術当日以外」はお近くのクリニックをご利用いただける体制を整えております。初回相談・術前検査はご都合が良いクリニックをご選択ください。手術当日のみ、横浜駅前院へご来院いただきます。術後フォローはお近くの院で受診可能となります。
以下に該当する方は中絶手術をお受けできませんので予めご了承くださいませ・妊娠12週以降の方（当院では妊娠11週6日までの初期中絶のみ対応）・帝王切開歴のある方・喘息をお持ちの方で直近3ヶ月以内に発作がある場合・BMI32以上の方（BMI28以上は医師の判断）・日本語でのコミュニケーションが難しい方 </t>
  </si>
  <si>
    <t>中絶手術はLINEから予約できますか？</t>
  </si>
  <si>
    <t>中絶手術は電話でも予約できますか？</t>
  </si>
  <si>
    <t xml:space="preserve">LINEでの予約後、事前問診等もLINEから行うことができ、スムーズに受診ができるため、当院ではLINEでのご予約を推奨しております。
来院診療のご予約：こちらのLINEをご利用ください→https://cline-app.com/qr-codes/98ad6f149bfa20f4f2a9a2e91aac4187/preview
※当院では患者様のご負担を軽減するため、「手術当日以外」はお近くのクリニックをご利用いただける体制を整えております。初回相談・術前検査はご都合が良いクリニックをご選択ください。手術当日のみ、横浜駅前院へご来院いただきます。術後フォローはお近くの院で受診可能となります。
以下に該当する方は中絶手術をお受けできませんので予めご了承くださいませ・妊娠12週以降の方（当院では妊娠11週6日までの初期中絶のみ対応）・帝王切開歴のある方・喘息をお持ちの方で直近3ヶ月以内に発作がある場合・BMI32以上の方（BMI28以上は医師の判断）・日本語でのコミュニケーションが難しい方 </t>
  </si>
  <si>
    <t>中絶手術の予約前に準備しておくことはありますか？</t>
  </si>
  <si>
    <t>中絶手術は初診でも予約できますか？</t>
  </si>
  <si>
    <t xml:space="preserve">中絶手術は初診の方もご予約いただけます。初回診療ではカウンセリングと検査を行い、その後、別日に中絶手術を実施します。初回診療後に十分な説明を行い、納得いただいた上で手術日を決定します。当院では患者様のご負担を軽減するため、「手術当日以外」はお近くのクリニックをご利用いただける体制を整えております。初回相談・術前検査はご都合が良いクリニックをご選択ください。手術当日のみ、横浜駅前院へご来院いただきます。術後フォローはお近くの院で受診可能となります。ご予約は公式LINEから受け付けておりますので、友だち追加の上ご利用ください。LINEはこちら→https://cline-app.com/qr-codes/98ad6f149bfa20f4f2a9a2e91aac4187/preview
以下に該当する方は中絶手術をお受けできませんので予めご了承くださいませ・妊娠12週以降の方（当院では妊娠11週6日までの初期中絶のみ対応）・帝王切開歴のある方・喘息をお持ちの方で直近3ヶ月以内に発作がある場合・BMI32以上の方（BMI28以上は医師の判断）・日本語でのコミュニケーションが難しい方 </t>
  </si>
  <si>
    <t>中絶手術は来院とオンライン、どちらで予約できますか？</t>
  </si>
  <si>
    <t xml:space="preserve">ルナレディースクリニックでは、中絶手術のご相談は来院診療のみで承っています。初回診療ではカウンセリングと検査を行い、その後、別日に中絶手術を実施します。初回診療後に十分な説明を行い、納得いただいた上で手術日を決定します。当院では患者様のご負担を軽減するため、「手術当日以外」はお近くのクリニックをご利用いただける体制を整えております。初回相談・術前検査はご都合が良いクリニックをご選択ください。手術当日のみ、横浜駅前院へご来院いただきます。術後フォローはお近くの院で受診可能となります。ご予約は公式LINEから受け付けておりますので、友だち追加の上ご利用ください。LINEはこちら→https://cline-app.com/qr-codes/98ad6f149bfa20f4f2a9a2e91aac4187/preview
以下に該当する方は中絶手術をお受けできませんので予めご了承くださいませ・妊娠12週以降の方（当院では妊娠11週6日までの初期中絶のみ対応）・帝王切開歴のある方・喘息をお持ちの方で直近3ヶ月以内に発作がある場合・BMI32以上の方（BMI28以上は医師の判断）・日本語でのコミュニケーションが難しい方 </t>
  </si>
  <si>
    <t>予約なしでも中絶手術は受けられますか？</t>
  </si>
  <si>
    <t xml:space="preserve">中絶手術は完全予約制としています。初回診療ではカウンセリングと検査を行い、その後、別日に中絶手術を実施します。初回診療後に十分な説明を行い、納得いただいた上で手術日を決定します。当院では患者様のご負担を軽減するため、「手術当日以外」はお近くのクリニックをご利用いただける体制を整えております。初回相談・術前検査はご都合が良いクリニックをご選択ください。手術当日のみ、横浜駅前院へご来院いただきます。術後フォローはお近くの院で受診可能となります。ご予約は公式LINEから受け付けておりますので、友だち追加の上ご利用ください。LINEはこちら→https://cline-app.com/qr-codes/98ad6f149bfa20f4f2a9a2e91aac4187/preview
以下に該当する方は中絶手術をお受けできませんので予めご了承くださいませ・妊娠12週以降の方（当院では妊娠11週6日までの初期中絶のみ対応）・帝王切開歴のある方・喘息をお持ちの方で直近3ヶ月以内に発作がある場合・BMI32以上の方（BMI28以上は医師の判断）・日本語でのコミュニケーションが難しい方 </t>
  </si>
  <si>
    <t>中絶手術の初回診療では何をしますか？</t>
  </si>
  <si>
    <t xml:space="preserve">当クリニックでは初回診療で、問診票の記入、医師による診察、膣からの超音波（エコー）検査、血液検査を行います。妊娠の有無や妊娠週数、子宮や体調の状態を確認し、安全に中絶手術が可能かを判断します。
※当院では患者様のご負担を軽減するため、「手術当日以外」はお近くのクリニックをご利用いただける体制を整えております。初回相談・術前検査はご都合が良いクリニックをご選択ください。手術当日のみ、横浜駅前院へご来院いただきます。術後フォローはお近くの院で受診可能となります。中絶手術のご相談のご予約は公式LINEで受け付けています。LINEはこちら→https://cline-app.com/qr-codes/98ad6f149bfa20f4f2a9a2e91aac4187/preview
以下に該当する方は中絶手術をお受けできませんので予めご了承くださいませ・妊娠12週以降の方（当院では妊娠11週6日までの初期中絶のみ対応）・帝王切開歴のある方・喘息をお持ちの方で直近3ヶ月以内に発作がある場合・BMI32以上の方（BMI28以上は医師の判断）・日本語でのコミュニケーションが難しい方 </t>
  </si>
  <si>
    <t>中絶手術｜初回診療内容</t>
  </si>
  <si>
    <t>中絶,初回,診察,エコー,血液検査</t>
  </si>
  <si>
    <t>中絶手術の初回診療ではどのような検査を行いますか？</t>
  </si>
  <si>
    <t xml:space="preserve">初回診療では、膣からの超音波検査で妊娠の有無や胎児の大きさを確認し、妊娠週数を算出します。また、採血により感染症の有無や貧血の程度を調べます。中絶手術のご相談のご予約は公式LINEで受け付けています。LINEはこちら→https://cline-app.com/qr-codes/98ad6f149bfa20f4f2a9a2e91aac4187/preview
※当院では患者様のご負担を軽減するため、「手術当日以外」はお近くのクリニックをご利用いただける体制を整えております。初回相談・術前検査はご都合が良いクリニックをご選択ください。手術当日のみ、横浜駅前院へご来院いただきます。術後フォローはお近くの院で受診可能となります。
以下に該当する方は中絶手術をお受けできませんので予めご了承くださいませ・妊娠12週以降の方（当院では妊娠11週6日までの初期中絶のみ対応）・帝王切開歴のある方・喘息をお持ちの方で直近3ヶ月以内に発作がある場合・BMI32以上の方（BMI28以上は医師の判断）・日本語でのコミュニケーションが難しい方 </t>
  </si>
  <si>
    <t>中絶手術,超音波検査,血液検査,初診</t>
  </si>
  <si>
    <t>中絶手術の初回診療に必要な持ち物は何ですか？</t>
  </si>
  <si>
    <t>当クリニックでは初回診療時に、保険証またはマイナンバーカード、お薬手帳（お持ちの方）、筆記用具をご持参ください。問診票の記入がありますので、予約時間の10分前のご来院をおすすめしています。</t>
  </si>
  <si>
    <t>中絶手術｜持ち物</t>
  </si>
  <si>
    <t>中絶,初回,持ち物,保険証</t>
  </si>
  <si>
    <t>中絶手術の同意書はいつ提出しますか？</t>
  </si>
  <si>
    <t>手術内容やリスクについて十分に理解・納得いただいた後に、同意書をお渡しします。ご本人とパートナーの署名・捺印が必要です。</t>
  </si>
  <si>
    <t>中絶手術,同意書,母体保護法</t>
  </si>
  <si>
    <t>中絶手術日はどのように決まりますか？</t>
  </si>
  <si>
    <t>中絶手術の意思が固まった場合、妊娠週数や検査結果、患者様のご都合を考慮して手術日を決定します。身体への負担を軽減するため、可能な限り早い日程をご案内しています。
※当院では患者様のご負担を軽減するため、「手術当日以外」はお近くのクリニックをご利用いただける体制を整えております。初回相談・術前検査はご都合が良いクリニックをご選択ください。手術当日のみ、横浜駅前院へご来院いただきます。術後フォローはお近くの院で受診可能となります。</t>
  </si>
  <si>
    <t>中絶手術,手術日,妊娠週数</t>
  </si>
  <si>
    <t>中絶手術の初回診療時の費用はいくらですか？</t>
  </si>
  <si>
    <t>初回診療では、超音波検査・血液検査を含む初診料として16,500円（税込）がかかります。中絶手術費用とは別途必要です。</t>
  </si>
  <si>
    <t>中絶手術,初診料,費用</t>
  </si>
  <si>
    <t>初回診療当日に中絶手術は行いますか？</t>
  </si>
  <si>
    <t>当クリニックでは初回診療と中絶手術は別日で行います。初回診療ではカウンセリングと検査を行い、その後、別日に中絶手術を実施します。初回診療後に十分な説明を行い、納得いただいた上で手術日を決定します。当院では患者様のご負担を軽減するため、「手術当日以外」はお近くのクリニックをご利用いただける体制を整えております。初回相談・術前検査はご都合が良いクリニックをご選択ください。手術当日のみ、横浜駅前院へご来院いただきます。術後フォローはお近くの院で受診可能となります。ご予約は公式LINEで受け付けています。LINEはこちら→https://cline-app.com/qr-codes/98ad6f149bfa20f4f2a9a2e91aac4187/preview</t>
  </si>
  <si>
    <t>中絶手術｜診療スケジュール</t>
  </si>
  <si>
    <t>中絶,初回,当日手術,別日</t>
  </si>
  <si>
    <t>中絶手術の初回診療後はどうなりますか？</t>
  </si>
  <si>
    <t>当クリニックでは初回診療後、医師の説明を十分に理解・納得いただいた場合に手術同意書をお渡しし、妊娠週数や体調、ご希望を踏まえて中絶手術日を予約します。当院では患者様のご負担を軽減するため、「手術当日以外」はお近くのクリニックをご利用いただける体制を整えております。初回相談・術前検査はご都合が良いクリニックをご選択ください。手術当日のみ、横浜駅前院へご来院いただきます。術後フォローはお近くの院で受診可能となります。ご予約は公式LINEで受け付けています。LINEはこちら→https://cline-app.com/qr-codes/98ad6f149bfa20f4f2a9a2e91aac4187/preview</t>
  </si>
  <si>
    <t>中絶手術｜初回後の流れ</t>
  </si>
  <si>
    <t>中絶,同意書,手術予約</t>
  </si>
  <si>
    <t>中絶手術の2回目（手術当日）はどのような流れですか？/中絶手術当日はどのような流れですか？</t>
  </si>
  <si>
    <t>当クリニックでは2回目に中絶手術を行います。ご来院後に受付とお会計を行い、点滴・麻酔準備をしたうえで、WHO推奨の手動真空吸引法（MVA）による手術を実施します。手術後は院内で約2時間安静にしていただき、体調確認後にご帰宅いただきます。
※当院では患者様のご負担を軽減するため、「手術当日以外」はお近くのクリニックをご利用いただける体制を整えております。初回相談・術前検査はご都合が良いクリニックをご選択ください。手術当日のみ、横浜駅前院へご来院いただきます。術後フォローはお近くの院で受診可能となります。
ご予約は公式LINEで受け付けています。LINEはこちら→https://cline-app.com/qr-codes/98ad6f149bfa20f4f2a9a2e91aac4187/preview</t>
  </si>
  <si>
    <t>中絶手術｜手術当日の流れ</t>
  </si>
  <si>
    <t>中絶,手術当日,MVA,麻酔</t>
  </si>
  <si>
    <t>中絶手術当日の持ち物は何ですか？</t>
  </si>
  <si>
    <t>当クリニックでは手術当日に、身分証明書、署名・捺印済みの同意書、手術費用、夜用ナプキン、生理用ショーツ、お薬手帳（お持ちの方）をご持参ください。</t>
  </si>
  <si>
    <t>中絶手術｜当日の持ち物</t>
  </si>
  <si>
    <t>中絶,手術当日,持ち物</t>
  </si>
  <si>
    <t>中絶手術当日の手術時間はどれくらいですか？</t>
  </si>
  <si>
    <t>当クリニックで行う中絶手術は、手動真空吸引法（MVA）を用い、手術自体は約15分で終了します。来院からご帰宅まではおよそ3〜4時間が目安です。
ご予約は公式LINEで受け付けています。LINEはこちら→https://cline-app.com/qr-codes/98ad6f149bfa20f4f2a9a2e91aac4187/preview
※当院では患者様のご負担を軽減するため、「手術当日以外」はお近くのクリニックをご利用いただける体制を整えております。初回相談・術前検査はご都合が良いクリニックをご選択ください。手術当日のみ、横浜駅前院へご来院いただきます。術後フォローはお近くの院で受診可能となります。</t>
  </si>
  <si>
    <t>中絶手術｜手術時間</t>
  </si>
  <si>
    <t>中絶,手術時間,MVA</t>
  </si>
  <si>
    <t>中絶手術の初回診療ではどのような説明がありますか？</t>
  </si>
  <si>
    <t>検査結果をもとに、医師から中絶手術の方法や流れ、リスク、費用、術後の注意点について詳しく説明します。特に、手動真空吸引法（MVA）の安全性やメリットについて丁寧にご説明します。</t>
  </si>
  <si>
    <t>中絶手術,MVA,手動真空吸引法,説明</t>
  </si>
  <si>
    <t>中絶手術後はどのくらい休みますか？</t>
  </si>
  <si>
    <t>手術後は個室で約2時間休息をとっていただきます。看護師が出血や体調を確認し、問題がなければ帰宅となります。</t>
  </si>
  <si>
    <t>中絶手術,術後,休息</t>
  </si>
  <si>
    <t>中絶手術の手術後に薬は処方されますか？</t>
  </si>
  <si>
    <t>帰宅前に鎮痛剤、抗生剤、1ヶ月分の低用量ピルをお渡ししています。服用方法についても医師・スタッフが説明します。</t>
  </si>
  <si>
    <t>中絶手術,術後,薬,ピル</t>
  </si>
  <si>
    <t>中絶手術後の検診はありますか？/中絶手術後の検診の予約方法/術後検診の予約はどうすればいい？</t>
  </si>
  <si>
    <t>当クリニックでは、術後1週間後と3週間後の2回、無料で検診を行っています。術後の回復確認とフォローを重視しています。術後検診のご予約は「術後検診」のメニューからお取りください。ご予約は公式LINEで受け付けています。LINEはこちら→https://cline-app.com/qr-codes/98ad6f149bfa20f4f2a9a2e91aac4187/preview</t>
  </si>
  <si>
    <t>中絶手術,術後検診,アフターケア</t>
  </si>
  <si>
    <t>手術後に異常を感じた場合はどうすればいいですか？</t>
  </si>
  <si>
    <t>出血の増加、強い痛み、発熱などの異常を感じた場合は、速やかにクリニックへご連絡ください。電話は050-1730-2768で承っています。</t>
  </si>
  <si>
    <t>中絶手術,術後トラブル,相談</t>
  </si>
  <si>
    <t>中絶手術の費用は分割払いに対応していますか？</t>
  </si>
  <si>
    <t>当クリニックではクレジットカード決済をはじめ、各種キャッシュレス決済に対応しています。クレジットカード会社とのご契約内容によっては、中絶手術費用を分割でお支払いいただくことが可能です。分割回数や手数料については、ご利用のカード会社へ直接お問い合わせください。</t>
  </si>
  <si>
    <t>中絶手術,分割払い,クレジットカード,支払い方法</t>
  </si>
  <si>
    <t>中絶手術は保険が適用されることはありますか？</t>
  </si>
  <si>
    <t>当クリニックで行う中絶手術は、原則として健康保険適用外の自費診療です。ただし、母体の健康上の理由がある場合には、健康保険が適用されるケースがあります。また、性被害による妊娠の場合は、自治体や警察などの公的機関から費用助成を受けられる場合があります。詳細は診察時に医師へご相談ください。</t>
  </si>
  <si>
    <t>中絶手術,保険適用,自費診療,助成金</t>
  </si>
  <si>
    <t>中絶手術を受けられる時期はいつまでですか？</t>
  </si>
  <si>
    <t>人工妊娠中絶は母体保護法により妊娠21週6日まで認められています。当クリニックでは、妊娠11週6日までの初期中絶のみ対応しています。妊娠12週以降の中期中絶は入院が必要となり、身体的・精神的・経済的負担が大きくなります。妊娠に気づいたら、早めの受診をおすすめします。</t>
  </si>
  <si>
    <t>中絶手術,妊娠週数,初期中絶,母体保護法</t>
  </si>
  <si>
    <t>中絶手術の痛みはありますか？</t>
  </si>
  <si>
    <t>当クリニックでは静脈麻酔と笑気麻酔を併用するため、手術中の痛みはほとんどありません。
手術時間が15分ほどと短いため、麻酔でぼーっと眠っている間に終了します。
手術後は麻酔の効果がなくなってくると生理痛に似た痛みを感じることがありますが、一般的な鎮痛剤で抑えることができる程度です。
痛みに不安がある方は事前に医師にご相談ください。
※当院では患者様のご負担を軽減するため、「手術当日以外」はお近くのクリニックをご利用いただける体制を整えております。初回相談・術前検査はご都合が良いクリニックをご選択ください。手術当日のみ、横浜駅前院へご来院いただきます。術後フォローはお近くの院で受診可能となります。ご予約は公式LINEで受け付けています。LINEはこちら→https://cline-app.com/qr-codes/98ad6f149bfa20f4f2a9a2e91aac4187/preview</t>
  </si>
  <si>
    <t>中絶手術,痛み,麻酔,静脈麻酔</t>
  </si>
  <si>
    <t>中絶手術当日の必要な持ち物は何ですか？</t>
  </si>
  <si>
    <t>中絶手術当日は以下のものをご持参ください。
・身分証明書（保険証・免許証など）
・同意書（パートナーのサイン・印鑑があるもの）
・手術費用（現金か当クリニックで決済可能なお支払い方法）
・夜用ナプキン3枚程度
・生理用ショーツ
・お薬手帳（お持ちの方）
着脱しやすい服装でお越しいただくとスムーズです。
アクセサリーは最小限にし、メイクはノーメイクか薄化粧での来院をお願いします。
※当院では患者様のご負担を軽減するため、「手術当日以外」はお近くのクリニックをご利用いただける体制を整えております。初回相談・術前検査はご都合が良いクリニックをご選択ください。手術当日のみ、横浜駅前院へご来院いただきます。術後フォローはお近くの院で受診可能となります。ご予約は公式LINEで受け付けています。LINEはこちら→https://cline-app.com/qr-codes/98ad6f149bfa20f4f2a9a2e91aac4187/preview</t>
  </si>
  <si>
    <t>中絶手術,持ち物,同意書,手術当日</t>
  </si>
  <si>
    <t>中絶手術後はどのように過ごせば良いですか？</t>
  </si>
  <si>
    <t>手術当日は運転や運動、飲酒を控え、ゆっくりと休息をとりましょう。
翌日以降の仕事や日常生活に制限はありませんが、心配なら2,3日休みを取っておくと安心でしょう。
術後の診察で医師の許可が出るまでは性交渉を控え、処方された薬は指示通りに服用してください。
術後1週間と3週間後の検診は必ず受診し、回復の状況を確認するとともに、避妊の相談をおすすめします。
多量の出血や悪臭を伴う出血、強い痛み、発熱などの症状がある場合は、すぐにクリニックへご連絡ください。</t>
  </si>
  <si>
    <t>中絶手術,術後,生活,注意点</t>
  </si>
  <si>
    <t>中絶手術を受けたことが家族に知られる可能性はありますか？</t>
  </si>
  <si>
    <t>当クリニックでは患者様のプライバシー保護を最優先しており、ご本人の同意なく家族や第三者に情報が漏れることはありません。
保険適用外の自費診療のため、健康保険の通知に記載されることもありません。
ただし、未成年の場合は保護者の同意が必要となりますのでご注意ください。
診察券や領収書の発行や連絡方法についてご希望がありましたら、受付までご相談ください。</t>
  </si>
  <si>
    <t>中絶手術,プライバシー,家族,秘密</t>
  </si>
  <si>
    <t>未成年でも中絶手術を受けられますか？</t>
  </si>
  <si>
    <t>18歳未満の方が中絶手術を受ける場合、原則として保護者の同意が必要です。保護者の同意を得ることが難しい事情がある場合は、個別にご相談ください。</t>
  </si>
  <si>
    <t>中絶手術,未成年,保護者同意</t>
  </si>
  <si>
    <t>未婚の場合、中絶手術の同意書に彼氏のサインは必要ですか？</t>
  </si>
  <si>
    <t>母体保護法第14条に基づき、中絶手術にはご本人および胎児の父親の同意が必要とされています。未婚の場合も、原則としてパートナー（胎児の父親）の署名・捺印が必要です。ただし、同意を得ることが困難な事情がある場合はご相談ください。</t>
  </si>
  <si>
    <t>中絶手術,同意書,未婚,母体保護法</t>
  </si>
  <si>
    <t>夫以外の相手との妊娠でも同意書なしで手術できますか？</t>
  </si>
  <si>
    <t>ルナレディースクリニックでは、中絶手術にあたり原則として配偶者または胎児の父親の同意書が必要です。患者様ご本人が未成年の場合は保護者の同意書も必要となります。ただし、やむを得ない事情がある場合には例外が認められることもありますので診察時にご相談ください。また、医学的条件によりお受けできない場合があります。帝王切開歴のある方はお受けできません。喘息の方は直近3ヶ月以内に発作がある場合はお受けできません。BMI32以上の方はお受けできません。BMI28以上の方は当院で体重測定を行い医師の判断となります。</t>
  </si>
  <si>
    <t>中絶手術,同意書,配偶者,父親,帝王切開歴,喘息,BMI,受け入れ不可条件</t>
  </si>
  <si>
    <t>中絶手術で受け入れできない条件はありますか？</t>
  </si>
  <si>
    <t>当院では、中絶手術にあたり以下に該当する方はお受けできない場合がございます。
・妊娠12週以降の方（当院では妊娠11週6日までの初期中絶のみ対応しております）
・帝王切開歴のある方
・喘息をお持ちの方で、直近3ヶ月以内に発作がある場合
・BMI32以上の方（BMI28以上の方は当院で体重測定を行い、医師の判断となります）
・日本語でのコミュニケーションが難しい方</t>
  </si>
  <si>
    <t>中絶手術,受け入れ不可条件,帝王切開歴,喘息,BMI</t>
  </si>
  <si>
    <t>ブライダルチェックとは何ですか？</t>
  </si>
  <si>
    <t>ブライダルチェックとは、妊娠や出産に影響しうる病気や感染症の有無を、妊娠前に調べる婦人科検診です。自覚症状のない病気を早期に発見し、必要であれば治療を行うことで、安心して妊娠・出産を迎える準備を整えることを目的とします。
ルナレディースクリニックでは、ブライダルチェックを「結婚前だけの検査」とは考えていません。結婚の有無にかかわらず、将来妊娠を望むすべての女性に受けていただきたい、ご自身の体を守るための大切な検査です。ルナレディースクリニックは健康と未来への第一歩をサポートします。ご受診をご検討ください。※当院では、不妊治療や妊活に関する専門的なご相談・治療は行っておりません。※当院では男性の院内への入室はできないため、パートナー様と一緒にご来院して検査を受けていただくことはできません。男性の方には、ご自宅で検査ができる郵送検査キット「FemCHECK（フェムチェック）」をご用意しております。詳細はこちらをご確認ください。https://luna-dr.com/femcheck/?utm_source=lunamedia&amp;utm_medium=banner&amp;utm_campaign=femcheck_article_hpseo</t>
  </si>
  <si>
    <t>ブライダルチェック,妊娠前検査,婦人科検診</t>
  </si>
  <si>
    <t>結婚前でなくてもブライダルチェックは受けられますか？</t>
  </si>
  <si>
    <t>当院では、結婚の有無にかかわらず、将来妊娠を希望するすべての女性にブライダルチェックをおすすめしています。「そろそろ赤ちゃんを考えたい」「自分の体の状態を知っておきたい」という方にも適した検査です。ぜひご受診をご検討ください。※当院では、不妊治療や妊活に関する専門的なご相談・治療は行っておりません。※当院では男性の院内への入室はできないため、パートナー様と一緒にご来院して検査を受けていただくことはできません。男性の方には、ご自宅で検査ができる郵送検査キット「FemCHECK（フェムチェック）」をご用意しております。詳細はこちらをご確認ください。https://luna-dr.com/femcheck/?utm_source=lunamedia&amp;utm_medium=banner&amp;utm_campaign=femcheck_article_hpseo</t>
  </si>
  <si>
    <t>未婚,妊活準備,将来妊娠</t>
  </si>
  <si>
    <t>ブライダルチェックでは何を調べますか？/ブライダルチェックの検査項目を教えてください/ブライダルチェックで何ができますか？</t>
  </si>
  <si>
    <t>当クリニックでは、ブライダルチェックとして以下の検査を行っています。①エコー検査：子宮筋腫や卵巣のう腫など、妊娠の妨げになる形態的な異常がないかを確認します。②子宮頸がん検査：初期症状のない子宮頸がんを早期に発見し、妊娠後の大きな問題を防ぎます。③クラミジア感染症検査：不妊症の原因にもなるクラミジア感染症の有無を調べ、赤ちゃんへの感染予防にもつなげます。④風疹抗体検査：妊娠中の感染で赤ちゃんに影響が出る先天性風疹症候群を防ぐため、免疫の有無を確認します。⑤甲状腺ホルモン検査：妊娠の成立や維持に影響する甲状腺ホルモンの異常がないかを調べます。⑥AMH検査：卵巣年齢の目安となる卵子の残存数を確認し、妊活のプランニングに役立てます。なお、各種性感染症検査などはオプションとして追加することも可能です。【料金】・基本検査ブライダルチェック 15,000円（エコー検査5,000円／クラミジア5,000円／子宮頸がん5,000円。場合によっては公費の子宮頸がんと組み合わせ可能）・血液ブライダルチェック 20,000円（風疹4,000円／甲状腺8,000円／AMH10,000円）※当院では妊活・不妊に関する診療は行っておりませんので、検査項目によっては数値のみのお伝えとなる場合がございますので予めご了承くださいませ。詳しくはこちらをご覧ください。→https://luna-dr.com/subjects/bridal-check/　当院での検査はご予約をお取りの上、クリニックにご受診下さい。ご予約は、LINE予約画面の「一般婦人科診療」のメニューからお取りください。LINEはこちら→https://cline-app.com/qr-codes/98ad6f149bfa20f4f2a9a2e91aac4187/preview</t>
  </si>
  <si>
    <t>ブライダルチェック,検査項目,何ができる,内容,項目,料金,妊娠前検査,エコー,子宮頸がん,クラミジア,風疹抗体,甲状腺,AMH</t>
  </si>
  <si>
    <t>エコー検査では何を確認しますか？</t>
  </si>
  <si>
    <t>当クリニックでは経腟超音波（エコー）検査により、子宮筋腫や卵巣のう腫など、妊娠の妨げになる可能性がある形態的な異常がないかを確認します。</t>
  </si>
  <si>
    <t>エコー,子宮筋腫,卵巣</t>
  </si>
  <si>
    <t>子宮頸がん検査はなぜ必要ですか？</t>
  </si>
  <si>
    <t>当クリニックでは、初期症状がほとんどない子宮頸がんを早期に発見するため、ブライダルチェックに子宮頸がん検査を含めています。妊娠後の大きなトラブルを防ぐためにも重要な検査です。</t>
  </si>
  <si>
    <t>子宮頸がん,がん検査,妊娠前</t>
  </si>
  <si>
    <t>クラミジア検査は何のために行いますか？</t>
  </si>
  <si>
    <t>当クリニックでは、不妊の原因となることが多いクラミジア感染症の有無を確認します。自覚症状がないまま進行することが多いため、妊娠前の検査が重要です。</t>
  </si>
  <si>
    <t>クラミジア,不妊,性感染症</t>
  </si>
  <si>
    <t>風疹抗体検査はなぜ必要ですか？</t>
  </si>
  <si>
    <t>当クリニックでは、妊娠中の風疹感染によって起こる先天性風疹症候群を防ぐため、風疹抗体検査を行い、免疫の有無を確認します。</t>
  </si>
  <si>
    <t>風疹抗体,妊娠前検査</t>
  </si>
  <si>
    <t>AMH検査とは何ですか？</t>
  </si>
  <si>
    <t>当クリニックではAMH検査を行い、卵巣内に残っている卵子数の目安（卵巣年齢）を確認します。将来の妊活やライフプランを考えるうえで参考になる検査です。</t>
  </si>
  <si>
    <t>AMH,卵巣年齢,妊活</t>
  </si>
  <si>
    <t>ブライダルチェックの費用はいくらですか？</t>
  </si>
  <si>
    <t>当クリニックでは、ブライダルチェックの基本セットを15,500円（税込）からご案内しています。
※こちらの金額は基本セット（経膣超音波・クラミジア・子宮頸がん検診）の費用です。セット価格のため、一部の検査を外しても料金は変わりません。基本セットに含まれない性感染症検査などを追加希望の場合は、オプションとして別途費用がかかります。診察時にご相談ください。</t>
  </si>
  <si>
    <t>料金,自費診療</t>
  </si>
  <si>
    <t>オプション検査は追加できますか？</t>
  </si>
  <si>
    <t>当クリニックでは、基本セットに含まれない各種性感染症検査などをオプションとして追加することが可能です。ご希望に応じて診察時にご相談ください。</t>
  </si>
  <si>
    <t>追加検査,性感染症</t>
  </si>
  <si>
    <t>ブライダルチェックは保険適用ですか？</t>
  </si>
  <si>
    <t>当クリニックのブライダルチェックは、妊娠前の任意検査となるため、健康保険は適用されず自費診療となります。</t>
  </si>
  <si>
    <t>自費,保険適用外</t>
  </si>
  <si>
    <t>ブライダルチェックの予約はどうすればいいですか？</t>
  </si>
  <si>
    <t>ブライダルチェックは、公式LINEからご予約ください。ご予約は、LINE予約画面の「一般婦人科診療」のメニューからお取りください。LINEはこちら→https://cline-app.com/qr-codes/98ad6f149bfa20f4f2a9a2e91aac4187/previewLINEはこちら→https://cline-app.com/qr-codes/98ad6f149bfa20f4f2a9a2e91aac4187/preview　※当院では、不妊治療や妊活に関する専門的なご相談・治療は行っておりません。※当院では男性の院内への入室はできないため、パートナー様と一緒にご来院して検査を受けていただくことはできません。男性の方には、ご自宅で検査ができる郵送検査キット「FemCHECK（フェムチェック）」をご用意しております。詳細はこちらをご確認ください。https://luna-dr.com/femcheck/?utm_source=lunamedia&amp;utm_medium=banner&amp;utm_campaign=femcheck_article_hpseo</t>
  </si>
  <si>
    <t>ブライダルチェック,予約方法,LINE予約</t>
  </si>
  <si>
    <t>ブライダルチェック検査はどうやって予約しますか？</t>
  </si>
  <si>
    <t>公式LINEからご予約をお取りできます。ご予約は、LINE予約画面の「一般婦人科診療」のメニューからお取りください。LINEはこちら→https://cline-app.com/qr-codes/98ad6f149bfa20f4f2a9a2e91aac4187/preview　※当院では、不妊治療や妊活に関する専門的なご相談・治療は行っておりません。※当院では男性の院内への入室はできないため、パートナー様と一緒にご来院して検査を受けていただくことはできません。男性の方には、ご自宅で検査ができる郵送検査キット「FemCHECK（フェムチェック）」をご用意しております。詳細はこちらをご確認ください。https://luna-dr.com/femcheck/?utm_source=lunamedia&amp;utm_medium=banner&amp;utm_campaign=femcheck_article_hpseo</t>
  </si>
  <si>
    <t>予約方法,LINE,電話,ブライダルチェック</t>
  </si>
  <si>
    <t>ブライダルチェックはLINEから予約できますか？</t>
  </si>
  <si>
    <t>公式LINEから24時間いつでも予約できます。ご予約は、LINE予約画面の「一般婦人科診療」のメニューからお取りください。LINEはこちら→https://cline-app.com/qr-codes/98ad6f149bfa20f4f2a9a2e91aac4187/preview　※当院では、不妊治療や妊活に関する専門的なご相談・治療は行っておりません。※当院では男性の院内への入室はできないため、パートナー様と一緒にご来院して検査を受けていただくことはできません。男性の方には、ご自宅で検査ができる郵送検査キット「FemCHECK（フェムチェック）」をご用意しております。詳細はこちらをご確認ください。https://luna-dr.com/femcheck/?utm_source=lunamedia&amp;utm_medium=banner&amp;utm_campaign=femcheck_article_hpseo</t>
  </si>
  <si>
    <t>LINE予約,婦人科予約,ブライダルチェック</t>
  </si>
  <si>
    <t>ブライダルチェックは電話でも予約できますか？</t>
  </si>
  <si>
    <t>LINEでの予約後、事前問診等もLINEから行うことができ、スムーズに受診ができるため、当院ではLINEでのご予約を推奨しております。ご予約は、LINE予約画面の「一般婦人科診療」のメニューからお取りください。
来院診療のご予約：こちらのLINEをご利用ください→https://cline-app.com/qr-codes/98ad6f149bfa20f4f2a9a2e91aac4187/preview
※当院では、不妊治療や妊活に関する専門的なご相談・治療は行っておりません。※当院では男性の院内への入室はできないため、パートナー様と一緒にご来院して検査を受けていただくことはできません。男性の方には、ご自宅で検査ができる郵送検査キット「FemCHECK（フェムチェック）」をご用意しております。詳細はこちらをご確認ください。https://luna-dr.com/femcheck/?utm_source=lunamedia&amp;utm_medium=banner&amp;utm_campaign=femcheck_article_hpseo</t>
  </si>
  <si>
    <t>電話予約,問い合わせ,ブライダルチェック</t>
  </si>
  <si>
    <t>ブライダルチェックの予約前に準備しておくことはありますか？</t>
  </si>
  <si>
    <t>WEB問診,事前準備,ブライダルチェック</t>
  </si>
  <si>
    <t>ブライダルチェックは初診でも予約できますか？</t>
  </si>
  <si>
    <t>ブライダルチェックは初診の方もご予約いただけます。ご予約は公式LINEから受け付けておりますので、友だち追加の上ご利用ください。ご予約は、LINE予約画面の「一般婦人科診療」のメニューからお取りください。
LINEはこちら→https://cline-app.com/qr-codes/98ad6f149bfa20f4f2a9a2e91aac4187/preview　※当院では、不妊治療や妊活に関する専門的なご相談・治療は行っておりません。※当院では男性の院内への入室はできないため、パートナー様と一緒にご来院して検査を受けていただくことはできません。男性の方には、ご自宅で検査ができる郵送検査キット「FemCHECK（フェムチェック）」をご用意しております。詳細はこちらをご確認ください。https://luna-dr.com/femcheck/?utm_source=lunamedia&amp;utm_medium=banner&amp;utm_campaign=femcheck_article_hpseo</t>
  </si>
  <si>
    <t>初診,予約,ブライダルチェック</t>
  </si>
  <si>
    <t>ブライダルチェックは来院とオンライン、どちらで予約できますか？</t>
  </si>
  <si>
    <t>ルナレディースクリニックでは、婦人科健診のご相談は来院診療のみで承っています。
予約の際は、こちらのLINEをご利用ください→https://cline-app.com/qr-codes/98ad6f149bfa20f4f2a9a2e91aac4187/preview　ご予約は、LINE予約画面の「一般婦人科診療」のメニューからお取りください。　※当院では、不妊治療や妊活に関する専門的なご相談・治療は行っておりません。※当院では男性の院内への入室はできないため、パートナー様と一緒にご来院して検査を受けていただくことはできません。男性の方には、ご自宅で検査ができる郵送検査キット「FemCHECK（フェムチェック）」をご用意しております。詳細はこちらをご確認ください。https://luna-dr.com/femcheck/?utm_source=lunamedia&amp;utm_medium=banner&amp;utm_campaign=femcheck_article_hpseo</t>
  </si>
  <si>
    <t>来院診療,オンライン診療,ブライダルチェック</t>
  </si>
  <si>
    <t>予約なしでもブライダルチェックは受けられますか？</t>
  </si>
  <si>
    <t>直接のご来院でも可能ですが、待ち時間が発生する場合があります。事前にご予約をいただくことでスムーズに診察に進むことができます。
ご予約は公式LINEからお取りください。ご予約は、LINE予約画面の「一般婦人科診療」のメニューからお取りください。LINEはこちら→https://cline-app.com/qr-codes/98ad6f149bfa20f4f2a9a2e91aac4187/preview　※当院では、不妊治療や妊活に関する専門的なご相談・治療は行っておりません。※当院では男性の院内への入室はできないため、パートナー様と一緒にご来院して検査を受けていただくことはできません。男性の方には、ご自宅で検査ができる郵送検査キット「FemCHECK（フェムチェック）」をご用意しております。詳細はこちらをご確認ください。https://luna-dr.com/femcheck/?utm_source=lunamedia&amp;utm_medium=banner&amp;utm_campaign=femcheck_article_hpseo</t>
  </si>
  <si>
    <t>ブライダルチェック検査,予約なし</t>
  </si>
  <si>
    <t>ブライダルチェックの診察・検査の流れを教えてください</t>
  </si>
  <si>
    <t>当クリニックのブライダルチェックは、以下の流れで行います。
①ご予約・ご来院：公式LINEでご予約のうえご来院ください。事前にWEB問診をご入力いただくと受付がスムーズです。
②カウンセリング：看護師が検査内容や流れをご説明し、不安や疑問にお答えします。
③医師による診察：医師が各検査の目的や方法を詳しく説明し、必要に応じてオプション検査の追加もご相談いただけます。
④内診台での検査：エコー検査、子宮頸がん検査、クラミジア検査を行います。声かけをしながら進め、検査時間は数分程度です。
⑤採血：風疹抗体、甲状腺ホルモン、AMH検査のために採血を行います。
⑥結果のご説明：検査結果は、項目によって判明する時期やご説明方法が異なります。
・Webで確認できる検査（約4日～2週間後）：子宮頸がん検査、クラミジア検査
・ご来院いただき医師から説明する検査（約1週間後）：血液検査（風疹抗体、甲状腺ホルモン、AMH）</t>
  </si>
  <si>
    <t>ブライダルチェック,診察の流れ,検査の流れ,妊娠前検査,婦人科健診</t>
  </si>
  <si>
    <t>ブライダルチェックの検査結果はいつ分かりますか？/ブライダルチェックの結果はLINEで確認できますか？</t>
  </si>
  <si>
    <t>検査結果は、医師から直接ご説明します。「検査結果説明」のメニューでご予約ください。https://cline-app.com/qr-codes/98ad6f149bfa20f4f2a9a2e91aac4187/preview</t>
  </si>
  <si>
    <t>ブライダルチェック,検査結果,結果はいつ,妊娠前検査</t>
  </si>
  <si>
    <t>ブライダルチェックはどのくらい時間がかかりますか？</t>
  </si>
  <si>
    <t>受付からお会計まで、全体で約30分～1時間ほどで完了します。
お忙しい方でもお気軽にお受けいただけます。</t>
  </si>
  <si>
    <t>ブライダルチェック,所要時間,検査時間,妊娠前検査</t>
  </si>
  <si>
    <t>ブライダルチェックの検査は痛みがありますか？</t>
  </si>
  <si>
    <t>内診や採血で多少の違和感を感じることはあるかもしれませんが、強い痛みを感じることはほとんどありません。
子宮頸がんの検査後に、少量の出血がみられることがありますが、自然に止まりますのでご安心ください。
私たちは、患者様がリラックスできるよう、常に丁寧な声かけを心がけています。</t>
  </si>
  <si>
    <t>ブライダルチェック,検査の痛み,内診,子宮頸がん検査</t>
  </si>
  <si>
    <t>生理中でもブライダルチェックは受けられますか？</t>
  </si>
  <si>
    <t>経血量が多い時期は、子宮頸がん検査などの結果が不正確になる可能性があるため、生理期間中を避けてご予約いただくのがおすすめです。
ご予約日の調整など、お気軽にご相談ください。</t>
  </si>
  <si>
    <t>ブライダルチェック,生理中,受診できる,妊娠前検査</t>
  </si>
  <si>
    <t>ブライダルチェックはパートナーも一緒に検査を受けたほうが良いですか？</t>
  </si>
  <si>
    <t>妊娠はパートナーと二人で考えていくもののため、ブライダルチェックではパートナー様も検査を受けていただくことをおすすめしています。
ただ、大変恐縮ではございますが、当院では男性の院内への入室はできないため、パートナー様と一緒にご来院して検査を受けていただくことはできません。
男性の方には、ご自宅で検査ができる郵送検査キット「FemCHECK（フェムチェック）」をご用意しております。
詳細はこちらをご確認ください。
https://luna-dr.com/femcheck/?utm_source=lunamedia&amp;utm_medium=banner&amp;utm_campaign=femcheck_article_hpseo</t>
  </si>
  <si>
    <t>ブライダルチェック,パートナー検査,男性検査,性感染症</t>
  </si>
  <si>
    <t>ブライダルチェックで異常が見つかった場合はどうなりますか？</t>
  </si>
  <si>
    <t>万が一、治療が必要な疾患や感染症が見つかった場合は、当院でそのまま治療を開始することが可能です。
今後の妊娠に向け、最適な治療プランをご提案し、しっかりとサポートさせていただきますのでご安心ください。</t>
  </si>
  <si>
    <t>ブライダルチェック,異常が見つかった,治療,妊娠前検査</t>
  </si>
  <si>
    <t>婦人科検診とは何ですか？</t>
  </si>
  <si>
    <t>婦人科検診とは、子宮や卵巣など女性特有の臓器に起こる病気を、症状が出る前に早期発見するための検査です。特に子宮のがんは初期には自覚症状がほとんどないため、定期的な検診がご自身の体と将来の安心を守ることにつながります。ルナレディースクリニックでは、代表的な婦人科検診である「子宮頸がん検診」と、不正出血などの症状がある場合に推奨される「子宮体がん検査」を実施しています。</t>
  </si>
  <si>
    <t>婦人科健診</t>
  </si>
  <si>
    <t>婦人科検診,子宮がん検診,定期検診</t>
  </si>
  <si>
    <t>どんな人が婦人科検診を受けたほうがいいですか？</t>
  </si>
  <si>
    <t>何年も婦人科検診を受けていない方、不正出血がある方、生理以外の出血が心配な方、将来の妊娠や健康に不安がある方は、症状がなくても婦人科検診を受けることをおすすめします。</t>
  </si>
  <si>
    <t>婦人科検診,不正出血,検診対象</t>
  </si>
  <si>
    <t>子宮頸がん検診とは何ですか？/HPV検査は受けられますか？/HPV検査はやっていますか？/HPVの検査をしたい</t>
  </si>
  <si>
    <t>子宮の入り口部分（子宮頸部）にできるがんを調べる検査です。主な原因は、性交渉によって感染するヒトパピローマウイルス（HPV）です。20代〜30代の若い世代に発症のピークがあり、「マザーキラー」とも呼ばれ、お子さんが小さいお母さんの命を奪うこともある病気です。しかし、定期的な検診で早期発見すれば、子宮を温存した治療が可能です。</t>
  </si>
  <si>
    <t>子宮頸がん検診,HPV,若い世代,HPV検査</t>
  </si>
  <si>
    <t>子宮体がん検査とは何ですか？</t>
  </si>
  <si>
    <t>子宮の奥（子宮体部）の内膜にできるがんを調べる検査です。女性ホルモン（エストロゲン）が深く関わっており、食生活の欧米化などを背景に、近年、子宮頸がんよりも患者数が増加しています。50代以降の閉経前後に多く発症しますが、ストレスや不規則な生活によるホルモンバランスの乱れから、20代や30代で発症する方も増えています。不正出血がサインとなることが多いのが特徴です。</t>
  </si>
  <si>
    <t>子宮体がん検査,不正出血,ホルモンバランス</t>
  </si>
  <si>
    <t>子宮頸がんと子宮体がんの違いは何ですか？</t>
  </si>
  <si>
    <t>子宮頸がんは子宮の入り口にでき、主な原因はHPV感染で20〜30代に多くみられます。一方、子宮体がんは子宮の奥にでき、女性ホルモンの影響が強く、閉経前後に多いのが特徴です。</t>
  </si>
  <si>
    <t>子宮頸がん,子宮体がん,違い</t>
  </si>
  <si>
    <t>子宮頸がんはどこにできるがんですか？</t>
  </si>
  <si>
    <t>子宮頸がんは、子宮の入り口部分（子宮頸部）にできるがんです。性交渉によって感染するヒトパピローマウイルス（HPV）が主な原因とされています。</t>
  </si>
  <si>
    <t>子宮頸がん,検査対象,HPV</t>
  </si>
  <si>
    <t>子宮体がんはどこにできるがんですか？</t>
  </si>
  <si>
    <t>子宮体がんは、子宮の奥（子宮体部）の内膜にできるがんです。女性ホルモン（エストロゲン）の影響を強く受けることが特徴です。</t>
  </si>
  <si>
    <t>子宮体がん,検査対象,子宮内膜</t>
  </si>
  <si>
    <t>子宮頸がんはどの年代に多いですか？</t>
  </si>
  <si>
    <t>子宮頸がんは20代〜30代の比較的若い世代に多くみられます。近年は若年化の傾向もあり、定期的な検診が重要です。</t>
  </si>
  <si>
    <t>子宮頸がん,20代,30代,婦人科検診</t>
  </si>
  <si>
    <t>子宮体がんはどの年代に多いですか？</t>
  </si>
  <si>
    <t>子宮体がんは50代以降の閉経前後に多くみられますが、ホルモンバランスの乱れにより若い年代で発症することもあります。</t>
  </si>
  <si>
    <t>子宮体がん,閉経後,50代</t>
  </si>
  <si>
    <t>子宮頸がん検診はどのような方法で行いますか？/HPV検査はどのような方法で行いますか？</t>
  </si>
  <si>
    <t>子宮頸がん検診では、ブラシのような器具で子宮の入り口を優しくこすり、細胞を採取します。検査時間は短く、痛みはほとんどありません。</t>
  </si>
  <si>
    <t>子宮頸がん検診,検査方法,痛み,HPV検査,HPV</t>
  </si>
  <si>
    <t>子宮体がん検査はどのような方法で行いますか？</t>
  </si>
  <si>
    <t>子宮体がん検査では、細いストロー状の器具を子宮の奥に挿入し、内膜の細胞を採取します。生理痛に似た痛みを感じることがありますが、短時間で終了します。</t>
  </si>
  <si>
    <t>子宮体がん検査,検査方法,痛み</t>
  </si>
  <si>
    <t>子宮頸がん検診は痛みがありますか？/HPV検査は痛みがありますか？</t>
  </si>
  <si>
    <t>子宮頸がん検診は、痛みをほとんど感じない方が多く、違和感があってもごくわずかです。</t>
  </si>
  <si>
    <t>子宮頸がん検診,痛み,HPV検査,HPV</t>
  </si>
  <si>
    <t>子宮体がん検査は痛みがありますか？</t>
  </si>
  <si>
    <t>子宮体がん検査は、生理痛に似た痛みを感じることがありますが、検査は1〜2分程度で終わります。</t>
  </si>
  <si>
    <t>子宮体がん検査,痛み</t>
  </si>
  <si>
    <t>子宮頸がんを予防する方法はありますか？/HPVを予防する方法はありますか？</t>
  </si>
  <si>
    <t>子宮頸がんは、HPVワクチン接種と定期的な検診が最も有効な予防方法です。</t>
  </si>
  <si>
    <t>子宮頸がん,HPVワクチン,予防,HPV検査,HPV</t>
  </si>
  <si>
    <t>子宮体がんを予防する方法はありますか？</t>
  </si>
  <si>
    <t>子宮体がんは、適正体重の維持やバランスの取れた食生活など、生活習慣を整えることが予防につながります。</t>
  </si>
  <si>
    <t>子宮体がん,予防,生活習慣</t>
  </si>
  <si>
    <t>婦人科検診の痛みはありますか？</t>
  </si>
  <si>
    <t>子宮頸がん検診は、ブラシで軽くこする検査のため、痛みはほとんどないか、ごくわずかです。子宮体がん検査は、生理痛に似た痛みを感じることがありますが、短時間で終了します。</t>
  </si>
  <si>
    <t>婦人科検診,検査の痛み,内診</t>
  </si>
  <si>
    <t>婦人科検診の費用はいくらですか？</t>
  </si>
  <si>
    <t>当院では、検査内容やご利用の制度（自費・自治体検診）によって費用が異なります。子宮頸がん検診は自費5,000円（税込）、子宮体がん検診は6,000円（税込）です。</t>
  </si>
  <si>
    <t>婦人科検診,費用,料金</t>
  </si>
  <si>
    <t>子宮頸がん検診の費用はいくらですか？/HPV検査はいくらですか？/HPV検査の費用はいくらですか？</t>
  </si>
  <si>
    <t>当院の子宮頸がん検診（自費診療）の費用は5,000円（税込）です。</t>
  </si>
  <si>
    <t>子宮頸がん検診,費用,自費,HPV検査,HPV</t>
  </si>
  <si>
    <t>子宮体がん検診の費用はいくらですか？</t>
  </si>
  <si>
    <t>当院の子宮体がん検診（自費診療）の費用は6,000円（税込）です。</t>
  </si>
  <si>
    <t>子宮体がん検診,費用,自費</t>
  </si>
  <si>
    <t>横浜市のHPV検査単独法はいくらで受けられますか？</t>
  </si>
  <si>
    <t>横浜市のHPV検査単独法は、対象の方であれば2,000円（税込）で受診できます。</t>
  </si>
  <si>
    <t>横浜市,HPV検査,費用,子宮頸がん検査</t>
  </si>
  <si>
    <t>横浜市の子宮頸がん検診はいくらですか？</t>
  </si>
  <si>
    <t>横浜市の子宮頸がん検診は、対象の方であれば1,360円（税込）で受診できます。</t>
  </si>
  <si>
    <t>横浜市,子宮頸がん検診,費用,子宮頸がん健診</t>
  </si>
  <si>
    <t>町田市の子宮頸がん検診はいくらですか？</t>
  </si>
  <si>
    <t>町田市の子宮頸がん検診は、対象の方であれば1,000円（税込）で受診できます。</t>
  </si>
  <si>
    <t>町田市,子宮頸がん検診,費用</t>
  </si>
  <si>
    <t>川崎市の子宮頸がん検診はいくらですか？</t>
  </si>
  <si>
    <t>川崎市の子宮頸がん検診は、対象の方であれば1,000円（税込）で受診できます。</t>
  </si>
  <si>
    <t>川崎市,子宮頸がん検診,費用,子宮頸がん健診</t>
  </si>
  <si>
    <t>川崎市の子宮体がん検診はいくらですか？</t>
  </si>
  <si>
    <t>川崎市の子宮頸がん＋子宮体がん検診は、対象の方であれば1,800円（税込）で受診できます。</t>
  </si>
  <si>
    <t>川崎市,子宮体がん検診,子宮頸がん検診,費用</t>
  </si>
  <si>
    <t>ホルモン検査の費用はいくらですか？/ホルモン検査はできますか？/ホルモン検査は行っていますか？/ホルモン検査について教えてください</t>
  </si>
  <si>
    <t>当院のホルモン検査は8,000円（税込）です。月経不順や体調不良の原因を調べる際に行います。</t>
  </si>
  <si>
    <t>ホルモン検査,費用,婦人科</t>
  </si>
  <si>
    <t>AMH検査の費用はいくらですか？</t>
  </si>
  <si>
    <t>当院のAMH検査（卵巣年齢の目安となる検査）の費用は10,000円（税込）です。</t>
  </si>
  <si>
    <t>AMH検査,費用,卵巣年齢</t>
  </si>
  <si>
    <t>風疹の抗体検査の費用はいくらですか？</t>
  </si>
  <si>
    <t>当院の風疹抗体検査の費用は4,000円（税込）です。</t>
  </si>
  <si>
    <t>風疹抗体検査,費用,妊娠準備</t>
  </si>
  <si>
    <t>妊娠中でも子宮頸がん検診は受けられますか？</t>
  </si>
  <si>
    <t>子宮頸がん検診（自費・横浜市クーポン利用ともに）は、当院で妊娠10週までの経過を診ている場合に限り、妊娠中でも受けていただけます。</t>
  </si>
  <si>
    <t>妊娠中,子宮頸がん検診,条件</t>
  </si>
  <si>
    <t>自治体の子宮がん検診は利用できますか？</t>
  </si>
  <si>
    <t>横浜市・町田市・川崎市の子宮頸がん検診、HPV検査単独法に対応しています。対象年齢や条件がありますので、詳細はご予約時にご確認ください。</t>
  </si>
  <si>
    <t>自治体検診,横浜市,町田市,川崎市</t>
  </si>
  <si>
    <t>婦人科健診の予約はどうすればいいですか？/子宮頸がん検査の予約はどうすればいいですか？/子宮体がん検査の予約はどうすればいいですか？</t>
  </si>
  <si>
    <t>婦人科健診（子宮頸がん・子宮体がん検査）のご予約は、公式LINEからお取りください。自治体のがん検診をご希望の場合は「市区町村のがん検診」のメニューでご予約ください。それ以外の婦人科検診は「一般婦人科診療」のメニューからお取りください。→https://cline-app.com/qr-codes/98ad6f149bfa20f4f2a9a2e91aac4187/preview</t>
  </si>
  <si>
    <t>婦人科健診,予約方法,LINE予約,子宮頸がん,子宮体がん検査</t>
  </si>
  <si>
    <t>婦人科健診検査はどうやって予約しますか？/子宮頸がん検査はどうやって予約しますか？/子宮体がん検査はどうやって予約しますか？</t>
  </si>
  <si>
    <t>予約方法,LINE,電話,婦人科健診,子宮頸がん,子宮体がん検査</t>
  </si>
  <si>
    <t>婦人科健診はLINEから予約できますか？/子宮頸がん検査はLINEから予約できますか？/子宮体がん検査はLINEから予約できますか？</t>
  </si>
  <si>
    <t>公式LINEから24時間いつでも予約できます。自治体のがん検診をご希望の場合は「市区町村のがん検診」のメニューでご予約ください。それ以外の婦人科検診は「一般婦人科診療」のメニューからお取りください。→https://cline-app.com/qr-codes/98ad6f149bfa20f4f2a9a2e91aac4187/preview</t>
  </si>
  <si>
    <t>LINE予約,婦人科予約,婦人科健診,子宮頸がん,子宮体がん検査</t>
  </si>
  <si>
    <t>婦人科健診は電話でも予約できますか？/子宮頸がん検査は電話でも予約できますか？/子宮体がん検査は電話でも予約できますか？</t>
  </si>
  <si>
    <t>LINEでの予約後、事前問診等もLINEから行うことができ、スムーズに受診ができるため、当院ではLINEでのご予約を推奨しております。
自治体のがん検診をご希望の場合は「市区町村のがん検診」のメニューでご予約ください。それ以外の婦人科検診は「一般婦人科診療」のメニューからお取りください。→https://cline-app.com/qr-codes/98ad6f149bfa20f4f2a9a2e91aac4187/preview</t>
  </si>
  <si>
    <t>電話予約,問い合わせ,婦人科健診,子宮頸がん,子宮体がん検査</t>
  </si>
  <si>
    <t>婦人科健診の予約前に準備しておくことはありますか？/子宮頸がん検査の予約前に準備しておくことはありますか？/子宮体がん検査の予約前に準備しておくことはありますか？</t>
  </si>
  <si>
    <t>WEB問診,事前準備,婦人科健診,子宮頸がん,子宮体がん検査</t>
  </si>
  <si>
    <t>婦人科健診は初診でも予約できますか？/子宮頸がん検査は初診でも予約できますか？/子宮体がん検査は初診でも予約できますか？</t>
  </si>
  <si>
    <t>婦人科健診は初診の方もご予約いただけます。ご予約は公式LINEから受け付けておりますので、友だち追加の上ご利用ください。
自治体のがん検診をご希望の場合は「市区町村のがん検診」のメニューでご予約ください。それ以外の婦人科検診は「一般婦人科診療」のメニューからお取りください。→https://cline-app.com/qr-codes/98ad6f149bfa20f4f2a9a2e91aac4187/preview</t>
  </si>
  <si>
    <t>初診,予約,婦人科健診,子宮頸がん,子宮体がん検査</t>
  </si>
  <si>
    <t>婦人科健診は来院とオンライン、どちらで予約できますか？/子宮頸がん検査は来院とオンライン、どちらで予約できますか？子宮体がん検査は来院とオンライン、どちらで予約できますか？</t>
  </si>
  <si>
    <t>ルナレディースクリニックでは、（子宮頸がん・子宮体がん検査）のご相談は来院診療のみで承っています。
自治体のがん検診をご希望の場合は「市区町村のがん検診」のメニューでご予約ください。それ以外の婦人科検診は「一般婦人科診療」のメニューからお取りください。→https://cline-app.com/qr-codes/98ad6f149bfa20f4f2a9a2e91aac4187/preview</t>
  </si>
  <si>
    <t>来院診療,オンライン診療,婦人科健診,子宮頸がん,子宮体がん検査</t>
  </si>
  <si>
    <t>予約なしでも婦人科健診は受けられますか？/予約なしでも子宮頸がん検査は受けられますか？/予約なしでも子宮体がん検査は受けられますか？</t>
  </si>
  <si>
    <t>直接のご来院でも可能ですが、待ち時間が発生する場合があります。事前にご予約をいただくことでスムーズに診察に進むことができます。
ご予約は公式LINEからお取りください。自治体のがん検診をご希望の場合は「市区町村のがん検診」のメニューでご予約ください。それ以外の婦人科検診は「一般婦人科診療」のメニューからお取りください。→https://cline-app.com/qr-codes/98ad6f149bfa20f4f2a9a2e91aac4187/preview</t>
  </si>
  <si>
    <t>婦人科健診検査,予約なし,子宮頸がん,子宮体がん検査</t>
  </si>
  <si>
    <t>不正出血がある場合も婦人科検診を受けられますか？</t>
  </si>
  <si>
    <t>不正出血がある場合は、子宮体がん検査や超音波検査を含めた詳しい検査をおすすめしています。自己判断せず、必ず婦人科を受診してください。</t>
  </si>
  <si>
    <t>不正出血,婦人科検診,子宮体がん</t>
  </si>
  <si>
    <t>婦人科検診の流れはどのようになっていますか？/子宮頸がん検診の流れはどのようになっていますか？/子宮体がん検査の流れはどのようになっていますか？</t>
  </si>
  <si>
    <t>婦人科検診では、公式LINEまたはお電話でご予約のうえご来院いただきます。ご予約後にWEB問診をご入力いただくことで、受付時にデリケートな内容を口頭でお話しいただく必要がなく、スムーズに診察へ進めます。来院後は、医師が問診を行い、お体の状態や気になる症状を確認したうえで、必要な検査内容をご説明します。その後、内診台にて子宮頸がん検診や必要に応じて子宮体がん検査、超音波（エコー）検査を行います。検査結果は約2週間後にWebで確認でき、異常が見つかった場合は、今後の治療方針について丁寧にご説明します。</t>
  </si>
  <si>
    <t>婦人科検診,検診の流れ,初めての婦人科検診,子宮頸がん検診,子宮体がん検査</t>
  </si>
  <si>
    <t>婦人科検診ではどのような問診を行いますか？</t>
  </si>
  <si>
    <t>婦人科検診では、医師が最終月経日、生理周期、不正出血の有無、下腹部痛やおりものの変化、妊娠・出産歴、既往歴などを確認します。これらの情報をもとに、子宮頸がん検診のみ行うか、子宮体がん検査や超音波検査を追加するかを判断します。</t>
  </si>
  <si>
    <t>婦人科検診,問診内容,不正出血,生理周期</t>
  </si>
  <si>
    <t>婦人科検診ではどんな検査をしますか？</t>
  </si>
  <si>
    <t>婦人科検診では、主に子宮頸がん検診を行います。症状がある場合や医師が必要と判断した場合には、子宮体がん検査や超音波（エコー）検査を追加します。子宮頸がん検診は痛みがほとんどなく、子宮体がん検査は生理痛に似た痛みを感じることがありますが、いずれも短時間で終了します。</t>
  </si>
  <si>
    <t>婦人科検診,検査内容,子宮頸がん検診,子宮体がん検査,エコー検査</t>
  </si>
  <si>
    <t>婦人科検診の結果はいつ分かりますか？/子宮頸がん検診の結果はいつ分かりますか？/子宮体がん検査の結果はいつ分かりますか？</t>
  </si>
  <si>
    <t>婦人科検診の結果は、検査日から約2週間後にWebでご確認いただけます。精密検査や治療が必要な結果だった場合は、医師が改めて診察を行い、今後の治療方針について丁寧にご説明します。</t>
  </si>
  <si>
    <t>婦人科検診,検査結果,結果の見方,精密検査</t>
  </si>
  <si>
    <t>婦人科検診はどのように予約すればいいですか？/子宮頸がん検診はどのように予約すればいいですか？/子宮体がん検査はどのように予約すればいいですか？</t>
  </si>
  <si>
    <t>婦人科検診は公式LINEからご予約ください。自治体のがん検診をご希望の場合は「市区町村のがん検診」のメニューでご予約ください。それ以外の婦人科検診は「一般婦人科診療」のメニューからお取りください。→https://cline-app.com/qr-codes/98ad6f149bfa20f4f2a9a2e91aac4187/preview</t>
  </si>
  <si>
    <t>婦人科検診,予約,LINE予約,電話予約</t>
  </si>
  <si>
    <t>婦人科検診の診察では何をしますか？/子宮頸がん検診の診察では何をしますか？/子宮体がん検査の診察では何をしますか？</t>
  </si>
  <si>
    <t>診察では、医師が問診を行い、お体の状態や気になる症状についてお伺いします。その上で、必要な検査内容を丁寧にご説明します。</t>
  </si>
  <si>
    <t>婦人科検診,診察内容,問診</t>
  </si>
  <si>
    <t>受けられます。不正出血がある場合は、子宮頸がん検診に加えて、子宮体がん検査を併せて行うことを推奨する場合があります。</t>
  </si>
  <si>
    <t>不正出血,婦人科検診,子宮体がん検査</t>
  </si>
  <si>
    <t>子宮頸がん検診ではどんな検査をしますか？</t>
  </si>
  <si>
    <t>子宮頸がん検診では、ブラシのような器具で子宮の入り口を優しくこすり、細胞を採取します。痛みはほとんどなく、数分で終了します。</t>
  </si>
  <si>
    <t>子宮頸がん検診,検査方法,痛み</t>
  </si>
  <si>
    <t>子宮体がん検査ではどんな検査をしますか？</t>
  </si>
  <si>
    <t>子宮体がん検査では、子宮の奥に細いストロー状の器具を挿入し、細胞を採取します。生理痛に似た痛みを感じることがありますが、1〜2分で終了します。</t>
  </si>
  <si>
    <t>婦人科検診でエコー検査は行いますか？</t>
  </si>
  <si>
    <t>症状や診察内容に応じて、超音波（エコー）検査で子宮や卵巣の状態を詳しく確認することがあります。</t>
  </si>
  <si>
    <t>婦人科検診,エコー検査,超音波</t>
  </si>
  <si>
    <t>婦人科検診は痛みがありますか？</t>
  </si>
  <si>
    <t>子宮頸がん検診は、痛みを感じない方がほとんどです。子宮体がん検査は、生理痛のような痛みを感じることがありますが、数分で終わります。いずれの検査も、痛みが不安な方には滑りを良くするゼリーを使用するなど、できる限り苦痛を和らげるよう配慮しますのでご安心ください。</t>
  </si>
  <si>
    <t>婦人科検診,痛み,検査の不安</t>
  </si>
  <si>
    <t>子宮頸がん検診は痛みがありますか？</t>
  </si>
  <si>
    <t>子宮頸がん検診は、痛みを感じない方がほとんどです。痛みが不安な方には滑りを良くするゼリーを使用するなど、できる限り苦痛を和らげるよう配慮しますのでご安心ください。</t>
  </si>
  <si>
    <t>子宮体がん検査は、生理痛のような痛みを感じることがありますが、数分で終わります。い痛みが不安な方には滑りを良くするゼリーを使用するなど、できる限り苦痛を和らげるよう配慮しますのでご安心ください。</t>
  </si>
  <si>
    <t>不正出血があっても検査は受けたほうがいいですか？</t>
  </si>
  <si>
    <t>はい。不正出血は子宮がんのサインである可能性もあるため、症状がある方こそ積極的に婦人科検診を受けていただくことをおすすめします。</t>
  </si>
  <si>
    <t>不正出血,婦人科検診,受診目安</t>
  </si>
  <si>
    <t>横浜市のがん検診クーポンは使えますか？/川崎市のがん検診クーポンは使えますか？/町田市のがん検診クーポンは使えますか？</t>
  </si>
  <si>
    <t>お住まいの市区町村が発行する子宮頸がん検診のクーポンをご利用いただけます。ただし、クーポンの対象となる検査項目やご利用条件（年齢など）は、各自治体によって異なります。「ご自身が対象かどうか」「どの検査までが無料（または一部負担）か」といった詳細につきましては、大変お手数ですが、お手元のクーポンをご確認いただくか、お住まいの市区町村の担当窓口（保健所など）へ直接お問い合わせくださいますようお願いいたします。</t>
  </si>
  <si>
    <t>横浜市,川崎市,町田市,がん検診クーポン</t>
  </si>
  <si>
    <t>がんを予防する方法はありますか？</t>
  </si>
  <si>
    <t>子宮頸がんは、原因となるHPVウイルスの感染を予防する「HPVワクチン」の接種が最も有効な予防法です。子宮体がんは、高血圧や糖尿病、肥満がリスクを高めるため、血糖値のコントロールや健康的な体重の維持など、生活習慣を整えることが予防に繋がります。</t>
  </si>
  <si>
    <t>子宮頸がん予防,子宮体がん予防,HPVワクチン</t>
  </si>
  <si>
    <t>婦人科検診の後に注意することはありますか？</t>
  </si>
  <si>
    <t>検査後の日常生活に制限はありません。少量の出血がみられることがありますが、数日で自然に収まりますのでご安心ください。</t>
  </si>
  <si>
    <t>婦人科検診,検査後の注意</t>
  </si>
  <si>
    <t>子宮頸がんは予防できる病気ですか？</t>
  </si>
  <si>
    <t>子宮頸がんは、原因のほぼ100％がHPV（ヒトパピローマウイルス）感染であるため、HPVワクチンの接種によって予防が可能ながんです。特に9価ワクチンを接種することで、子宮頸がんの原因の約90％を防ぐことができます。</t>
  </si>
  <si>
    <t>子宮頸がん,HPVワクチン,予防できるがん,女性のがん</t>
  </si>
  <si>
    <t>子宮頸がんはどの年代に多い病気ですか？</t>
  </si>
  <si>
    <t>子宮頸がんは20代後半から40代の女性に多く、若い世代にとって非常に身近な病気です。近年は若年層での発症が増加しており、早い段階での予防が重要とされています。</t>
  </si>
  <si>
    <t>子宮頸がん,若い女性,20代,30代,40代</t>
  </si>
  <si>
    <t>HPVとは何ですか？</t>
  </si>
  <si>
    <t>HPV（ヒトパピローマウイルス）は、主に性交渉によって感染するウイルスです。性交渉の経験がある女性であれば誰でも感染する可能性があり、その中の一部の型が子宮頸がんの原因となります。</t>
  </si>
  <si>
    <t>HPV,ヒトパピローマウイルス,感染経路,子宮頸がん</t>
  </si>
  <si>
    <t>HPVワクチンにはどんな種類がありますか？/子宮頸がんワクチンにはどんな種類がありますか？</t>
  </si>
  <si>
    <t>HPVワクチンには2価・4価・9価の3種類があります。2価は2種類、4価は4種類、9価ワクチン（シルガード9）は9種類のHPVを予防でき、子宮頸がん予防効果は約90％と最も高いのが特長です。当院では、子宮頸がんの原因の約90％を予防できる9価ワクチン（シルガード9）が、現時点で最も高い予防効果が期待できるため、積極的に推奨しています。</t>
  </si>
  <si>
    <t>HPVワクチン種類,2価,4価,9価,シルガード9,子宮頸がん</t>
  </si>
  <si>
    <t>ルナレディースクリニックではどのワクチンを接種できますか？</t>
  </si>
  <si>
    <t>当院では、子宮頸がん予防効果が最も高い9価ワクチン「シルガード9」を中心に接種を行っています。公費接種・自費接種のいずれにも対応しています。</t>
  </si>
  <si>
    <t>シルガード9,9価ワクチン,接種対応,子宮頸がん</t>
  </si>
  <si>
    <t>HPVワクチンは公費で接種できますか？/HPVワクチンは無料で接種できますか？/子宮頸がんワクチンは公費で接種できますか？/子宮頸がんワクチンは無料で接種できますか？</t>
  </si>
  <si>
    <t>一定の年齢条件を満たす方は、公費（自己負担0円）でHPVワクチンを接種できます。対象は小学校6年生から高校1年生相当の女子、またはキャッチアップ接種の対象となる世代です。
※制度の詳細は自治体によって異なり、対象年齢や実施期間も変更される可能性があるため、必ずお住まいの市区町村の公式ホームページで最新の情報をご確認ください。</t>
  </si>
  <si>
    <t>HPVワクチン,公費接種,無料,定期接種,キャッチアップ,子宮頸がん</t>
  </si>
  <si>
    <t>キャッチアップ接種とは何ですか？</t>
  </si>
  <si>
    <t>キャッチアップ接種とは、過去にHPVワクチンの積極的勧奨が控えられていた時期に接種機会を逃した方を対象とした、期間限定の公費接種制度です。対象年齢や期限があるため、早めの確認が重要です。</t>
  </si>
  <si>
    <t>キャッチアップ接種,HPVワクチン,救済措置,子宮頸がん</t>
  </si>
  <si>
    <t>HPVワクチンの費用はいくらですか？/子宮頸がんワクチンの費用はいくらですか？</t>
  </si>
  <si>
    <t>公費接種の対象となる方は自己負担0円です。自費接種の場合、当院では9価ワクチン（シルガード9）を1回33,000円（税込）でご提供しています。</t>
  </si>
  <si>
    <t>HPVワクチン費用,自費接種,価格,子宮頸がん</t>
  </si>
  <si>
    <t>ルナレディースクリニックがHPVワクチンで選ばれる理由は何ですか？/ルナレディースクリニックが子宮頸がんワクチンで選ばれる理由は何ですか？</t>
  </si>
  <si>
    <t>ルナレディースクリニックでは、子宮頸がん予防に最も効果が高い9価ワクチンを中心に、価格・安全性・通いやすさのバランスを重視した体制を整えており、安心して接種いただける環境を提供しています。</t>
  </si>
  <si>
    <t>ルナレディースクリニック,HPVワクチン,選ばれる理由,子宮頸がん</t>
  </si>
  <si>
    <t>なぜ9価ワクチンを推奨しているのですか？</t>
  </si>
  <si>
    <t>当院では、子宮頸がんの原因の約90％を予防できる9価ワクチン（シルガード9）が、現時点で最も高い予防効果が期待できるため、積極的に推奨しています。</t>
  </si>
  <si>
    <t>9価ワクチン,シルガード9,予防効果,子宮頸がん</t>
  </si>
  <si>
    <t>自費でHPVワクチンを受ける場合、費用は高くありませんか？/自費で子宮頸がんワクチンを受ける場合、費用は高くありませんか？</t>
  </si>
  <si>
    <t>当院では、自費接種の場合でも1回26,500円（税込）と、継続して通いやすい価格設定にしています。将来の健康への投資として、安心して選んでいただける費用を心がけています。</t>
  </si>
  <si>
    <t>HPVワクチンは公費接種にも対応していますか？/子宮頸がんワクチンは公費接種にも対応していますか？</t>
  </si>
  <si>
    <t>当院では定期接種およびキャッチアップ接種の対象となる方の公費接種に対応しています。対象の方は自己負担0円で接種が可能です。
※制度の詳細は自治体によって異なり、対象年齢や実施期間も変更される可能性があるため、必ずお住まいの市区町村の公式ホームページで最新の情報をご確認ください。</t>
  </si>
  <si>
    <t>公費接種,定期接種,キャッチアップ接種</t>
  </si>
  <si>
    <t>接種後の相談やフォローは受けられますか？</t>
  </si>
  <si>
    <t>当院では接種後の体調や副反応について、オンライン診療でのアフターフォローにも対応しています。不安な点があればいつでもご相談いただけます。</t>
  </si>
  <si>
    <t>オンライン診療,アフターフォロー,副反応相談</t>
  </si>
  <si>
    <t>HPVワクチン接種の流れを教えてください/子宮頸がんワクチン接種の流れを教えてください</t>
  </si>
  <si>
    <t>ルナレディースクリニックでは、①お電話でご予約、②ご来院後に医師がワクチンの効果や副反応について説明し予診票・母子健康手帳（お持ちの方）を確認、③腕の筋肉へのワクチン接種、④接種後30分間の院内待機とお会計、という流れでHPVワクチン接種を行います。急な副反応に備え、安全を最優先にご案内しています。</t>
  </si>
  <si>
    <t>HPVワクチン,接種の流れ,予約,問診,接種後待機,子宮頸がん</t>
  </si>
  <si>
    <t>HPVワクチン接種は予約が必要ですか？/子宮頸がんワクチン接種は予約が必要ですか？</t>
  </si>
  <si>
    <t>HPVワクチンが限定出荷となり、ワクチン納品されないケースが発生しております。そのため、ワクチンのご予約を出来かねる場合もございますので、お電話でご予約が必要となります。お電話でご希望の日時をお伝えいただき、ご予約をお願いいたします。お電話は 050-1730-2768 までご連絡ください。電話受付時間は、平日9:45〜13:40・15:15〜19:40、土日祝9:45〜13:40・15:15〜18:40です。</t>
  </si>
  <si>
    <t>HPVワクチン,予約方法,電話予約,子宮頸がん</t>
  </si>
  <si>
    <t>HPVワクチン接種はどのように予約すれば良いですか？/子宮頸がんワクチン接種はどのように予約すれば良いですか？</t>
  </si>
  <si>
    <t>HPVワクチン接種はお電話（050-1730-2768）でご予約ください。電話受付時間は、平日9:45〜13:40・15:15〜19:40、土日祝9:45〜13:40・15:15〜18:40です。</t>
  </si>
  <si>
    <t>HPVワクチン,予約方法,予約,子宮頸がん</t>
  </si>
  <si>
    <t>HPVワクチン接種はLINEから予約できますか？/子宮頸がん予防ワクチン接種はLINEから予約できますか？</t>
  </si>
  <si>
    <t>HPVワクチン接種はお電話（050-1730-2768）のみでご予約を承っています。お手数をおかけしますが、お電話をお願いいたします。電話受付時間は、平日9:45〜13:40・15:15〜19:40、土日祝9:45〜13:40・15:15〜18:40です。</t>
  </si>
  <si>
    <t>LINE予約,婦人科予約,HPVワクチン,子宮頸がん予防</t>
  </si>
  <si>
    <t>HPVワクチンは電話でも予約できますか？/子宮頸がん予防ワクチンは電話でも予約できますか？/HPVワクチンの電話対応時間を教えてください/HPVワクチンの電話受付時間は？</t>
  </si>
  <si>
    <t>HPVワクチンのご予約はお電話（050-1730-2768）での受付となります。電話受付時間は、平日9:45〜13:40・15:15〜19:40、土日祝9:45〜13:40・15:15〜18:40です。</t>
  </si>
  <si>
    <t>電話予約,問い合わせ,HPVワクチン,子宮頸がん予防</t>
  </si>
  <si>
    <t>HPVワクチンの予約前に準備しておくことはありますか？/子宮頸がん予防ワクチンの予約前に準備しておくことはありますか？</t>
  </si>
  <si>
    <t>WEB問診,事前準備,HPVワクチン,子宮頸がん予防</t>
  </si>
  <si>
    <t>HPVワクチンは初診でも予約できますか？/子宮頸がん予防ワクチンは初診でも予約できますか？</t>
  </si>
  <si>
    <t>ルナレディースクリニックでは、初診の方もご予約いただけます。HPVワクチン接種のご予約はお電話（050-1730-2768）のみで承っています。お手数をおかけしますが、お電話をお願いいたします。</t>
  </si>
  <si>
    <t>初診,予約,HPVワクチン,子宮頸がん予防</t>
  </si>
  <si>
    <t>HPVワクチンは来院とオンライン、どちらで予約できますか？/子宮頸がん予防ワクチンは来院とオンライン、どちらで予約できますか？</t>
  </si>
  <si>
    <t>ルナレディースクリニックでは、HPVワクチンのご相談は来院診療のみで承っています。HPVワクチン接種のご予約はお電話（050-1730-2768）のみで承っています。お手数をおかけしますが、お電話をお願いいたします。</t>
  </si>
  <si>
    <t>来院診療,オンライン診療,HPVワクチン,子宮頸がん予防</t>
  </si>
  <si>
    <t>予約なしでもHPVワクチンは受けられますか？/予約なしでも子宮頸がん予防は受けられますか？</t>
  </si>
  <si>
    <t>HPVワクチンが限定出荷となり、ワクチン納品されないケースが発生しております。そのため、ワクチンのご予約を出来かねる場合もございますので、お電話でご予約の上ご来院をお願いいたします。</t>
  </si>
  <si>
    <t>ブライダルチェック検査,予約なし,子宮頸がん予防</t>
  </si>
  <si>
    <t>HPVワクチン接種当日は何をしますか？/子宮頸がんワクチン接種当日は何をしますか？</t>
  </si>
  <si>
    <t>ご来院後、医師がワクチンの効果や副反応について丁寧に説明し、ご不安や疑問にお答えします。予診票や母子健康手帳（お持ちの方）を確認した上で、接種が可能か判断します。</t>
  </si>
  <si>
    <t>HPVワクチン,問診,当日の流れ,子宮頸がん</t>
  </si>
  <si>
    <t>HPVワクチンはどのように接種しますか？/子宮頸がんワクチンはどのように接種しますか？</t>
  </si>
  <si>
    <t>HPVワクチンは腕の筋肉に注射します。接種自体は短時間で終了しますのでご安心ください。</t>
  </si>
  <si>
    <t>HPVワクチン,注射,接種方法,子宮頸がん</t>
  </si>
  <si>
    <t>HPVワクチン接種後はすぐに帰れますか？/子宮頸がんワクチン接種後はすぐに帰れますか？</t>
  </si>
  <si>
    <t>接種後は、急な副反応に備えて30分間院内で安静にお過ごしいただきます。問題がなければ、お会計後にご帰宅いただけます。</t>
  </si>
  <si>
    <t>HPVワクチン,接種後,待機時間,子宮頸がん</t>
  </si>
  <si>
    <t>HPVワクチンの副反応は危険ではありませんか？/子宮頸がんワクチンの副反応は危険ではありませんか？</t>
  </si>
  <si>
    <t>HPVワクチンは、世界保健機関（WHO）も一貫して安全性を認めており、これまでの数多くの研究から、その有効性と安全性が科学的に確認されています。主な副反応は、接種した部位の痛みや腫れ、赤みなどで、これらは数日で自然に軽快します。重い症状（アナフィラキシーなど）は極めて稀ですが、万が一に備え、接種後30分は院内で待機していただくなど、安全対策を徹底していますのでご安心ください。</t>
  </si>
  <si>
    <t>HPVワクチン,副反応,安全性,子宮頸がん</t>
  </si>
  <si>
    <t>すでに性交渉の経験がありますが、HPVワクチンは効果がありますか？/すでに性交渉の経験がありますが、子宮頸がんワクチンは効果がありますか？</t>
  </si>
  <si>
    <t>効果は期待できます。HPVには複数の型があり、すでに特定の型に感染していても、ワクチンを接種することで、まだ感染していない他の型のウイルスへの感染を防ぐことができます。そのため、性交渉の経験がある方でも接種する価値は十分にあります。</t>
  </si>
  <si>
    <t>HPVワクチン,性交渉後,効果,子宮頸がん</t>
  </si>
  <si>
    <t>HPVワクチンを接種すれば子宮頸がん検診は不要ですか？/子宮頸がんワクチンを接種すれば子宮頸がん検診は不要ですか？</t>
  </si>
  <si>
    <t>検診は必ず受けてください。9価ワクチンは子宮頸がんの原因の約90%を防ぎますが、すべての型のHPV感染を防ぐものではありません。ワクチンで感染リスクを大幅に減らし、定期的な子宮頸がん検診で万が一の病変を早期発見する。この「両方」を受けることが、あなた自身の体を守るために非常に重要です。</t>
  </si>
  <si>
    <t>HPVワクチン,子宮頸がん検診,予防,子宮頸がん</t>
  </si>
  <si>
    <t>男性もHPVワクチンを接種できますか？/男性も子宮頸がんワクチンを接種できますか？</t>
  </si>
  <si>
    <t>申し訳ございませんが、当院は女性専用のため、男性の接種には対応しておりません。ご理解のほどよろしくお願いいたします。</t>
  </si>
  <si>
    <t>HPVワクチン,男性接種,対象者,子宮頸がん</t>
  </si>
  <si>
    <t>HPVワクチン接種と他の保険診療を同日に受けられますか？/子宮頸がんワクチン接種と他の保険診療を同日に受けられますか？/ピル処方とがん検診を同日に受けられますか？/公費の検診と保険診療は同時にできますか？</t>
  </si>
  <si>
    <t>申し訳ありませんが、同日に行うことはできません。HPVワクチン（公費）と、病気の治療を目的とした保険診療は、国のルール（混合診療の禁止）により、同じ日に行うことが原則として認められていません。患者様にご不便をおかけしないための大切なルールですので、ご理解いただけますと幸いです。お手数ですが、保険診療をご希望の場合は、ワクチン接種日とは別の日をご予約ください。</t>
  </si>
  <si>
    <t>HPVワクチン,混合診療,同日診療不可,子宮頸がん</t>
  </si>
  <si>
    <t>提携医療機関はありますか？/連携している病院はありますか？/紹介先の病院を教えてください</t>
  </si>
  <si>
    <t>当院では特定の連携医療機関はございません。紹介状（診療情報提供書）の発行は可能ですが、紹介先の医療機関は患者さまご自身でお探しいただいております。紹介状の発行をご希望の場合は、診察時に医師へご相談ください。</t>
  </si>
  <si>
    <t>医療連携,受診案内</t>
  </si>
  <si>
    <t>提携,連携,紹介先,紹介状,病院</t>
  </si>
  <si>
    <t>郵送検査とはどのようなサービスですか？/FemCHECKとはどのようなサービスですか？/おりもの検査とはどのようなサービスですか？</t>
  </si>
  <si>
    <t>FemCHECK（フェムチェック）は、婦人科医が監修した女性のためのおりもの・性感染症の郵送検査キットです。検査キットの購入から検体採取、結果確認まですべてご自宅で完結し、検体はポスト投函で返送できます。結果はWEBで確認でき、陽性の場合もオンライン診療で治療までサポートします。</t>
  </si>
  <si>
    <t>郵送検査/FemCHECK</t>
  </si>
  <si>
    <t>FemCHECK,郵送検査,おりもの検査,性感染症検査,自宅検査</t>
  </si>
  <si>
    <t>郵送検査は他の性病検査キットと何が違いますか？/FemCHECKは他の性病検査キットと何が違いますか？/おりもの検査は他の性病検査キットと何が違いますか？</t>
  </si>
  <si>
    <t>FemCHECKは産婦人科医が女性の膣内環境・おりものの状態を総合的に評価する目的で開発した検査キットです。一般的な性感染症の有無だけでなく、膣内の炎症や臭いのリスク、治療方針の判断に役立つ情報まで確認できる点が特長です。</t>
  </si>
  <si>
    <t>FemCHECK,性病検査キット,おりもの異常,婦人科医監修</t>
  </si>
  <si>
    <t>郵送検査はどのような流れで行いますか？/FemCHECKはどのような流れで行いますか？/おりもの検査はどのような流れで行いますか？</t>
  </si>
  <si>
    <t>FemCHECKでは、①自宅に検査キットが届く、②説明動画に従って検体を採取し24時間以内にポスト投函、③検査機関で解析、④WEBで結果確認、⑤陽性の場合はオンライン診療、という流れで進みます。検体到着後、最短当日に結果が確認できます。※すべての検査結果が揃うまでに、最大で6営業日程度かかる場合があります。</t>
  </si>
  <si>
    <t>検査の流れ,郵送検査,オンライン診療</t>
  </si>
  <si>
    <t>郵送検査の結果が陽性だった場合はどうなりますか？/FemCHECKの結果が陽性だった場合はどうなりますか？/おりもの検査の結果が陽性だった場合はどうなりますか？</t>
  </si>
  <si>
    <t>検査結果が陽性だった場合は、WEB上の案内からオンライン診療を受診できます。医師の判断によりお薬が処方され、決済後にご自宅へ郵送されます。通院不要で治療まで完結しますが、症状によっては来院をお願いする場合があります。</t>
  </si>
  <si>
    <t>陽性,オンライン診療,薬の処方,自宅治療</t>
  </si>
  <si>
    <t>郵送検査はプライバシーは守られますか？/FemCHECKはプライバシーは守られますか？/おりもの検査はプライバシーは守られますか？</t>
  </si>
  <si>
    <t>FemCHECKでは、性感染症検査という特性を踏まえ、外見から中身が分からないプライバシーに配慮した梱包・配送を行っています。ご家族や同居人、周囲の方に知られる心配なくご利用いただけます。</t>
  </si>
  <si>
    <t>プライバシー,匿名配送,郵送検査</t>
  </si>
  <si>
    <t>郵送検査は注文してからどのくらいで結果が分かりますか？/FemCHECKは注文してからどのくらいで結果が分かりますか？/おりもの検査は注文してからどのくらいで結果が分かりますか？</t>
  </si>
  <si>
    <t>返送された検体が検査機関に到着後、最短当日に検査結果をWEBで確認できます。すべての検査結果が揃うまでに、最大で6営業日程度かかる場合があります。検査結果は、当院の検査結果確認サイトからご確認いただけます。こちらのURLにアクセスしてください。https://result.luna-dr.com/clinic_login 患者番号は、会計時にお渡ししている領収書に記載のある10桁の番号となります。</t>
  </si>
  <si>
    <t>検査結果,所要日数,郵送検査</t>
  </si>
  <si>
    <t>郵送検査は生理中でも検査は受けられますか？/FemCHECKは生理中でも検査は受けられますか？/おりもの検査は生理中でも検査は受けられますか？</t>
  </si>
  <si>
    <t>生理中でも検査は可能ですが、経血量が多い時期は検査精度に影響する可能性があるため、可能な限り避けていただくことをおすすめしています。</t>
  </si>
  <si>
    <t>生理中,おりもの検査,郵送検査</t>
  </si>
  <si>
    <t>郵送検査の検体の採取方法が分かりません/FemCHECKの検体の採取方法が分かりません/おりもの検査の検体の採取方法が分かりません</t>
  </si>
  <si>
    <t>FemCHECKでは、検査キットに同封された案内および採取方法の説明動画をご用意しています。初めての方でも分かりやすく、簡単に採取できる内容となっています。</t>
  </si>
  <si>
    <t>検体採取,使い方,FemCHECK</t>
  </si>
  <si>
    <t>郵送検査の検査キットに使用期限はありますか？/FemCHECKの検査キットに使用期限はありますか？/おりもの検査の検査キットに使用期限はありますか？</t>
  </si>
  <si>
    <t>検査キットには使用期限が設定されており、期限は検体に記載されています。必ず使用期限内に採取・返送を行ってください。</t>
  </si>
  <si>
    <t>使用期限,検査キット,FemCHECK</t>
  </si>
  <si>
    <t>男性もFemCHECKで検査できますか？</t>
  </si>
  <si>
    <t>FemCHECKは女性向け検査キットですが、男性向けの性感染症郵送検査キットも別途ご用意しています。詳細はこちらをご確認ください→https://shop.luna-dr.com/?_gl=1*1gzqy87*_gcl_au*MTc3MTM0OTMwNy4xNzY1NTA2ODQx*_ga*OTc3MTM3ODY4LjE3NjU1MDY3NzE.*_ga_5LWNWXJSB3*czE3NjcyNzY3MDQkbzYkZzEkdDE3NjcyNzcwOTckajYwJGwwJGgxNDE3MTIwNTY.</t>
  </si>
  <si>
    <t>男性検査,性感染症,郵送検査</t>
  </si>
  <si>
    <t>おりものが多く下腹部が痛みます。考えられる病気はありますか？</t>
  </si>
  <si>
    <t>おりものが多く下腹部痛がある場合、淋病感染症（淋菌）、クラミジアの可能性があります。淋病感染症は、淋菌が子宮頸部に感染して起こる性感染症で、女性は無症状のことも多く、放置すると子宮外妊娠や不妊の原因になることがあります。クラミジアは約80％が無症状で気づきにくく、放置すると卵管炎や卵管障害、着床障害などを引き起こし、不妊の原因となることがありま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t>
  </si>
  <si>
    <t>おりもの多い,下腹部痛,淋病,淋菌,性感染症</t>
  </si>
  <si>
    <t>チーズ状のおりものが出ます。考えられる病気は？</t>
  </si>
  <si>
    <t>おりものの状態の変化は、体からのサインである可能性がありま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t>
  </si>
  <si>
    <t>チーズ状おりもの,カンジダ,かゆみ,膣炎</t>
  </si>
  <si>
    <t>性器周辺にかゆみや痛みがあります。何が考えられますか？</t>
  </si>
  <si>
    <t>性器周辺のかゆみや痛みは、さまざまな原因が考えられま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t>
  </si>
  <si>
    <t>かゆみ,痛み,細菌性膣症,膣炎</t>
  </si>
  <si>
    <t>下半身が熱く感じます。考えられる性感染症は？</t>
  </si>
  <si>
    <t>下半身の熱感や違和感は、さまざまな原因が考えられま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t>
  </si>
  <si>
    <t>下半身が熱い,クラミジア,性感染症</t>
  </si>
  <si>
    <t>高熱が出ています。性感染症が原因のことはありますか？</t>
  </si>
  <si>
    <t>高熱が続く場合は、早めにご受診ください。個別の症状やお体のご状況については診察にてご確認いただくことをおすすめいたします。当院でのご受診をご希望の場合は、ご予約をお取りの上、クリニックにご受診ください。ただし、当院は37.5℃以上の熱がある場合は受診ができませんので、熱が一度下がってからご予約くださいませ。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t>
  </si>
  <si>
    <t>高熱,クラミジア,性感染症</t>
  </si>
  <si>
    <t>クラミジアとは何ですか？</t>
  </si>
  <si>
    <t>クラミジアとは、クラミジア・トラコマティスという細菌が原因で起こる性感染症です。主に性交渉によって感染し、女性では無症状のまま進行することが多いのが特徴です。</t>
  </si>
  <si>
    <t>クラミジア,性器クラミジア,性感染症,STD</t>
  </si>
  <si>
    <t>クラミジアはどんな症状が出ますか？</t>
  </si>
  <si>
    <t>クラミジアは女性では約80％が無症状といわれています。症状が出る場合は、おりものの増加、下腹部痛、性交時の痛み、不正出血などがあります。</t>
  </si>
  <si>
    <t>クラミジア,症状,おりもの,下腹部痛</t>
  </si>
  <si>
    <t>クラミジアを放置するとどうなりますか？</t>
  </si>
  <si>
    <t>クラミジアを放置すると、卵管炎や卵管閉塞を起こし、不妊症や子宮外妊娠の原因になることがあります。</t>
  </si>
  <si>
    <t>クラミジア,放置,不妊,子宮外妊娠</t>
  </si>
  <si>
    <t>クラミジアの検査方法を教えてください。</t>
  </si>
  <si>
    <t>クラミジアの検査は、おりもの検査や尿検査、郵送検査キットなどで行います。症状や状況に応じて適切な方法を選択します。</t>
  </si>
  <si>
    <t>クラミジア検査,おりもの検査,郵送検査</t>
  </si>
  <si>
    <t>クラミジアは治りますか？</t>
  </si>
  <si>
    <t>クラミジアは抗菌薬の内服治療で完治します。ただし、治療後の確認検査を受けることが重要で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t>
  </si>
  <si>
    <t>クラミジア,治療,抗菌薬,完治</t>
  </si>
  <si>
    <t>クラミジアは自然に治りますか？</t>
  </si>
  <si>
    <t>クラミジアは自然に治ることはほとんどありません。適切な抗菌薬による治療が必要です。症状が軽くても、必ず治療を受けることが重要で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t>
  </si>
  <si>
    <t>クラミジア,自然治癒,治療</t>
  </si>
  <si>
    <t>クラミジアは郵送検査でも調べられますか？</t>
  </si>
  <si>
    <t>クラミジアは郵送検査キットでも調べることが可能です。ご自宅で検体を採取し、結果をWEBで確認できます。陽性の場合はオンライン診療で治療まで対応できます。</t>
  </si>
  <si>
    <t>クラミジア,郵送検査,FemCHECK</t>
  </si>
  <si>
    <t>クラミジアの治療方法を教えてください。</t>
  </si>
  <si>
    <t>クラミジアの治療は抗菌薬の内服が基本です。医師の指示通りに服用することで、多くの場合完治します。治療後は治癒確認の検査が重要です。</t>
  </si>
  <si>
    <t>クラミジア,治療,抗菌薬</t>
  </si>
  <si>
    <t>クラミジアはパートナーも治療が必要ですか？</t>
  </si>
  <si>
    <t>クラミジアと診断された場合は、パートナーも同時に検査・治療を受けることが非常に重要です。治療しないと再感染（ピンポン感染）の原因になります。</t>
  </si>
  <si>
    <t>クラミジア,パートナー,再感染</t>
  </si>
  <si>
    <t>クラミジアは完治しますか？</t>
  </si>
  <si>
    <t>クラミジアは適切な治療を行えば完治します。ただし、治療後の確認検査を受けずに放置すると、治りきっていない場合がありま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t>
  </si>
  <si>
    <t>クラミジア,完治,治癒確認</t>
  </si>
  <si>
    <t>淋病とは何ですか？</t>
  </si>
  <si>
    <t>淋病とは、淋菌という細菌が原因で起こる性感染症です。クラミジアに次いで多い性感染症で、女性では症状が出にくいことがあります。</t>
  </si>
  <si>
    <t>淋病,淋菌,性感染症,STD</t>
  </si>
  <si>
    <t>淋病はどんな症状がありますか？</t>
  </si>
  <si>
    <t>淋病では、おりものの増加、下腹部痛、排尿時の違和感などがみられることがありますが、女性では無症状のことも少なくありません。</t>
  </si>
  <si>
    <t>淋病,症状,おりもの,下腹部痛</t>
  </si>
  <si>
    <t>淋病を放置するとどうなりますか？</t>
  </si>
  <si>
    <t>淋病を放置すると、子宮や卵管に炎症が広がり、不妊症や子宮外妊娠の原因になることがあります。</t>
  </si>
  <si>
    <t>淋病,放置,不妊,子宮外妊娠</t>
  </si>
  <si>
    <t>淋病の検査方法を教えてください。</t>
  </si>
  <si>
    <t>淋病の検査は、おりもの検査や尿検査で行います。クラミジアと同時に検査することが一般的です。</t>
  </si>
  <si>
    <t>淋病検査,淋菌検査,おりもの検査</t>
  </si>
  <si>
    <t>淋病は治りますか？</t>
  </si>
  <si>
    <t>淋病は適切な抗菌薬による治療で完治します。医師の指示に従って治療を受けることが重要で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t>
  </si>
  <si>
    <t>淋病,治療,抗菌薬,完治</t>
  </si>
  <si>
    <t>性器カンジダ症とは何ですか？</t>
  </si>
  <si>
    <t>性器カンジダ症とは、膣内に存在するカンジダ菌が異常に増殖して起こる膣の炎症です。性感染症ではありません。</t>
  </si>
  <si>
    <t>カンジダ,性器カンジダ,カンジダ膣炎</t>
  </si>
  <si>
    <t>カンジダ症の症状を教えてください。</t>
  </si>
  <si>
    <t>カンジダ症では、強いかゆみや、白くポロポロしたチーズ状のおりものが出ることがあります。</t>
  </si>
  <si>
    <t>カンジダ,症状,かゆみ,おりもの</t>
  </si>
  <si>
    <t>カンジダはなぜ起こりますか？</t>
  </si>
  <si>
    <t>疲労やストレス、抗生物質の使用などで免疫力が低下すると、常在菌であるカンジダが増殖して発症します。</t>
  </si>
  <si>
    <t>カンジダ,原因,免疫低下</t>
  </si>
  <si>
    <t>カンジダ症の検査方法を教えてください。</t>
  </si>
  <si>
    <t>カンジダ症は、おりものを採取して顕微鏡検査などで診断します。</t>
  </si>
  <si>
    <t>カンジダ検査,おりもの検査</t>
  </si>
  <si>
    <t>カンジダ症は治りますか？</t>
  </si>
  <si>
    <t>膣錠や内服薬による治療で改善します。再発しやすいため、再発時は早めの受診が大切で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t>
  </si>
  <si>
    <t>カンジダ,治療,膣錠,再発</t>
  </si>
  <si>
    <t>細菌性膣症とは何ですか？</t>
  </si>
  <si>
    <t>細菌性膣症とは、膣内の善玉菌が減少し、雑菌が増えることで起こる膣内環境の乱れです。性感染症ではありません。</t>
  </si>
  <si>
    <t>細菌性膣症,細菌性膣炎,膣内環境</t>
  </si>
  <si>
    <t>細菌性膣症の症状を教えてください。</t>
  </si>
  <si>
    <t>細菌性膣症では、灰色や白色のおりものや、魚が腐ったような生臭いにおいがすることがあります。</t>
  </si>
  <si>
    <t>細菌性膣症,症状,おりもの,臭い</t>
  </si>
  <si>
    <t>細菌性膣症は放置するとどうなりますか？</t>
  </si>
  <si>
    <t>細菌性膣症を放置すると、流産や早産のリスクが高まることがありま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t>
  </si>
  <si>
    <t>細菌性膣症,放置,早産,流産</t>
  </si>
  <si>
    <t>細菌性膣症の検査方法を教えてください。</t>
  </si>
  <si>
    <t>細菌性膣症は、おりもの検査により膣内の細菌バランスを調べて診断します。</t>
  </si>
  <si>
    <t>細菌性膣症検査,おりもの検査</t>
  </si>
  <si>
    <t>細菌性膣症は治りますか？</t>
  </si>
  <si>
    <t>抗菌薬による治療で改善します。再発しやすいため、生活習慣の見直しも重要で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t>
  </si>
  <si>
    <t>細菌性膣症,治療,抗菌薬,再発</t>
  </si>
  <si>
    <t>おりものの様子がいつもと違います。病気でしょうか？</t>
  </si>
  <si>
    <t>おりものの変化は体からのサインである場合がありま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t>
  </si>
  <si>
    <t>おりもの異常,おりもの 色,おりもの かゆみ,性感染症</t>
  </si>
  <si>
    <t>いろいろな性感染症について詳しく知りたいです。</t>
  </si>
  <si>
    <t>性感染症は正しい知識を知ることで、早期発見や予防につなげることができます。当院では、クラミジアや淋菌などの性感染症や関連する病気について、分かりやすく解説しています。</t>
  </si>
  <si>
    <t>性感染症,性病 種類,STD 解説</t>
  </si>
  <si>
    <t>症状がなければ、性感染症の検査は必要ないですか？</t>
  </si>
  <si>
    <t>性感染症は、感染していても症状が出にくいことが多く、自覚がないまま進行する場合があります。気づかないうちにパートナーへ感染させたり、不妊症の原因になることもあるため、感染の機会があった場合は症状がなくても検査を受けることが大切で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t>
  </si>
  <si>
    <t>性感染症 検査,無症状 性病,STD 検査</t>
  </si>
  <si>
    <t>パートナーが性感染症に感染しました。自分はどうすればよいですか？</t>
  </si>
  <si>
    <t>性感染症は、精液や腟分泌液、血液などを介して感染します。コンドームなどの予防をしていなかった場合は、ご自身も感染している可能性があるため、検査を受けることをおすすめします。</t>
  </si>
  <si>
    <t>パートナー 性病,性感染症 感染,検査</t>
  </si>
  <si>
    <t>陽性だった場合、検査結果を病院に持参すれば再検査は不要ですか？</t>
  </si>
  <si>
    <t>FemCHECKがご紹介する提携医療機関で診療を受ける場合、原則として再検査は不要です。ただし、他の医療機関で治療を受ける場合は、医師の判断により再検査を行うことがあります。</t>
  </si>
  <si>
    <t>性病 陽性,再検査,検査結果</t>
  </si>
  <si>
    <t>共同浴場の椅子で性感染症にうつることはありますか？</t>
  </si>
  <si>
    <t>性感染症は、病原体を含む精液や腟分泌液、血液などが粘膜や皮膚に接触することで感染します。そのため、一般的に共同浴場の椅子で感染することは考えられていません。</t>
  </si>
  <si>
    <t>性感染症 うつる,温泉 性病,感染経路</t>
  </si>
  <si>
    <t>使用したホテルの玩具が消毒されていなかったら感染しますか？</t>
  </si>
  <si>
    <t>性感染症は、精液や腟分泌液などが粘膜に直接触れることで感染します。一般的には、消毒されていない玩具から感染する可能性は低いと考えられますが、気になる場合は使用前に洗浄することをおすすめします。</t>
  </si>
  <si>
    <t>性病 感染経路,玩具 性病,STD</t>
  </si>
  <si>
    <t>感染を予防するためには何をすればいいですか？</t>
  </si>
  <si>
    <t>最も現実的で効果的な予防方法は、コンドームを正しく使用することです。また、性行為の相手を限定することも感染リスクを下げることにつながります。</t>
  </si>
  <si>
    <t>性感染症 予防,コンドーム,性病 防止</t>
  </si>
  <si>
    <t>妊娠したら子どもにも感染しますか？</t>
  </si>
  <si>
    <t>妊娠中に性感染症に感染している場合、赤ちゃんに感染することがあります。妊婦健診では性感染症の検査も行われますので、必ず定期的に健診を受けましょう。</t>
  </si>
  <si>
    <t>妊娠 性感染症,母子感染,妊婦健診</t>
  </si>
  <si>
    <t>同性との性行為でも感染することはありますか？</t>
  </si>
  <si>
    <t>あります。性感染症は粘膜同士の接触や体液を介して感染するため、男性同士・女性同士の性行為であっても感染する可能性がありま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t>
  </si>
  <si>
    <t>同性 性病,性感染症 同性,STD</t>
  </si>
  <si>
    <t>パートナーが1人だけでも性感染症に感染することはありますか？</t>
  </si>
  <si>
    <t>お互いに検査を受け、感染していないことが確認できていれば感染の可能性は低いですが、確認ができていない場合は、パートナーが1人でも感染する可能性はありま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t>
  </si>
  <si>
    <t>性病 パートナー1人,性感染症 リスク</t>
  </si>
  <si>
    <t>郵送検査はいつ発送されますか？/FemCHECKはいつ発送されますか？/おりもの検査はいつ発送されますか？</t>
  </si>
  <si>
    <t>14時までにご注文いただいた場合は、当日中に発送いたします。14時以降のご注文は翌日の発送となります。なお、年末年始は発送を行っておりませんので、あらかじめご了承ください。</t>
  </si>
  <si>
    <t>郵送検査 発送,FemCHECK 発送,おりもの検査 配送</t>
  </si>
  <si>
    <t>郵送検査を土日や祝日に注文した場合はどうなりますか？/FemCHECKを土日や祝日に注文した場合はどうなりますか？/おりもの検査を土日や祝日に注文した場合はどうなりますか？</t>
  </si>
  <si>
    <t>土日・祝日に14時までにご注文いただいた場合も、原則として当日発送となります。14時以降のご注文は翌日の発送となります。</t>
  </si>
  <si>
    <t>土日 発送,祝日 発送,検査キット 配送</t>
  </si>
  <si>
    <t>郵送検査を14時以降に注文した場合はどうなりますか？/FemCHECKを14時以降に注文した場合はどうなりますか？/おりもの検査を14時以降に注文した場合はどうなりますか？</t>
  </si>
  <si>
    <t>14時以降にご注文いただいた場合は、翌日の発送となります。お急ぎの場合は、14時までのご注文をおすすめします。</t>
  </si>
  <si>
    <t>14時以降 注文,翌日発送</t>
  </si>
  <si>
    <t>郵送検査の支払い方法を教えてください。/FemCHECKの支払い方法を教えてください。/おりもの検査の支払い方法を教えてください。</t>
  </si>
  <si>
    <t>お支払い方法はクレジットカード決済のみ対応しております。
※「リボ払い」「ボーナス一括払い」のお取り扱いはございません。</t>
  </si>
  <si>
    <t>支払い方法,クレジットカード決済,FemCHECK,郵送検査,検査キット</t>
  </si>
  <si>
    <t>郵送検査のカード決済に手数料はかかりますか？/FemCHECKのカード決済に手数料はかかりますか？/おりもの検査のカード決済に手数料はかかりますか？</t>
  </si>
  <si>
    <t>クレジットカード決済に手数料はかかりません。表示されている金額のみでご利用いただけます。</t>
  </si>
  <si>
    <t>カード決済 手数料,無料</t>
  </si>
  <si>
    <t>郵送検査で使えるクレジットカード会社を教えてください。/FemCHECKで使えるクレジットカード会社を教えてください。/おりもの検査で使えるクレジットカード会社を教えてください。</t>
  </si>
  <si>
    <t>VISA、Mastercard、JCB、American Express（AMEX）のクレジットカードをご利用いただけます。</t>
  </si>
  <si>
    <t>対応カード,VISA,MASTER,JCB,AMEX</t>
  </si>
  <si>
    <t>郵送検査は分割払いできますか？/FemCHECKは分割払いできますか？/おりもの検査は分割払いできますか？</t>
  </si>
  <si>
    <t>お支払いは一括払いのみ対応しております。リボ払い・ボーナス一括払いはご利用いただけませんので、ご了承ください。</t>
  </si>
  <si>
    <t>一括払い,分割不可,支払い回数</t>
  </si>
  <si>
    <t>郵送検査の送料はかかりますか？/FemCHECKの送料はかかりますか？/おりもの検査の送料はかかりますか？</t>
  </si>
  <si>
    <t>送料はかかりません。全国どこでも送料無料でお届けいたします。</t>
  </si>
  <si>
    <t>送料無料,送料 無料,検査キット 配送</t>
  </si>
  <si>
    <t>郵送検査は電話で注文できますか？/FemCHECKは電話で注文できますか？/おりもの検査は電話で注文できますか？</t>
  </si>
  <si>
    <t>申し訳ございませんが、お電話でのご注文は承っておりません。ご注文はインターネットからのみ可能です。</t>
  </si>
  <si>
    <t>電話注文 不可,ネット注文</t>
  </si>
  <si>
    <t>郵送検査の返品や不良品はどうすればよいですか？/FemCHECKの返品や不良品はどうすればよいですか？/おりもの検査の返品や不良品はどうすればよいですか？</t>
  </si>
  <si>
    <t>配送による破損やご注文内容と異なる商品が届いた場合は、商品到着後7日以内にお問い合わせください。商品に欠陥がある場合の返品送料は当方で負担いたします。なお、お客様都合による返品・交換はお受けできません。</t>
  </si>
  <si>
    <t>返品,不良品,交換不可</t>
  </si>
  <si>
    <t>郵送検査で返品できないケースはありますか？/FemCHECKで返品できないケースはありますか？/おりもの検査で返品できないケースはありますか？</t>
  </si>
  <si>
    <t>商品到着後8日以上経過した商品、開封済み・使用済みの商品、お客様による汚損・破損が生じた商品については、返品をお受けできません。</t>
  </si>
  <si>
    <t>返品不可,使用済み,開封済み</t>
  </si>
  <si>
    <t>郵送検査のプライバシーは守られていますか？/FemCHECKのプライバシーは守られていますか？/おりもの検査のプライバシーは守られていますか？</t>
  </si>
  <si>
    <t>検査キットは中身が分からない梱包と伝票でお届けします。また、病院のカルテ管理と同様のセキュリティ体制で個人情報を管理し、検体検査はID管理で行うなど、プライバシーに最大限配慮しています。</t>
  </si>
  <si>
    <t>匿名,プライバシー,梱包 配慮</t>
  </si>
  <si>
    <t>郵送検査で入力した個人情報は守られていますか？/FemCHECKで入力した個人情報は守られていますか？/おりもの検査で入力した個人情報は守られていますか？</t>
  </si>
  <si>
    <t>当社では個人情報の重要性を認識し、漏洩防止のため厳重な管理体制を整えています。詳細はプライバシーポリシーをご確認ください。</t>
  </si>
  <si>
    <t>個人情報,セキュリティ</t>
  </si>
  <si>
    <t>郵送検査で陽性だった場合、結果は他の機関に報告されますか？/FemCHECKで陽性だった場合、結果は他の機関に報告されますか？/おりもの検査で陽性だった場合、結果は他の機関に報告されますか？</t>
  </si>
  <si>
    <t>検査結果を国や医療機関など第三者に報告することは一切ありません。検査は匿名で実施していますのでご安心ください。</t>
  </si>
  <si>
    <t>匿名検査,結果 共有なし</t>
  </si>
  <si>
    <t>郵送検査の「匿名検査」とは何ですか？/FemCHECKの「匿名検査」とは何ですか？/おりもの検査の「匿名検査」とは何ですか？</t>
  </si>
  <si>
    <t>検査申込時にお名前やご住所の記入は不要です。検体採取器具に貼付するIDコードで管理し、個人を特定せずに検査を行います。</t>
  </si>
  <si>
    <t>匿名検査,ID管理</t>
  </si>
  <si>
    <t>郵送検査の検査精度は信頼できますか？/FemCHECKの検査精度は信頼できますか？/おりもの検査の検査精度は信頼できますか？</t>
  </si>
  <si>
    <t>検査は医療機関や保健所と同様に、認可を受けた登録衛生検査所で実施しています。安心してご利用ください。</t>
  </si>
  <si>
    <t>検査精度,登録衛生検査所</t>
  </si>
  <si>
    <t>郵送検査で陽性だった場合、病院を紹介してもらえますか？/FemCHECKで陽性だった場合、病院を紹介してもらえますか？/おりもの検査で陽性だった場合、病院を紹介してもらえますか？</t>
  </si>
  <si>
    <t>提携クリニックでのオンライン診療をご利用いただけます。対面診療をご希望の場合は、提携医療機関のご紹介も可能です。</t>
  </si>
  <si>
    <t>陽性,病院 紹介,オンライン診療</t>
  </si>
  <si>
    <t>郵送検査で陽性だった場合、オンライン診療はどうやって受けますか？/FemCHECKで陽性だった場合、オンライン診療はどうやって受けますか？/おりもの検査で陽性だった場合、オンライン診療はどうやって受けますか？</t>
  </si>
  <si>
    <t>検査結果ページから、オンライン診療のご案内をご確認いただけます。案内に沿ってご予約ください。検査結果は、[【こちら】](https://result.luna-dr.com/clinic_login?clinic_id=10001)よりご確認いただけます。
※必ず受診クリニックを正しくご選択の上、ご確認ください。</t>
  </si>
  <si>
    <t>オンライン診療 予約,陽性</t>
  </si>
  <si>
    <t>郵送検査で陽性だった場合、薬はもらえますか？/FemCHECKで陽性だった場合、薬はもらえますか？/おりもの検査で陽性だった場合、薬はもらえますか？</t>
  </si>
  <si>
    <t>オンライン診療にて医師が判断し、必要に応じてお薬を処方します。お薬はご自宅へ郵送されます。</t>
  </si>
  <si>
    <t>薬 処方,郵送</t>
  </si>
  <si>
    <t>郵送検査で陰性でもオンライン診療は受けられますか？/FemCHECKで陰性でもオンライン診療は受けられますか？/おりもの検査で陰性でもオンライン診療は受けられますか？</t>
  </si>
  <si>
    <t>可能です。検査結果画面よりオンライン診療のご案内をご確認いただけます。検査結果は、[【こちら】](https://result.luna-dr.com/clinic_login)よりご確認いただけます。
※必ず受診クリニックを正しくご選択の上、ご確認ください。患者番号は、会計時にお渡ししている領収書に記載のある10桁の番号となります。</t>
  </si>
  <si>
    <t>陰性,オンライン相談</t>
  </si>
  <si>
    <t>郵送検査ではパートナーの治療も必要ですか？/FemCHECKではパートナーの治療も必要ですか？/おりもの検査ではパートナーの治療も必要ですか？</t>
  </si>
  <si>
    <t>精液、腟分泌液、血液、患部組織などには原因となる細菌やウイルスが含まれることがあり、コンドームなどで予防していない性行為があった場合は、パートナーにも感染している可能性があります。そのため、この場合はパートナーの方も検査を受けることをおすすめします。</t>
  </si>
  <si>
    <t>パートナー治療,再感染,ピンポン感染</t>
  </si>
  <si>
    <t>郵送検査の検査結果は正しいですか？/FemCHECKの検査結果は正しいですか？/おりもの検査の検査結果は正しいですか？</t>
  </si>
  <si>
    <t>検査は、医療機関や保健所と同様に、国の認可を受けた登録衛生検査所で実施しています。適切な精度管理のもとで行われているため、安心してご利用いただけます。</t>
  </si>
  <si>
    <t>検査精度,登録衛生検査所,信頼性</t>
  </si>
  <si>
    <t>ルナレディースクリニックの医師を教えてください</t>
  </si>
  <si>
    <t>ルナレディースクリニックでは、産婦人科の専門知識と豊富な臨床経験を持つ医師が診療を担当しています。院長の川原正行医師は、岡山大学医学部卒業後、大学病院や総合病院での産婦人科研修を経て、医薬品医療機器総合機構（PMDA）にて医薬品・医療機器の承認審査に従事しました。その後、こうのとりレディースクリニック、新宿レディースクリニックでの勤務を経て、2021年よりルナレディースクリニック院長として診療を行っています。また、近都真侑医師は近畿大学医学部卒業後、名戸ケ谷病院での初期研修、千葉西総合病院・昭和大学での産婦人科勤務を経験し、産業医としても多数の企業での実績があります。</t>
  </si>
  <si>
    <t>医師紹介</t>
  </si>
  <si>
    <t>医師紹介,院長,産婦人科医,川原正行,近都真侑</t>
  </si>
  <si>
    <t>低用量ピルの定期配送を申し込みたいです/ピルの定期便を申し込みたい/ピルの定期購入をしたい/ピルのサブスクを始めたい</t>
  </si>
  <si>
    <r>
      <rPr/>
      <t xml:space="preserve">【当院もしくはオンライン診療で処方歴のある方】
当院でラベルフィーユ・ファボワールの処方歴がある場合、低用量ピルの定期配送をご利用いただけます。
定期配送の購入はこちら：
</t>
    </r>
    <r>
      <rPr>
        <color rgb="FF1155CC"/>
        <u/>
      </rPr>
      <t>https://shop.luna-dr.com/collections/low_dose_pill_subscription</t>
    </r>
    <r>
      <rPr/>
      <t xml:space="preserve">
※カルテ確認の結果、処方が難しいと判断した場合は別途ご連絡することがあります。
※保険ピルの定期配送は対応しておりません。
【当院のご利用が初めての方】
まずは診察が必要となります。
オンライン診療はこちらのLINEからご予約ください。
https://liff-gateway.lineml.jp/landing?follow=%40590gpxrd&amp;lp=rJHUjK&amp;liff_id=1657094566-LmjNPPbV
またはこちらのLINEからクリニック診察をご予約ください
</t>
    </r>
    <r>
      <rPr>
        <color rgb="FF1155CC"/>
        <u/>
      </rPr>
      <t>https://cline-app.com/qr-codes/98ad6f149bfa20f4f2a9a2e91aac4187/preview</t>
    </r>
  </si>
  <si>
    <t>ピル,定期配送,サブスク,ラベルフィーユ,ファボワール,定期便,定期購入,サブスク</t>
  </si>
  <si>
    <t>https://shop.luna-dr.com/collections/low_dose_pill_subscription</t>
  </si>
  <si>
    <t>クリニック受け取りから低用量ピルの定期配送に変更できますか？/来院からピルの定期便に切り替えたい/ピルの定期購入に変更したい</t>
  </si>
  <si>
    <t>当院またはオンライン診療でラベルフィーユ・ファボワールの処方歴がある場合、定期配送への変更が可能です。定期配送の購入はこちら（https://shop.luna-dr.com/collections/low_dose_pill_subscription）。
※保険ピルの定期配送は対応しておりません。</t>
  </si>
  <si>
    <t>ピル,定期配送,変更,サブスク,定期便,定期購入,サブスク</t>
  </si>
  <si>
    <t>低用量ピルの定期配送を再開したいです/ピルの定期便を再開したい/ピルの定期購入を再開したい</t>
  </si>
  <si>
    <t>当院またはオンライン診療でラベルフィーユ・ファボワールの処方歴がある方は、再度定期配送をご利用いただけます。定期配送の購入はこちら（https://shop.luna-dr.com/collections/low_dose_pill_subscription）。</t>
  </si>
  <si>
    <t>ピル,定期配送,再開,定期便,定期購入,サブスク</t>
  </si>
  <si>
    <t>低用量ピルを使わなくなったので返品できますか？/ピルの定期便を返品したい/定期購入のピルを返品できますか</t>
  </si>
  <si>
    <t>申し訳ございませんが、配送後の商品は返品・キャンセルを承ることができません。あらかじめご了承ください。定期配送の解約をご希望の場合は、こちらのフォーム（https://docs.google.com/forms/d/e/1FAIpQLSe41t1VsvN-rfcwsRSkalz89S2yqQc4zpWrbdcrwPo95Iif-Q/viewform）よりご連絡ください。</t>
  </si>
  <si>
    <t>ピル,返品,定期便,定期購入,サブスク</t>
  </si>
  <si>
    <t>https://shop.luna-dr.com/</t>
  </si>
  <si>
    <t>乳酸桿菌の定期配送を購入したいです/ラクトフローラの定期配送を購入したいです/ラクトフローラについて知りたい/ラクトフローラとは何ですか？/ラクトフローラについて教えてください</t>
  </si>
  <si>
    <t>乳酸桿菌（ラクトフローラ）は膣内環境を整えるための製品で、継続的な使用により予防効果が期待できます。購入はこちら（https://shop.luna-dr.com/products/lactobacillus）。</t>
  </si>
  <si>
    <t>フェムケア</t>
  </si>
  <si>
    <t>乳酸桿菌,ラクトフローラ,おりもの,カンジダ,定期便,定期購入,サブスク</t>
  </si>
  <si>
    <t>https://shop.luna-dr.com/products/lactobacillus</t>
  </si>
  <si>
    <t>定期配送の配送先住所を変更したいです/定期便の届け先を変更したい/定期購入の住所変更</t>
  </si>
  <si>
    <t>お手数ですが、こちらのフォーム（https://docs.google.com/forms/d/e/1FAIpQLSe41t1VsvN-rfcwsRSkalz89S2yqQc4zpWrbdcrwPo95Iif-Q/viewform）よりご連絡ください。内容確認後、3日以内にカウンセラーよりメールでご連絡いたします。</t>
  </si>
  <si>
    <t>定期配送</t>
  </si>
  <si>
    <t>住所変更,配送先,定期便,定期購入,サブスク</t>
  </si>
  <si>
    <t>https://docs.google.com/forms/d/e/1FAIpQLSe41t1VsvN-rfcwsRSkalz89S2yqQc4zpWrbdcrwPo95Iif-Q/viewform</t>
  </si>
  <si>
    <t>氏名を変更したいです/名前が変わったのですが変更できますか？/改姓の手続きをしたい/苗字が変わりました/定期配送の氏名を変更したい/定期便の氏名を変更したい/定期購入の名前変更/登録情報の変更/登録情報を変更したい/個人情報の変更</t>
  </si>
  <si>
    <t>【定期配送をご利用の方】お手数ですが、こちらのフォーム（https://docs.google.com/forms/d/e/1FAIpQLSe41t1VsvN-rfcwsRSkalz89S2yqQc4zpWrbdcrwPo95Iif-Q/viewform）よりご連絡ください。内容確認後、3日以内にカウンセラーよりメールでご連絡いたします。【クリニックにご来院の方】次回ご来院の際に受付にてお申し付けください。</t>
  </si>
  <si>
    <t>受診案内・手続き</t>
  </si>
  <si>
    <t>氏名変更,名前変更,改姓,苗字,名義変更,定期便,定期購入,サブスク</t>
  </si>
  <si>
    <t>定期配送の次回配送日を変更したいです/定期便の届く日を変更したい/定期購入の配送日変更</t>
  </si>
  <si>
    <t>配送日変更,定期便,定期購入,サブスク</t>
  </si>
  <si>
    <t>定期配送を解約したいです/定期購入を解約したい/定期便を解約したい/サブスクを解約したい/定期購入をやめたい/ピルの定期購入を解約したい/ピルの定期配送を解約したいです/ピルの定期便を解約したい/ピルのサブスクを解約したい/ピルの定期購入をやめたい/定期購入をキャンセルしたい/定期購入のキャンセル方法/定期購入2回目のキャンセル</t>
  </si>
  <si>
    <t>解約,サブスク,定期購入,定期便,定期便,定期購入,サブスク</t>
  </si>
  <si>
    <t>定期配送の契約プランを変更したいです/定期便のプランを変更したい/定期購入のコース変更/現在の自分の契約コースを知りたい</t>
  </si>
  <si>
    <t>契約プラン,変更,サブスク,定期配送,定期便,定期購入,サブスク</t>
  </si>
  <si>
    <t>定期配送の次回配送日がいつか確認したい/定期便の次回発送日はいつ/定期購入の次はいつ届く/定期便の次回発送日はいつですか？/次の定期便はいつ届きますか？/定期購入の次回発送日を確認したい/次回の定期発送/契約済みのピルの配送日を知りたい/次回のピル配送</t>
  </si>
  <si>
    <t>次回配送日,定期配送,サブスク,定期便,定期購入,サブスク,次回発送,発送日</t>
  </si>
  <si>
    <t>定期配送の配購入回数に制限はありますか？/定期便に回数制限はある？/定期購入は何回まで？</t>
  </si>
  <si>
    <t>定期配送のご利用に回数制限はございません。ただし、配送後の返品・キャンセルはできませんのでご了承ください。</t>
  </si>
  <si>
    <t>回数制限,購入条件,定期便,定期購入,サブスク</t>
  </si>
  <si>
    <t>定期配送のクレジットカード決済でエラーの連絡が来た/定期便の決済エラー/定期購入のカードエラー</t>
  </si>
  <si>
    <t>定期配送は自動決済のため再購入は不要です。カード変更や限度額超過の場合は、カード情報の更新が必要です。エラー時は登録メール宛にご連絡しております。不明点はフォーム（https://docs.google.com/forms/d/e/1FAIpQLSe41t1VsvN-rfcwsRSkalz89S2yqQc4zpWrbdcrwPo95Iif-Q/viewform）よりお問い合わせください。</t>
  </si>
  <si>
    <t>支払い</t>
  </si>
  <si>
    <t>クレジットカード,決済エラー,定期便,定期購入,サブスク</t>
  </si>
  <si>
    <t>定期配送は毎回申し込みが必要ですか？/定期配送は再登録が必要ですか/定期便は毎回注文が必要？/定期購入は自動更新？</t>
  </si>
  <si>
    <t>再登録は不要です。契約コースごとに自動で決済・配送されます。決済エラーが発生した場合のみカード情報の更新が必要です。不明点はフォーム（https://docs.google.com/forms/d/e/1FAIpQLSe41t1VsvN-rfcwsRSkalz89S2yqQc4zpWrbdcrwPo95Iif-Q/viewform）よりお問い合わせください。</t>
  </si>
  <si>
    <t>自動更新,サブスク,定期便,定期購入</t>
  </si>
  <si>
    <t>定期配送の返品はできますか？/定期配送のキャンセルはできますか？/定期便の返品/定期購入をキャンセルしたい</t>
  </si>
  <si>
    <t>配送前のキャンセル・解約をご希望の場合は、こちらのフォーム（https://docs.google.com/forms/d/e/1FAIpQLSe41t1VsvN-rfcwsRSkalz89S2yqQc4zpWrbdcrwPo95Iif-Q/viewform）よりご連絡ください。決済後の返品・キャンセルはできませんので、あらかじめご了承ください。なお、定期配送のご利用に制限はございません。</t>
  </si>
  <si>
    <t>定期配送,キャンセル,返品,定期便,定期購入,サブスク</t>
  </si>
  <si>
    <t>オンライン診療の料金を知りたい</t>
  </si>
  <si>
    <t>お薬の費用、送料、診察料はこちらのページをご確認ください→https://luna-dr.notion.site/1962f1eed8ff817497d6e727d9c32c73</t>
  </si>
  <si>
    <t>オンライン診療,料金</t>
  </si>
  <si>
    <t>https://luna-dr.notion.site/1962f1eed8ff817497d6e727d9c32c73</t>
  </si>
  <si>
    <t>オンライン診療は何歳から利用できますか？</t>
  </si>
  <si>
    <t>オンライン診療は18歳以上が対象です。低用量ピルは初回処方が18歳以上40歳未満、定期配送は45歳までご利用いただけます。</t>
  </si>
  <si>
    <t>オンライン診療,年齢制限,ピル</t>
  </si>
  <si>
    <t>オンライン診療の診療時間を教えてください</t>
  </si>
  <si>
    <t>オンライン診療は年中無休で診療を行っております。医師とのオンライン診療は11時～18時にご利用いただけます。
診療申し込みやご質問などは24時間受付けておりますので、お気軽にご相談ください。年末年始の休診は公式HPをご確認ください。</t>
  </si>
  <si>
    <t>オンライン診療,診療時間</t>
  </si>
  <si>
    <t>オンライン診療は保険適用ですか？費用はいくらですか？</t>
  </si>
  <si>
    <t>オンライン診療はすべて自費診療となり、保険は適用されません。</t>
  </si>
  <si>
    <t>保険,費用,自費診療</t>
  </si>
  <si>
    <t>診察番号が分かりません/診察番号を教えてください/診察番号はどこで確認できますか？</t>
  </si>
  <si>
    <t>診察番号（患者番号）の確認方法についてご案内します。診察番号はLINEまたは領収書からご確認いただけます。詳しい確認手順はこちらのページをご参照ください。→https://luna-dr.notion.site/f0a26ab231534d8fa9cb069193c411a4</t>
  </si>
  <si>
    <t>オンライン診療｜各種手続き</t>
  </si>
  <si>
    <t>診察番号,確認方法,オンライン診療</t>
  </si>
  <si>
    <t>https://luna-dr.notion.site/f0a26ab231534d8fa9cb069193c411a4</t>
  </si>
  <si>
    <t>オンライン診療ではレシートを発行してもらえますか？</t>
  </si>
  <si>
    <t>オンライン診療の決済確認後、メールアドレスまたはSMS宛に電子レシートを送信することが可能です。ご希望の場合は、オンラインチャットでカウンセラーへご相談ください。</t>
  </si>
  <si>
    <t>オンライン診療｜支払い・書類</t>
  </si>
  <si>
    <t>レシート,電子レシート,支払い</t>
  </si>
  <si>
    <t>オンライン診療では領収書を発行してもらえますか？</t>
  </si>
  <si>
    <t>オンライン診療の決済確認後、PDF形式にて領収書の発行が可能です。オンラインチャットでカウンセラーへご相談ください。</t>
  </si>
  <si>
    <t>領収書,PDF,支払い</t>
  </si>
  <si>
    <t>マイナンバーがなくても受診できますか？</t>
  </si>
  <si>
    <t>マイナンバーカードがない場合のご対応は受診内容や保険診療の有無によって異なります。詳しくはお電話にてお問い合わせください。お電話は 050-1730-2768 となります。オンライン診療の場合は、ご本人様であることが確認できるものであれば、マイナンバー（顔写真付きの身分証明書）でなくてもオンライン診療が可能です。利用できるもの：運転免許証、保険証、パスポート、在留カード 等</t>
  </si>
  <si>
    <t>受診案内・本人確認</t>
  </si>
  <si>
    <t>マイナンバー,本人確認,身分証,受診,来院,オンライン診療,持ち物,受診方法</t>
  </si>
  <si>
    <t>マイナンバーがなくてもオンライン診療は受けられますか？</t>
  </si>
  <si>
    <t>ルナレディースクリニックでは、ご本人様であることが確認できるものであれば、マイナンバー（顔写真付きの身分証明書）でなくてもオンライン診療が可能です。利用できるもの：運転免許証、保険証、パスポート、在留カード 等</t>
  </si>
  <si>
    <t>オンライン診療｜本人確認</t>
  </si>
  <si>
    <t>オンライン診療,本人確認,身分証,マイナンバー,免許証,保険証,パスポート,在留カード</t>
  </si>
  <si>
    <t xml:space="preserve">健康保険証は必要ですか？/保険証はいりますか？/受診に必要な持ち物は？/何を持っていけばいいですか？	</t>
  </si>
  <si>
    <t>受診に必要な持ち物は「来院」か「オンライン診療」かで異なる場合があります。
来院の場合：
・保険証またはマイナンバーカード
・お薬手帳（お持ちの方）
・筆記用具（説明内容をメモしたい方）
オンライン診療の場合の持ち物：
ご本人様であることが確認できるもの　※顔写真付きの身分証明書でなくても可能です
・運転免許証
・マイナンバー
・保険証
・パスポート
・在留カード　等</t>
  </si>
  <si>
    <t>受診案内・持ち物</t>
  </si>
  <si>
    <t>持ち物,受診,本人確認,身分証,オンライン診療,来院,マイナンバー</t>
  </si>
  <si>
    <t>顔写真付きの身分証明書がありませんが、オンライン診療は受けられますか？</t>
  </si>
  <si>
    <t>ご本人様であることが確認できるものであれば、顔写真付きの身分証明書でなくてもオンライン診療が可能です。
- 運転免許証
- マイナンバー
- 保険証
- パスポート
- 在留カード　等</t>
  </si>
  <si>
    <t>身分証,本人確認,オンライン診療</t>
  </si>
  <si>
    <t>マイナンバーカードを忘れた場合は受診できますか？/マイナンバーカードわすれた</t>
  </si>
  <si>
    <t>マイナンバーカードをお忘れの場合のご対応は受診内容や保険診療の有無によって異なります。詳しくはお電話にてお問い合わせください。お電話は 050-1730-2768 となります。</t>
  </si>
  <si>
    <t>マイナンバー忘れ,マイナンバーカード,保険証,10割負担,本人確認,受診可否,電話問い合わせ</t>
  </si>
  <si>
    <t>BMIとは</t>
  </si>
  <si>
    <t>体重（kg）÷｛身長（m）×2乗｝で計算された数字です。
[【こちら】](https://keisan.casio.jp/exec/system/1161228732)のサイトにて自動計算が可能でございます。</t>
  </si>
  <si>
    <t>オンライン診療,BMI,BMI計算</t>
  </si>
  <si>
    <t>オンライン診療で処方されるお薬を教えて下さい/オンライン診療で処方されるお薬と費用を教えてください。</t>
  </si>
  <si>
    <t>診療費は0円です。
低用量ピル（ラベルフィーユ28・ファボワール28）は1シート3,000円〜（定期配送割引あり）です。
月経移動ピル（中用量ピル：プラノバール）は1シート21錠5,000円（別途吐き気止め200円〜）です。
アフターピルは、レボノルゲストレル（72時間以内）12,000円、ウリプリスタル酢酸エステル（120時間以内）14,000円です。
※別途送料500円〜がかかります。
※診療後、処方を希望されない場合は診療代3,000円がかかります。</t>
  </si>
  <si>
    <t>オンライン診療｜料金・薬剤</t>
  </si>
  <si>
    <t>薬の種類,料金,オンライン診療</t>
  </si>
  <si>
    <t>オンライン診療の配送お届け日時についておしえてください/オンライン診療の配送お届け日についておしえてください/いつ配送されますか？</t>
  </si>
  <si>
    <t>【通常配送】
16時までのお支払いで当日発送し、ポスト投函にてお届けします。到着までは最短翌日〜7日程度です。日付・時間指定はできません。
※お急ぎ便をご希望の患者様は、決済完了前にチャットにてカウンセラーへご相談ください。
※定期配送は配送方法の変更ができない為、配送日を早める等で患者様ご自身で調節をお願いいたします。
配送日変更はこちら
https://docs.google.com/forms/d/e/1FAIpQLSe41t1VsvN-rfcwsRSkalz89S2yqQc4zpWrbdcrwPo95Iif-Q/viewform
【お急ぎ便】（別途500円）
16時までにお支払いが完了したご注文は、一部地域を除き翌日に対面受け取りにてお届けいたします。
※日付・時間指定ご希望の患者様は、決済完了前にチャットにてカウンセラーへご相談ください。
アフターピルをご注文の患者様に限り、追加料金なしでご利用いただけます。</t>
  </si>
  <si>
    <t>オンライン診療｜配送</t>
  </si>
  <si>
    <t>配送,梱包,お急ぎ便</t>
  </si>
  <si>
    <t>当院より、ご自宅へ配送いたします。※オンライン診療で処方された薬が対象となります</t>
  </si>
  <si>
    <t>オンライン診療｜受け取り</t>
  </si>
  <si>
    <t>オンライン診療で本人以外の住所で薬を受け取れますか？</t>
  </si>
  <si>
    <t>原則としてご本人様のご自宅でのお受け取りとなりますので、ご了承くださいませ。特別なご事情がある場合、決済前にカウンセラーへご相談ください。</t>
  </si>
  <si>
    <t>本人以外,営業所受け取り</t>
  </si>
  <si>
    <t>オンライン診療でコンビニで薬を受け取ることはできますか？</t>
  </si>
  <si>
    <t>申し訳ありませんが、コンビニでのお受け取りはできません。原則ご自宅への配送とさせていただいております。特別なご事情がある場合は、決済前にカウンセラーへご相談ください。※追加料金が発生する場合がございます。</t>
  </si>
  <si>
    <t>コンビニ受取,配送</t>
  </si>
  <si>
    <t>低用量ピルとはどのような薬ですか？</t>
  </si>
  <si>
    <t>低用量ピルは、毎日1錠服用することで生理周期を安定させるお薬です。避妊を目的とした自費ピル（OC）と、治療目的で保険適用となるLEPがありますが、オンライン診療ではOCのみを取り扱っています。</t>
  </si>
  <si>
    <t>オンライン診療｜ピル基礎知識</t>
  </si>
  <si>
    <t>低用量ピル,OC,LEP</t>
  </si>
  <si>
    <t>低用量ピルのメリットとデメリットを教えてください。</t>
  </si>
  <si>
    <t>低用量ピルのメリットとして避妊・肌荒れ改善・PMS・生理痛緩和などが挙げられます。
デメリットとしては、服用開始時に吐き気やむくみなどが多少気になる方もいらっしゃいます。
また、血栓症のリスクやご本人様またはご家族に乳がんの既往歴がある場合は、服用されていない方に比べリスクが上がります。
服用中は1年に1度、婦人科にて定期健診をお願いいたします。</t>
  </si>
  <si>
    <t>オンライン診療｜ピル</t>
  </si>
  <si>
    <t>メリット,デメリット,副作用</t>
  </si>
  <si>
    <t>ラベルフィーユとファボワールの違い</t>
  </si>
  <si>
    <t>ラベルフィーユは3相性、ファボワールは1相性のお薬です。
ラベルフィーユは避妊、月経痛・生理不順、ファボワールは避妊、ニキビ、肌荒れ、抜け毛、PMSに効果があると言われています。
ピルの種類でご希望がございましたら、問診回答時に記載をお願いいたします。
※医師の判断でご希望に添えない場合がございます。ご了承ください。</t>
  </si>
  <si>
    <t>ピル,種類,ラベルフィーユ,ファボワール,違い</t>
  </si>
  <si>
    <t>低用量ピルの副作用にはどんなものがありますか？</t>
  </si>
  <si>
    <t>低用量ピルには副作用がいくつかあり、特に飲み始めに起こりやすいとされています。
主に、吐き気・頭痛・下腹部痛・乳房の張り・むくみ・眠気・不正出血・下痢などの症状が挙げられます。
どの副作用も飲み続けることで改善されていくことがほとんどのため、無理のない範囲で飲み続けることが大切です。
ですが、3カ月以上低用量ピルの服用を継続しても副作用が軽減されない場合は、ピルが体に合っていない可能性があります。
無理せずに低用量ピルの変更をご検討ください。
変更した場合は、また3カ月のホルモンバランスは1から開始となります。</t>
  </si>
  <si>
    <t>副作用,不正出血,吐き気</t>
  </si>
  <si>
    <t>ピルを飲み始めてPMSが悪化した</t>
  </si>
  <si>
    <t>ピルを飲み始めて最初の頃は、気分の落ち込みや情緒の不安定が出現する事があります。
ピルの内服を3シート継続すると、症状が落ち着く事が多いです。
ピルの飲み始めよりもPMSの症状が強くなっていたり、日常生活に支障をきたしている場合は一度ご相談ください。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t>
  </si>
  <si>
    <t>PMS,情緒不安定</t>
  </si>
  <si>
    <t>低用量ピルは誰でも服用できますか？</t>
  </si>
  <si>
    <t>低用量ピルの処方は、年齢、既往歴、喫煙の有無、BMI、高血圧などの健康状態によって異なります。
オンラインの申し込みをいただき、その内容をもとに医師が処方の可否を判断いたします。</t>
  </si>
  <si>
    <t>服用条件,処方基準</t>
  </si>
  <si>
    <t>ヤーズフレックスなど保険ピルをオンラインで定期購入できますか？</t>
  </si>
  <si>
    <t>保険適用ピル（ヤーズフレックス等）は、オンライン診療や定期配送では処方できません。ご希望の場合はクリニック受診をご検討ください。
受診のご予約はLINEから受け付けております→https://cline-app.com/qr-codes/98ad6f149bfa20f4f2a9a2e91aac4187/preview</t>
  </si>
  <si>
    <t>保険ピル,ヤーズフレックス</t>
  </si>
  <si>
    <t>低用量ピルで月経移動はできますか？</t>
  </si>
  <si>
    <t>3カ月以上低用量ピルを服用している場合は可能です。服用方法によって月経を早める・遅らせる調整ができます。服用歴がない場合は中用量ピルをご提案することがあります。</t>
  </si>
  <si>
    <t>オンライン診療｜月経移動</t>
  </si>
  <si>
    <t>月経移動,ピル</t>
  </si>
  <si>
    <t>生理を早めたいのですが、低用量ピルでできますか？</t>
  </si>
  <si>
    <t>3カ月以上OC（自費）の低用量ピルを継続して服用している場合、生理を早めることが可能です。現在服用中のシートの3列目（15錠目～21錠目）のうち、早めたい日数分（最大7日間）を服用せず、4列目（休薬期間）に進んでください。その後は通常どおり新しいシートの服用を開始します。4列目を内服している間に月経が来ることを想定しています。※7日以上早めたい場合はご相談ください。※使用しなかったピルは破棄してください。</t>
  </si>
  <si>
    <t>生理を早めたい,月経移動,低用量ピル</t>
  </si>
  <si>
    <t>生理を遅らせたいのですが、低用量ピルでできますか？</t>
  </si>
  <si>
    <t>3カ月以上OC（自費）の低用量ピルを継続して服用している場合、生理を遅らせることが可能です。現在服用中のシートを21錠まで服用した後、新しいシートの3列目（15錠目～21錠目）を、生理を避けたい期間が終わるまで服用します。その後、元のシートの4列目（休薬期間）を服用してください。4列目を内服している間に月経が来ることを想定しています。※服用中に少量の出血が起こることがあります。</t>
  </si>
  <si>
    <t>生理を遅らせたい,月経移動,低用量ピル</t>
  </si>
  <si>
    <t>低用量ピルの服用をやめたいのですが、どうすればいいですか？</t>
  </si>
  <si>
    <t>OC（自費）低用量ピルは、シートの途中で服用を中止するとホルモンバランスが乱れ、不正出血や体調変化が起こる可能性があります。ご状況をお伺いし、適切な服用方法や中断方法のご案内が必要になりますので診療をお勧め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t>
  </si>
  <si>
    <t>低用量ピル｜中止・再開</t>
  </si>
  <si>
    <t>低用量ピル,服用中止,やめたい</t>
  </si>
  <si>
    <t>低用量ピルを1日飲み忘れました/ピルを1錠飲み忘れた/昨日のピルを飲み忘れた</t>
  </si>
  <si>
    <t>低用量ピルを1日飲み忘れた場合、服用を中止する必要はありません。飲み忘れに気づいた時点で前日の分を服用し、本日分はいつもの時間に服用してください。本日分を服用する際に前日の飲み忘れに気づいた場合は、その時に2錠まとめて内服してください。自費診療のピル（ラベルフィーユ・ファボワールなど）は、飲み忘れが1日であれば避妊効果への影響はないと言われています。</t>
  </si>
  <si>
    <t>処方・低用量ピル</t>
  </si>
  <si>
    <t>低用量ピル, ピル, 飲み忘れ, 1日, ラベルフィーユ, ファボワール, ヤーズフレックス, 保険, 自費, 避妊, 服用方法</t>
  </si>
  <si>
    <t>低用量ピルを2日〜3日飲み忘れました/ピルを2日以上飲み忘れた/数日ピルを飲んでいなかった</t>
  </si>
  <si>
    <t>低用量ピルを2〜3日飲み忘れた場合は、お手元のピルの種類によって対処法が異なります。【自費診療のピル（ラベルフィーユ・ファボワールなど）】一度内服を中止し、次回の自然な月経が来るのを待ってから月経開始5日以内に再開してください。再開後の最初の1列目は別の避妊方法を併用してください。なお、4列目の偽薬（ホルモン剤が入っていない錠剤）の飲み忘れは追加服用不要です。【保険診療のピル（ヤーズフレックスなど）】気づいた時点で飲み忘れた分の直近の錠剤を内服し、本日分はいつもの時間に内服してその後は通常のスケジュールで続けてください。ホルモンの低下により不正出血が起こる場合がありますが、茶褐色の出血であれば服用を続けることで収まることがほとんどです。鮮血の出血や量が多い場合は現在のシートを中断し、次回月経開始から5日以内に新しいシートの1錠目から再開してください。症状が強い場合は早めにご受診ください。</t>
  </si>
  <si>
    <t>低用量ピル, ピル, 飲み忘れ, 2日, 3日, ラベルフィーユ, ファボワール, ヤーズフレックス, 保険, 自費, 避妊, 不正出血, 偽薬, プラセボ</t>
  </si>
  <si>
    <t>低用量ピルを4日以上飲み忘れました/ピルをずっと飲んでいなかった/長期間ピルを飲み忘れた</t>
  </si>
  <si>
    <t>低用量ピルを4日以上飲み忘れた場合は、医師への確認が必要です。処方された医療機関を受診してご相談ください。</t>
  </si>
  <si>
    <t>低用量ピル, ピル, 飲み忘れ, 4日以上, 長期, ヤーズフレックス, ラベルフィーユ, 保険, 自費, 受診</t>
  </si>
  <si>
    <t>低用量ピルを飲み忘れたときはどうすればいいですか/ピルの飲み忘れ 対処法/ピル 飲み忘れ どうする</t>
  </si>
  <si>
    <t>低用量ピルの飲み忘れ時の対処法は、飲み忘れた日数とピルの種類によって異なります。【1日の飲み忘れ】保険・自費ともに服用を中止する必要はありません。気づいた時点で前日分を服用し、本日分はいつもの時間に服用してください。同時に気づいた場合は2錠まとめて内服してください。自費ピルは飲み忘れ1日であれば避妊効果への影響はないと言われています。【2〜3日の飲み忘れ】自費診療のピル（ラベルフィーユ・ファボワールなど）：一度内服を中止し、次回の自然な月経が来てから5日以内に再開してください。再開後の最初の1列目は別の避妊方法を併用してください。4列目の偽薬の飲み忘れは追加服用不要です。保険診療のピル（ヤーズフレックスなど）：気づいた時点で直近の錠剤を内服し、本日分はいつもの時間に内服してその後は通常スケジュールで続けてください。不正出血が起きることがあります。鮮血・大量出血の場合は現在のシートを中断し、次回月経から5日以内に新シートで再開してください。【4日以上の飲み忘れ】保険・自費ともに医師への確認が必要です。処方された医療機関を受診してご相談ください。</t>
  </si>
  <si>
    <t>低用量ピル, ピル, 飲み忘れ, 1日, 2日, 3日, 4日以上, ラベルフィーユ, ファボワール, ヤーズフレックス, 保険, 自費, 避妊, 不正出血, 偽薬, プラセボ, 服用方法</t>
  </si>
  <si>
    <t>授乳中でも低用量ピルは服用できますか？</t>
  </si>
  <si>
    <t>授乳中は低用量ピルの処方および服用はできません。低用量ピルは母乳分泌を減少させる可能性があるため、授乳中の方には処方しておりません。</t>
  </si>
  <si>
    <t>低用量ピル｜授乳中</t>
  </si>
  <si>
    <t>授乳中,低用量ピル,母乳</t>
  </si>
  <si>
    <t>出産後はいつから低用量ピルを飲めますか？</t>
  </si>
  <si>
    <t>授乳をしていない場合に限り、出産後1か月以降から低用量ピルの服用が可能です。授乳中は処方及び服用は出来かねます。</t>
  </si>
  <si>
    <t>低用量ピル｜出産後</t>
  </si>
  <si>
    <t>出産後,低用量ピル</t>
  </si>
  <si>
    <t>低用量ピル服用中に妊娠の可能性がある場合はどうすればいいですか？</t>
  </si>
  <si>
    <t>妊娠の可能性がある場合は、すぐに低用量ピルの服用を中止してください。性行為から3週間後を目安に妊娠検査薬で確認し、月経予定日になっても月経が来ない場合は再検査してください。</t>
  </si>
  <si>
    <t>低用量ピル｜妊娠</t>
  </si>
  <si>
    <t>妊娠の可能性,低用量ピル</t>
  </si>
  <si>
    <t>低用量ピルはいつから飲み始めればいいですか？</t>
  </si>
  <si>
    <t>低用量ピルは、生理1日目から服用を開始してください（生理開始から5日以内であれば開始可能です）。</t>
  </si>
  <si>
    <t>低用量ピル｜服用開始</t>
  </si>
  <si>
    <t>服用開始,低用量ピル</t>
  </si>
  <si>
    <t>休薬期間中に生理が来ないのですが大丈夫ですか？</t>
  </si>
  <si>
    <t>低用量ピルを服用中でも、飲み忘れなどにより妊娠する可能性はゼロではありません。
また、正しく服用していても、まれに妊娠するケースがあります。
一方で、生理が来ない原因として、ピルの作用で子宮内膜が薄くなっている場合も多く、心配のないケースもあります。
この場合、将来の妊娠に影響することはありません。
休薬期間が終わっても生理が来ない場合は、次のシートを開始する前に妊娠検査薬で陰性を確認してください。
妊娠検査が陽性の場合：ピルを中止し、婦人科を受診してください
陰性の場合：次のシートを開始してよいか、処方医にご確認ください
2シート連続で生理が来ない場合は、検査が陰性でも一度受診をおすすめします。
※妊娠検査薬は、性行為から3週間後以降に使用し、
　月経予定日を過ぎても生理が来ない場合は再検査してください。</t>
  </si>
  <si>
    <t>低用量ピル｜生理</t>
  </si>
  <si>
    <t>休薬期間,生理が来ない</t>
  </si>
  <si>
    <t>低用量ピルを再開したい場合はどうすればいいですか？</t>
  </si>
  <si>
    <t>中断後の再開は、次の生理が始まった日から内服してください。中止と再開を繰り返すと血栓症リスクが高まるため、再開予定がある場合はご相談ください。当院でのご受診をご希望の場合は、ご予約をお取りの上、クリニックにご受診ください。受診のご予約はLINEで受け付けています。LINEはこちら→https://cline-app.com/qr-codes/98ad6f149bfa20f4f2a9a2e91aac4187/preview</t>
  </si>
  <si>
    <t>低用量ピル｜再開</t>
  </si>
  <si>
    <t>低用量ピル,再開方法</t>
  </si>
  <si>
    <t>低用量ピル服用中に不正出血があります</t>
  </si>
  <si>
    <t>低用量ピル服用中による不正出血は「ブレイクスルー出血」と言います。
ピルの飲み忘れや服用開始直後にホルモンバランスが変化することで多く見られます。
ピルの種類が体に合わない場合や、炎症や感染症なども考えられますので、飲み忘れ・服用開始直後でない場合は婦人科をご受診ください。
また、不正出血は妊娠の可能性が否定できないため、ピルの内服を継続しつつ必ず妊娠検査薬を使用してください。
妊娠陽性の場合はピルの内服を中止してください。
なお、1年以内に婦人科検診を受けていなければ、焦らずに受診をお勧めいたします。
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
※妊娠検査薬
性行為から3週間後に検査薬にて検査いただき、この時点では妊娠をしていても、陰性の可能性がございますので月経予定日になっても月経が来なければ再検査をお願いいたします。</t>
  </si>
  <si>
    <t>低用量ピル｜副作用</t>
  </si>
  <si>
    <t>不正出血,低用量ピル</t>
  </si>
  <si>
    <t>低用量ピルの避妊効果はどれくらいありますか？</t>
  </si>
  <si>
    <t>OC（自費）低用量ピルの避妊効果は約99.7％とされています。初回使用時は服用開始から8日目以降に効果が現れ、継続服用することで高い避妊効果が維持されます。</t>
  </si>
  <si>
    <t>低用量ピル｜避妊</t>
  </si>
  <si>
    <t>避妊効果,低用量ピル</t>
  </si>
  <si>
    <t>偽薬期間中も避妊効果はありますか？</t>
  </si>
  <si>
    <t>OC（自費）低用量ピルは避妊効果が99.7％といわれており、ほかの避妊方法と比べて高いです。
低用量ピルを初めて利用する場合は、服用開始から8日目ごろから避妊効果が現れ、
次の生理周期以降も服用を継続すれば、2シート目の初日から避妊効果を
得られるようになります。
低用量ピルは正しく飲みさえすれば、失敗する率が限りなく低い避妊法です。</t>
  </si>
  <si>
    <t>偽薬期間,避妊効果</t>
  </si>
  <si>
    <t>通販や個人輸入のピルでも避妊できますか？</t>
  </si>
  <si>
    <t>海外のピルには、とても安いものもあり、魅力的に見えるかもしれません。
しかし実際は、有効成分が含まれていないニセ薬の可能性もあり、危険です。本物と信じて服用し、妊娠してからニセ薬だと気が付くことも起こり得ます。
また、年齢や既往歴、家族歴などによっては、血栓症のリスクが上がったり、
持病が悪化したりする可能性があり、ピルの服用が適さない人もいます。
そのため、先に必ず医師の診察を受け、ピルを服用しても問題ないかどうか判断してもらうことが重要です。</t>
  </si>
  <si>
    <t>低用量ピル｜注意事項</t>
  </si>
  <si>
    <t>個人輸入,ピル</t>
  </si>
  <si>
    <t>低用量ピルをやめた後、どれくらいで元に戻りますか？</t>
  </si>
  <si>
    <t>服用中止して3～4か月でだいたいはピルを服用前の状態に身体はなると言われ、長期的に服用をしていたからといって
妊娠の可能性に影響することはないと言われております。</t>
  </si>
  <si>
    <t>低用量ピル｜中止後</t>
  </si>
  <si>
    <t>服用中止,妊娠</t>
  </si>
  <si>
    <t>低用量ピルと肝臓機能の数値は関係がありますか？</t>
  </si>
  <si>
    <t>低用量ピルを長期間飲み続けると、肝臓がんや肝障害の原因になることがあります。
ただし、薬は肝臓で分解されるものが多いため、低用量ピルに限らず、何かしらの薬を長期間飲み続けることで、
副作用として肝障害が起こることはあります。
また、もともと肝臓に障害や腫瘍（しゅよう）があると、薬を代謝する機能が低下しているため、
低用量ピルを飲むことで肝臓への負担が大きくなります。この場合、低用量ピルによって肝臓の症状が悪化することがあります。
異変を感じたら、かかりつけ医にご相談ください。
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t>
  </si>
  <si>
    <t>低用量ピルとカンジダは関係がありますか？</t>
  </si>
  <si>
    <t xml:space="preserve">低用量ピルにはエストロゲン、プロゲステロンのホルモンがあります。その中でもエストロゲンがタンパク質と結びつき、カンジダになりやすいと言われております。
乳酸桿菌を用いて膣内環境を整えることで、繰り返し起こるカンジダを予防することが可能でございます。乳酸桿菌の定期配送は以下のURLよりご購入が可能です。ご検討ください。
https://shop.luna-dr.com/products/lactobacillus </t>
  </si>
  <si>
    <t>低用量ピル｜感染症</t>
  </si>
  <si>
    <t>カンジダ,低用量ピル</t>
  </si>
  <si>
    <t>低用量ピル服用中にお酒を飲んでも大丈夫ですか？</t>
  </si>
  <si>
    <t>低用量ピル服用中にお酒を飲むことでお薬の効果に影響が出ることはありませんので、ご安心ください。</t>
  </si>
  <si>
    <t>低用量ピル｜生活習慣</t>
  </si>
  <si>
    <t>飲酒,低用量ピル</t>
  </si>
  <si>
    <t>低用量ピルで生理を止めることはできますか？</t>
  </si>
  <si>
    <t>低用量ピルを使用し完全に生理を止めることはできません。
PMSが重い、スポーツを行っているなどやむを得ない事情がある方については、医師の判断で生理の回数を減らすことが可能な場合もございます。
オンライン診療で処方は出来かねるため、クリニックにご受診しご相談ください。</t>
  </si>
  <si>
    <t>生理を止めたい,PMS</t>
  </si>
  <si>
    <t>低用量ピルは何時間くらいの飲み時間のズレまで大丈夫ですか？</t>
  </si>
  <si>
    <t>低用量ピルは毎日同じ時間に服用することが理想ですが、2～3時間程度のズレであれば避妊効果に大きな影響はありません。大きくずれた場合は、1週間は他の避妊方法を併用してください。</t>
  </si>
  <si>
    <t>服用時間,飲み忘れ</t>
  </si>
  <si>
    <t>インフルエンザの薬とピルは一緒に飲めますか？</t>
  </si>
  <si>
    <t>抗ウイルス薬であれば、低用量ピルと併用しても問題ないとされています。ただし、体調不良で飲食が難しい場合は、一時的にピルを中断しても問題ありません。</t>
  </si>
  <si>
    <t>併用薬,インフルエンザ</t>
  </si>
  <si>
    <t>低用量ピルを飲んだ後に吐いてしまいました。どうすればいいですか？</t>
  </si>
  <si>
    <t>服用後2時間以内に嘔吐した場合は、十分な効果が得られない可能性がありますのでご相談ください。2時間以上経過していれば問題ないことが多いですが、不安な場合は別の避妊方法を併用してください。</t>
  </si>
  <si>
    <t>嘔吐,副作用</t>
  </si>
  <si>
    <t>他院で処方されたピルについて相談できますか？</t>
  </si>
  <si>
    <r>
      <rPr/>
      <t xml:space="preserve">他院で処方されていたピルの継続処方は可能です。ただし、当院で取り扱いのないピルもございますので、まず当院で取り扱っているピルをご確認ください【保険ピル（来院診療のみ）】ヤーズフレックス配合錠・アリッサ・ルナベル配合錠LD・フリウェル配合錠LD・ルナベル配合錠ULD・フリウェル配合錠ULD・ヤーズ配合錠・ドロエチ配合錠・ジェミーナ配合錠 ※保険ピルの料金は保険診療の内容により異なるため、事前にお伝えすることができません。【自費ピル】ファボワール21錠/28錠 1シート3,000円・ラベルフィーユ21錠/28錠 1シート3,000円・スリンダ（ミニピル）28錠 1シート3,300円（来院のみ）【アフターピル】レボノルゲストレル1.5mg 15,000円・エラワン（ウリプリスタル酢酸エステル）/Josei 17,000円【オンライン診療で処方可能なピル】ラベルフィーユ28・ファボワール28・プラノバール21錠・エラワン（ウリプリスタル酢酸エステル）・レボノルゲストレル ※マーベロン・アンジュ・トリキュラーは取り扱いがございません。ご希望のピルがございましたら「ピル処方」のメニューでご予約ください。→https://cline-app.com/qr-codes/98ad6f149bfa20f4f2a9a2e91aac4187/preview　オンライン診療はこちらのLINEからご予約ください。
</t>
    </r>
    <r>
      <rPr>
        <color rgb="FF1155CC"/>
        <u/>
      </rPr>
      <t>https://liff-gateway.lineml.jp/landing?follow=%40590gpxrd&amp;lp=rJHUjK&amp;liff_id=1657094566-LmjNPPbV</t>
    </r>
  </si>
  <si>
    <t>他院処方</t>
  </si>
  <si>
    <t>ヤーズフレックスの休薬期間に生理が来ません。</t>
  </si>
  <si>
    <t>ヤーズフレックスの休薬期間に生理がこない考えられる2つの理由は、妊娠しているか、一時的に子宮内膜が薄くなっていることが考えられます。
妊娠検査薬にて妊娠の有無を確認いただき、陰性の場合はかかりつけ医にご相談ください。
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
※妊娠検査薬
性行為から3週間後に検査薬にて検査いただき、この時点では妊娠をしていても
陰性の可能性がございますので月経予定日になっても
月経が来なければ再検査をお願いいたします。</t>
  </si>
  <si>
    <t>保険ピル</t>
  </si>
  <si>
    <t>ヤーズフレックス,休薬期間</t>
  </si>
  <si>
    <t>生理を移動させると副作用はありますか？</t>
  </si>
  <si>
    <t>ピルは医薬品なので、個人差はありますが副作用が出る場合があります。
具体的には、吐き気や嘔吐、頭痛や眠気、だるさといった症状です。
また、低用量ピルよりも中用量ピルのほうが含まれる女性ホルモンの量が多いため、
副作用が強く出る可能性があります。ただし中用量ピルを服用する場合であっても、
10日程度の移動であれば体への影響はほとんどないとされています。</t>
  </si>
  <si>
    <t>副作用,中用量ピル</t>
  </si>
  <si>
    <t>低用量ピルを飲み忘れた場合、アフターピルは必要ですか？</t>
  </si>
  <si>
    <t>低用量ピルのを時間通り服用出来ていない・飲み始め7日以内等、低用量ピルを服用している患者様でも避妊効果が低いため、あわせてアフターピルの服用をおすすめいたします。アフターピルはオンライン診療ではご自宅にお届けが可能でございます。</t>
  </si>
  <si>
    <t>飲み忘れ,緊急避妊</t>
  </si>
  <si>
    <t>アフターピル服用後、低用量ピルはいつから再開できますか？</t>
  </si>
  <si>
    <t>アフターピル（緊急避妊薬）を服用した後、低用量ピルの服用を開始するタイミングについてはアフターピルの種類によって変わります。
・レボノルゲストレル：アフターピルを服用した翌日から低用量ピルを開始しても問題はありません。
・ウリプリスタール酢酸：アフターピルの影響で低用量ピルの効果が減少する可能性があるため、アフターピルを服用してから、5日間は低用量ピルを開始しないことが推奨されています。
状況により異なるため、最適な服用開始時期については、低用量ピル処方医師にご確認ください。</t>
  </si>
  <si>
    <t>再開時期</t>
  </si>
  <si>
    <t>中用量ピルとは何ですか？/プラノバールとは</t>
  </si>
  <si>
    <t>中用量ピルとは、一時的に服用することで、生理開始日を早めたり遅らせたりすることができます。
低用量ピルの違いは、エストロゲンの配合量が中用量ピルの方が多く含まれるため、頭痛や吐き気、血栓症などの副作用が低用量ピルよりも強く出ます。
吐き気止めの同時処方も可能でございます。</t>
  </si>
  <si>
    <t>中用量ピル,中用量,プラノバール</t>
  </si>
  <si>
    <t>中用量ピルの料金はいくらですか？/プラノバールの料金はいくらですか？/プラノバールの処方は可能ですか</t>
  </si>
  <si>
    <t>プラノバール21錠入りは5,000円です。オンライン診療の場合、別途送料500円がかかります。</t>
  </si>
  <si>
    <t>料金,プラノバール,中用量ピル,中用量</t>
  </si>
  <si>
    <t>月経移動で「早める方法」と「遅らせる方法」はどう違いますか？</t>
  </si>
  <si>
    <t>月経移動には「早める方法」と「遅らせる方法」があります。早める方法は、生理を避けたい期間の1つ前の生理開始5日目から中用量ピルを服用し、約2週間後に生理を起こす方法です。避けたい期間中はピルを服用せずに過ごせます。遅らせる方法は、生理予定日の5日前から中用量ピルを服用し、生理を避けたい期間の後に生理が来るように調整します。遅らせる方法は比較的直前の相談にも対応できる場合があります。</t>
  </si>
  <si>
    <t>早める,遅らせる,方法</t>
  </si>
  <si>
    <t>月経移動後、生理が重くなりました。大丈夫ですか？</t>
  </si>
  <si>
    <t>月経を遅らせた場合、普段より月経量が多くなったり月経痛が強くなる可能性があります。
現在症状が落ち着いているのであれば様子を見てください。
オンライン相談では子宮筋腫や他の病気が潜んでるか分かりかねるため、婦人科にて検診をおすすめいたします。
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t>
  </si>
  <si>
    <t>生理が重い,月経量,生理痛</t>
  </si>
  <si>
    <t>中用量ピルを飲んだ後、吐き気があります。/プラノバールを飲んだ後に、吐き気があります。</t>
  </si>
  <si>
    <t>中用量ピル（プラノバール）の副作用として吐き気が出ることがあります。服用を続けてホルモンバランスが安定すると、次第に治まることが多いです。吐き気がつらい場合は、処方された吐き気止めや市販薬を使用してください。
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t>
  </si>
  <si>
    <t>プラノバール,吐き気,副作用</t>
  </si>
  <si>
    <t>中用量ピルを使って妊娠しやすくできますか？/プラノバールを使って妊娠しやすくできますか？</t>
  </si>
  <si>
    <t>プラノバールは服用方法を調整することで、月経移動だけでなく妊娠しやすい状態を作る目的で使用されることもあります。ただし、当院では不妊治療は行っていないため、詳しくはお近くの婦人科へご相談ください。</t>
  </si>
  <si>
    <t>プラノバール,妊娠</t>
  </si>
  <si>
    <t>中用量ピル（プラノバール）を飲むとき、吐き気止めは一緒に飲んだ方がいいですか？</t>
  </si>
  <si>
    <t>プラノバールを服用したすべての方に吐き気が出るわけではありませんが、比較的起こりやすい副作用です。ご希望があれば、吐き気止めを一緒に処方することが可能です。副作用の出方には個人差があります。</t>
  </si>
  <si>
    <t>吐き気止め,プラノバール</t>
  </si>
  <si>
    <t>月経移動の服用期間はどれくらいですか？</t>
  </si>
  <si>
    <t>月経移動に必要な服用期間は、患者さまの生理周期やご希望の日程によって異なります。詳しい服用期間は診察時に個別にご案内します。</t>
  </si>
  <si>
    <t>服用期間,個別対応</t>
  </si>
  <si>
    <t>服用開始がギリギリでも月経移動はできますか？</t>
  </si>
  <si>
    <t>服用開始日を過ぎてからの月経移動は、成功を保証できませんが、出血量を減らせる可能性はあります。状況によっては処方が難しい場合もあるため、月経移動の問診からお申し込みのうえご相談ください。</t>
  </si>
  <si>
    <t>ギリギリ,服用開始</t>
  </si>
  <si>
    <t>アフターピルの種類を教えて下さい/アフターピルの料金を教えてください。</t>
  </si>
  <si>
    <t>当院では2種類のアフターピルを取り扱っています。
・120時間以内用：ウリプリスタル酢酸エステル（エラワン・Josei）15,000円（税込）
・72時間以内用：レボノルゲストレル 12,000円（税込）
配送が必要なため、基本的には120時間用をご案内しています。早く服用するほど避妊効果は高まります。自費診療となるため、診察料・初診料はかかりません。</t>
  </si>
  <si>
    <t>種類,料金</t>
  </si>
  <si>
    <t>なぜアフターピルは保険適用されないのですか？</t>
  </si>
  <si>
    <t>健康保険は「病気やケガの治療」を対象としているため、妊娠を予防する目的のアフターピルは保険適用外となります。妊娠や出産は病気とはみなされないため、保険診療の対象外とされています。</t>
  </si>
  <si>
    <t>保険適用外,理由</t>
  </si>
  <si>
    <t>アフターピル（緊急避妊薬）とは何ですか？</t>
  </si>
  <si>
    <t>アフターピル（緊急避妊薬）とは、妊娠の可能性のある性行為の後からでも避妊効果を得られるピルです。
低用量ピルの服用を忘れた場合や、中だしをされてしまったとき、
コンドームが破損していた場合、さらに性被害による望まない妊娠・中絶を避ける目的で
使われます。
性交後、72時間（3日）または120時間（5日）以内にアフターピルを服用すると、
約80％の確率で妊娠を防げます。
性交後からアフターピルの服用が早いほど妊娠しない確率が上がるため、
妊娠を望まないときは速やかにご相談ください。</t>
  </si>
  <si>
    <t>緊急避妊,効果</t>
  </si>
  <si>
    <t>アフターピルを飲んだ後に吐いてしまった場合はどうすればいいですか？</t>
  </si>
  <si>
    <t>アフターピル服用２時間以内に嘔吐した場合は効果が十分に発揮されない為、再度内服をお勧めいたします。
オンライン診療ではアフターピル処方時に無料で吐き気止めをお付けしております。</t>
  </si>
  <si>
    <t>嘔吐,対処</t>
  </si>
  <si>
    <t>アフターピル服用後の生理は、一般的に約7日後に起こることが多いですが、早い方で3日後、遅い場合は次の生理まで来ないこともあります。3週間以内に生理のような出血があれば、避妊に成功した目安となります。</t>
  </si>
  <si>
    <t>生理,いつ来る</t>
  </si>
  <si>
    <t>アフターピルの事前処方は可能ですか？</t>
  </si>
  <si>
    <t>使用する予定がある場合や、お近くに婦人科がなくすぐに受診が難しい場合などは、医師の判断によりアフターピルの事前処方が可能な場合があります。ご希望がございましたら、お気軽にご相談ください。</t>
  </si>
  <si>
    <t>事前処方,予備</t>
  </si>
  <si>
    <t>アフターピルを服用した方が良いか迷っています。</t>
  </si>
  <si>
    <t>避妊の失敗やご不安がある場合は、性行為から120時間（5日）以内に、最も早めにアフターピルの服用を検討してください。 
すでに120時間を経過している場合は、妊娠検査薬で妊娠の有無をご確認ください。
望まない妊娠は、金銭面や精神的にも大きな負担となる可能性がありますので、早めの対応をおすすめします。</t>
  </si>
  <si>
    <t>服用判断,不安</t>
  </si>
  <si>
    <t>妊娠していないのに39日以上生理が来ません/生理周期が長くて心配です。</t>
  </si>
  <si>
    <t>稀発（きはつ）月経とは、前の生理から39日以上たっても生理が始まらない状態をいいます。
症状は、突然起こったり、徐々に起こることがあり、間に正常な周期を挟むなど、さまざまです。
主な原因はホルモンバランスが崩れることですが、
病気（多嚢胞性卵巣症候群や下垂体腺腫、先天性副腎過形成症など）と関連していることもあります。
稀発月経では、生理周期の状況を把握することが大切です。
39日以上の生理周期であったとしても、規則正しく月経が訪れている場合は、問題ないこともあります。
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t>
  </si>
  <si>
    <t>稀発月経,周期</t>
  </si>
  <si>
    <t>前回の生理から24日以内にまた生理が来ました/生理周期が短くて心配です。</t>
  </si>
  <si>
    <t>頻発（ひんぱつ）月経とは、前の生理から24日以内に生理が始まる、生理周期が短い状態のことです。
生理周期が短いということで、頻発月経（月経周期が23日以下ということは排卵がない）
または無排卵か、あっても質の良い排卵ではない（黄体機能不全）の可能性があります。
不正出血との鑑別が難しいことがあるため、原則として基礎体温を参考にして診断します。
治療方法については、年齢や貧血の有無、妊娠希望があるかどうかなど、
その方の状況によって異なります。
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t>
  </si>
  <si>
    <t>頻発月経,周期</t>
  </si>
  <si>
    <t>生理が8日以上続いています。受診した方が良いですか？/生理が長く続いていて、心配</t>
  </si>
  <si>
    <t>過長月経とは、月経期間が8日以上続く状態です。
ホルモンバランスの乱れや子宮の病気が原因と考えられます。
女性ホルモンの分泌に関係する器官（視床下部、脳下垂体、卵巣など）に何らかの
トラブルがあって無排卵周期になっていたり、または黄体ホルモンの
分泌が不十分なために黄体機能不全になっていたりする可能性があります。
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t>
  </si>
  <si>
    <t>過長月経,出血</t>
  </si>
  <si>
    <t>生理が2日で終わってしまい心配です。/生理がすく終わる</t>
  </si>
  <si>
    <t>過短月経は、2日以内に生理が終わってしまう状態です。
初潮を迎えたばかりの方や、更年期にはよくある症状なので心配ないケースが多いです。
しかし、いきなり生理の期間が短くなったり、成人を過ぎたのに生理期間が短い場合は、医師に相談しましょう。
原因は大きく分けて2つあります。
1つ目は機能性疾患で、ホルモンバランスが乱れるケースです。ストレスや無理なダイエット、過度な運動などでホルモンバランスが崩れる場合があります。
2つ目は器質性疾患です。器質性疾患とは、細胞や組織が何らかの原因で変化を受けた結果、症状として現れることをいいます。
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t>
  </si>
  <si>
    <t>過短月経,生理期間</t>
  </si>
  <si>
    <t>生理の量が多い/血の塊が出ます。</t>
  </si>
  <si>
    <t>出血量の目安として150ml以上の場合を指します。
昼でも夜用ナプキンを利用していたり、レバーのような血の塊が混ざったりすると過多月経の可能性があります。
原因は大きく分けて3つあります：
1つ目は、婦人科器質性疾患です。子宮筋腫・子宮腺筋症・子宮内膜ポリープ・子宮内膜増殖症などが代表的ですが、
子宮体がんや子宮頸がんのケースもあります。
2つ目は婦人科機能性疾患です。黄体機能不全・無排卵性周期症などから、過多月経になることもあります。
3つ目は内科的疾患です。血液の止血凝固機能の異常が原因で、過多月経を引き起こすこともあります。
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t>
  </si>
  <si>
    <t>過多月経,血の塊</t>
  </si>
  <si>
    <t>生理の量がとても少なく心配です。/生理の血の量が少ない</t>
  </si>
  <si>
    <t>過少月経とは、生理の出血量が20ml以下の場合をいいます。
生理開始2日目以内なのに、ナプキンに血がうっすらとしか付かなかったり、
おりものシートで間に合うようであれば、過少月経の可能性があります。
生理開始から3日目以降は出血量が減るのは、特に問題ありません。
生理の量が少ない原因は、大きく分けて2つです：
1つ目は、ホルモンバランスの乱れなどの内分泌系疾患です。高プロラクチン血症・黄体機能不全・無排卵周期症・甲状腺機能異常などが
原因で、これらの病気に合わせた治療が行われます。
2つ目は、器質性疾患です。子宮形態異常や子宮内腔癒着、子宮発育不全など、子宮の形状になんらかの異常が
あることが原因になるケースもあります。
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t>
  </si>
  <si>
    <t>過少月経,出血量</t>
  </si>
  <si>
    <t>3か月以上生理が来ていません。</t>
  </si>
  <si>
    <t>無月経とは、生理（月経）が3か月以上来ない状態です。
初潮を迎える前・妊娠中・授乳中・閉経後の無月経は正常ですが、それ以外は注意が必要です。
無月経の場合は、排卵されていないことが多く、妊娠ができません。
主な原因は、視床下部の機能不全・多嚢胞性卵巣症候群・甲状腺の機能不全・
高プロラクチン血症・早期閉経・薬剤の副作用などです。
まれに遺伝子性の疾患や先天異常がありますが、これは18歳以上になっても
生理がきたことがない方の原因です。
原因に合わせてホルモン療法などを行いますのでお早めに婦人科のご受診をおすすめいたします。
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t>
  </si>
  <si>
    <t>無月経</t>
  </si>
  <si>
    <t>他院で処方された薬について質問しても良いですか？</t>
  </si>
  <si>
    <t>大変申し訳ございません。
当院で処方していないお薬についてはお答えが出来かねます。
かかりつけ医にご相談ください。</t>
  </si>
  <si>
    <t>その他</t>
  </si>
  <si>
    <t>オンライン診療では薬の副作用について説明はありますか？</t>
  </si>
  <si>
    <t>お薬の郵送時に、副作用についての説明用紙を同封しております。事前に不安な点がある場合は、お気軽にお問い合わせください。</t>
  </si>
  <si>
    <t>服薬</t>
  </si>
  <si>
    <t>副作用</t>
  </si>
  <si>
    <t>生理不順の原因は何ですか？</t>
  </si>
  <si>
    <t>生理不順の最も多い原因は、ホルモンバランスの乱れです。
ホルモンバランスが乱れる原因は、生活習慣によるものもありますが、病気が隠れている場合もあります。
主な原因はストレス・疲労・生活習慣の乱れ、急激なダイエット（体重減少）・激しい運動、更年期、多嚢胞性卵巣症候群（PCOS）、
高プロラクチン血症、甲状腺機能障害、黄体機能不全、機能性子宮出血が考えられます。
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t>
  </si>
  <si>
    <t>原因</t>
  </si>
  <si>
    <t>妊娠検査薬はいつ使えばよいですか？/クリニックで妊娠検査はできますか？</t>
  </si>
  <si>
    <t>妊娠検査薬の使用は性行為から3週間後に検査薬にて検査いただき、この時点では妊娠していても
陰性の可能性がございますので、月経予定日になっても
月経が来なければ再検査をお願いいたします。
当院では2000円でその場でわかる妊娠検査のご利用が可能です。</t>
  </si>
  <si>
    <t>検査時期</t>
  </si>
  <si>
    <t>服用している薬の影響で妊娠検査薬が陽性になることはありますか？</t>
  </si>
  <si>
    <t>妊娠検査薬は基本的に服用しているお薬に影響はないと言われております。
陽性の反応が確認取れましたら、すぐに婦人科のご受診をお願い致します。</t>
  </si>
  <si>
    <t>偽陽性</t>
  </si>
  <si>
    <t>妊娠していないのに妊娠検査薬が陽性になる原因は何ですか？/妊娠していないのに妊娠検査薬が陽性</t>
  </si>
  <si>
    <t>妊娠検査薬で陽性が出ても妊娠していなかった場合、考えられるのは、化学流産や、尿の異常値、腫瘍などがあります。
妊娠を希望されている場合は、一度、不妊治療専門のクリニックでご相談いただくことをおすすめいたします。</t>
  </si>
  <si>
    <t>陽性反応</t>
  </si>
  <si>
    <t>生理不順で婦人科を受診する目安はいつですか？</t>
  </si>
  <si>
    <t>以下が期間ごとの目安となります。
■生理が1週間遅れている
妊娠の可能性が考えられる場合は、市販の妊娠検査薬を使用するとよいでしょう。
妊娠検査薬で陽性の場合は、妊娠している可能性があります。妊娠を望んでいるか、望んでいないかにかかわらず早めに受診しましょう。
妊娠の可能性がない、または妊娠検査薬で陰性だった場合は、生理不順にあたります。続くようでしたら受診しましょう。
※妊娠検査薬は、性行為から3週間後に検査薬にて検査いただき、この時点では妊娠していても陰性の可能性がございますので、月経予定日になっても
月経が来なければ再検査をお願いいたします。
■3カ月以上生理が来ない
3カ月以上生理が来ていないときは、正常に排卵が行われていない可能性があります。半年以上生理が来ていない場合は、
ホルモンの分泌に異常があることもございます。
■20歳以上で生理がいつも不規則
生理周期が安定せず、いつも生理不順の場合は受診しましょう。10代や40代半ば～後半は、問題ないことが多いのですが、
それ以外の方は原因を把握するためにも受診してください。
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t>
  </si>
  <si>
    <t>受診目安</t>
  </si>
  <si>
    <t>多嚢胞性卵巣症候群（PCOS）の治療はできますか？</t>
  </si>
  <si>
    <t>多嚢胞性卵巣症候群は体質です。この体質そのものを変えることは難しいので、治療の目的は、将来の子宮体癌を
予防することと、ニキビや多毛があればそれを改善することになります。
ピルを内服することにより、生理不順の改善、ニキビの改善、子宮体癌予防、避妊が可能になります。
もし妊娠を希望されるのであれば、ピルをやめて排卵誘発剤の治療となります。
どちらにせよ、根本的な完治はいまのところ治療法として確立されていません。
また、肥満の場合は減量も改善するため大きな要素となります。</t>
  </si>
  <si>
    <t>PCOS</t>
  </si>
  <si>
    <t>生理をなくすことはできますか？</t>
  </si>
  <si>
    <t>完全に生理をなくすことはできかねますが、フレックス法という方法でピルを服用することで
月経の回数を減らすことが可能でございます。
オンラインでのご案内ができないため、当院での診察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t>
  </si>
  <si>
    <t>月経調整</t>
  </si>
  <si>
    <t>生理を止めたい</t>
  </si>
  <si>
    <t>産後はいつから生理が再開しますか？</t>
  </si>
  <si>
    <t>一般的に、はじめから授乳をしていない場合、産後4～8週間後に生理が始まりますが、完全または混合母乳の場合はさらに遅れて再開します。
授乳の頻度が高く、授乳期間が長いほど生理の再開は遅れます。
卒乳後は約6週間で生理が再開することが多いようですが、授乳を続けている場合には
半年以上再開しないことも少なくありません。</t>
  </si>
  <si>
    <t>産後</t>
  </si>
  <si>
    <t>生理再開</t>
  </si>
  <si>
    <t>生理痛やPMSがつらいです。</t>
  </si>
  <si>
    <t>生理痛や生理前の不快な症状（PMS）は「低用量ピル」で緩和されることが多くございます。
当院ではオンライン診療で相談ができますので、ぜひご検討ください。こちらのオンライン診療のLINE（https://liff-gateway.lineml.jp/landing?follow=%40590gpxrd&amp;lp=fX73yx&amp;liff_id=1657094566-LmjNPPbV）からオンライン診療のご予約が可能です。ご予約をされる場合は、オンライン診療の「低用量ピル」問診票へのご回答をお願いします。</t>
  </si>
  <si>
    <t>生理症状</t>
  </si>
  <si>
    <t>生理痛,PMS</t>
  </si>
  <si>
    <t>生理不順はどうしたらよいですか？</t>
  </si>
  <si>
    <t>妊娠反応が陰性で、妊活の予定がない場合は、低用量ピルの服用を検討されるとよい場合があります。低用量ピルは生理不順の改善や生理予定日の管理がしやすくなることが多いです。服用可否は医師の判断となるため、オンライン診療をご検討くださいませ。オンライン診療はLINEからご利用いただけます。こちらのオンライン診療のLINE（https://liff-gateway.lineml.jp/landing?follow=%40590gpxrd&amp;lp=fX73yx&amp;liff_id=1657094566-LmjNPPbV）から、オンライン診療の「低用量ピル」問診票へのご回答をお願いします。</t>
  </si>
  <si>
    <t>生理不順,低用量ピル</t>
  </si>
  <si>
    <t>不正出血が起きた場合はどうしたらよいですか？</t>
  </si>
  <si>
    <t>不正出血の原因は、ホルモンバランスの乱れ、妊娠の可能性、子宮や卵巣の病気、性感染症、外傷や炎症などさまざまです。下腹部の痛みや出血がある場合、症状の内容によって受診可否やご案内が異なります。個別の確認が必要となるため、恐れ入りますがお電話にてご相談ください。お電話は 050-1730-2768 となります。</t>
  </si>
  <si>
    <t>不正出血,原因</t>
  </si>
  <si>
    <t>妊活や不妊治療を希望しています。</t>
  </si>
  <si>
    <t>申し訳ございませんが、当院では妊活・不妊治療の診療は行っておりません。お近くの婦人科や不妊治療専門クリニックへご相談ください。</t>
  </si>
  <si>
    <t>妊活・不妊</t>
  </si>
  <si>
    <t>不妊治療</t>
  </si>
  <si>
    <t>膀胱炎になった場合はどうしたらよいですか？/膀胱炎の診察はできますか？/膀胱炎は診てもらえますか？/膀胱炎で受診したい</t>
  </si>
  <si>
    <t>軽度の膀胱炎であれば、水分をよく取っていると洗い流されて改善します。
水分摂取をよく取って解消しない場合には、検査と治療をおすすめします。
原因は、肛門と尿道口の間に膣があり、腟内に善玉菌がいると、腟内が酸性に保たれ、尿道へ菌が上がってきます。
乳酸桿菌膣剤の定期使用で、膀胱炎の再発予防という方法もあります。
乳酸桿菌のご購入は以下のURLより可能です。ご検討下さい。
https://shop.luna-dr.com/products/lactobacillus 
オンラインにて膀胱炎の検査・治療はできかねます。治療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また、繰り返す膀胱炎や血尿の症状がある場合は、泌尿器科への受診をお願いいたします。</t>
  </si>
  <si>
    <t>膀胱炎</t>
  </si>
  <si>
    <t>膀胱炎,頻尿</t>
  </si>
  <si>
    <t>オンラインで紹介状を発行してもらえますか？</t>
  </si>
  <si>
    <t>オンラインでの紹介状発行は行っておりません。お手数ですが、ご予約の上、クリニックにご受診ください。</t>
  </si>
  <si>
    <t>紹介状</t>
  </si>
  <si>
    <t>中絶手術について教えてください。</t>
  </si>
  <si>
    <t>中絶手術には大きく分けて初期中絶と中期中絶があります。初期中絶は大きく分けて吸引法とソウハ法（掻き出す方法）があり、どちらも日帰りで手術が可能です。中期中絶は人工的な陣痛を起こし、痛みや入院が必要になる手術方法に分けられます。
当院にて行っている吸引法は、ストロー状の医療器具を用いて子宮内から胎児や胎盤などを吸い出す手術方法です。
メリットは前処置が不要、麻酔が使える、痛みが少ない、出血が少ない、手術時間が短い（日帰りで可能）で、安全性が高いです。
デメリットとしては、電動の器具を使った場合に生じる感染症のリスクがあります。
当クリニックでは、感染症のリスクが極めて低い「手動真空吸引法」を用いています。
手動真空吸引法は、滅菌された使い切りの製品を使用するため、ご安心して手術が可能でございます。</t>
  </si>
  <si>
    <t>中絶</t>
  </si>
  <si>
    <t>妊娠の可能性があり、中絶を希望しています。</t>
  </si>
  <si>
    <t>妊娠の可能性があり、中絶を希望ということでしたら、市販薬で構いませんので妊娠検査をして確認をしてください。
薬局などで1000円程度で売っているかと思います。
性行為から二週間たっていれば検査可能です。
そこで陰性であればピルの服用を再開するなど今後の対応を考えていただければと思います。
もし陽性であった場合、婦人科でのエコー検査を受けていただき、エコー検査でおおよその週数を確認し継続か中絶か、医師とお話しいただく形になります。
中絶は段階があり
初期中絶（初期流産）：妊娠6〜12週目未満（11週と6日）
中期中絶（後期流産）：12〜22週目未満（21週と6日）
週数を確認し初期中絶が可能な場合の費用は、当院ではエコー検査・採血検査をし手術日ご予約の段階で16,500円、手術当日92,400円～でございます。
どこの病院でも自費になりますので、健康保険の適用はございません。
お体にとってのご負担がかかるものなので陽性を確認されましたらお早めにご受診ください。
中期中絶となりますと当院では対応不可でございますのでご注意ください。</t>
  </si>
  <si>
    <t>妊娠,中絶</t>
  </si>
  <si>
    <t>中絶手術後の取り残しは起こりますか？</t>
  </si>
  <si>
    <t>中絶後の取り残しとは、胎盤などが子宮内に残る状態です。中絶取り残しがあった場合は量にもよりますが再手術又はエコーで見えないくらいの少量の残存であれば、生理を数回繰り返すことによって子宮内遺残はなくなり、hCGホルモンもしだいに消失していきます。</t>
  </si>
  <si>
    <t>取り残し</t>
  </si>
  <si>
    <t>中絶後に妊娠しにくくなりますか？</t>
  </si>
  <si>
    <t>中絶手術を受けることで、将来妊娠しにくいのではないかと心配される方は多いです。 
一方で、中絶手術を受けたとしても、手術が原因で妊娠確率が下がるといったことは、ほとんどありませんのでご安心ください。</t>
  </si>
  <si>
    <t>不妊</t>
  </si>
  <si>
    <t>ジェノゲストの処方はできますか？/ディナゲストの処方はできますか？/ジエノゲストの処方はできますか？/ジェノゲストはいくらですか？/ディナゲストはいくらですか？/ジエノゲストはいくらですか？/経膣エコーをしないとジェノゲスト処方はしてもらえないのか/ジェノゲストとは？/ジェノゲストとは何ですか？</t>
  </si>
  <si>
    <t>ジェノゲストは当院で処方しております。保険診療での処方となるため、オンラインでの処方はできません。診察をご希望の場合は、クリニックにご受診ください。受診のご予約はLINEで受け付けています。LINEはこちら→https://cline-app.com/qr-codes/98ad6f149bfa20f4f2a9a2e91aac4187/preview　※保険ピルの料金は保険診療の内容により異なるため、事前にお伝えすることができません。</t>
  </si>
  <si>
    <t>保険診療</t>
  </si>
  <si>
    <t>ジェノゲスト</t>
  </si>
  <si>
    <t>切れ痔の診察はできますか？</t>
  </si>
  <si>
    <t>当院では切れ痔の診察は行っておりません。
肛門科のある病院であれば診察可能だと思われます。
もしくはお近くの婦人科様に直接連絡していただいて肛門も診てもらえるかご確認いただくのが良いかと思います。
お大事になさってください。</t>
  </si>
  <si>
    <t>切れ痔</t>
  </si>
  <si>
    <t>オンライン診療後、店舗で薬を受け取れますか？</t>
  </si>
  <si>
    <t>薬受け取り</t>
  </si>
  <si>
    <t>HPVワクチンを接種したいです/子宮頸がんワクチンを接種したいです。</t>
  </si>
  <si>
    <t>当院ではシルガード9という種類のHPVワクチン接種を行っております。
HPVワクチンは予防するものでございますので、すでに感染したウイルスを排除する力はありません。
副反応としては局所の痛みが起こる可能性があります。
当院でHPVワクチン接種をご希望の場合、予約制になっております。ご予約はお電話（050-1730-2768）で承っております。
※クリニック地域にお住まいかつ、手元に公費の案内用紙がある場合、1週間以降のご予約でご利用いただけます。</t>
  </si>
  <si>
    <t>HPVワクチン,子宮頸がん</t>
  </si>
  <si>
    <t>HPV感染と低用量ピルは関係ありますか？</t>
  </si>
  <si>
    <t>低容量ピルを内服すると子宮頸がんの原因となるヒトパピローマウイルスが排出されにくくなり、
子宮頸がんとなる可能性が高まります。
基本的には軽快することも多いウイルスのため、手術方向となるまでは様子を見ていただくことが多いです。
しかし、ご不安が強いようであれば、ピル以外でも生理不順を治療するホルモン剤はございますので、
一度婦人科を受診し、その旨を相談してみても良いと思います。
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t>
  </si>
  <si>
    <t>HPV</t>
  </si>
  <si>
    <t>低用量ピル,HPVワクチン,子宮頸がん</t>
  </si>
  <si>
    <t>性行為のときに痛みがあります。原因はありますか？</t>
  </si>
  <si>
    <t>性行痛の原因は排卵期の性交による卵巣からの出血（卵胞出血）が多いです。
排卵のとき、卵巣の表面が破れて少量の出血とともに卵子が出てくるのですが、
たまたまそのときに性交による刺激が卵巣に加わったりすると、多くの血液が出ることがあります。
また、精神的なもの、子宮内膜症、子宮筋腫、性感染症、カンジダ外陰膣炎なども原因として考えられます。
うずきが一時的であれば様子見で構いませんが、長引いたり頻度が増える場合は、婦人科を受診されることをお勧めいたします。
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t>
  </si>
  <si>
    <t>性行為トラブル</t>
  </si>
  <si>
    <t>性行痛</t>
  </si>
  <si>
    <t>性行為中に出血しました。大丈夫ですか？/性行為後による出血</t>
  </si>
  <si>
    <t>下腹部の痛みや出血がある場合、症状の内容によって受診可否やご案内が異なります。個別の確認が必要となるため、恐れ入りますがお電話にてご相談ください。お電話は 050-1730-2768 となります。</t>
  </si>
  <si>
    <t>性交後出血</t>
  </si>
  <si>
    <t>膣に異物が入ってしまいました。どうすればよいですか？</t>
  </si>
  <si>
    <t>膣に異物が入ってしまい取り出せない場合は、異臭の原因になることもございます。
お早めに取り除くことをおすすめいたします。
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t>
  </si>
  <si>
    <t>トラブル</t>
  </si>
  <si>
    <t>異物</t>
  </si>
  <si>
    <t>子宮筋腫について教えてください。</t>
  </si>
  <si>
    <t>子宮筋腫とは、子宮の筋肉にできる良性の腫瘍です。大きさやできた場所によって、生理痛や過多月経の原因となります。
低用量ピルで子宮筋腫が増大するスピードを下げられることが多いですが、
子宮筋腫の場所と大きさによっては手術が必要となる場合があります。
まずはご自身の状況を知るためにも、受診をお勧めいたします。
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t>
  </si>
  <si>
    <t>子宮疾患</t>
  </si>
  <si>
    <t>子宮筋腫</t>
  </si>
  <si>
    <t>流産後の妊娠について</t>
  </si>
  <si>
    <t>流産後に妊娠ができなくなることはありません。一般的に流産後1カ月半〜2カ月ほどで生理が再開し、体の回復が進めば再び妊娠を目指すことができます。次の妊娠に影響を及ぼすことも基本的にはありません。</t>
  </si>
  <si>
    <t>妊娠・出産・流産</t>
  </si>
  <si>
    <t>流産後,妊娠,妊活,再妊娠,生理再開</t>
  </si>
  <si>
    <t>流産後の生理について</t>
  </si>
  <si>
    <t>個人差はありますが、流産後は1カ月半〜2カ月ほどで月経が再開することが一般的です。</t>
  </si>
  <si>
    <t>流産後,生理,月経,再開時期</t>
  </si>
  <si>
    <t>生活保護の医療費補助にて受診は可能ですか？/生活保護を受けていますが医療券で受診できますか？/医療券で受診可能ですか？</t>
  </si>
  <si>
    <t>大変申し訳ございません。当院では生活保護による医療費補助を利用した診察のご案内は行っておりません。</t>
  </si>
  <si>
    <t>受診・制度・費用</t>
  </si>
  <si>
    <t>生活保護,医療費補助,受診可否</t>
  </si>
  <si>
    <t>ミレーナを外してからどれくらいで排卵しますか？</t>
  </si>
  <si>
    <t>排卵の再開時期は避妊リングの種類や個人差によって異なります。詳しくは医師にご相談ください。</t>
  </si>
  <si>
    <t>避妊・ミレーナ</t>
  </si>
  <si>
    <t>ミレーナ,排卵,外した後,妊娠</t>
  </si>
  <si>
    <t>ミレーナ挿入後の性行為による出血</t>
  </si>
  <si>
    <t>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t>
  </si>
  <si>
    <t>ミレーナ,性交後出血,不正出血,ホルモン</t>
  </si>
  <si>
    <t>おりもの異常があるのですが、どうしたら良いですか？/排尿時に痛みがあるのですが、どうしたら良いでしょうか？/喉の違和感がある場合どうしたらよいですか？</t>
  </si>
  <si>
    <r>
      <rPr/>
      <t xml:space="preserve">おりものの異常・かゆみ・咽頭の違和感は、体の異常を伝えるサインですので、
放置せずに検査などをして原因を知ることが大切です。
きちんと対応することによって、不妊や病気の可能性を下げることにつながります。
性行為経験がなくてもトリコモナスは感染力が強く、公共のお手洗いなどで感染することもございます。
当院では「FemCHECK」という検査キットを販売しており、こちらはご自宅で検査していただき、キットを送っていただければ、結果もWEBから確認が可能でございます。
購入はこちら
</t>
    </r>
    <r>
      <rPr>
        <color rgb="FF1155CC"/>
        <u/>
      </rPr>
      <t>https://shop.luna-dr.com/collections/femcheck/products/femcheck</t>
    </r>
  </si>
  <si>
    <t>おりもの・性病検査</t>
  </si>
  <si>
    <t>おりもの異常,排尿痛,喉違和感,性病,FemCHECK</t>
  </si>
  <si>
    <t>カンジダが陽性だったが治療は必要ですか？/細菌性膣炎が陽性だったが治療は必要ですか？/カンジダが再発した/カンジダに繰り返しなる/細菌性膣炎が再発した/細菌性膣炎に繰り返しなる</t>
  </si>
  <si>
    <t xml:space="preserve">クラミジア・淋菌・ウレアプラズマ・マイコプラズマ等の性病が陽性でない場合は様子を見ていただくで特に問題はございません。
カンジダ・細菌性膣炎は常在菌でございます。生理と共に洗い流され改善する場合もございますが、膀胱炎になってしまったり、症状がお辛い場合は抗生剤をご使用ください。
カンジダ・細菌性膣炎は繰り返しなることが多いため、乳酸桿菌で膣内環境を整えることがとても重要です。
乳酸桿菌の定期配送は以下のURLよりご購入が可能です。ご検討下さい。
https://shop.luna-dr.com/products/lactobacillus </t>
  </si>
  <si>
    <t>おりもの・膣炎</t>
  </si>
  <si>
    <t>カンジダ,細菌性膣炎,再発,乳酸桿菌,膣内環境</t>
  </si>
  <si>
    <t>パートナーにお薬処方は可能ですか？</t>
  </si>
  <si>
    <t>医薬品となりますので、原則ご本人様への処方の対応となります。処方をご希望のご本人様は、LINEアカウントよりオンライン診療をお申込み、ご相談ください。オンライン診療はLINEからご利用いただけます。こちらのオンライン診療ページ（https://liff-gateway.lineml.jp/landing?follow=%40590gpxrd&amp;lp=fX73yx&amp;liff_id=1657094566-LmjNPPbV）からご利用ください。</t>
  </si>
  <si>
    <t>受診・処方</t>
  </si>
  <si>
    <t>パートナー,処方,本人のみ,LINE,オンライン診療</t>
  </si>
  <si>
    <t>乳酸桿菌の使用方法</t>
  </si>
  <si>
    <r>
      <rPr/>
      <t xml:space="preserve">乳酸桿菌は膣・内服どちらでもご使用可能でございます。ですが、膣に直接入れることで、繰り返すカンジダ、膀胱炎、細菌の増殖によるおりもの異常に直接アプローチが可能です。また、継続的に使用することでより予防効果が高まります。乳酸桿菌の定期配送は以下のURLよりご購入が可能です。ご検討下さい。
</t>
    </r>
    <r>
      <rPr>
        <color rgb="FF1155CC"/>
        <u/>
      </rPr>
      <t>https://shop.luna-dr.com/products/lactobacillus</t>
    </r>
  </si>
  <si>
    <t>おりもの・ケア</t>
  </si>
  <si>
    <t>乳酸桿菌,使用方法,膣,内服,カンジダ,膀胱炎,予防</t>
  </si>
  <si>
    <t>乳酸桿菌を使用したら治りますか</t>
  </si>
  <si>
    <r>
      <rPr/>
      <t xml:space="preserve">乳酸桿菌はあくまで一般細菌（常在菌）の予防薬でございます。治療を終えた後に使用していただくことで、膣内環境を整え再発防止をする膣剤です。まずは、陽性の項目の治療を行うことをおすすめいたします。乳酸桿菌の定期配送は以下のURLよりご購入が可能です。ご検討下さい。
</t>
    </r>
    <r>
      <rPr>
        <color rgb="FF1155CC"/>
        <u/>
      </rPr>
      <t>https://shop.luna-dr.com/products/lactobacillus</t>
    </r>
  </si>
  <si>
    <t>乳酸桿菌,治る,予防,再発防止,膣内環境</t>
  </si>
  <si>
    <t>生理中の性行為</t>
  </si>
  <si>
    <t>生理中の性行為は通常時よりも気を付けないといけないところがございます。
①妊娠しないから性行為をしても良い？それは間違いです。通常、精子の寿命が2～3日と言われていますが、5日生き延びたこともあります。つまり、生理が終わったときにその精子と受精をするということです。
②性感染症のリスクが上がる：生理中は膣の中に傷ができやすく、クラミジア・淋菌・梅毒・HPVなどの性感染症に加え、HIVの感染率も上昇します。
③子宮内膜症のリスクが上がる：経血が子宮内に逆流し、雑菌やウイルスを運び込む危険があり、子宮内膜症リスクを高めるとも言われています。</t>
  </si>
  <si>
    <t>性行為・注意事項</t>
  </si>
  <si>
    <t>生理中,性行為,妊娠,性感染症,HPV,HIV,子宮内膜症</t>
  </si>
  <si>
    <t>子宮内膜症の疑いがあり</t>
  </si>
  <si>
    <t>子宮内膜症とは、子宮の中にある子宮内膜組織が、子宮以外の場所で女性ホルモンに反応して増殖や出血を起こす病気です。症状は下腹部の痛みに伴って、腰が痛む場合もあります。放置しておくと血液が卵巣内部に満たされ、それが各臓器にまで広がるようになります。臓器まで広がるほど放置しておくと、実生活に支障が出るほど激しい痛みを伴うことになります。オンライン診療でのエコー検査は難しいため、一度婦人科の受診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t>
  </si>
  <si>
    <t>婦人科疾患</t>
  </si>
  <si>
    <t>子宮内膜症,下腹部痛,腰痛,エコー,受診</t>
  </si>
  <si>
    <t>下腹部痛があり心配/お腹の下が痛い/下腹部が痛い/お腹痛い/お腹が痛い/腹痛がある</t>
  </si>
  <si>
    <t>下腹部痛は、月経困難症、子宮内膜症、卵巣嚢腫、性感染症、子宮筋腫、卵巣捻転、卵巣がんなどさまざまな原因が考えられます。オンライン診療にて検査が難しいため、原因を知るために一度婦人科の受診をおすすめいたします。下腹部の痛みや出血がある場合、症状の内容によって受診可否やご案内が異なります。個別の確認が必要となるため、恐れ入りますがお電話にてご相談ください。お電話は 050-1730-2768 となります。</t>
  </si>
  <si>
    <t>症状・腹痛</t>
  </si>
  <si>
    <t>下腹部痛,原因,婦人科,受診,お腹痛い,腹痛</t>
  </si>
  <si>
    <t>卵巣嚢腫とは</t>
  </si>
  <si>
    <t>卵巣嚢腫とは、通常月経がある方では子宮が親指くらいの大きさですが、大きく腫れた状態を卵巣腫瘍といいます。腫瘍の中に液体がたまる嚢胞性卵巣腫瘍（卵巣嚢腫）と硬い塊が大きくなる充実性卵巣腫瘍の2つに分類され、放置しておくとがんになる恐れがあります。また、卵巣嚢腫が小さいうちは自覚症状がなく、大きくなった時におなかの張りなどで見つかることもあります。原因が分からず、妊娠してから発見すると治療が難しくなるため、婦人科へ定期検査をお勧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t>
  </si>
  <si>
    <t>卵巣嚢腫,卵巣腫瘍,お腹の張り,定期検査</t>
  </si>
  <si>
    <t>低用量ピルの服用規定に反している為、服用できないが他の方法でPMS・月経痛を抑えるのとは可能ですか</t>
  </si>
  <si>
    <t>低用量ピルの服用規定に反している内容にもよりますが、「ミレーナ」、「ジェノゲスト」、「漢方」を活用してみるのもよいかと思います。オンライン診療では視診が難しいため、一度医師・看護師にご相談される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t>
  </si>
  <si>
    <t>PMS・月経痛</t>
  </si>
  <si>
    <t>低用量ピル不可,ミレーナ,ジェノゲスト,漢方,PMS,月経痛</t>
  </si>
  <si>
    <t>ルナレディースクリニックで検査した結果が確認できない</t>
  </si>
  <si>
    <t>クリックで検査した結果は基本的にオンラインで確認が可能でございます。一部血液検査・子宮頸がん等の結果はご来院頂いての結果通知になります。ご了承ください。当院では、診察券が無いため領収書にて患者番号のご確認をお願いします。</t>
  </si>
  <si>
    <t>検査・結果確認</t>
  </si>
  <si>
    <t>検査結果,オンライン,血液検査,子宮頸がん,診察券番号</t>
  </si>
  <si>
    <t>PMS異常であるが妊娠も考えている</t>
  </si>
  <si>
    <t>ご妊娠を考えているのであれば、低用量ピルの服用はおすすめしておりません。漢方を服用することで、PMSを軽減することが可能な場合もございます。一度婦人科をご受診の上、医師にご相談ください。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t>
  </si>
  <si>
    <t>PMS・妊娠</t>
  </si>
  <si>
    <t>妊娠希望,PMS,低用量ピル,漢方,受診</t>
  </si>
  <si>
    <t>月経前不快気分障害とは/PMDDとは</t>
  </si>
  <si>
    <t>月経が始まる2週間前ごろから心身が不安定でとてもつらい状態を「月経前症候群（PMS）」といいます。
その中でも心の不安定さが際立って強く出てしまう場合は「月経前不快気分障害（PMDD）」と診断されます。
PMDDは抑うつ気分、不安・緊張、情緒不安定、怒り・イライラの4症状が中心で、食行動の変化や睡眠障害などの特徴的な症状が月経前に
出現することで社会活動や人間関係に支障をきたします。
低用量ピルや漢方を用いて治療を行います。
低用量ピルの処方はオンラインでも可能ですが、あまりにもひどい場合には一度医師または看護師にご相談をおすすめいたします。
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t>
  </si>
  <si>
    <t>PMS・PMDD</t>
  </si>
  <si>
    <t>PMDD,PMS,月経前,抑うつ,不安,イライラ,治療</t>
  </si>
  <si>
    <t>膣剤の使用をやめたら症状が再燃</t>
  </si>
  <si>
    <t>カンジダ（クロトリマゾール）や一般細菌（フラジール膣剤）のお薬を使用された後に症状が再発している場合、医師の判断により別のお薬に変更する必要があることもございま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
【乳酸桿菌】膣に直接的に入れることで、繰り返すカンジダ、膀胱炎、細菌の増殖によるおりもの異常に直接アプローチが可能でございます。また、継続的に使用することでより予防効果が効果が高まります。乳酸桿菌の定期配送は以下のURLより、ご購入が可能です。ご検討下さい。https://shop.luna-dr.com/products/lactobacillus</t>
  </si>
  <si>
    <t>おりもの・再発</t>
  </si>
  <si>
    <t>膣剤,再燃,カンジダ,フラジール,乳酸桿菌,再発</t>
  </si>
  <si>
    <t>カンジダが陰性であったが、性病の抗生剤を使用したらカンジダの症状（おりもの異常）になった</t>
  </si>
  <si>
    <t>性病の抗生剤を服用することで、膣内の免疫が低下し、カンジダになる場合がございます。カンジダの症状（チーズのポロポロとしたおりもの・臭いなど）がある場合には、医師の判断でお薬の処方が可能でございま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t>
  </si>
  <si>
    <t>おりもの・副作用</t>
  </si>
  <si>
    <t>抗生剤,カンジダ,おりもの異常,免疫低下</t>
  </si>
  <si>
    <t>カンジダの症状があるのでお薬が欲しい</t>
  </si>
  <si>
    <t>症状のみでの判断は難しいため、状況の確認が必要です。オンライン診療では視診ができかねますので、ご予約のうえクリニックにご受診ください。受診のご予約はLINEで受け付けています。LINEはこちら→https://cline-app.com/qr-codes/98ad6f149bfa20f4f2a9a2e91aac4187/preview</t>
  </si>
  <si>
    <t>おりもの・カンジダ</t>
  </si>
  <si>
    <t>カンジダ,症状,薬,視診,受診</t>
  </si>
  <si>
    <t>陰部にできものがある</t>
  </si>
  <si>
    <t>陰部にできものがあるとのことから考えられることは、性器ヘルペス・細菌増殖・尖圭コンジローマなどの性感染症です。オンライン診療では視診が必要な診断、処方ができかねま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t>
  </si>
  <si>
    <t>症状・できもの</t>
  </si>
  <si>
    <t>陰部,できもの,ヘルペス,尖圭コンジローマ,性病</t>
  </si>
  <si>
    <t>性病のお薬を服用/使用したら治りますか？</t>
  </si>
  <si>
    <t>抗生剤を服用すると性病に対して、基本的には効果があります。ですが、稀に耐性菌という患者様や抗生剤の相性、また感染してから時間が経過している場合には、通常量の抗生剤や種類では完治しない場合もございます。抗生剤の服用終了2週間後に再検査をしていただき、陰性の確認ができるまで何度も治療を行う場合がございます。また、その間は治療中扱いとなりますので、性行為はお控えください。</t>
  </si>
  <si>
    <t>性病治療</t>
  </si>
  <si>
    <t>性病,抗生剤,耐性菌,再検査,陰性確認</t>
  </si>
  <si>
    <t>おりものが完全にない</t>
  </si>
  <si>
    <t>おりものが完全に無くなる主な原因として、ストレスや疲労が考えられます。ですが、何らかの疾患が原因の場合もありますので、受診していただくことをお勧めいたしま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t>
  </si>
  <si>
    <t>おりものなし,ストレス,疲労,疾患,受診</t>
  </si>
  <si>
    <t>我慢汁（ガウパー液）にて妊娠する可能性はありますか？</t>
  </si>
  <si>
    <t>我慢汁（ガウパー液）にて妊娠する可能性はございます。なぜなら、我慢汁に精子は含まれず生殖能力はないものの、我慢汁に精子が混ざる可能性があるからです。ご不安な場合はオンライン診療にてアフターピル服用をご検討下さい（性行為後120時間以内）。性行為から120時間過ぎている場合は妊娠検査薬をご使用ください。妊娠検査薬は性行為から3週間後に検査し、月経予定日になっても月経が来なければ再検査をお願いいたします。</t>
  </si>
  <si>
    <t>妊娠リスク</t>
  </si>
  <si>
    <t>我慢汁,ガウパー液,妊娠,アフターピル,妊娠検査薬</t>
  </si>
  <si>
    <t>PMS診断は可能ですか？</t>
  </si>
  <si>
    <t>PMS診断は問診、血液検査、尿検査、内診、超音波検査を行い、その後医師とPMSを改善させるためのプランをご提案いたしております。
オンライン診療では視診が難しいため、一度医師または看護師にご相談されることをおすすめいたします。
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t>
  </si>
  <si>
    <t>PMS・診断</t>
  </si>
  <si>
    <t>PMS,診断,問診,血液検査,尿検査,内診,超音波</t>
  </si>
  <si>
    <t>生理前後の胸が張る症状が続く</t>
  </si>
  <si>
    <t>胸の張る原因としては一時的なホルモンバランスの乱れで様子を見てもらっても良い場合もあります。ただ、乳腺炎などの疾患によって張っている可能性もあります。そのため、症状が続くようであれば、一度受診していただくことをお勧めいたします。当院は胸部に関する診療ができないため、お手数をおかけしますが、お近くの婦人科にてご相談ください。</t>
  </si>
  <si>
    <t>PMS・月経関連</t>
  </si>
  <si>
    <t>胸が張る,胸の痛み,乳房の張り,生理前,生理後,PMS,ホルモンバランス,乳腺炎,受診目安</t>
  </si>
  <si>
    <t>卵巣膿腫とは</t>
  </si>
  <si>
    <t>卵巣膿腫とは、卵巣内またはその周辺にできる液体が溜まった嚢細胞のことを指します。卵巣膿腫の主な原因には、感染炎症が関与している場合が多く、特に骨盤内の感染症などが卵巣や卵管に広がることで発症することがあります。また、卵管が感染症により閉塞し、膿が溜まることで卵管膿腫としても知られます。超音波検査やCT、MRIなどの画像診断がよく用いられます。小さな膿腫であれば自然に治癒することもありますが、大きなものや症状が重い場合、特に感染がある場合には抗生物質の投与や、場合によっては手術による排膿や嚢細胞の除去が必要になる場合があります。オンライン診療では視診が難しいため一度医師・看護師にご相談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t>
  </si>
  <si>
    <t>婦人科疾患（卵巣・卵管）</t>
  </si>
  <si>
    <t>卵巣膿腫,卵管膿腫,骨盤内感染,感染,炎症,超音波,CT,MRI,抗生物質,手術,受診</t>
  </si>
  <si>
    <t>着床出血とは</t>
  </si>
  <si>
    <t>着床出血とは、受精卵が着床する際に子宮内膜の血管を傷つけてしまうために起こる少量の出血のことです。着床出血が起こる時期は妊娠4週頃とされています。残念ながら、出血のみで着床出血かの判断は難しいです。よって、可能性のある性交渉から3週間後にご自身で妊娠検査薬を行っていただき、妊娠しているかの判断をしていただくことになります。妊娠検査薬は性行為から3週間後に検査いただき、この時点では妊娠をしていても陰性の可能性がございますので月経予定日になっても月経が来なければ再検査をお願いいたします。</t>
  </si>
  <si>
    <t>妊娠・妊娠判定</t>
  </si>
  <si>
    <t>着床出血,妊娠初期,少量出血,茶色い出血,妊娠4週,妊娠検査薬,いつから,性行為3週間後,陰性,再検査</t>
  </si>
  <si>
    <t>尖圭コンジローマ治療後に症状が出た/ベセルナクリームによって症状が出た</t>
  </si>
  <si>
    <t>ベセルナクリームとは尖圭コンジローマの治療に用いるお薬で、2日おきにお風呂上り清潔な状態で使用、朝に洗い流す塗薬でございます。今一度使用方法に誤りが無いか、ご確認をお願い致します。症状が治まらない場合は直ちに使用を中断し、シャワーで洗い流してください。オンライン診療では視診が難しいためかかりつけ医にご相談ください。当院での処方歴がある場合は、ご予約をお取りの上、クリニックにご受診下さい。受診のご予約はLINEで受け付けています。LINEはこちら→https://cline-app.com/qr-codes/98ad6f149bfa20f4f2a9a2e91aac4187/preview</t>
  </si>
  <si>
    <t>性感染症（HPV/いぼ）・薬の使い方</t>
  </si>
  <si>
    <t>尖圭コンジローマ,ベセルナ,イミキモド,塗り薬,副作用,ヒリヒリ,赤み,使い方,洗い流す,中止,受診</t>
  </si>
  <si>
    <t>性行為後による下痢は妊娠の可能性があるか</t>
  </si>
  <si>
    <t>妊娠したことで便の調子が変わるという可能性はもちろんございますが、下痢をした＝妊娠したということにはならないと考えられます。妊娠したかどうかについては、妊娠検査薬を使用していただくのが確実です。また、下痢については食べ物や他の原因でなることも考えられますので、長く続き症状が気になるようであれば、消化器内科への受診をおすすめいたします。また、妊娠をご希望されない場合は、性行為から120時間以内であればアフターピルを内服するという選択肢もございます。オンラインで処方が可能でございますので、ご検討ください。妊娠検査薬は性行為から3週間後に検査いただき、この時点では妊娠をしていても陰性の可能性がございますので月経予定日になっても月経が来なければ再検査をお願いいたします。</t>
  </si>
  <si>
    <t>妊娠不安・アフターピル/検査</t>
  </si>
  <si>
    <t>性行為後,下痢,妊娠初期症状,妊娠の可能性,妊娠検査薬,性行為3週間後,アフターピル,120時間,避妊失敗</t>
  </si>
  <si>
    <t>膣外射精でも妊娠の可能性はありますか</t>
  </si>
  <si>
    <t>膣外射精であっても妊娠の可能性はございます。なぜなら、膣外に出したつもりでも、無意識に膣内に出してしまっている方もいるからです。射精の妊娠率は22％、ピル服用による避妊確率は99.7％と言われます。また、妊娠をご希望されない場合は、性行為から120時間以内であればアフターピルを内服するという選択肢もございます。オンラインで処方が可能でございますので、ご検討ください。性行為から120時間が過ぎている場合はアフターピルの使用ができないため、妊娠検査薬にてご確認ください。妊娠検査薬は性行為から3週間後に検査いただき、この時点では妊娠をしていても陰性の可能性がございますので月経予定日になっても月経が来なければ再検査をお願いいたします。</t>
  </si>
  <si>
    <t>避妊・妊娠不安</t>
  </si>
  <si>
    <t>膣外射精,外出し,妊娠確率,妊娠の可能性,避妊失敗,アフターピル,120時間,妊娠検査薬,性行為3週間後</t>
  </si>
  <si>
    <t>妊娠が可能なのか確認をしたい</t>
  </si>
  <si>
    <t>不妊には様々な原因が考えられます。当院では卵子の活動確認を除くブライダルチェック検査は可能でございます。一度ご自身の状況を確認するためにもブライダルチェック検査をおすすめいたします。※卵巣機能などの不妊に関する診療は出来かねます。ご了承ください。当院での検査はご予約をお取りの上、クリニックにご受診下さい。受診のご予約はLINEで受け付けています。LINEはこちら→https://cline-app.com/qr-codes/98ad6f149bfa20f4f2a9a2e91aac4187/preview
※大変恐縮ですが、当院では、不妊治療は行っていません。不妊治療をご希望の場合は、お近くの婦人科へご相談ください。</t>
  </si>
  <si>
    <t>妊活・不妊の相談/検査</t>
  </si>
  <si>
    <t>妊娠できるか,不妊検査,ブライダルチェック,妊活,原因,卵巣機能,AMH,受診,予約</t>
  </si>
  <si>
    <t>ホットフラッシュとは</t>
  </si>
  <si>
    <t>ホットフラッシュとは上半身ののぼせ、ほてり、発汗などが起こる、急に顔が熱くなり、汗が止まらなくなったりする症状が一日に何回も出ては消えることを言います。原因は更年期による急激なホルモンの低下によるものです。治療法はホルモン薬や漢方を用いて行います。当院では更年期治療が難しいため、お近くの医療機関にご相談ください。</t>
  </si>
  <si>
    <t>更年期</t>
  </si>
  <si>
    <t>ホットフラッシュ,のぼせ,ほてり,発汗,更年期,女性ホルモン低下,治療,ホルモン療法,漢方</t>
  </si>
  <si>
    <t>卵管留水腫とは</t>
  </si>
  <si>
    <t>卵管水腫とは卵管に水が溜まって腫れていることを言います。この卵管に溜まっている水が子宮内に流れ込むことによって、子宮内膜に悪影響を及ぼし、着床しない反復着床障害や流産の原因になっていることが指摘されております。オンライン診療では視診が難しいため一度医師・看護師にご相談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t>
  </si>
  <si>
    <t>妊活・不妊（卵管）</t>
  </si>
  <si>
    <t>卵管水腫,卵管留水腫,卵管,着床障害,反復着床障害,流産,子宮内膜,受診,相談</t>
  </si>
  <si>
    <t>注射にて月経を止めることは出来ますか？</t>
  </si>
  <si>
    <t>注射にて月経を止める方法は偽閉経（ぎへいけい）療法と呼ばれる治療法です。リュープリン注射は、GnRHアゴニストと呼ばれる薬の一種であり、脳下垂体に働いて排卵を止めます。そのため、排卵が止まるので、生理も止まります。当院にてお取り扱いがないため、お近くの婦人科にご相談ください。</t>
  </si>
  <si>
    <t>月経を止める・治療</t>
  </si>
  <si>
    <t>生理を止める,注射,偽閉経療法,リュープリン,GnRHアゴニスト,排卵抑制,月経停止,婦人科</t>
  </si>
  <si>
    <t>性行為で膣が裂けた</t>
  </si>
  <si>
    <t>膣口が狭く性交で切れてしまうのは、体質のことが原因の場合がありますし、精神的なことが原因の場合もあります。性交痛で検索していただき、その相談を受け付けている婦人科に相談されることをおすすめいたします。</t>
  </si>
  <si>
    <t>性交痛・デリケートゾーン</t>
  </si>
  <si>
    <t>性交痛,膣が切れる,膣口が狭い,性交で痛い,体質,精神的要因,婦人科,相談</t>
  </si>
  <si>
    <t>鼠径部（そけいぶ）にしこりがある</t>
  </si>
  <si>
    <t>陰部にできものがある以外に考えられる原因としては①毛包炎（傷口が細菌感染して発症。大きさは1ミリ程度から1センチ以上までさまざま）②粉瘤（1ミリ以下～数センチ以上。中心部が白っぽい、または黒っぽく透けて見え、腫れ・痛みを感じる場合があります）③汗腺炎（膿・赤み・腫れを伴うできものが複数発生し、半年以内に2回程度の再発が多い）が考えられます。いずれにしても、症状があるときは皮膚科を受診することをお勧めいたします。</t>
  </si>
  <si>
    <t>外陰部・皮膚症状</t>
  </si>
  <si>
    <t>鼠径部,そけい部,しこり,陰部,毛包炎,粉瘤,汗腺炎,腫れ,痛み,皮膚科</t>
  </si>
  <si>
    <t>BMIと生理の関係性</t>
  </si>
  <si>
    <t>BMIと生理には大きな関係があります。BMIが17以下になると3カ月以上生理が来なくなり、無月経になることがあります。生理が来ないから楽で良いと思う方もいるかと思いますが、無月経は不妊の原因となり、長時間放置していると月経が再開しにくくなります。</t>
  </si>
  <si>
    <t>生理不順・無月経</t>
  </si>
  <si>
    <t>BMI,低体重,BMI17,無月経,生理が来ない,生理不順,ダイエット,不妊,月経再開</t>
  </si>
  <si>
    <t>卵子凍結とは</t>
  </si>
  <si>
    <t>卵子は20代～30代にかけて加齢とともに衰えていきますが、若い卵子を保存することで将来妊娠したいタイミングで出産する準備が可能でございます。卵子凍結はさまざまな要因で実施する方が増えております。社会的要因は現在の生活が落ち着いたタイミングで子育てを考えている方、医学的要因は悪性腫瘍などで今後卵子の使用ができなくなるが治療を終え、妊娠を考えている方が利用します。当院では卵子凍結などの治療は行っていないため、専門のクリニックで専門の医療者から正しい説明を受けてご利用をお考えください。</t>
  </si>
  <si>
    <t>妊活・将来の妊娠（卵子凍結）</t>
  </si>
  <si>
    <t>卵子凍結,卵子保存,将来妊娠,年齢,加齢,20代,30代,社会的卵子凍結,がん治療,専門クリニック</t>
  </si>
  <si>
    <t>子宮下垂とは？/子宮脱とは？</t>
  </si>
  <si>
    <t>子宮下垂・子宮脱とは、通常の場所より下がっていることで、ひどくなると外陰部より子宮が出ている状態を言います。軽度の場合は自身では気づかず、婦人科で指摘されて初めて気づき、ひどくなると何かが出ている・外陰部に違和感があると自覚症状が現れます。原因は骨盤底が、出産や外科手術、その他の原因により障害され、内臓を支えきれなくなることによって起こります。少しでも違和感を感じる場合は、お早めに子宮下垂・子宮脱の治療ができる婦人科にご相談ください。</t>
  </si>
  <si>
    <t>骨盤底・子宮脱</t>
  </si>
  <si>
    <t>子宮下垂,子宮脱,骨盤臓器脱,外陰部違和感,何か出てくる,出産後,骨盤底筋,婦人科,治療</t>
  </si>
  <si>
    <t>フォアダイスとは/性器にポツポツ</t>
  </si>
  <si>
    <t xml:space="preserve">一見ヘルペスや性病と不安になる場合もありますが、皮脂腺が詰まり唇や性器にポツポツができる〖フォアダイス〗かもしれません。
フォアダイスは性器にできることが多いため性病と勘違いされやすいですが、実際は皮脂が皮脂腺にたまっているだけの生理現象です。
痛みやかゆみなどの症状はありませんし、感染症でもないので、性行為を避けたり治療をしたりする必要はありません。
病的意義はないため、治療は不要です。しかし見た目上どうしても気になるということであれば、手術で取り除くことができます。
</t>
  </si>
  <si>
    <t>フォアダイス,性器のぶつぶつ,唇のぶつぶつ,皮脂腺,皮脂腺の詰まり,性病と勘違い,ヘルペス,痛みなし,かゆみなし,感染しない,治療不要,手術</t>
  </si>
  <si>
    <t>シンナーと妊娠の関係性/シンナーと不妊の関係性</t>
  </si>
  <si>
    <t>長期的にシンナーを吸い続けると不妊や生理不順などのリスクがあると言われています。妊娠中に吸引することで、胎児の神経系や臓器の発育に障害が生じるリスクが指摘されています。また、大人よりも子どもへの影響が強く、換気せずにマニキュアの除光液を使用すると赤ちゃんはぐったりとしてしまいます。</t>
  </si>
  <si>
    <t>妊娠・生活習慣/有害物質</t>
  </si>
  <si>
    <t>シンナー,吸引,有機溶剤,不妊,生理不順,妊娠中,胎児,神経系,臓器,発育障害,除光液,マニキュア,換気,赤ちゃん</t>
  </si>
  <si>
    <t>妊娠中の性行為</t>
  </si>
  <si>
    <t>妊娠の経過については個人によってそれぞれ差がありますので、かかりつけ医の指示に従いましょう。性行為が直接的におなかの赤ちゃんの成長に影響を及ぼすことはほとんどありませんが、妊娠中の体にはかなりの負担がかかります。また、性感染症や性行為による早産・流産のリスク、さらには精子が細菌を運ぶ恐れがあります。</t>
  </si>
  <si>
    <t>妊娠中の過ごし方</t>
  </si>
  <si>
    <t>妊娠中,性行為,セックス,赤ちゃんへの影響,負担,性感染症,早産,流産,リスク,精子,細菌,かかりつけ医</t>
  </si>
  <si>
    <t>子宮頸がん・子宮体がん検査について</t>
  </si>
  <si>
    <t>子宮頸がんは子宮の入り口部分である頸部にがんが発生し、子宮体がんでは子宮の奥、つまり体部にがんが発生します。子宮頸がんは20代～40代の方、子宮体がんは40代（閉経後）～の方に定期的に検査をおすすめいたします。早期に発見、治療を行うことで子宮全摘出を行わなくても良い可能性があります。一度ご自身の状況を確認するためにも検査をおすすめいたします。当院での検査はご予約をお取りの上、クリニックにご受診ください。受診のご予約はLINEで受け付けています。LINEはこちら→https://cline-app.com/qr-codes/98ad6f149bfa20f4f2a9a2e91aac4187/preview</t>
  </si>
  <si>
    <t>子宮がん検診</t>
  </si>
  <si>
    <t>子宮頸がん,子宮体がん,検査,違い,頸部,体部,20代,30代,40代,閉経後,定期検査,早期発見,予約,受診</t>
  </si>
  <si>
    <t>伝染性単核球症とは/キス病とは？</t>
  </si>
  <si>
    <t>伝染性単核球症の原因となるEBウイルスは、唾液に含まれ、キスを介して感染するため、別名キス病と言われています。また、ウイルスが唾液に含まれているため、回し飲みでも感染し、感染してから発症まで30〜60日程度の期間が空くため、特定が難しいです。ウイルスが多い時はパートナーにうつすのを避けるため、行動には気をつけましょう。通常4～6日で自然に症状は収まりますが、根本的な治療法はありません。ただし、咽頭痛や全身倦怠感が強く、水分の経口摂取が難しくなった場合には、病院にて点滴などで補充を行いましょう。</t>
  </si>
  <si>
    <t>感染症（口・喉）</t>
  </si>
  <si>
    <t>伝染性単核球症,キス病,EBウイルス,唾液,キス,回し飲み,潜伏期間,30〜60日,咽頭痛,倦怠感,自然軽快,点滴</t>
  </si>
  <si>
    <t>消退出血と着床出血の違い</t>
  </si>
  <si>
    <t>消退出血はアフターピルの服用後、ホルモンバランスが崩れ子宮内膜が剥がれ落ちることが原因です。着床出血は妊娠初期の兆候で、受精卵が子宮内膜に着床する際に起こります。それぞれ出血するタイミングが違いますが、出血をしたからと決めつけず、不安な場合は妊娠検査薬の使用をおすすめいたします。妊娠検査薬は性行為から3週間後に検査いただき、この時点では妊娠をしていても陰性の可能性がございますので月経予定日になっても月経が来なければ再検査をお願いいたします。</t>
  </si>
  <si>
    <t>妊娠不安・出血/アフターピル</t>
  </si>
  <si>
    <t>消退出血,着床出血,違い,アフターピル,ホルモンバランス,子宮内膜,妊娠初期,受精卵,妊娠検査薬,性行為3週間後,陰性,再検査</t>
  </si>
  <si>
    <t>排卵期出血がある</t>
  </si>
  <si>
    <t>排卵期出血は排卵期の数日前から出血があり、高温期になると自然に止まり、特に問題のない出血です。個人差はありますが、おりものや下腹部痛が起こる場合もあります。ただし、出血量が多い場合や、痛みが強い場合には、症状の内容によって受診可否やご案内が異なります。個別の確認が必要となるため、恐れ入りますがお電話にてご相談ください。お電話は 050-1730-2768 となります。</t>
  </si>
  <si>
    <t>不正出血・排卵</t>
  </si>
  <si>
    <t>排卵期出血,中間期出血,排卵,高温期,自然に止まる,おりもの,下腹部痛,出血量が多い,痛みが強い,婦人科</t>
  </si>
  <si>
    <t>生理前の胸の張り</t>
  </si>
  <si>
    <t>個人差はございますが、生理前はホルモンの影響で水分を身体に溜め込もうとする作用が働くため、胸が張ったり胸が大きくなったと感じる方もいらっしゃいます。長く続き気になるようでしたら、乳房の診察が可能な婦人科にご相談ください。</t>
  </si>
  <si>
    <t>生理前,胸の張り,胸が大きい,乳房痛,ホルモン,水分貯留,PMS,受診,婦人科,乳房診察</t>
  </si>
  <si>
    <t>生理前の発熱/生理前の吐き気/生理時に吐き気がある場合の診療/生理中の吐き気</t>
  </si>
  <si>
    <t>個人差はありますが、ホルモンの影響で体温が高い状態になったり、吐き気を強く感じたりすることがあります。微熱や吐き気の症状が続くようであれば、内科受診をお勧めいたします。</t>
  </si>
  <si>
    <t>生理前,発熱,微熱,吐き気,PMS,ホルモン,体温が高い,体調不良,内科受診</t>
  </si>
  <si>
    <t>生理中の受診は可能ですか？/生理中でもピルを処方してもらえますか？/生理中でも診察は受けられますか？/生理中でも検査できますか？/生理中でもピルの処方は可能ですか？/2回目の処方は生理中でも大丈夫ですか？/月経不順で生理中でも受診できますか？/クラミジア陽性で生理中でも受診できますか？/ピルの検診の日に生理がきても大丈夫ですか？/生理中でもピルの処方は可能ですか？/クラミジアの治療は生理中でもできますか？/生理中でも性病検査はできますか？/生理中でも膀胱炎の検査はできますか？/カンジダで受診したいのですが生理中です/生理中でも子宮内膜症の検査はできますか？/HPV検査は生理中でも受けられますか？/コルポスコピーは生理中でも可能ですか？</t>
  </si>
  <si>
    <t>生理中でも診察やピルの処方は可能です。ただし、HPV検査・子宮頸がん検査・性感染症検査は、出血量が多い場合に正確な検査ができないことがあるため、生理の日にちを避けていただくことをおすすめします。不正出血などで悩まれている場合は、生理中でもご受診いただけます。生理中でも内診台に乗っていただく場合がございますので、気になるようでしたら生理後にご受診ください。</t>
  </si>
  <si>
    <t>生理中,受診,検査,HPV検査,子宮頸がん検査,性病検査,避けた方が良い,不正出血,内診台,予約,出血,血が出る,出血中,受診できる</t>
  </si>
  <si>
    <t>処女膜強靭症とは</t>
  </si>
  <si>
    <t>処女膜強靭症は、生まれつき処女膜が固くて厚い状態です。そのため、時間が経過しても自然治癒の可能性は極めて低いです。治療は外陰部・腟口・後に続いている腟の状態を確認し、狭くなっている部分を確認し手術を行います。人によっては、腟や子宮に奇形を伴っており腟や子宮２つ認められることもあるため、安易に処女膜だけを手術で解決するだけではなく、子宮や腟に異常がないかを確認することが大切です。お近くの形成外科または総合病院婦人科にご受診ください。</t>
  </si>
  <si>
    <t>婦人科手術・形成</t>
  </si>
  <si>
    <t>処女膜強靭症,処女膜が固い,処女膜が厚い,性交痛,挿入できない,手術,腟,子宮,奇形,形成外科,総合病院,婦人科</t>
  </si>
  <si>
    <t>デュファストンに避妊の効果はありますか？</t>
  </si>
  <si>
    <t>デュファストンとは経口の黄体ホルモンのみで構成されるお薬です。そのため、避妊の効果がありません。妊娠を希望していない場合はコンドームなど別の避妊方法を使用しましょう。</t>
  </si>
  <si>
    <t>薬剤（ホルモン剤）</t>
  </si>
  <si>
    <t>デュファストン,黄体ホルモン,経口,避妊効果なし,避妊,コンドーム,妊娠希望なし</t>
  </si>
  <si>
    <t>子宮脱についての相談</t>
  </si>
  <si>
    <t>子宮脱につきましては当院でご受診ができない項目でございます。お手数おかけいたしますが、お近くの婦人科にご相談ください。</t>
  </si>
  <si>
    <t>受診不可・他院案内</t>
  </si>
  <si>
    <t>子宮脱,相談,当院では不可,受診できない,婦人科,近くの病院</t>
  </si>
  <si>
    <t>オンラインでの診断書発行は可能ですか</t>
  </si>
  <si>
    <t>大変申し訳ございません。オンラインでの診断書発行はできます。お手数をおかけしますが、ご予約をお取りの上、クリニックにご受診下さい。</t>
  </si>
  <si>
    <t>書類・診断書</t>
  </si>
  <si>
    <t>診断書,オンライン発行,発行可否,来院,予約,クリニック受診</t>
  </si>
  <si>
    <t>妊娠の可能性はありますか？／これは着床出血ですか？</t>
  </si>
  <si>
    <t>ご不安な場合は、妊娠検査薬をご使用いただきご確認ください。妊娠検査薬は性行為から3週間後に検査いただき、この時点では妊娠をしていても陰性の可能性がございますので月経予定日になっても月経が来なければ再検査をお願いいたします。</t>
  </si>
  <si>
    <t>妊娠不安・妊娠判定</t>
  </si>
  <si>
    <t>妊娠の可能性,着床出血,妊娠検査薬,性行為3週間後,陰性,再検査,生理が来ない,不安</t>
  </si>
  <si>
    <t>美容点滴はありますか？</t>
  </si>
  <si>
    <t>美容医療</t>
  </si>
  <si>
    <t>美容点滴,点滴,メニュー,予約,受診,クリニック</t>
  </si>
  <si>
    <t>他院にて処方された薬</t>
  </si>
  <si>
    <t>当院にて処方されていない薬に関しては服用状況が分かりかねるため、お答えが出来かねます。お手数おかけいたしますが、処方されました医療機関にてご相談ください。</t>
  </si>
  <si>
    <t>受診案内・薬/他院処方</t>
  </si>
  <si>
    <t>他院処方,他の病院の薬,処方薬,服用状況,わからない,回答不可,処方元に相談,ピル</t>
  </si>
  <si>
    <t>性病が陽性でした。家族・性行為で移りますか？</t>
  </si>
  <si>
    <r>
      <rPr/>
      <t xml:space="preserve">クラミジア・淋菌・ウレアプラズマ・マイコプラズマといった性感染症は基本的に性行為にて感染がございますが、
どちらも咽頭に感染している可能性もございますので、その際は同じ食事にて食器を返して、感染する可能性もございます。
トリコモナスは感染力が強く、同じお手洗いや入浴によって感染する可能性がございます。
ご使用前後に亜塩素酸ナトリウムや消毒用エタノールで消毒することをおすすめいたします。
梅毒・HIV・ヘルペスは皮膚に症状が出るため、避妊具を使用しても感染する恐れがございます。
ご自身が感染している場合は再検査にて陰性が確認できるまで生活を見直し、性行為は控えるようにしましょう。
パートナーが陽性の場合は症状がなくても婦人科にて検査をすることをおすすめいたします。
※梅毒・HIVは感染の恐れのある性行為から1カ月以降にご受診ください。
症状やお体のご状況については診察にてご確認いただく必要がございます。当院でのご受診をご希望の場合は、ご予約をお取りの上、クリニックにご受診下さい。
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
また、当院では「FemCHECK」という検査キットを販売しており、こちらはご自宅で検査していただきキットを送っていただければ、
結果もWEBから確認が可能でございます。
購入はこちら
</t>
    </r>
    <r>
      <rPr>
        <color rgb="FF1155CC"/>
        <u/>
      </rPr>
      <t>https://shop.luna-dr.com/collections/femcheck/products/femcheck</t>
    </r>
  </si>
  <si>
    <t>性感染症（性病）</t>
  </si>
  <si>
    <t>性病,陽性,家族にうつる,性行為でうつる,感染経路,クラミジア,淋菌,ウレアプラズマ,マイコプラズマ,咽頭感染,食器,トリコモナス,トイレ,入浴,消毒,次亜塩素酸,エタノール,梅毒,HIV,ヘルペス,避妊具,再検査,陰性確認,性行為控える,FemCHECK</t>
  </si>
  <si>
    <t>性病がいつ感染したものなのか知りたい</t>
  </si>
  <si>
    <t>性病がいつ感染したものなのかお調べすることができかねます。もし、定期検査を行っている場合には陰性の確認ができた日～陽性の確認ができた日までに性行為を行ったすべてのパートナーが対象となり、初めての性病検査にて陽性の場合には今まで性行為を行ったすべてのパートナーが該当します。</t>
  </si>
  <si>
    <t>性病,いつ感染,感染時期,特定できない,定期検査,陰性日,陽性日,パートナー,初めての検査,過去の性行為</t>
  </si>
  <si>
    <t>いつ陰性の確認に行ったらよろしいでしょうか</t>
  </si>
  <si>
    <t>処方されたお薬の服用終了2週間後以降に陰性の確認を行ってください。服用終了1週間たっても症状の改善が見られない場合は再度ご相談ください。</t>
  </si>
  <si>
    <t>陰性確認,再検査,いつ,治療後,服用終了,2週間後,偽陽性,再治療,症状改善しない,1週間,相談,性行為できない</t>
  </si>
  <si>
    <t>ビブラマイシン処方後の吐き気</t>
  </si>
  <si>
    <t>ビブラマイシンの副作用には吐き気がございます。徐々に体になれて吐き気が治まるかと思いますが、市販の吐き気止めを使用しても耐えられない場合は、お薬が合わないと思いますので、ご相談ください。</t>
  </si>
  <si>
    <t>薬の副作用</t>
  </si>
  <si>
    <t>ビブラマイシン,吐き気,副作用,慣れる,市販の吐き気止め,耐えられない,薬が合わない,相談</t>
  </si>
  <si>
    <t>他の医療機関で検査した結果を元に処方は可能ですか？/他院で検査をしたが、こちらで薬の処方できるか？</t>
  </si>
  <si>
    <t>患者様の氏名・検査日・検査結果が記載されている用紙をご提示にて処方が可能でございます。</t>
  </si>
  <si>
    <t>受診案内・薬/処方</t>
  </si>
  <si>
    <t>他院検査結果,持参,用紙,氏名,検査日,検査結果,提示,処方可能,他院</t>
  </si>
  <si>
    <t>カンジダ・一般細菌が陽性であったが内服薬の処方は可能ですか</t>
  </si>
  <si>
    <t>カンジダ・一般細菌の感染が膣内で起こっており、内服薬は膣に到達するのに時間を要するため、直接的に膣錠を入れた方が効果的でございます。膣錠の使用が難しい場合は婦人科にて毎日の挿入お手伝い、医師の判断で内服薬に変更できる場合もございますのでご相談ください。</t>
  </si>
  <si>
    <t>おりもの・腟トラブル</t>
  </si>
  <si>
    <t>カンジダ,一般細菌,陽性,内服薬,膣内感染,膣に届くのに時間,膣錠,膣剤,効果的,挿入が難しい,婦人科,医師判断,内服に変更</t>
  </si>
  <si>
    <t>性感染症の薬を使用したが、症状が改善しない</t>
  </si>
  <si>
    <t>抗生剤を使用する場合、免疫力が低下しカンジダになりやすくなります。また、使用してから1週間たっても症状が改善しない場合は、抗生剤が効いていない可能性も考えられます。治療効果の確認として2週間後に再検査を行い、再び陽性の場合には再治療をおすすめします。治療中に我慢できない症状が出た場合は、ご遠慮なくご相談ください。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t>
  </si>
  <si>
    <t>性感染症（性病）/治療</t>
  </si>
  <si>
    <t>薬を使った,症状改善しない,抗生剤,免疫低下,カンジダ,1週間,効いていない,2週間後,再検査,再治療,相談</t>
  </si>
  <si>
    <t>クラミジア・ウレアプラズマ・マイコプラズマとは</t>
  </si>
  <si>
    <t>クラミジア・ウレアプラズマ・マイコプラズマとは性病の一種です。原則として内服薬にて治療を行い、性行為・粘膜接触（キス・オーラルセックス）によって感染する恐れがあります。そのため、陰部だけでなく咽頭や目にも感染する恐れがございます。異変を感じたら当院のご受診をご検討ください。当院では【川崎駅前院】のみ検査のご案内が可能です。また、当院では「FemCHECK」という検査キットを販売しております。こちらはご自宅で検査していただきキットを送っていただければ、結果もWEBから確認が可能です。購入はこちら→https://shop.luna-dr.com/collections/femcheck/products/femcheck</t>
  </si>
  <si>
    <t>クラミジア,ウレアプラズマ,マイコプラズマ,性病,治療,内服薬,感染,性行為,粘膜接触,キス,オーラルセックス,咽頭,目,FemCHECK,検査キット,自宅検査</t>
  </si>
  <si>
    <t>淋菌とは</t>
  </si>
  <si>
    <t>淋菌とは性感染症の一種です。原則、点滴薬または筋肉注射にて治療を行い、性行為・粘膜接触（キス・オーラルセックス）によって感染する恐れがあります。そのため、陰部だけでなく咽頭にも感染する恐れがございます。異変を感じたら当院では「FemCHECK」という検査キットを販売しており、こちらはご自宅で検査していただきキットを送っていただければ、結果もWEBから確認が可能でございます。購入はこちら→https://shop.luna-dr.com/collections/femcheck/products/femcheck</t>
  </si>
  <si>
    <t>淋菌,性病,治療,点滴,筋肉注射,感染,性行為,粘膜接触,キス,オーラルセックス,咽頭感染,FemCHECK,検査キット,自宅検査</t>
  </si>
  <si>
    <t>トリコモナスとは</t>
  </si>
  <si>
    <t>トリコモナスとは性病の一種です。原則、内服薬にて治療を行い、性行為だけでなく、お手洗いやお風呂、共有のタオルの使用でも感染する恐れがあり、とても感染力が強い性病です。感染している恐れがある場合は、次亜塩素酸ナトリウムや消毒用エタノールを使用し、やけどに注意して42度以上のお湯で洗い流すと良いです。異変を感じたら当院では「FemCHECK」という検査キットを販売しており、こちらはご自宅で検査していただきキットを送っていただければ、結果もWEBから確認が可能でございます。購入はこちら→https://shop.luna-dr.com/collections/femcheck/products/femcheck</t>
  </si>
  <si>
    <t>トリコモナス,性病,感染力が強い,内服薬,性行為以外,トイレ,お風呂,タオル共有,次亜塩素酸,エタノール,42度以上,やけど注意,FemCHECK,検査キット,自宅検査</t>
  </si>
  <si>
    <t>梅毒とは</t>
  </si>
  <si>
    <t>梅毒は個人差がありますが、陰部に限らず全身に発疹が出るのが特徴です。基本的に粘膜接触により感染し、避妊具を使用しても防ぐことが難しいです。潜伏期間があるため、不安な性行為から1カ月後・3カ月後に一度、ご自身の状況を確認するためにも血液検査をおすすめいたします。当院での検査はご予約をお取りの上、クリニックにご受診ください。受診のご予約はLINEで受け付けています。LINEはこちら→https://cline-app.com/qr-codes/98ad6f149bfa20f4f2a9a2e91aac4187/preview</t>
  </si>
  <si>
    <t>梅毒,全身の発疹,陰部以外,粘膜接触,避妊具でも防ぎにくい,潜伏期間,1カ月後,3カ月後,血液検査,不安な性行為,予約,受診</t>
  </si>
  <si>
    <t>カンジダとは</t>
  </si>
  <si>
    <t>カンジダ（真菌）は常在菌であるカビでございます。一定数の値が超えるとチーズのようなおりもの異常/カスが出る・臭いが特徴的な症状です。常在菌（誰もが保有している）だが、パートナーとオーラルセックスにて口腔内・陰部に症状が出たり、する場合がございます。治療法としては膣剤・外用薬を用いて真菌を減らして、症状の改善を行います。オンラインでは視診が難しいため、婦人科のご受診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
【乳酸桿菌】膣に直接的に入れることで、繰り返すカンジダ、膀胱炎、細菌の増殖によるおりもの異常に直接アプローチが可能でございます。また、継続的に使用することでより予防効果が効果が高まります。乳酸桿菌の定期配送は以下のURLよりご購入が可能です。https://shop.luna-dr.com/products/lactobacillus</t>
  </si>
  <si>
    <t>カンジダ,真菌,常在菌,カビ,おりもの異常,チーズ状,カス,臭い,オーラルセックス,口腔内,陰部,膣剤,外用薬,オンライン不可,視診,婦人科,予約,乳酸桿菌,再発予防,膀胱炎,定期配送</t>
  </si>
  <si>
    <t>パートナーの分のお薬が欲しい</t>
  </si>
  <si>
    <t>医薬品になりますので、代理処方ができず、ご本人へのみ処方が可能でございます。処方ご希望の患者様ご自身でオンライン診療をお申し込みください。</t>
  </si>
  <si>
    <t>パートナー分,代理処方不可,本人のみ,薬が欲しい,オンライン診療,申込み</t>
  </si>
  <si>
    <t>パートナーが性病陽性だが自身は陰性であった時の対応はどうしたらよいですか？</t>
  </si>
  <si>
    <t>性行為をしているのに結果がちぐはぐな場合は疑問になるのも当然のことです。いくつかの憶測が考えられます。採取がうまくできていない・迅速検査・感染場所が咽頭であったため陰性の結果が出た。元彼が性感染症に感染しており、幸いにも新しいパートナーから移らなかった。何か別の病気で病院に行った際に処方された薬が偶然にも性感染症にも効果があり、気づかないうちに治療をしていた、などが考えられます。</t>
  </si>
  <si>
    <t>パートナー陽性,自分は陰性,結果がちぐはぐ,採取ミス,迅速検査,咽頭感染,元彼,移らなかった,別の薬が効いた,気づかない治療</t>
  </si>
  <si>
    <t>カンジダの追加処方希望</t>
  </si>
  <si>
    <t>カンジダ,追加処方,再発,薬が欲しい,膣剤,外用薬</t>
  </si>
  <si>
    <t>返送したFemCHECK検査キットが検査室に届いているのか／検査結果の確認をしたい</t>
  </si>
  <si>
    <t>返送してから1週間以上経っているのにも関わらず、検査結果の反映がされない場合は検査室に届いた時点でFemCHECKIDの登録がされておらず保留中となっている可能性がございます。今一度FemCHECKID登録が済んでいるか確認の上、FemCHECKID、登録メールアドレス、氏名を明記し、ご連絡をお願い致します。検査結果は、[【こちら】](https://result.luna-dr.com/clinic_login)よりご確認いただけます。
※必ず受診クリニックを正しくご選択の上、ご確認ください。患者番号は、会計時にお渡ししている領収書に記載のある10桁の番号となります。</t>
  </si>
  <si>
    <t>FemCHECK（検査キット）</t>
  </si>
  <si>
    <t>FemCHECK,検査キット,返送,届いているか,検査結果,反映されない,1週間以上,FemCHECKID,登録,保留中,メールアドレス,氏名,連絡</t>
  </si>
  <si>
    <t>予約方法を教えてください</t>
  </si>
  <si>
    <t>当院のご予約は、公式LINEから受け付けています。LINEはこちら→https://cline-app.com/qr-codes/98ad6f149bfa20f4f2a9a2e91aac4187/preview</t>
  </si>
  <si>
    <t>予約方法,予約,LINE,公式LINE,予約はどこから</t>
  </si>
  <si>
    <t>初診は予約が必要ですか？</t>
  </si>
  <si>
    <t>当院では、予約なしでのご来院も受け付けておりますが、スムーズなご案内のため基本的にご予約をお願いします。受診のご予約はLINEで受け付けています。LINEはこちら→https://cline-app.com/qr-codes/98ad6f149bfa20f4f2a9a2e91aac4187/preview</t>
  </si>
  <si>
    <t>初診,予約必要,予約なし,来院,受診,LINE</t>
  </si>
  <si>
    <t>再診は予約が必要ですか？</t>
  </si>
  <si>
    <t>再診,予約必要,予約なし,来院,受診,LINE</t>
  </si>
  <si>
    <t>当日予約は可能ですか？/当日予約は何時まで可能ですか？/当日の予約は何時まで？</t>
  </si>
  <si>
    <t>予約枠が空いている場合、当日のご予約が可能です。LINEから予約枠をご確認くださいませ。LINEはこちら→https://cline-app.com/qr-codes/98ad6f149bfa20f4f2a9a2e91aac4187/preview</t>
  </si>
  <si>
    <t>当日予約,当日,空き,予約枠,LINE</t>
  </si>
  <si>
    <t>翌日の予約は可能ですか？</t>
  </si>
  <si>
    <t>予約枠が空いている場合、ご予約が可能です。LINEから予約枠をご確認くださいませ。LINEはこちら→https://cline-app.com/qr-codes/98ad6f149bfa20f4f2a9a2e91aac4187/preview</t>
  </si>
  <si>
    <t>翌日予約,明日,予約枠,空き,LINE</t>
  </si>
  <si>
    <t>WEB予約は可能ですか？</t>
  </si>
  <si>
    <t>当院では、24時間WEBで予約を承っております。ご予約はLINEアプリからWEB予約をしてただく流れとなります。
LINEはこちら→https://cline-app.com/qr-codes/98ad6f149bfa20f4f2a9a2e91aac4187/preview</t>
  </si>
  <si>
    <t>WEB予約,ネット予約,オンライン予約,24時間,LINE</t>
  </si>
  <si>
    <t>LINEで予約できますか？</t>
  </si>
  <si>
    <t>当院では、24時間LINEで予約を承っております。ご予約はLINEアプリから予約をしてただく流れとなります。
LINEはこちら→https://cline-app.com/qr-codes/98ad6f149bfa20f4f2a9a2e91aac4187/preview</t>
  </si>
  <si>
    <t>LINE予約,LINE,オンライン予約,24時間</t>
  </si>
  <si>
    <t>電話で予約できますか？</t>
  </si>
  <si>
    <t>LINEでの予約後、事前問診等もLINEから行うことができ、スムーズに受診ができるため、当院ではLINEでのご予約を推奨しております。LINEはこちら→https://cline-app.com/qr-codes/98ad6f149bfa20f4f2a9a2e91aac4187/preview</t>
  </si>
  <si>
    <t>電話予約,電話,予約方法,LINE推奨,事前問診</t>
  </si>
  <si>
    <t>予約時間どおりに受診できますか？</t>
  </si>
  <si>
    <t>診療状況によって診療時間は予約時間通りにできるかは前後いたします。ご了承いただけますと幸いです。</t>
  </si>
  <si>
    <t>予約時間,時間通り,待ち時間,診療状況</t>
  </si>
  <si>
    <t>予約なしでも受診できますか？</t>
  </si>
  <si>
    <t>当院では、予約なしでも受診が可能です。
外来の混雑状況によっては、受付をお受けできない場合がございますので、あらかじめご了承ください。
予約をされていない場合の最終受付時間は、以下の通りです。
【処方済みのピル処方・アフターピル・月経移動】
・午前：13:30まで
・午後：平日19:30まで／土日祝18:30まで
【それ以外のご相談】
・午前：平日13:00まで／土日祝12:00まで
・午後：平日18:00まで／土日祝17:00まで
平日18:00以降は特に混み合うため、予約なしでご来院の場合は、できるだけ17:00までに受付いただけますと幸いです。
なお、混雑状況によっては、18:00以降はピル処方・中絶相談以外の予約なし診察の受付を制限させていただく場合がございます。</t>
  </si>
  <si>
    <t>予約なし,飛び込み,受診可否,最終受付,受付時間,ピル,アフターピル,月経移動</t>
  </si>
  <si>
    <t>遅刻したらどうなりますか？/10分以上遅れた場合は受診できますか？/何分遅れたら自動キャンセルですか？/何分遅刻したらキャンセルになりますか？/遅刻したらキャンセル扱いですか？</t>
  </si>
  <si>
    <t>予約・受診</t>
  </si>
  <si>
    <t>遅刻,10分,キャンセル,予約,自動キャンセル,キャンセル扱い</t>
  </si>
  <si>
    <t>予約の日時変更はどうすればいいですか？</t>
  </si>
  <si>
    <t>予約の日時変更はLINEの「予約状況の確認」からお進みください。LINEはこちら→https://cline-app.com/qr-codes/98ad6f149bfa20f4f2a9a2e91aac4187/preview</t>
  </si>
  <si>
    <t>予約変更,日時変更,キャンセル,LINE</t>
  </si>
  <si>
    <t xml:space="preserve">予約のキャンセルしたいです/当日キャンセルしたい/体調不良でキャンセルしたい/いつまでにキャンセルすればいいですか？/キャンセルはいつまで？
</t>
  </si>
  <si>
    <t>予約の日時変更はLINEの「予約状況の確認」からお進みください。キャンセルの場合は、画面下の「予約確認」からお進みください。キャンセル料もかかりませんので、次回もお気兼ねなくご予約ください。LINEはこちら→https://cline-app.com/qr-codes/98ad6f149bfa20f4f2a9a2e91aac4187/preview
※中絶手術（オペ）のご予約をお取りされている方はキャンセル期限がございますので、お電話（050-1730-2768）にてご連絡をお願いいたします。中絶の相談のご予約は、期限なくキャンセル可能です。</t>
  </si>
  <si>
    <t>予約,キャンセル,LINE</t>
  </si>
  <si>
    <t>初診は予約が必要か</t>
  </si>
  <si>
    <t>初診,予約必要,来院,受診,予約をお取りの上</t>
  </si>
  <si>
    <t>再診は予約が必要か</t>
  </si>
  <si>
    <t>再診,予約必要,来院,受診,予約をお取りの上</t>
  </si>
  <si>
    <t>予約内容を間違えた</t>
  </si>
  <si>
    <t>予約内容をお間違いの場合、LINEの「予約状況の確認」からキャンセルの上、再度ご予約をお取り直しください。お電話でご予約された方は、お電話（050-1730-2768）にて変更をお願いします。</t>
  </si>
  <si>
    <t>いつも横浜駅前院に通っていますが、川崎駅前院や町田駅前院に行っても良いですか？/別の院で受診すると初診扱いですか？/他の院に行くと初診料がかかりますか？/病院を違う院にいきたい/別の院で同じ薬をもらいたい/他の院で経過を聞きたい/店舗変更/院を変更したい/通う院を変えたい/横浜駅前院に行くのは始めてですが初診になりますか？/川崎駅前院に行くのは始めてですが初診になりますか？/町田駅前院に行くのは初めてですが初診になりますか？/別の院は初めてですが初診ですか？/別の院でピルのみ受け取ることはできますか？/他の院で薬だけもらえますか？/川崎院→横浜院に変えるとき初めてを選ぶ？/町田に通っていたが横浜に通いたい、ピルだけ処方は可能？</t>
  </si>
  <si>
    <t>院変更,横浜駅前院,川崎駅前院,町田駅前院,初診料,保険診療,MRI,紹介状,検査結果,初診,別の院,他の院</t>
  </si>
  <si>
    <t>いつも川崎駅前院に通っていますが、横浜駅前院や町田駅前院に行っても良いですか？/別の院で受診すると初診扱いですか？/他の院に行くと初診料がかかりますか？/病院を違う院にいきたい/別の院で同じ薬をもらいたい/他の院で経過を聞きたい/店舗変更/院を変更したい/通う院を変えたい/横浜駅前院に行くのは始めてですが初診になりますか？/川崎駅前院に行くのは始めてですが初診になりますか？/町田駅前院に行くのは初めてですが初診になりますか？/別の院は初めてですが初診ですか？/別の院でピルのみ受け取ることはできますか？/他の院で薬だけもらえますか？/横浜院→川崎院は初診扱いですか？/川崎院に行ったことがあれば初回ではない？</t>
  </si>
  <si>
    <t>いつも町田駅前院に通っていますが、川崎駅前院や横浜駅前院に行っても良いですか？/別の院で受診すると初診扱いですか？/他の院に行くと初診料がかかりますか？/病院を違う院にいきたい/別の院で同じ薬をもらいたい/他の院で経過を聞きたい/店舗変更/院を変更したい/通う院を変えたい/横浜駅前院に行くのは始めてですが初診になりますか？/川崎駅前院に行くのは始めてですが初診になりますか？/町田駅前院に行くのは初めてですが初診になりますか？/別の院は初めてですが初診ですか？/別の院でピルのみ受け取ることはできますか？/他の院で薬だけもらえますか？/町田駅前院で診察した内容を横浜院で診察してもらえるか</t>
  </si>
  <si>
    <t>LINEがない/LINEアプリをインストールしていない/LINEできない/電話したい/電話番号を教えて</t>
  </si>
  <si>
    <t>当院の電話番号は050-1730-2768 （受付時間：平日9:45〜13:40・15:15〜19:40、土日祝9:45〜13:40・15:15〜18:40）になります。（電話番号は全院共通です。）</t>
  </si>
  <si>
    <t>LINE</t>
  </si>
  <si>
    <t>LINE,LINEない,電話</t>
  </si>
  <si>
    <t>駐車場はありますか？</t>
  </si>
  <si>
    <t>大変恐縮ですが、当院では駐車場のご用意はございません。お近くのコインパーキングをご利用いただけますと幸いです。（駐車料金はご利用者さまのご負担となります）</t>
  </si>
  <si>
    <t>駐車場</t>
  </si>
  <si>
    <t>駐車場,コインパーク,コインパーキング</t>
  </si>
  <si>
    <t>医療ローンはありますか？/分割払いはできますか？</t>
  </si>
  <si>
    <t>大変恐縮ではございますが、当院では医療ローンのお取り扱いはございません。ご了承くださいませ。</t>
  </si>
  <si>
    <t>支払い方法</t>
  </si>
  <si>
    <t>医療ローン,分割払い,支払い方法</t>
  </si>
  <si>
    <t>ルナレディースクリニックでは、院によって休診日・診療日が異なります。
・横浜駅前院：土日祝日も含め、毎日診療を行っています。平日は午前診療が10:00〜14:00、午後診療が15:30〜20:00です。土日祝は午前診療が10:00〜14:00、午後診療が15:30〜19:00です。診療時間はこちら：https://luna-dr.com/yokohama/consultation-hours/ 
・川崎駅前院：土日祝日も含め、毎日診療を行っています。平日は午前診療が10:00〜14:00、午後診療が15:30〜20:00です。土日祝は午前診療が10:00〜14:00、午後診療が15:30〜19:00です。診療時間はこちら：https://luna-dr.com/kawasaki/consultation-hours/ 
・町田駅前院：定休日は日曜日です。その他の曜日は診療を行っています。診療時間はこちら：https://luna-dr.com/machida/consultation-hours/</t>
  </si>
  <si>
    <t>休診日,定休日,日曜休診,院未指定</t>
  </si>
  <si>
    <t>診療時間を教えてください/受付可能時間は何時ですか？/受付は何時までですか？/何時まで開いていますか？/営業時間を教えてください</t>
  </si>
  <si>
    <t>ルナレディースクリニックでは院によって診療時間・休診日が異なります。
・横浜駅前院：平日は午前診療が10:00〜14:00、午後診療が15:30〜20:00です。土日祝は午前診療が10:00〜14:00、午後診療が15:30〜19:00です。土日祝日も含め、毎日診療を行っています。診療時間はこちら：https://luna-dr.com/yokohama/consultation-hours/ 
・川崎駅前院：平日は午前診療が10:00〜14:00、午後診療が15:30〜20:00です。土日祝は午前診療が10:00〜14:00、午後診療が15:30〜19:00です。土日祝日も含め、毎日診療を行っています。診療時間はこちら：https://luna-dr.com/kawasaki/consultation-hours/ 
・町田駅前院：午前診療が10:00〜14:00、午後診療が15:30〜20:00です。日曜は休診となります。土曜日の午後診療は15:30〜19:00です。診療時間はこちら：https://luna-dr.com/machida/consultation-hours/</t>
  </si>
  <si>
    <t>診療時間,営業時間,院未指定,町田駅前院,川</t>
  </si>
  <si>
    <t>今日診療していますか？</t>
  </si>
  <si>
    <t>ルナレディースクリニックでは院によって診療日が異なります。
・横浜駅前院：土日祝日も含め、毎日診療を行っています。平日は午前診療が10:00〜14:00、午後診療が15:30〜20:00です。土日祝は午前診療が10:00〜14:00、午後診療が15:30〜19:00です。診療時間はこちら：https://luna-dr.com/yokohama/consultation-hours/ 
・川崎駅前院：土日祝日も含め、毎日診療を行っています。平日は午前診療が10:00〜14:00、午後診療が15:30〜20:00です。土日祝は午前診療が10:00〜14:00、午後診療が15:30〜19:00です。診療時間はこちら：https://luna-dr.com/kawasaki/consultation-hours/ 
・町田駅前院：午前10:00〜14:00／午後15:30〜20:00で診療しており、日曜は休診です（土曜午後は15:30〜19:00）。診療時間はこちら：https://luna-dr.com/machida/consultation-hours/</t>
  </si>
  <si>
    <t>今日,本日,診療,やってる,診療日,休診日,祝日,土日,院未指定,横浜駅前院,川崎駅前院,町田駅前院</t>
  </si>
  <si>
    <t>https://luna-dr.com/yokohama/ | https://luna-dr.com/kawasaki/ | https://luna-dr.com/machida/</t>
  </si>
  <si>
    <t>夜も診療していますか？</t>
  </si>
  <si>
    <t>ルナレディースクリニックでは院によって診療時間が異なります。
・横浜駅前院：平日の午後診療は15:30〜20:00です。土日祝の午後診療は15:30〜19:00です。診療時間はこちら：https://luna-dr.com/yokohama/consultation-hours/ 
・川崎駅前院：平日の午後診療は15:30〜20:00です。土日祝の午後診療は15:30〜19:00です。診療時間はこちら：https://luna-dr.com/kawasaki/consultation-hours/ 
・町田駅前院：午後診療は15:30〜20:00です。土曜日の午後診療は15:30〜19:00です。日曜は休診です。診療時間はこちら：https://luna-dr.com/machida/consultation-hours/</t>
  </si>
  <si>
    <t>夜,夜間,午後,20時,遅くまで,診療時間,院未指定,横浜駅前院,川崎駅前院,町田駅前院</t>
  </si>
  <si>
    <t>https://luna-dr.com/machida/ | https://luna-dr.com/kawasaki/ | https://luna-dr.com/yokohama/</t>
  </si>
  <si>
    <t>ルナレディースクリニックでは院によって診療日が異なります。
・横浜駅前院：土日祝日も含め、毎日診療を行っています（土日祝の診療時間は午前10:00〜14:00／午後15:30〜19:00です）。詳しくはこちら：https://luna-dr.com/yokohama/consultation-hours/ 
・川崎駅前院：土日祝日も含め、毎日診療を行っています（土日祝の診療時間は午前10:00〜14:00／午後15:30〜19:00です）。詳しくはこちら：https://luna-dr.com/kawasaki/consultation-hours/ 
・町田駅前院：日曜は休診です。土曜日に診療時間は午前10:00〜14:00／午後15:30〜19:00です。詳しくはこちら：https://luna-dr.com/machida/consultation-hours/</t>
  </si>
  <si>
    <t>土日,祝日,休日,診療,やってる,開いてる,診療日,休診日,院未指定,横浜駅前院,川崎駅前院,町田駅前院</t>
  </si>
  <si>
    <t>住所を教えてください</t>
  </si>
  <si>
    <t>ルナレディースクリニックの住所は院によって異なります。
・横浜駅前院：〒220-0004 神奈川県横浜市西区北幸1丁目1-8 エキニア横浜7F（横浜駅から徒歩2分）。詳しくはこちら：https://luna-dr.com/yokohama/
・川崎駅前院：〒210-0007 神奈川県川崎市川崎区駅前本町3-1 NMF川崎東口ビルB1F（川崎駅から徒歩30秒）。詳しくはこちら：https://luna-dr.com/kawasaki/
・町田駅前院：〒194-0013 東京都町田市原町田6丁目3-20 TK町田ビル3階（町田駅から徒歩2分）。詳しくはこちら：https://luna-dr.com/</t>
  </si>
  <si>
    <t>住所,所在地,どこ,場所,アクセス,院未指定,横浜駅前院,川崎駅前院,町田駅前院</t>
  </si>
  <si>
    <t>https://luna-dr.com/yokohama/ | https://luna-dr.com/kawasaki/ | https://luna-dr.com/</t>
  </si>
  <si>
    <t>駅から近いですか？/交通アクセスを教えてください/アクセスは？/駅からどう行けばいいですか？</t>
  </si>
  <si>
    <t>ルナレディースクリニックは院によって最寄駅からの距離が異なります。
・横浜駅前院：最寄り駅は「横浜駅」となります。JR横浜駅西口から徒歩2分、地下直結のエキニア横浜7Fにあります。詳しくはこちら：https://luna-dr.com/yokohama/
・川崎駅前院：最寄り駅は「川崎駅」となります。JR川崎駅東口から徒歩30秒（アゼリア直結:地下26番出口）のNMF川崎東口ビルB1Fにあります。詳しくはこちら：https://luna-dr.com/kawasaki/
・町田駅前院：最寄り駅は「町田駅」となります。JR町田駅北口、小田急線町田駅西口から徒歩3分のTK町田ビル3階にあります。詳しくはこちら：https://luna-dr.com/machida/</t>
  </si>
  <si>
    <t>駅から近い,交通アクセス,最寄駅,徒歩,院未指定,横浜駅,川崎駅,町田駅,横浜駅前院,川崎駅前院,町田駅前院,行き方, 道順, ルート, 地図, 乗り換え, 出口, 徒歩, 駅から, 案内, アクセス方法</t>
  </si>
  <si>
    <t>料金を教えてください/料金を教えて/料金/費用/いくらですか/値段/価格/料金一覧/いくらぐらいかかる？/いくらかかりますか？/費用はどのくらい？/だいたいいくら？</t>
  </si>
  <si>
    <t>ルナレディースクリニックの料金は、院によって異なる場合があります。詳しい情報は各院の料金ページをご確認ください。・町田駅前院の料金はこちら：https://luna-dr.com/machida/price/　・川崎駅前院の料金はこちら：https://luna-dr.com/kawasaki/price/　・横浜駅前院の料金はこちら：https://luna-dr.com/yokohama/price/</t>
  </si>
  <si>
    <t>料金</t>
  </si>
  <si>
    <t>料金,費用,いくら,値段,価格,院未指定,町田駅前院,川崎駅前院,横浜駅前院,料金ページ</t>
  </si>
  <si>
    <t>https://luna-dr.com/machida/price/ | https://luna-dr.com/kawasaki/price/ | https://luna-dr.com/yokohama/price/</t>
  </si>
  <si>
    <t xml:space="preserve">料金と支払い方法を教えてください
</t>
  </si>
  <si>
    <t>ルナレディースクリニックの料金は、院によって異なる場合があります。詳しい情報は各院の料金ページをご確認ください。・町田駅前院の料金はこちら：https://luna-dr.com/machida/price/　・川崎駅前院の料金はこちら：https://luna-dr.com/kawasaki/price/　・横浜駅前院の料金はこちら：https://luna-dr.com/yokohama/price/
お支払いは、現金のほか、クレジットカード（VISA、Mastercard、JCB、American Express、Diners Club、Discover）、交通系電子マネー（Suica、PASMO、Kitaca、TOICA、manaca、ICOCA、SUGOCA、nimoca、はやかけん）、電子マネー（QUICPay、iD、WAON）、QRコード決済（Alipay、WeChat Pay、PayPay、d払い、mPay）をご利用いただけます。</t>
  </si>
  <si>
    <t>料金,初診料,費用,支払い方法,決済</t>
  </si>
  <si>
    <t>チャットを終了したい/チャットを消したい/じゃま/消えて/消して</t>
  </si>
  <si>
    <t>操作が分かりにくく、申し訳ありません。右下のバナーをもう一度押していただければ本チャットは終了致します。ご利用いただき、ありがとうございました。</t>
  </si>
  <si>
    <t>操作</t>
  </si>
  <si>
    <t>チャット,終了,終わりたい,消したい</t>
  </si>
  <si>
    <t>男性も来院できますか？/男性の同伴はできますか？/パートナーは院内で待てますか？/付き添いは可能ですか？/連れの男性は院内に入れますか？</t>
  </si>
  <si>
    <t>大変恐縮ですが、当院では男性のご来院はお控えいただいております。</t>
  </si>
  <si>
    <t>受診ルール・院内ルール</t>
  </si>
  <si>
    <t>男性,来院,同伴,院内ルール</t>
  </si>
  <si>
    <t>救急対応はしていますか？/急な症状でも診てもらえますか？/発熱や激しい腹痛、出血が多いときは受診できますか？/救急の場合はどうしたらいいですか？/緊急の場合はどうすればいいですか？/たくさん血が出ている/大量出血で動けない/出血がひどくて動けません</t>
  </si>
  <si>
    <t>恐れ入りますが、当院は救急対応施設ではないため、発熱、急性腹症、大量の性器出血といった症状がある場合は、当院では診療を行えない可能性が高いため、救急対応の行える医療機関へのご受診をお願いいたします。</t>
  </si>
  <si>
    <t>救急,発熱,急性腹症,大量出血,総合病院,救急,緊急,どうしたらいい,急患,血が止まらない,動けない,激しい,急性</t>
  </si>
  <si>
    <t>体重が重くても受診できますか？/体重100kg以上でも診察できますか？</t>
  </si>
  <si>
    <t>当院では、診察台の仕様上、体重100kgを超える患者さまはお受け入れできません。</t>
  </si>
  <si>
    <t>体重,100kg,受診可否,診察台</t>
  </si>
  <si>
    <t>初めてですが保険でピルは処方できますか？/初診で保険ピルを希望する場合に検査は必要ですか？</t>
  </si>
  <si>
    <t>当院では、当院受診が初めてで保険ピル処方をご希望の場合、経腟エコー検査が必要になります。</t>
  </si>
  <si>
    <t>ピル・月経</t>
  </si>
  <si>
    <t>保険ピル,初診,ピル処方,経腟エコー</t>
  </si>
  <si>
    <t>妊娠中の診察は何週まで可能ですか？/妊娠中の子宮頸がん検診は受けられますか？</t>
  </si>
  <si>
    <t>当院では、妊娠12週まで診察可能です。子宮頸がん検診については、当院で妊娠経過を診ている方は妊娠10週まで受けられます。なお、他院で妊娠経過を診てもらっている方は、かかりつけ医にて子宮頸がん検診を受けてください。</t>
  </si>
  <si>
    <t>妊娠・妊婦健診</t>
  </si>
  <si>
    <t>妊娠12週,妊娠10週,子宮頸がん検診,妊娠中</t>
  </si>
  <si>
    <t>キャンセル待ちはできますか？/キャンセル待ちできますか？</t>
  </si>
  <si>
    <t>当院では、キャンセル待ちは承っておりません。</t>
  </si>
  <si>
    <t>キャンセル待ち,予約</t>
  </si>
  <si>
    <t>妊娠できるか調べられますか？/妊娠できるか検査できますか？/妊娠したいのですが相談できますか？/妊娠したい</t>
  </si>
  <si>
    <t>ルナレディースクリニックでは、妊娠できるかどうかを調べるための診療や、妊活を目的とした検査・治療は行っておりません。妊娠や妊活についての詳しい検査・ご相談をご希望の場合は、専門の医療機関への受診をご検討ください。</t>
  </si>
  <si>
    <t>妊娠・妊活</t>
  </si>
  <si>
    <t>妊娠できるか,妊活,検査</t>
  </si>
  <si>
    <t>子供の同伴は可能ですか？</t>
  </si>
  <si>
    <t>ルナレディースクリニックでは、お子様の同伴について以下の通りご案内しております。
・女児は制限はございません。
・男児は未就学児まで診察室への入室が可能です。
いずれの場合も、患者様ご本人が責任をもってお子様を見守っていただくことを条件といたします。お子様を待合室にお一人でお待たせいただくことはご遠慮ください。必ず診察室内でご一緒にお待ちください。なお、当院は男性の入室をご遠慮いただいております。未就学児を超える男児につきましても、院内への入室（待合室での待機を含む）はご遠慮いただいております。該当するお子様をお連れの場合は、ご来院をお控えくださいますようお願い申し上げます。</t>
  </si>
  <si>
    <t>受診案内・院内ルール</t>
  </si>
  <si>
    <t>子供同伴,お子様同伴,男児,女児,未就学児,入室制限,待合室,院内ルール</t>
  </si>
  <si>
    <t>健康診断で細胞診が陽性でしたが受診できますか？</t>
  </si>
  <si>
    <t>健康診断での細胞診結果が陽性の場合、検査結果の内容によってお受けできるものと出来かねるものがございます。そのため、詳細につきましては恐れ入りますがお電話にてご相談ください。お電話は 050-1730-2768 となります。なお、本件はオンライン診療では対応できかねますので、受診可能な内容の場合はご来院でのご案内となります。</t>
  </si>
  <si>
    <t>受診可否・検査結果</t>
  </si>
  <si>
    <t>健康診断,細胞診,陽性,受診可否,来院診療,オンライン診療不可,要電話確認</t>
  </si>
  <si>
    <t>受診内容が分からない場合はどうすればよいですか？/受診内容が分からない/受診ないようどれがいい</t>
  </si>
  <si>
    <t>受診内容がご不明な場合は、お電話にてご相談くださいませ。症状やご希望内容をお伺いし、適切な受診内容をご案内いたします。お電話は 050-1730-2768 となります。</t>
  </si>
  <si>
    <t>受診案内・予約相談</t>
  </si>
  <si>
    <t>受診内容が分からない,どれで予約,予約内容不明,症状相談,電話相談,予約相談</t>
  </si>
  <si>
    <t>セカンドオピニオンは受けられますか？/紹介状なしでセカンドオピニオンは受け付けている？/他院の診断について相談したい/セカンドオピニオンについて教えてください</t>
  </si>
  <si>
    <t>ルナレディースクリニックでは、セカンドオピニオンのみの対応は行っておりません。ただし、通常の診察として現在の症状やご状況についてご相談いただくことは可能です。</t>
  </si>
  <si>
    <t>受診案内・診察体制</t>
  </si>
  <si>
    <t>セカンドオピニオン,他院意見,相談,通常診察,受診可否</t>
  </si>
  <si>
    <t>検査結果で陽性が出た場合は受診したほうが良いですか？/別の病院で検査したら陽性</t>
  </si>
  <si>
    <t>ルナレディースクリニックでは、検査の種類によってご案内が異なります。◆FemCHECK（郵送検査）で陽性の場合 WEB上の案内よりオンライン診療が可能です。◆当院で受けた検査（がん検診・細菌培養・淋病検査・クラミジア検査など）で陽性の場合 お薬の処方や治療についてご案内いたしますのでお電話にてお問い合わせください。◆がん検診で陽性（要精密検査）の場合 内容により対応が異なりますのでお電話にてお問い合わせください。◆他院で受けた検査で陽性の場合 検査結果の内容やご希望内容をお伺いし、適切な受診内容をご案内いたしますのでお電話にてお問い合わせください。お電話は 050-1730-2768 となります。</t>
  </si>
  <si>
    <t>検査結果・陽性対応</t>
  </si>
  <si>
    <t>陽性,検査結果,受診,オンライン診療,FemCHECK,性感染症検査,がん検診,他院検査</t>
  </si>
  <si>
    <t>産後の受診はできますか？/産後の相談はできますか？/産後の体調について相談したい/産後の診察はしていますか？</t>
  </si>
  <si>
    <t>恐れ入りますが、ルナレディースクリニックでは、産後1ヶ月以内の診療は行っておりません。産後まもない時期は、出産時の経過や処置内容などの情報が診療上重要となるため、まずは出産された医療機関にお問い合わせください。</t>
  </si>
  <si>
    <t>産後ケア・受診案内</t>
  </si>
  <si>
    <t>産後,産後受診,1ヶ月以内,診療不可,電話問い合わせ,産後相談,産後ケア,産後受診</t>
  </si>
  <si>
    <t>悪阻がひどいので点滴希望/つわりの薬を出してもらえますか？/悪阻の薬はありますか？</t>
  </si>
  <si>
    <t>当院では吐き気止めの処方は可能ですが、悪阻に対する点滴治療は行っておりません。吐き気止めをご希望の場合は「一般婦人科診療」のメニューでご予約ください。→https://cline-app.com/qr-codes/98ad6f149bfa20f4f2a9a2e91aac4187/preview</t>
  </si>
  <si>
    <t>診療可否</t>
  </si>
  <si>
    <t>悪阻,つわり,点滴,妊娠,治療不可</t>
  </si>
  <si>
    <t>異形成の受診はできますか？</t>
  </si>
  <si>
    <t>大変恐縮ではございますが、当院では異形成の検査・診察は行っておりません。恐れ入りますが、お近くの婦人科をご受診ください。</t>
  </si>
  <si>
    <t>受診可否・対応不可</t>
  </si>
  <si>
    <t>異形成,子宮頸部異形成,CIN,軽度異形成,中等度異形成,高度異形成,健診異常,細胞診異常,受診可否,受診不可</t>
  </si>
  <si>
    <t>クレームを伝えたい/不満があります/対応に問題がありました/改善してほしいことがあります/スタッフの対応が気になりました/医師の態度</t>
  </si>
  <si>
    <t>ご不便・ご不満をおかけしてしまい、大変申し訳ございません。
いただいたご意見は、より良い医療サービスのために真摯に受け止めております。
以下のご意見フォームより詳しくお聞かせいただけますと幸いです。
→ https://docs.google.com/forms/d/e/1FAIpQLSc3UbKV7RThiDP2RwV5SJUs203CQCPFY-8VJJCWJch0nVxBOQ/viewform?usp=header
ご返答をご希望の場合は、フォーム内にメールアドレスのご入力をお願いいたします。追ってメールにてご連絡いたします。なお、内容により事実確認にお時間をいただく場合がございます。
※ 診察のご予約や体調に関するお急ぎのご相談は、お電話にて直接ご連絡ください。</t>
  </si>
  <si>
    <t>クレーム・ご意見</t>
  </si>
  <si>
    <t>クレーム, 苦情, 不満, 改善, ご意見, フィードバック, 対応, スタッフ, 問題</t>
  </si>
  <si>
    <t>https://docs.google.com/forms/d/e/1FAIpQLSc3UbKV7RThiDP2RwV5SJUs203CQCPFY-8VJJCWJch0nVxBOQ/viewform?usp=header</t>
  </si>
  <si>
    <t>相模原市のがん検診は受けられますか？/相模原市の子宮頸がん検診は対応していますか？/相模原市のクーポンは使えますか？/相模原市の子宮がん検診はできますか？</t>
  </si>
  <si>
    <t>大変恐縮ですが、当院で対応している自治体のがん検診は横浜市・川崎市・町田市のみとなっており、相模原市のがん検診（子宮頸がん検診）には対応しておりません。相模原市にお住まいの方は、自費での子宮頸がん検診（5,000円・税込）をお受けいただくことは可能です。ご予約は公式LINEから承っております。LINEはこちら→https://cline-app.com/qr-codes/98ad6f149bfa20f4f2a9a2e91aac4187/preview</t>
  </si>
  <si>
    <t>相模原市,がん検診,子宮頸がん検診,自治体検診,クーポン,対応外</t>
  </si>
  <si>
    <t>性病検査は保険診療で受けられますか？/性感染症検査は保険適用ですか？/性病検査は保険がききますか？/性感染症の検査は自費ですか？</t>
  </si>
  <si>
    <t>■ 症状がある場合
おりものの異常・かゆみ・痛みなど具体的な症状がある方は、医師の判断により健康保険を適用した検査が可能です
■ 症状がない場合
「念のためチェックしておきたい」「パートナーのために確認したい」など、無症状でのスクリーニングをご希望の場合は、原則、自由診療（自費）となります。
保険適用の可否や検査内容は、診察時に状態を確認しながらご説明いたします。
検査をご希望の方は、ご予約のうえご来院ください。ご予約は公式LINEから承っております。ご予約はLINE予約画面の「一般婦人科診療」のメニューからお取りください。→https://cline-app.com/qr-codes/98ad6f149bfa20f4f2a9a2e91aac4187/preview</t>
  </si>
  <si>
    <t>性病検査,保険診療,保険適用,自費,性感染症検査,スクリーニング</t>
  </si>
  <si>
    <t>肛門ポリープの診察はできますか？/肛門の診察はできますか？/肛門の症状は診てもらえますか？</t>
  </si>
  <si>
    <t>大変恐縮ですが、当院は婦人科クリニックのため、肛門に関する診療は行っておりません。肛門ポリープについては、肛門科（肛門外科）をご受診ください。</t>
  </si>
  <si>
    <t>肛門,肛門ポリープ,診療不可,対応外</t>
  </si>
  <si>
    <t>ブライダルチェックを予約したいのですが、メニューで何を選べばいいですか？/ブライダルチェックの予約は何のメニューで取ればいいですか？/ブライダルチェックは何の項目で予約しますか？</t>
  </si>
  <si>
    <t>ブライダルチェックのご予約は、LINE予約画面の「一般婦人科診療」のメニューからお取りください。ご予約は公式LINEから承っております。LINEはこちら→https://cline-app.com/qr-codes/98ad6f149bfa20f4f2a9a2e91aac4187/preview</t>
  </si>
  <si>
    <t>ブライダルチェック,予約メニュー,一般婦人科診療,予約方法,メニュー選択</t>
  </si>
  <si>
    <t>LINEで診察券番号はどこで確認できますか？/診察番号の確認方法を教えてください/診察番号を教えてください/診察番号の確認方法</t>
  </si>
  <si>
    <t>LINEでの診察券番号の確認方法については、こちらのページをご参照ください。→https://luna-dr.notion.site/f0a26ab231534d8fa9cb069193c411a4</t>
  </si>
  <si>
    <t>LINE,診察券番号,確認方法,番号,どこで確認,診察番号</t>
  </si>
  <si>
    <t>自費のピルはクレジットカードで払えますか？/ピルの支払いはクレジットカードは使えますか？/自費ピルの支払い方法は？</t>
  </si>
  <si>
    <t>ルナレディースクリニックでは、自費のピル処方を含め、現金のほか、クレジットカード（VISA、Mastercard、JCB、American Express、Diners Club、Discover）、交通系電子マネー、QRコード決済（PayPayなど）でお支払いいただけます。</t>
  </si>
  <si>
    <t>自費ピル,クレジットカード,支払い方法,ピル,決済</t>
  </si>
  <si>
    <t>ベビーカーで行けますか？/ベビーカーで来院できますか？/ベビーカーは持ち込めますか？/赤ちゃん連れで行けますか？</t>
  </si>
  <si>
    <t>ベビーカーでのご来院は可能です。ただし、ベビーカーの大きさによっては院内で折りたたんでいただく場合がございます。その際は、患者さまご本人様にお子様を抱っこしていただく必要がございますので、あらかじめご了承ください。</t>
  </si>
  <si>
    <t>ベビーカー,赤ちゃん連れ,子連れ,抱っこ,来院</t>
  </si>
  <si>
    <t>保険診療の料金はいくらですか？/保険診療の大体の金額を教えてください/保険診療の費用はいくらくらいですか？/保険診療の値段を知りたい</t>
  </si>
  <si>
    <t>保険診療の料金は、診察内容や検査項目によって異なります。おおよその目安につきましては、各院の料金ページをご確認ください。※診察内容により変動する可能性がございます。横浜駅前院：https://luna-dr.com/yokohama/price/ →川崎駅前院：https://luna-dr.com/kawasaki/price/ →町田駅前院：https://luna-dr.com/machida/price/</t>
  </si>
  <si>
    <t>保険診療,料金,金額,費用,いくら,保険適用</t>
  </si>
  <si>
    <t>https://luna-dr.com/yokohama/price/ | https://luna-dr.com/kawasaki/price/ | https://luna-dr.com/machida/price/</t>
  </si>
  <si>
    <t>これから予約なしで行きたいのですが大丈夫ですか？/今から予約なしで行けますか？/今日予約なしで行っても大丈夫ですか？/今から行きたいのですが予約なしで受診できますか？ /今日今から行けますか？/今から行けますか？/当日予約はできますか？/予約がいっぱいの場合直接行って待てば見てもらえますか？/予約が取れないが直接行っていいか /今日今から行けますか？/予約がいっぱいの場合直接行って待てば見てもらえますか？</t>
  </si>
  <si>
    <t>直接のご来院も可能ですが、待ち時間が発生する場合がございます。また、混雑状況によってはお受けできない場合や、ご案内を終了している場合もございます。事前にご予約をいただくことでスムーズに診察に進むことができます。ご予約は公式LINEからお取りください。LINEはこちら→https://cline-app.com/qr-codes/98ad6f149bfa20f4f2a9a2e91aac4187/preview
本日のご受診をご希望の場合は、ご受診内容によっては受付時間が異なるため、お電話（050-1730-2768）にてご確認ください。</t>
  </si>
  <si>
    <t>これから,今から,予約なし,当日,飛び込み,今日行きたい</t>
  </si>
  <si>
    <t>熱があっても診療してもらえますか？/発熱していても受診できますか？/熱があるのですが受診できますか？/体温が高くても診察してもらえますか？</t>
  </si>
  <si>
    <t>37.5度以上の発熱がある場合は、受診をお受けすることができません。恐れ入りますが、熱が下がってからの受診をお願いいたします。</t>
  </si>
  <si>
    <t>発熱,熱,37.5度,体温,受診不可,受け入れ</t>
  </si>
  <si>
    <t>定期便の料金はいくらですか？/定期配送の料金を教えてください/定期便はいくらですか？/ピルの定期配送の値段を知りたい/定期便の費用</t>
  </si>
  <si>
    <t>定期配送の料金は、こちらのページからご確認ください。→https://shop.luna-dr.com/collections/low_dose_pill_subscription</t>
  </si>
  <si>
    <t>定期便,定期配送,料金,値段,いくら,費用,ピル,サブスク</t>
  </si>
  <si>
    <t>お電話の受付時間は【平日：9:45〜13:40、15:15〜19:40、土日祝：9:45〜13:40、15:15〜18:40】となります。お電話は050-1730-2768（全員共通）となります。</t>
  </si>
  <si>
    <t>お電話の受付時間は【平日：9:45〜13:40、15:15〜19:40、土日祝：9:45〜13:40、15:15〜18:40】となります。お電話は050-1730-2768となります。</t>
  </si>
  <si>
    <t>電話,受付時間,電話番号,何時まで,つながる時間</t>
  </si>
  <si>
    <t>診療時間と料金を教えてください/診療時間と料金/営業時間と料金を知りたい</t>
  </si>
  <si>
    <t>ルナレディースクリニックの診療時間は院によって異なります。・横浜駅前院：平日は午前10:00〜14:00、午後15:30〜20:00。土日祝は午前10:00〜14:00、午後15:30〜19:00。毎日診療しています。詳しくはこちら→https://luna-dr.com/yokohama/ ・川崎駅前院：平日は午前10:00〜14:00、午後15:30〜20:00。土日祝は午前10:00〜14:00、午後15:30〜19:00。毎日診療。詳しくはこちら→https://luna-dr.com/kawasaki/ ・町田駅前院：平日は午前10:00〜14:00、午後15:30〜20:00。日曜は休診。土曜の午後は15:30〜19:00。詳しくはこちら→https://luna-dr.com/machida/ 各院の料金については、料金ページをご確認ください。・横浜駅前院：https://luna-dr.com/yokohama/price/ ・川崎駅前院：https://luna-dr.com/kawasaki/price/ ・町田駅前院：https://luna-dr.com/machida/price/</t>
  </si>
  <si>
    <t>診療時間,料金,営業時間,費用,時間と料金</t>
  </si>
  <si>
    <t>ピルが届かないのですが/定期便が届きません/定期配送のピルが届かない</t>
  </si>
  <si>
    <t>定期配送に関するお問い合わせは、お電話にて承っております。お電話：050-1730-2768（受付時間：平日9:45〜13:40・15:15〜19:40、土日祝9:45〜13:40・15:15〜18:40）</t>
  </si>
  <si>
    <t>ピル届かない,届かない,配送トラブル,定期便</t>
  </si>
  <si>
    <t>保険ピルは毎回診察が必要ですか？/保険ピルの処方のみ受け取りは可能ですか？</t>
  </si>
  <si>
    <t>保険ピルの場合、処方のたびに医師の診察が必須となります。毎回診察室にて医師より処方いたします。なお、医師の判断により年に1回内診がございます。</t>
  </si>
  <si>
    <t>低用量ピル（保険）</t>
  </si>
  <si>
    <t>保険ピル,診察,毎回,処方のみ,受け取り</t>
  </si>
  <si>
    <t>自費診療の場合、初診料や再診料はかかりますか？/自費ピルの初診料はいくらですか？/自費ピルの再診料はいくらですか？/自費診療でのピル処方の初診料と再診料を教えてください</t>
  </si>
  <si>
    <t>自費診療の場合、初診料・再診料はかかりません。保険診療の場合は、毎回初診料または再診料が発生いたします。</t>
  </si>
  <si>
    <t>自費,ピル,初診料,再診料,保険診療</t>
  </si>
  <si>
    <t>町田で処方しているピルを横浜でも処方できますか？/町田で処方しているピルを川崎でも処方できますか？/横浜で処方しているピルを川崎でも処方できますか？/横浜で処方しているピルを町田でも処方できますか？/川崎で処方しているピルを町田でも処方できますか？/川崎で処方しているピルを横浜でも処方できますか？</t>
  </si>
  <si>
    <t>当院の別の院でもピルの処方は可能です。カルテは電子カルテですべての院で共有されておりますので、継続としての処方が可能です。ただし、別の院での受診は初診扱いとなり、保険診療の場合は初診料がかかりますので予めご了承くださいませ。</t>
  </si>
  <si>
    <t>院変更,ピル処方,別の院,カルテ,引き継ぎ</t>
  </si>
  <si>
    <t>ピルの種類を変更したいのですが/避妊効果ありのピルから避妊効果なしのピルに変えたい/OCからLEPに変更したい/ピルを変えたい/ピルの変更</t>
  </si>
  <si>
    <t>ピルの種類の変更には医師の診察が必要です。ピルの変更をご希望の場合は、ご受診いただき医師にご相談をお願いいたします。ご予約は公式LINEから24時間承っております。LINEはこちら→https://cline-app.com/qr-codes/98ad6f149bfa20f4f2a9a2e91aac4187/preview</t>
  </si>
  <si>
    <t>ピル変更,種類変更,OC,LEP,切り替え,ピル変更,種類変更,OC,LEP,切り替え,ピルの変更,薬変更,変えたい</t>
  </si>
  <si>
    <t>授乳中でもピルを処方してもらえますか？/授乳中に飲めるピルはありますか？</t>
  </si>
  <si>
    <t>授乳中のピルの内服はリスクもあり慎重投与となるため、ご受診いただき医師にご相談ください。処方の可否は最終的に医師の判断となります。ご予約は公式LINEから24時間承っております。LINEはこちら→https://cline-app.com/qr-codes/98ad6f149bfa20f4f2a9a2e91aac4187/preview</t>
  </si>
  <si>
    <t>授乳中,ピル,処方,種類,母親</t>
  </si>
  <si>
    <t>ロキソニンは処方してもらえますか？/鎮痛剤を処方してほしい</t>
  </si>
  <si>
    <t>薬剤の処方は最終的に医師の判断となりますので、ご受診いただき医師にご相談をお願いいたします。ご予約は公式LINEから24時間承っております。LINEはこちら→https://cline-app.com/qr-codes/98ad6f149bfa20f4f2a9a2e91aac4187/preview</t>
  </si>
  <si>
    <t>処方</t>
  </si>
  <si>
    <t>ロキソニン,鎮痛剤,処方,痛み止め</t>
  </si>
  <si>
    <t>保険診療の初診料・再診料はいくらですか？/初診料を教えてください</t>
  </si>
  <si>
    <t>保険診療の場合、初診料は約890円、再診料は約390円が加算されます。なお、夜間・早朝の受診の場合は、別途加算（約150円）がかかる場合がございます。※あくまで目安の金額となりますのでご了承くださいませ。自費診療の場合は初診料・再診料はかかりません。</t>
  </si>
  <si>
    <t>初診料,再診料,890円,390円,夜間加算</t>
  </si>
  <si>
    <t>初診の対応時間はどれくらいですか？/受診にはどのくらい時間がかかりますか？/所要時間を教えてください/診療時間はどのくらいかかりますか？/診察はどのくらいかかりますか？ /予約外来の場合の所要時間は？/予約なしで行くとどのくらいかかりますか？/妊娠検査はどのくらい時間がかかりますか？/妊娠検査の所要時間</t>
  </si>
  <si>
    <t>外来の状況によって変動いたしますが、ご予約をお取りいただいた場合、トータル1時間前後を目安としていただければと思います。予約外来の場合は、当日の診察状況によって変動いたしますのでご了承くださいませ。</t>
  </si>
  <si>
    <t>所要時間,対応時間,初診,時間,1時間,月経移動,診療時間,どのくらいかかる,かかる時間</t>
  </si>
  <si>
    <t>相談が2つある場合の予約方法を教えてください/複数の相談がある場合はどう予約すればいいですか？/2つの相談を同時にしたい場合の予約方法は？/月経の痛みと月経移動ピルの両方を相談したい/子宮頸がん検診とピル処方を一度に受けたい/診察と検査を同じ日にまとめたい</t>
  </si>
  <si>
    <t>複数のご相談がある場合は、「一般婦人科診療」で1つご予約をお取りいただき、WEB問診票の備考欄にご相談内容をご記入ください。1回のご予約で複数のご相談に対応可能です。ただし、公費での検診（がん検診・HPVワクチン等）と保険診療は、同日に行うことができませんので、それぞれ別日でのご予約をお願いいたします。なお、女性医師をご希望の場合は、お電話（050-1730-2768）にてご予約をお願いいたします。
また、恐れ入りますが、当院では乳房に関する診療（乳腺炎・マンモグラフィ・乳腺エコー・乳がん検診など）、更年期障害の治療、不妊治療・妊活のご相談（妊娠しやすいかどうかの検査等）、体重100kg以上の方への診療、救急対応（緊急搬送・急性期対応）は行っておりませんのであらかじめご了承くださいませ。</t>
  </si>
  <si>
    <t>複数相談,2つ,同時,一緒に,まとめて,一般婦人科診療,問診票,備考欄</t>
  </si>
  <si>
    <t>予約のキャンセルはいつまでにすればいいですか？/予約のキャンセルルールを教えてください/キャンセル料はかかりますか？</t>
  </si>
  <si>
    <t>ご予約のキャンセルに期限はなく、いつでもキャンセルが可能です。キャンセル料もかかりませんので、次回もお気兼ねなくご予約ください。
キャンセルをされる場合は、公式LINEの画面下の「予約確認」からお進みください。LINEはこちら→https://cline-app.com/qr-codes/98ad6f149bfa20f4f2a9a2e91aac4187/preview
※中絶手術（オペ）のご予約をお取りされている方はキャンセル期限がございますので、お電話（050-1730-2768）にてご連絡をお願いいたします。中絶の相談のご予約は、期限なくキャンセル可能です。</t>
  </si>
  <si>
    <t>キャンセル,期限,キャンセル料,無料</t>
  </si>
  <si>
    <t>マスクは必須ですか？/マスクなしで来院できますか？</t>
  </si>
  <si>
    <t>当院では、マスクの着用は必須ではございません。</t>
  </si>
  <si>
    <t>マスク,必須,着用</t>
  </si>
  <si>
    <t>一般診療とピル処方どちらを選べばいいですか？/予約メニューの選び方を教えてください/術後検診が終わった後の不調はどの枠で予約すればいい？/検査結果が陽性で治療したい場合の予約項目/月経困難症の薬はどの項目で予約？/ピルの種類変更はどのメニュー？/うまく予約ができない/ホルモン検査を予約したい/ホルモン検査の予約方法/ホルモン検査は何で予約すればいい？/ホルモン検査の予約項目がない</t>
  </si>
  <si>
    <t>ピルのご相談・処方をご希望の場合は「ピル処方」でご予約ください。それ以外のご相談は「一般婦人科診療」でご予約いただき、WEB問診票に受診内容をご入力ください。複数のご相談がある場合も「一般婦人科診療」で1つご予約ください。</t>
  </si>
  <si>
    <t>一般診療,ピル処方,メニュー,選び方</t>
  </si>
  <si>
    <t>自治体のがん検診に必要な持ち物を教えてください/川崎市のがん検診に書類は必要ですか？/横浜市のがん検診に書類は必要ですか？/町田市のがん検診に書類は必要ですか？/自治体の子宮頸がん検診に必要な持ち物を教えてください/川崎市子宮頸がん検診に書類は必要ですか？/横浜市の子宮頸がん検診に書類は必要ですか？/町田市の子宮頸がん検診に書類は必要ですか？</t>
  </si>
  <si>
    <t>自治体のがん検診にお越しの際は、身分証明書をご持参ください。※川崎市・横浜市の20歳・21歳で無料クーポンをご利用の場合は、自治体から届く無料クーポンの持参が必要です。※横浜市のHPV単独法検査をご希望の場合は、自治体から届く受診券シールが必要です。</t>
  </si>
  <si>
    <t>がん検診,持ち物,身分証明書,無料クーポン,受診券シール,子宮頸がん</t>
  </si>
  <si>
    <t>子宮頸がん検診の結果を持って精密検査を受けたいのですが/他院の検診結果で精密検査はできますか？</t>
  </si>
  <si>
    <t>検査結果の内容によってご案内が異なるため、お電話（050-1730-2768）にてお問い合わせください。お電話の受付時間は平日9:45〜13:40・15:15〜19:40、土日祝9:45〜13:40・15:15〜18:40となります。</t>
  </si>
  <si>
    <t>精密検査,子宮頸がん検診,他院,検診結果,子宮頸管,頸管</t>
  </si>
  <si>
    <t>ウレアプラズマの検査費用はいくらですか？/マイコプラズマの検査費用はいくらですか？</t>
  </si>
  <si>
    <t>マイコプラズマ・ウレアプラズマの検査は川崎駅前院のみで対応しております。検査費用は以下の通りです。・マイコプラズマ・ウレアプラズマ（腟分泌物）5,000円（税込）・マイコプラズマ・ウレアプラズマ（咽頭液）5,000円（税込）</t>
  </si>
  <si>
    <t>ウレアプラズマ,マイコプラズマ,検査費用,川崎駅前院,5000円</t>
  </si>
  <si>
    <t>咽頭クラミジアの検査はできますか？/のどのクラミジア検査はできますか？/喉と陰部のクラミジア検査はできますか？/咽頭と膣のクラミジア検査</t>
  </si>
  <si>
    <t>咽頭クラミジアの検査は当院で対応可能です。ご予約は「一般婦人科診療」のメニューからお取りください。→https://cline-app.com/qr-codes/98ad6f149bfa20f4f2a9a2e91aac4187/preview</t>
  </si>
  <si>
    <t>咽頭クラミジア,のど,クラミジア検査</t>
  </si>
  <si>
    <t>中絶手術は最短でいつ受けられますか？/中絶手術のスケジュールを教えてください/中絶手術は翌日にできますか？/中絶手術まで、最短どのくらい</t>
  </si>
  <si>
    <t>中絶手術は、初回診療の日にエコー検査・血液検査を実施いたします。検査結果が出るまでに2〜3日かかるため、手術は検査結果が出た後のオペの空き状況に応じてのご案内となります。ご予約は公式LINEから24時間承っております。LINEはこちら→https://cline-app.com/qr-codes/98ad6f149bfa20f4f2a9a2e91aac4187/preview</t>
  </si>
  <si>
    <t>中絶手術,スケジュール,翌日,最短,検査結果,2-3日</t>
  </si>
  <si>
    <t>流産の手術はできますか？/流産手術は保険適用されますか？</t>
  </si>
  <si>
    <t>流産の手術も当院で対応可能です。保険適用か自費診療かにつきましては、医師の判断となります。ご受診のご予約は公式LINEから24時間承っております。LINEはこちら→https://cline-app.com/qr-codes/98ad6f149bfa20f4f2a9a2e91aac4187/preview</t>
  </si>
  <si>
    <t>流産,手術,保険適用,対応</t>
  </si>
  <si>
    <t>中絶手術の同意書はシャチハタでも大丈夫ですか？/同意書の捺印ルールを教えてください</t>
  </si>
  <si>
    <t>中絶手術の同意書には、印鑑・シャチハタ・拇印のいずれかで対応可能です。</t>
  </si>
  <si>
    <t>同意書,シャチハタ,印鑑,拇印,捺印</t>
  </si>
  <si>
    <t>HPVワクチンは何回打つ必要がありますか？/子宮頸がんワクチンは全部で何回接種しますか？/HPVワクチンの接種回数を教えてください/HPVワクチンは何回打ちますか？</t>
  </si>
  <si>
    <t>HPVワクチン（子宮頸がんワクチン）は、接種開始時の年齢によって合計2回または3回接種します。当院で取り扱っている9価ワクチン（シルガード9）の場合、15歳未満で初回接種をすれば2回、15歳以上で開始した場合は3回接種となります。【15歳未満で初回接種の場合（2回）】1回目から6か月〜12か月間隔を空けて2回目を接種。※1回目と2回目は5か月以上空ける必要があります。【15歳以上で初回接種の場合（3回）】1回目から2か月後に2回目、1回目から6か月後に3回目を接種。※標準的なスケジュールが難しい場合、2回目は1か月以上、3回目は2回目から3か月以上空けます。HPVワクチンのご予約はお電話（050-1730-2768）にて承っております。</t>
  </si>
  <si>
    <t>HPVワクチン,子宮頸がんワクチン,接種回数,シルガード9,9価,2回,3回,15歳未満,スケジュール</t>
  </si>
  <si>
    <t>HPVワクチンの公費接種の申請はどこでできますか？/HPVワクチンを公費で受けたいが申請が必要と言われました</t>
  </si>
  <si>
    <t>HPVワクチンの公費接種に関する申請手続きは、お住まいの市区町村で受け付けております。対象年齢や申請方法は自治体によって異なりますので、お住まいの自治体のホームページまたは窓口にてご確認ください。</t>
  </si>
  <si>
    <t>HPVワクチン,公費,申請,自治体</t>
  </si>
  <si>
    <t>妊娠証明書は発行できますか？/妊娠証明書をもらえますか？</t>
  </si>
  <si>
    <t>妊娠証明書の発行は可能です。最終的には医師の判断となりますので、ご受診いただき医師にご相談をお願いいたします。ご受診のご予約は公式LINEから24時間承っております。LINEはこちら→https://cline-app.com/qr-codes/98ad6f149bfa20f4f2a9a2e91aac4187/preview</t>
  </si>
  <si>
    <t>書類・証明書</t>
  </si>
  <si>
    <t>妊娠証明書,発行,書類</t>
  </si>
  <si>
    <t>領収書の再発行はできますか？/領収書をなくしてしまったのですが</t>
  </si>
  <si>
    <t>領収書の再発行はいたしかねます。診療報酬明細書であれば発行が可能です。ご希望の場合は、お電話（050-1730-2768）でのご予約、または受付にてお申し付けください。</t>
  </si>
  <si>
    <t>領収書,再発行,診療報酬明細書</t>
  </si>
  <si>
    <t>母性健康管理指導事項連絡カードは発行できますか？/母健連絡カードをもらえますか？</t>
  </si>
  <si>
    <t>母性健康管理指導事項連絡カードの発行は可能です。最終的には医師の判断となりますので、ご受診いただき医師にご相談をお願いいたします。ご受診のご予約は公式LINEから24時間承っております。LINEはこちら→https://cline-app.com/qr-codes/98ad6f149bfa20f4f2a9a2e91aac4187/preview</t>
  </si>
  <si>
    <t>母性健康管理指導事項連絡カード,母健連絡カード,発行</t>
  </si>
  <si>
    <t>月経移動ピルをもらいに行く時に必要なものはありますか？/月経移動の来院時の持ち物を教えてください</t>
  </si>
  <si>
    <t>月経移動ピルの処方にお越しの際は、身分証明書（マイナ保険証や保険証など）のみご持参ください。</t>
  </si>
  <si>
    <t>月経移動,持ち物,必要なもの,身分証明書</t>
  </si>
  <si>
    <t>ピル服用中の血栓検査のための採血はできますか？/血栓スクリーニングの採血は行えますか？/血栓症の検査はいくらですか？</t>
  </si>
  <si>
    <t>血栓検査のための採血は当院で対応しております。自費ピル内服者向けの血液検査は5,000円（税込）です。保険適用の場合の料金は受診時にご確認ください。なお、採血は希望される方への対応となります。ピル服用中に定期的に行う検査は超音波検査・細胞診検査です。ご予約は「一般婦人科診療」のメニューからお取りいただき、WEB問診票の備考欄に「血栓検査希望」とご記入ください。→https://cline-app.com/qr-codes/98ad6f149bfa20f4f2a9a2e91aac4187/preview</t>
  </si>
  <si>
    <t>血栓検査,採血,ピル,血栓スクリーニング</t>
  </si>
  <si>
    <t>マイナ保険証は使えますか？/マイナ保険証の機械は設置されていますか？</t>
  </si>
  <si>
    <t>横浜駅前院・川崎駅前院・町田駅前院の3院すべてにマイナ保険証対応の機械を設置しておりますので、マイナ保険証でのご対応が可能です。</t>
  </si>
  <si>
    <t>マイナ保険証,マイナンバーカード,対応,設置</t>
  </si>
  <si>
    <t>緊急避妊の避妊リングはありますか？/避妊リングを入れたいのですが</t>
  </si>
  <si>
    <t>避妊リング（ミレーナ）は当院で対応しております。ミレーナについての詳細はご受診時に医師にご相談ください。ご予約は公式LINEから24時間承っております。LINEはこちら→https://cline-app.com/qr-codes/98ad6f149bfa20f4f2a9a2e91aac4187/preview</t>
  </si>
  <si>
    <t>避妊リング,ミレーナ,IUD</t>
  </si>
  <si>
    <t>取り扱っているピルの種類を教えてください/処方できるピルの一覧はありますか？/どんなピルがありますか？/ピルの種類</t>
  </si>
  <si>
    <t>ピルには、毎日服用して避妊や生理トラブルの改善を行う低用量ピルと、緊急時に1回だけ服用するアフターピルがあります。目的によって使い分けます。当院で取り扱っているピルは以下の通りです。【保険ピル（来院診療のみ）】ヤーズフレックス配合錠・アリッサ・ルナベル配合錠LD・フリウェル配合錠LD・ルナベル配合錠ULD・フリウェル配合錠ULD・ヤーズ配合錠・ドロエチ配合錠・ジェミーナ配合錠 ※保険ピルの料金は保険診療の内容により異なるため、事前にお伝えすることができません。【自費ピル】ファボワール21錠/28錠 1シート3,000円・ラベルフィーユ21錠/28錠 1シート3,000円・スリンダ（ミニピル）28錠 1シート3,300円（来院のみ）【アフターピル】レボノルゲストレル1.5mg 15,000円・エラワン（ウリプリスタル酢酸エステル）/Josei 17,000円【オンライン診療で処方可能なピル】ラベルフィーユ28・ファボワール28・プラノバール21錠・エラワン（ウリプリスタル酢酸エステル）・レボノルゲストレル ※マーベロン・アンジュ・トリキュラーは取り扱いがございません。詳しくはこちらをご覧ください。→https://luna-dr.com/subjects/pill-prescription/</t>
  </si>
  <si>
    <t>ピル,種類,一覧,取り扱い,保険ピル,自費ピル,アフターピル,オンライン,ピルの種類</t>
  </si>
  <si>
    <t>ヤーズフレックスは取り扱っていますか？/ヤーズフレックスの処方はできますか？/ヤーズフレックスの料金はいくらですか？</t>
  </si>
  <si>
    <t>ヤーズフレックス配合錠は当院で取り扱っております。保険適用のピルとなりますので、料金は保険診療の内容により異なります。事前に料金をお伝えすることはできかねますので、ご了承ください。ご予約は公式LINEから受け付けておりますので、友だち追加の上ご利用ください。※生理痛などの治療を目的とする低用量ピルは、初回は検査が必要なため来院診療となりますので、ご注意ください。来院診療のご予約：こちらのLINEをご利用ください→https://cline-app.com/qr-codes/98ad6f149bfa20f4f2a9a2e91aac4187/preview</t>
  </si>
  <si>
    <t>ヤーズフレックス,保険ピル</t>
  </si>
  <si>
    <t>アリッサは取り扱っていますか？/アリッサの処方はできますか？/アリッサの料金はいくらですか？</t>
  </si>
  <si>
    <t>アリッサは当院で取り扱っております。保険適用のピルとなりますので、料金は保険診療の内容により異なります。事前に料金をお伝えすることはできかねますので、ご了承ください。ご予約は公式LINEから受け付けておりますので、友だち追加の上ご利用ください。※生理痛などの治療を目的とする低用量ピルは、初回は検査が必要なため来院診療となりますので、ご注意ください。来院診療のご予約：こちらのLINEをご利用ください→https://cline-app.com/qr-codes/98ad6f149bfa20f4f2a9a2e91aac4187/preview</t>
  </si>
  <si>
    <t>アリッサ,保険ピル</t>
  </si>
  <si>
    <t>ルナベルは取り扱っていますか？/ルナベルLDの処方はできますか？/ルナベルULDの料金はいくらですか？</t>
  </si>
  <si>
    <t>ルナベル配合錠LD・ルナベル配合錠ULDともに当院で取り扱っております。保険適用のピルとなりますので、料金は保険診療の内容により異なります。事前に料金をお伝えすることはできかねますので、ご了承ください。ご予約は公式LINEから受け付けておりますので、友だち追加の上ご利用ください。※生理痛などの治療を目的とする低用量ピルは、初回は検査が必要なため来院診療となりますので、ご注意ください。来院診療のご予約：こちらのLINEをご利用ください→https://cline-app.com/qr-codes/98ad6f149bfa20f4f2a9a2e91aac4187/preview</t>
  </si>
  <si>
    <t>ルナベル,ルナベルLD,ルナベルULD,保険ピル</t>
  </si>
  <si>
    <t>フリウェルは取り扱っていますか？/フリウェルLDの処方はできますか？/フリウェルULDの料金はいくらですか？</t>
  </si>
  <si>
    <t>フリウェル配合錠LD・フリウェル配合錠ULDともに当院で取り扱っております。保険適用のピルとなりますので、料金は保険診療の内容により異なります。事前に料金をお伝えすることはできかねますので、ご了承ください。ご予約は公式LINEから受け付けておりますので、友だち追加の上ご利用ください。※生理痛などの治療を目的とする低用量ピルは、初回は検査が必要なため来院診療となりますので、ご注意ください。来院診療のご予約：こちらのLINEをご利用ください→https://cline-app.com/qr-codes/98ad6f149bfa20f4f2a9a2e91aac4187/preview</t>
  </si>
  <si>
    <t>フリウェル,フリウェルLD,フリウェルULD,保険ピル</t>
  </si>
  <si>
    <t>ヤーズは取り扱っていますか？/ヤーズ配合錠の処方はできますか？/ヤーズの料金はいくらですか？</t>
  </si>
  <si>
    <t>ヤーズ配合錠は当院で取り扱っております。保険適用のピルとなりますので、料金は保険診療の内容により異なります。事前に料金をお伝えすることはできかねますので、ご了承ください。ご予約は公式LINEから受け付けておりますので、友だち追加の上ご利用ください。※生理痛などの治療を目的とする低用量ピルは、初回は検査が必要なため来院診療となりますので、ご注意ください。来院診療のご予約：こちらのLINEをご利用ください→https://cline-app.com/qr-codes/98ad6f149bfa20f4f2a9a2e91aac4187/preview</t>
  </si>
  <si>
    <t>ヤーズ,保険ピル</t>
  </si>
  <si>
    <t>ドロエチは取り扱っていますか？/ドロエチ配合錠の処方はできますか？/ドロエチの料金はいくらですか？</t>
  </si>
  <si>
    <t>ドロエチ配合錠は当院で取り扱っております。保険適用のピルとなりますので、料金は保険診療の内容により異なります。事前に料金をお伝えすることはできかねますので、ご了承ください。ご予約は公式LINEから受け付けておりますので、友だち追加の上ご利用ください。※生理痛などの治療を目的とする低用量ピルは、初回は検査が必要なため来院診療となりますので、ご注意ください。来院診療のご予約：こちらのLINEをご利用ください→https://cline-app.com/qr-codes/98ad6f149bfa20f4f2a9a2e91aac4187/preview</t>
  </si>
  <si>
    <t>ドロエチ,保険ピル</t>
  </si>
  <si>
    <t>ジェミーナは取り扱っていますか？/ジェミーナ配合錠の処方はできますか？/ジェミーナの料金はいくらですか？</t>
  </si>
  <si>
    <t>ジェミーナ配合錠は当院で取り扱っております。保険適用のピルとなりますので、料金は保険診療の内容により異なります。事前に料金をお伝えすることはできかねますので、ご了承ください。ご予約は公式LINEから受け付けておりますので、友だち追加の上ご利用ください。※生理痛などの治療を目的とする低用量ピルは、初回は検査が必要なため来院診療となりますので、ご注意ください。来院診療のご予約：こちらのLINEをご利用ください→https://cline-app.com/qr-codes/98ad6f149bfa20f4f2a9a2e91aac4187/preview</t>
  </si>
  <si>
    <t>ジェミーナ,保険ピル</t>
  </si>
  <si>
    <t>ファボワールの料金はいくらですか？/ファボワールは取り扱っていますか？</t>
  </si>
  <si>
    <t>ファボワール21錠/28錠は当院で取り扱っております。自費診療で1シート3,000円（税込）です。ご予約は公式LINEから受け付けておりますので、友だち追加の上ご利用ください。
※生理痛などの治療を目的とする低用量ピルは、初回は検査が必要なため来院診療となりますので、ご注意ください。
来院診療のご予約：こちらのLINEをご利用ください→https://cline-app.com/qr-codes/98ad6f149bfa20f4f2a9a2e91aac4187/preview
オンライン診療のご予約：こちらのオンライン診療LINEページをご利用ください→https://liff-gateway.lineml.jp/landing?follow=%40590gpxrd&amp;lp=fX73yx&amp;liff_id=1657094566-LmjNPPbV"</t>
  </si>
  <si>
    <t>低用量ピル（自費）</t>
  </si>
  <si>
    <t>ファボワール,自費ピル,3000円</t>
  </si>
  <si>
    <t>ラベルフィーユの料金はいくらですか？/ラベルフィーユは取り扱っていますか？</t>
  </si>
  <si>
    <t>ラベルフィーユ21錠/28錠は当院で取り扱っております。自費診療で1シート3,000円（税込）です。ご予約は公式LINEから受け付けておりますので、友だち追加の上ご利用ください。
※生理痛などの治療を目的とする低用量ピルは、初回は検査が必要なため来院診療となりますので、ご注意ください。
来院診療のご予約：こちらのLINEをご利用ください→https://cline-app.com/qr-codes/98ad6f149bfa20f4f2a9a2e91aac4187/preview
オンライン診療のご予約：こちらのオンライン診療LINEページをご利用ください→https://liff-gateway.lineml.jp/landing?follow=%40590gpxrd&amp;lp=fX73yx&amp;liff_id=1657094566-LmjNPPbV"</t>
  </si>
  <si>
    <t>ラベルフィーユ,自費ピル,3000円</t>
  </si>
  <si>
    <t>スリンダの料金はいくらですか？/スリンダは取り扱っていますか？</t>
  </si>
  <si>
    <t>スリンダ28錠は当院で取り扱っております。自費診療で1シート3,300円（税込）です。ご予約は公式LINEから受け付けておりますので、友だち追加の上ご利用ください。
※生理痛などの治療を目的とする低用量ピルは、初回は検査が必要なため来院診療となりますので、ご注意ください。
来院診療のご予約：こちらのLINEをご利用ください→https://cline-app.com/qr-codes/98ad6f149bfa20f4f2a9a2e91aac4187/preview
オンライン診療のご予約：こちらのオンライン診療LINEページをご利用ください→https://liff-gateway.lineml.jp/landing?follow=%40590gpxrd&amp;lp=fX73yx&amp;liff_id=1657094566-LmjNPPbV"</t>
  </si>
  <si>
    <t>スリンダ,自費ピル,3300円</t>
  </si>
  <si>
    <t>ミニピルの処方はありますか？/ミニピルは取り扱っていますか？/ミニピルの料金はいくらですか？/ミニピル処方は保険診療ですか？/スリンダは保険適用ですか？/ミニピルは保険がききますか？</t>
  </si>
  <si>
    <t>当院ではミニピルとしてスリンダ28錠を取り扱っております。自費診療で1シート3,300円（税込）です。スリンダは黄体ホルモンのみを含むピルで、来院診療での処方となります。ご予約は公式LINEから24時間承っております。LINEはこちら→https://cline-app.com/qr-codes/98ad6f149bfa20f4f2a9a2e91aac4187/preview</t>
  </si>
  <si>
    <t>ミニピル,スリンダ,黄体ホルモン,プロゲスチン,3300円</t>
  </si>
  <si>
    <t>マーベロンは取り扱っていますか？/マーベロンの処方はできますか？</t>
  </si>
  <si>
    <t>大変恐縮ではございますが、マーベロン21錠/28錠は当院では取り扱いがございません。当院で取り扱いのある自費ピルは、ファボワール（1シート3,000円）、ラベルフィーユ（1シート3,000円）、スリンダ（1シート3,300円）となります。当院で取り扱いがあるピルの処方をご希望される場合は、ご予約を公式LINEから受け付けております。友だち追加の上ご利用ください。
※生理痛などの治療を目的とする低用量ピルは、初回は検査が必要なため来院診療となりますので、ご注意ください。
来院診療のご予約：こちらのLINEをご利用ください→https://cline-app.com/qr-codes/98ad6f149bfa20f4f2a9a2e91aac4187/preview
オンライン診療のご予約：こちらのオンライン診療LINEページをご利用ください→https://liff-gateway.lineml.jp/landing?follow=%40590gpxrd&amp;lp=fX73yx&amp;liff_id=1657094566-LmjNPPbV"</t>
  </si>
  <si>
    <t>マーベロン,取り扱いなし</t>
  </si>
  <si>
    <t>アンジュは取り扱っていますか？/アンジュの処方はできますか？</t>
  </si>
  <si>
    <t>大変恐縮ではございますが、アンジュ21錠/28錠は当院では取り扱いがございません。当院で取り扱いのある自費ピルは、ファボワール（1シート3,000円）、ラベルフィーユ（1シート3,000円）、スリンダ（1シート3,300円）となります。当院で取り扱いがあるピルの処方をご希望される場合は、ご予約を公式LINEから受け付けております。友だち追加の上ご利用ください。
※生理痛などの治療を目的とする低用量ピルは、初回は検査が必要なため来院診療となりますので、ご注意ください。
来院診療のご予約：こちらのLINEをご利用ください→https://cline-app.com/qr-codes/98ad6f149bfa20f4f2a9a2e91aac4187/preview
オンライン診療のご予約：こちらのオンライン診療LINEページをご利用ください→https://liff-gateway.lineml.jp/landing?follow=%40590gpxrd&amp;lp=fX73yx&amp;liff_id=1657094566-LmjNPPbV"</t>
  </si>
  <si>
    <t>アンジュ,取り扱いなし</t>
  </si>
  <si>
    <t>トリキュラーは取り扱っていますか？/トリキュラーの処方はできますか？</t>
  </si>
  <si>
    <t>大変恐縮ではございますが、トリキュラー錠21/28は当院では取り扱いがございません。当院で取り扱いのある自費ピルは、ファボワール（1シート3,000円）、ラベルフィーユ（1シート3,000円）、スリンダ（1シート3,300円）となります。当院で取り扱いがあるピルの処方をご希望される場合は、ご予約を公式LINEから受け付けております。友だち追加の上ご利用ください。
※生理痛などの治療を目的とする低用量ピルは、初回は検査が必要なため来院診療となりますので、ご注意ください。
来院診療のご予約：こちらのLINEをご利用ください→https://cline-app.com/qr-codes/98ad6f149bfa20f4f2a9a2e91aac4187/preview
オンライン診療のご予約：こちらのオンライン診療LINEページをご利用ください→https://liff-gateway.lineml.jp/landing?follow=%40590gpxrd&amp;lp=fX73yx&amp;liff_id=1657094566-LmjNPPbV"</t>
  </si>
  <si>
    <t>トリキュラー,取り扱いなし</t>
  </si>
  <si>
    <t>レボノルゲストレルの料金はいくらですか？/レボノルゲストレルは取り扱っていますか？</t>
  </si>
  <si>
    <t>レボノルゲストレル1.5mgは15,000円（税込）です。72時間以内に服用するアフターピルとなります。アフターピルは初診の方でも来院せずにご相談・処方が可能なオンライン診療をご利用いただけます。24時間いつでもご自身のタイミングで予約できます。
来院診療のご予約：こちらのLINEをご利用ください→https://cline-app.com/qr-codes/98ad6f149bfa20f4f2a9a2e91aac4187/preview
オンライン診療のご予約：こちらのオンライン診療LINEページをご利用ください→https://liff-gateway.lineml.jp/landing?follow=%40590gpxrd&amp;lp=fX73yx&amp;liff_id=1657094566-LmjNPPbV</t>
  </si>
  <si>
    <t>レボノルゲストレル,アフターピル,15000円,72時間</t>
  </si>
  <si>
    <t>エラワンの料金はいくらですか？/Joseiの料金はいくらですか？/エラワンは取り扱っていますか？</t>
  </si>
  <si>
    <t>エラワン/Joseiは17,000円（税込）です。120時間以内に服用するアフターピルとなります。アフターピルは初診の方でも来院せずにご相談・処方が可能なオンライン診療をご利用いただけます。24時間いつでもご自身のタイミングで予約できます。
来院診療のご予約：こちらのLINEをご利用ください→https://cline-app.com/qr-codes/98ad6f149bfa20f4f2a9a2e91aac4187/preview
オンライン診療のご予約：こちらのオンライン診療LINEページをご利用ください→https://liff-gateway.lineml.jp/landing?follow=%40590gpxrd&amp;lp=fX73yx&amp;liff_id=1657094566-LmjNPPbV</t>
  </si>
  <si>
    <t>エラワン,Josei,アフターピル,17000円,120時間</t>
  </si>
  <si>
    <t>予約メニューはどれを選べばいいですか？/何のメニューで予約すればいいか分かりません/予約の取り方が分かりません/どのメニューで予約したらいいですか？/保険診療の予約は一般婦人科を選択すれば良いですか？/保険診療の予約メニュー/処方箋の再発行の予約方法を教えてください/妊婦健診の予約方法</t>
  </si>
  <si>
    <t>ピルのご相談・処方をご希望の場合は「ピル処方」でご予約ください。それ以外のご相談（生理痛・おりもの・性感染症・ミレーナ・ブライダルチェック・コンジローマ・不正出血など）は「一般婦人科診療」でご予約いただき、WEB問診票に受診内容をご入力ください。複数のご相談がある場合も「一般婦人科診療」で1つご予約をお取りいただき、問診票の備考欄にご相談内容をご記入いただければ、1回のご予約で対応いたします。</t>
  </si>
  <si>
    <t>予約メニュー,どれ,選び方,分からない,ピル処方,一般婦人科診療,問診票</t>
  </si>
  <si>
    <t>生理痛の診療時間を教えてください/生理痛で受診したい場合の診療時間は？/生理痛は何時まで診てもらえますか？</t>
  </si>
  <si>
    <t>生理痛のご相談は通常の診療時間内で対応しております。診療時間は院によって異なりますので、詳しくは各院のページをご確認ください。・横浜駅前院：https://luna-dr.com/yokohama/ ・川崎駅前院：https://luna-dr.com/kawasaki/ ・町田駅前院：https://luna-dr.com/machida/ ご予約は公式LINEから24時間承っております。LINEはこちら→https://cline-app.com/qr-codes/98ad6f149bfa20f4f2a9a2e91aac4187/preview</t>
  </si>
  <si>
    <t>生理痛,診療時間,受付時間</t>
  </si>
  <si>
    <t>中絶相談の診療時間を教えてください/中絶相談で受診したい場合の診療時間は？/中絶相談は何時まで診てもらえますか？</t>
  </si>
  <si>
    <t>中絶相談のご相談は通常の診療時間内で対応しております。診療時間は院によって異なりますので、詳しくは各院のページをご確認ください。・横浜駅前院：https://luna-dr.com/yokohama/ ・川崎駅前院：https://luna-dr.com/kawasaki/ ・町田駅前院：https://luna-dr.com/machida/ ご予約は公式LINEから24時間承っております。LINEはこちら→https://cline-app.com/qr-codes/98ad6f149bfa20f4f2a9a2e91aac4187/preview</t>
  </si>
  <si>
    <t>中絶相談,診療時間,受付時間</t>
  </si>
  <si>
    <t>コンジローマとは何ですか？/尖圭コンジローマとはどんな病気ですか？</t>
  </si>
  <si>
    <t>尖圭コンジローマは、HPV（ヒトパピローマウイルス）の6型・11型への感染によって発症する性感染症です。性器周辺にイボ状の小さな腫瘍があらわれます。イボの形状は乳頭状・トサカ状・カリフラワー状などで、色はピンク色や茶色、白色や黒色などです。潜伏期間は数週間〜2〜3ヶ月程度ですが、半年以上経ってから症状が出る場合もあります。詳しくはこちらをご確認ください。→https://luna-dr.com/subjects/media/2794/</t>
  </si>
  <si>
    <t>コンジローマ,尖圭コンジローマ,HPV,イボ,性感染症,性病</t>
  </si>
  <si>
    <t>コンジローマの治療方法を教えてください/尖圭コンジローマの治療はできますか？/コンジローマはどうやって治療しますか？</t>
  </si>
  <si>
    <t>尖圭コンジローマの治療は当院で対応しております。主な治療方法は以下の3つです。【外用薬による治療】抗ウイルス作用のある塗り薬を患部に塗布します。週3回、最大16週間継続します。治療費は3割負担で約4,500円/月です。【液体窒素による治療】液体窒素を患部に押し当て、ウイルスの活性を抑えます。1〜2週おきに治療を継続します。治療費は3割負担で1回約800〜1,000円です。【手術療法】局所麻酔の上、電気メスでイボを切除します。1度の治療で全てのイボを取り除くことができます。治療費は3割負担で約9,000〜15,000円です。症状に応じて医師が最適な治療法を判断いたします。詳しくはこちらをご確認ください。→https://luna-dr.com/subjects/media/2794/</t>
  </si>
  <si>
    <t>コンジローマ,尖圭コンジローマ,治療,外用薬,液体窒素,手術,電気メス,治療費</t>
  </si>
  <si>
    <t>コンジローマは自然に治りますか？/コンジローマは放置しても大丈夫ですか？</t>
  </si>
  <si>
    <t>尖圭コンジローマが自然治癒することは稀です。放置するとイボが増殖・大きくなる可能性があり、悪性化する恐れもあります。また、パートナーに感染させてしまう場合もあります。症状の悪化防止と感染拡大予防のため、早めの受診をおすすめいたします。ご予約は公式LINEから24時間承っております。LINEはこちら→https://cline-app.com/qr-codes/98ad6f149bfa20f4f2a9a2e91aac4187/preview</t>
  </si>
  <si>
    <t>コンジローマ,自然治癒,放置,悪性化,再発</t>
  </si>
  <si>
    <t>コンジローマは再発しますか？/コンジローマの再発率はどのくらいですか？</t>
  </si>
  <si>
    <t>尖圭コンジローマの再発リスクは、治療後3ヵ月以内で約25％といわれています。表面上のイボを取り除いた場合でもウイルスが潜在し再発する恐れがあるため、イボ消失後も最低3ヵ月は再発していないかどうかの確認が必要です。詳しくはこちらをご確認ください。→https://luna-dr.com/subjects/media/2794/</t>
  </si>
  <si>
    <t>コンジローマ,再発,再発率,25%,経過観察</t>
  </si>
  <si>
    <t>コンジローマの検査方法を教えてください/コンジローマはどうやって検査しますか？</t>
  </si>
  <si>
    <t>尖圭コンジローマの検査は、医師による目視での「視診」で行います。特別な検査は基本的に必要ありません。気になる症状がございましたら、ご受診いただき医師にご相談ください。ご予約は公式LINEから24時間承っております。LINEはこちら→https://cline-app.com/qr-codes/98ad6f149bfa20f4f2a9a2e91aac4187/preview</t>
  </si>
  <si>
    <t>コンジローマ,検査,視診,診察</t>
  </si>
  <si>
    <t>コンジローマの予防方法はありますか？/コンジローマを予防するにはどうすればいいですか？</t>
  </si>
  <si>
    <t>尖圭コンジローマの予防には、コンドームの使用に加え、HPVワクチンの接種が効果的です。当院で取り扱っている9価ワクチン（シルガード9）はHPV6型・11型にも対応しており、尖圭コンジローマの予防効果があります。HPVワクチンのご予約はお電話（050-1730-2768）にて承っております。</t>
  </si>
  <si>
    <t>コンジローマ,予防,HPVワクチン,シルガード9,コンドーム</t>
  </si>
  <si>
    <t>月経移動ピルの処方にはどのくらい時間がかかりますか？/月経移動の診察の所要時間は？</t>
  </si>
  <si>
    <t>外来の状況によって変動いたしますが、ご予約をお取りいただいた場合、トータル1時間前後を目安としていただければと思います。</t>
  </si>
  <si>
    <t>月経移動,所要時間,時間,どのくらい</t>
  </si>
  <si>
    <t>ピル処方の診察にはどのくらい時間がかかりますか？/ピルの処方の所要時間は？</t>
  </si>
  <si>
    <t>ピル処方,所要時間,時間,どのくらい</t>
  </si>
  <si>
    <t>性病検査にはどのくらい時間がかかりますか？/性感染症検査の所要時間は？</t>
  </si>
  <si>
    <t>性病検査,性感染症検査,所要時間,時間,どのくらい</t>
  </si>
  <si>
    <t>子宮頸がん検診にはどのくらい時間がかかりますか？/子宮頸がん検査の所要時間は？</t>
  </si>
  <si>
    <t>子宮頸がん検診,子宮頸がん検査,所要時間,時間,どのくらい</t>
  </si>
  <si>
    <t>おりもの検査にはどのくらい時間がかかりますか？/おりもの検査の所要時間は？</t>
  </si>
  <si>
    <t>おりもの検査,所要時間,時間,どのくらい</t>
  </si>
  <si>
    <t>中絶手術の診察にはどのくらい時間がかかりますか？/中絶の初回診療の所要時間は？</t>
  </si>
  <si>
    <t>中絶手術,初回診療,所要時間,時間,どのくらい</t>
  </si>
  <si>
    <t>予約枠が空いていないのですが/予約が取れません/予約が埋まっています/空いている日はありますか？/予約の空きがありません</t>
  </si>
  <si>
    <t>ご予約の空き状況につきましては、お電話（050-1730-2768）にてお問い合わせください。電話受付時間は、平日9:45〜13:40・15:15〜19:40、土日祝9:45〜13:40・15:15〜18:40です。</t>
  </si>
  <si>
    <t>予約枠,空いていない,空き,取れない,埋まっている,満席</t>
  </si>
  <si>
    <t>ミレーナは予約メニューで何を選べばいいですか？/ミレーナの予約はどのメニューですか？</t>
  </si>
  <si>
    <t>ミレーナのご相談は「一般婦人科診療」のメニューでご予約ください。ご予約は公式LINEから24時間承っております。LINEはこちら→https://cline-app.com/qr-codes/98ad6f149bfa20f4f2a9a2e91aac4187/preview</t>
  </si>
  <si>
    <t>ミレーナ,予約メニュー,一般婦人科診療</t>
  </si>
  <si>
    <t>性病検査は予約メニューで何を選べばいいですか？/性感染症検査の予約はどのメニューですか？</t>
  </si>
  <si>
    <t>性感染症（性病）検査のご予約は「一般婦人科診療」のメニューからお取りください。WEB問診票に検査希望の内容をご入力ください。ご予約は公式LINEから24時間承っております。LINEはこちら→https://cline-app.com/qr-codes/98ad6f149bfa20f4f2a9a2e91aac4187/preview</t>
  </si>
  <si>
    <t>性病検査,性感染症検査,予約メニュー,一般婦人科診療</t>
  </si>
  <si>
    <t>おりもの検査は予約メニューで何を選べばいいですか？/おりもの検査の予約はどのメニューですか？</t>
  </si>
  <si>
    <t>おりもの検査のご予約は「一般婦人科診療」のメニューからお取りください。WEB問診票に検査希望の内容をご入力ください。ご予約は公式LINEから24時間承っております。LINEはこちら→https://cline-app.com/qr-codes/98ad6f149bfa20f4f2a9a2e91aac4187/preview</t>
  </si>
  <si>
    <t>おりもの検査,予約メニュー,一般婦人科診療</t>
  </si>
  <si>
    <t>不正出血の相談は予約メニューで何を選べばいいですか？/不正出血の予約はどのメニューですか？</t>
  </si>
  <si>
    <t>不正出血のご相談は「一般婦人科診療」のメニューでご予約ください。WEB問診票に症状をご入力ください。ご予約は公式LINEから24時間承っております。LINEはこちら→https://cline-app.com/qr-codes/98ad6f149bfa20f4f2a9a2e91aac4187/preview</t>
  </si>
  <si>
    <t>不正出血,予約メニュー,一般婦人科診療</t>
  </si>
  <si>
    <t>生理痛の相談は予約メニューで何を選べばいいですか？/生理痛の予約はどのメニューですか？</t>
  </si>
  <si>
    <t>生理痛のご相談は「一般婦人科診療」のメニューでご予約ください。WEB問診票に症状をご入力ください。ご予約は公式LINEから24時間承っております。LINEはこちら→https://cline-app.com/qr-codes/98ad6f149bfa20f4f2a9a2e91aac4187/preview</t>
  </si>
  <si>
    <t>生理痛,予約メニュー,一般婦人科診療</t>
  </si>
  <si>
    <t>コンジローマの予約は何のメニューですか？/コンジローマは予約メニューで何を選べばいいですか？</t>
  </si>
  <si>
    <t>コンジローマのご相談・治療は「一般婦人科診療」のメニューでご予約ください。WEB問診票に症状をご入力ください。ご予約は公式LINEから24時間承っております。LINEはこちら→https://cline-app.com/qr-codes/98ad6f149bfa20f4f2a9a2e91aac4187/preview</t>
  </si>
  <si>
    <t>コンジローマ,予約メニュー,一般婦人科診療</t>
  </si>
  <si>
    <t>保険ピルの再診は予約メニューで何を選べばいいですか？/保険ピルの継続処方の予約メニューは？</t>
  </si>
  <si>
    <t>保険ピルの継続処方で当院に処方歴がある方は「保険ピル（診察あり）」のメニューでご予約ください。当院での処方が初めての方は「ピル処方」でご予約ください。ご予約は公式LINEから24時間承っております。LINEはこちら→https://cline-app.com/qr-codes/98ad6f149bfa20f4f2a9a2e91aac4187/preview</t>
  </si>
  <si>
    <t>保険ピル,再診,継続処方,予約メニュー</t>
  </si>
  <si>
    <t>自費ピルの薬だけ欲しいのですが/診察なしで薬だけもらえますか？/以前もらった薬を追加でもらえますか？/診察はしないで薬だけもらいたい/診察なしで薬だけ欲しい/薬だけもらいたい/薬を貰いに行く為の予約項目/他の病院で処方された薬を出してほしい/他院で処方されたデュファストンを継続したい/他院の薬を追加で出してほしい/処方箋のみ/処方箋だけ欲しい/処方箋が欲しい/再来は薬のみの処方は可能ですか？</t>
  </si>
  <si>
    <t>【自費ピルの場合】当院で自費ピルの処方歴がある方は「自費ピル処方（薬のみで診察希望なし）」のメニューでご予約ください。当院での処方が初めての方は「ピル処方」でご予約ください。【ピル以外のお薬の場合】ピル以外のお薬は診察なしでの処方はできかねます。「一般婦人科診療（前回の続き）」のメニューでご予約ください。ご予約は公式LINEから24時間承っております。LINEはこちら→https://cline-app.com/qr-codes/98ad6f149bfa20f4f2a9a2e91aac4187/preview</t>
  </si>
  <si>
    <t>自費ピル,薬のみ,処方のみ,予約メニュー,薬だけ,診察なし</t>
  </si>
  <si>
    <t>検査結果を聞きたいのですが予約メニューは何を選べばいいですか？/検査結果の説明を受けたい</t>
  </si>
  <si>
    <t>検査結果の説明をご希望の方は「検査結果説明」のメニューでご予約ください。治療も含めてのご案内が可能です。ご予約は公式LINEから24時間承っております。LINEはこちら→https://cline-app.com/qr-codes/98ad6f149bfa20f4f2a9a2e91aac4187/preview</t>
  </si>
  <si>
    <t>検査結果,結果説明,予約メニュー</t>
  </si>
  <si>
    <t>予約は何日前から可能ですか？/いつから予約できますか？/当日予約はできますか？/予約はいつから取れますか？</t>
  </si>
  <si>
    <t>ご予約はいつでも可能です。当日でも枠が空いていればご予約いただけます。ご予約は公式LINEから24時間承っております。LINEはこちら→https://cline-app.com/qr-codes/98ad6f149bfa20f4f2a9a2e91aac4187/preview</t>
  </si>
  <si>
    <t>予約,何日前,いつから,当日予約,当日枠</t>
  </si>
  <si>
    <t>生理中に性病検査はできますか？/生理中におりもの検査はできますか？/生理中でも性感染症検査は受けられますか？/生理中に子宮頸がん検診はできますか？/生理中にHPV検査はできますか？/生理中に子宮頸がん検査はできますか？/生理中でもクラミジア検査は受けられますか？/カンジダの症状があるが、生理中でも受診できるか</t>
  </si>
  <si>
    <t>HPV検査・子宮頸がん・性病検査は生理の日にちを避けた方が良いですが、不正出血などで悩まれている場合は生理中の受診も可能でございます。生理中でも内診台に乗っていただく場合がございますので、気になるようでしたら生理後にご受診ください。また、生理中でも検査は可能ですが、経血量が多い時期は検査精度に影響する可能性があるため、可能な限り避けていただくことを当院ではおすすめしています。</t>
  </si>
  <si>
    <t>生理中,性病検査,性感染症検査,おりもの検査,できる</t>
  </si>
  <si>
    <t>陰部のかゆみがあるのですが診てもらえますか？/外陰の腫れを診察できますか？/膣のただれを検査できますか？/カンジダでも診てもらえますか？/カンジタの診断はできますか？/痒みがあるのですが受診できますか？</t>
  </si>
  <si>
    <t>かゆみ・腫れ・ただれなどの婦人科症状は当院で対応可能です。「一般婦人科診療」のメニューでご予約いただき、WEB問診票に症状をご入力ください。ご予約は公式LINEから24時間承っております。LINEはこちら→https://cline-app.com/qr-codes/98ad6f149bfa20f4f2a9a2e91aac4187/preview</t>
  </si>
  <si>
    <t>かゆみ,痒み,腫れ,ただれ,カンジダ,カンジタ,外陰,陰部,対応可能,診察</t>
  </si>
  <si>
    <t>子宮内膜症を調べてほしいのですが/子宮が痛いので受診したい/PMSがひどくなった/生理痛がひどい/生理が止まらない/一ヶ月生理が続いている/子宮内膜症の検査はできますか？/子宮内膜症の予約方法を教えてください/PMSの症状での予約方法</t>
  </si>
  <si>
    <t>生理トラブルや婦人科症状のご相談は当院で対応可能です。「一般婦人科診療」のメニューでご予約いただき、WEB問診票に症状をご入力ください。ご予約は公式LINEから24時間承っております。LINEはこちら→https://cline-app.com/qr-codes/98ad6f149bfa20f4f2a9a2e91aac4187/preview</t>
  </si>
  <si>
    <t>子宮内膜症,PMS,生理痛,生理が止まらない,生理トラブル,対応可能,診察</t>
  </si>
  <si>
    <t>性病かもしれないのですが検査できますか？/性感染症が心配です/クラミジア陽性で治療したい/性病検査で陽性だったので薬がほしい</t>
  </si>
  <si>
    <t>性感染症の検査・治療は当院で対応可能です。「一般婦人科診療」のメニューでご予約いただき、WEB問診票に検査希望の内容をご入力ください。治療費は保険適用の場合と自費の場合がございます。料金の詳細は各院の料金ページをご確認ください。ご予約は公式LINEから24時間承っております。LINEはこちら→https://cline-app.com/qr-codes/98ad6f149bfa20f4f2a9a2e91aac4187/preview</t>
  </si>
  <si>
    <t>性病,性感染症,クラミジア,陽性,治療,薬,心配,検査</t>
  </si>
  <si>
    <t>かかりつけ医が開いていない土日に診てもらえますか？/土日祝は診療していますか？/休日でも受診できますか？</t>
  </si>
  <si>
    <t>当院は土日祝も診療しております。診療時間は院によって異なりますので、詳しくは各院のページをご確認ください。・横浜駅前院：https://luna-dr.com/yokohama/ ・川崎駅前院：https://luna-dr.com/kawasaki/ ・町田駅前院：https://luna-dr.com/machida/ ご予約は公式LINEから24時間承っております。LINEはこちら→https://cline-app.com/qr-codes/98ad6f149bfa20f4f2a9a2e91aac4187/preview</t>
  </si>
  <si>
    <t>土日,祝日,休日,土日祝,かかりつけ,開いていない</t>
  </si>
  <si>
    <t>駐輪場はありますか？/駐車場はありますか？/車で行けますか？/自転車で行けますか？</t>
  </si>
  <si>
    <t>当院（全院）では提携している駐車場・駐輪場はございません。お近くのパーキングをご利用ください。なお、駐車場・駐輪場の利用料は患者さまのご負担となりますので、予めご了承いただけますと幸いです。</t>
  </si>
  <si>
    <t>駐輪場,駐車場,自転車,車,パーキング,利用料</t>
  </si>
  <si>
    <t>排卵しているか診てもらえますか？/排卵検査はできますか？/排卵日を調べてほしい/排卵チェックはできますか？</t>
  </si>
  <si>
    <t>恐れ入りますが、当院では妊娠・妊活・不妊に関する診療を行っておりませんので、排卵に関する検査は行っておりません。</t>
  </si>
  <si>
    <t>排卵,排卵検査,排卵日,排卵チェック,妊活,不妊</t>
  </si>
  <si>
    <t>LINEを変えた時はどうすればいいですか？/LINEアカウントを変更した場合/LINE引き継ぎできなかった/LINEの機種変更</t>
  </si>
  <si>
    <t>LINEアカウントを変更された場合は、次回ご来院の際に受付にてご相談ください。</t>
  </si>
  <si>
    <t>LINE変更,アカウント変更,機種変更,引き継ぎ,LINE変えた</t>
  </si>
  <si>
    <t>低用量ピルは最大何ヶ月分まで処方してもらえますか？/ピルはまとめて何シートもらえますか？/ピルの最大処方日数を教えてください</t>
  </si>
  <si>
    <t>低用量ピルの最大処方数は、ピルの種類によって異なります。【避妊目的のピル（OC・自費）】最大6ヶ月分まで処方可能です。【治療目的のピル（LEP・保険適用）】最大3ヶ月分まで処方可能です。※初診時はお薬がご自身に合うかを確認するため、1シートのみの処方となります。詳しくはこちらをご覧ください。→https://luna-dr.com/subjects/low-dose-contraceptive/</t>
  </si>
  <si>
    <t>最大処方,何ヶ月分,何シート,まとめて,処方日数,OC,LEP,6ヶ月,3ヶ月</t>
  </si>
  <si>
    <t>未成年でもピルを処方してもらえますか？/低用量ピルを処方してもらいたいのですが未成年です/高校生でもピルはもらえますか？/親の同行は必要ですか？</t>
  </si>
  <si>
    <t>15歳以上であればピルの処方は可能です。ただし、18歳未満の患者さまは保護者の方の同伴が必須となります。ご予約は「ピル処方」のメニューからお取りください。ご予約は公式LINEから24時間承っております。LINEはこちら→https://cline-app.com/qr-codes/98ad6f149bfa20f4f2a9a2e91aac4187/preview</t>
  </si>
  <si>
    <t>未成年,ピル,処方,保護者,同伴,高校生,15歳,18歳未満,親</t>
  </si>
  <si>
    <t>陰唇縮小はできますか？/小陰唇縮小手術は対応していますか？/小陰唇についての診察は行っているか/小陰唇の相談はできますか</t>
  </si>
  <si>
    <t>恐れ入りますが、陰唇縮小手術は当院では行っておりません。</t>
  </si>
  <si>
    <t>陰唇縮小,小陰唇,手術,美容外科</t>
  </si>
  <si>
    <t>利尿剤の処方はできますか？/利尿剤を出してもらえますか？</t>
  </si>
  <si>
    <t>恐れ入りますが、利尿剤の処方は当院では行っておりません。</t>
  </si>
  <si>
    <t>利尿剤,処方,対応不可</t>
  </si>
  <si>
    <t>高校生ですが予約はどうすればいいですか？/未成年の予約方法を教えてください/18歳未満の予約方法/未成年ですが予約できますか？/高校生の予約方法/10代の予約/子供の予約を取りたい/娘の予約を取りたい/高校生ひとりで受診できますか？/高校生1人で行っても大丈夫ですか？/ひとりで受診はできますか？/1人で受診できますか？/保護者なしで受診できますか？</t>
  </si>
  <si>
    <t>当院は15歳以上の方からご受診いただけます。18歳未満の患者さまはお1人でのご受診はできませんので、保護者の方の同伴が必須となります。ご予約は保護者の方とご一緒にご来院いただける日時で、ご希望の内容に応じたメニュー（一般婦人科診療・ピル処方等）からお取りください。LINEはこちら→https://cline-app.com/qr-codes/98ad6f149bfa20f4f2a9a2e91aac4187/preview</t>
  </si>
  <si>
    <t>高校生,未成年,18歳未満,保護者,同伴,予約,母親と同伴</t>
  </si>
  <si>
    <t>妊娠中ですが外陰部のかゆみで受診できますか？/妊娠中の受診は可能ですか？/妊婦ですが診てもらえますか？</t>
  </si>
  <si>
    <t>当院では妊娠12週未満の方のみご受診が可能です。かかりつけの産婦人科がある場合は、まずかかりつけ医でのご受診をお願いいたします。</t>
  </si>
  <si>
    <t>妊娠中,妊婦,外陰部,かゆみ,12週未満,かかりつけ</t>
  </si>
  <si>
    <t>中絶手術のキャンセルをしたいのですが/中絶手術の予約を変更したい/中絶オペの日程を変更したい/中絶手術の予約をキャンセルしたい</t>
  </si>
  <si>
    <t>当院で中絶手術のご予約をお取りされている方は、キャンセル期限がございますので、お電話にてご連絡をお願いいたします。お電話：050-1730-2768（受付時間：平日9:45〜13:40・15:15〜19:40、土日祝9:45〜13:40・15:15〜18:40）※中絶相談のご予約（まだオペ予約を取っていない方）のキャンセルは、期限なくいつでも可能です。</t>
  </si>
  <si>
    <t>中絶手術,オペ,キャンセル,変更,日程変更,予約変更,キャンセル期限</t>
  </si>
  <si>
    <t>nan</t>
  </si>
  <si>
    <t>プラセンタ注射はできますか？/プラセンタ注射は対応していますか？</t>
  </si>
  <si>
    <t>恐れ入りますが、プラセンタ注射は当院では行っておりません。</t>
  </si>
  <si>
    <t>プラセンタ,注射,対応不可</t>
  </si>
  <si>
    <t>検査結果を聞きに行く場合、予約は必要ですか？/結果通知は予約なしで行けますか？/子宮頸がん検診の結果予約/検査結果の予約/結果を聞くための予約</t>
  </si>
  <si>
    <t>検査結果の説明をご希望の場合は「検査結果説明」のメニューでご予約ください。→https://cline-app.com/qr-codes/98ad6f149bfa20f4f2a9a2e91aac4187/preview</t>
  </si>
  <si>
    <t>検査結果,結果通知,予約,検査結果説明</t>
  </si>
  <si>
    <t>相模原市民ですが受診可能ですか？/他の市区町村からでも受診できますか？/他の市区町村の保険証でも受診できますか？</t>
  </si>
  <si>
    <t>お住まいの市区町村に関係なくご受診いただけます。健康保険証（またはマイナ保険証）をお持ちであれば、どの自治体の方でも保険診療が可能です。ただし、自治体のがん検診（公費）につきましては、横浜市・川崎市・町田市が対象となります。</t>
  </si>
  <si>
    <t>相模原市,他の市区町村,保険証,受診可能,自治体</t>
  </si>
  <si>
    <t>低用量ピルの治療目的の場合の検査って何ですか？/LEPの初回検査は何をしますか？</t>
  </si>
  <si>
    <t>治療目的（LEPピル）の場合、生理痛などの原因を詳しく調べるため、超音波（エコー）検査を行います。その上で、生理の回数を減らして負担を軽減する「ヤーズフレックス」など、症状に合ったお薬をご提案します。</t>
  </si>
  <si>
    <t>LEP,治療目的,検査,エコー,超音波,初回</t>
  </si>
  <si>
    <t>AMH検査はどの予約メニューで取ればいいですか？/AMH検査の予約方法</t>
  </si>
  <si>
    <t>AMH検査のご予約は「一般婦人科診療」のメニューからお取りください。→https://cline-app.com/qr-codes/98ad6f149bfa20f4f2a9a2e91aac4187/preview</t>
  </si>
  <si>
    <t>AMH,予約メニュー,一般婦人科診療,ブライダルチェック</t>
  </si>
  <si>
    <t>出産費用はいくらですか？/出産はできますか？分娩は行っていますか？/出産できますか？/お産はできますか？/子供は産めますか？/産科受診/分娩は対応していますか？/無痛分娩はできますか</t>
  </si>
  <si>
    <t>恐れ入りますが、当院は婦人科クリニックのため、分娩（出産）には対応しておりません。</t>
  </si>
  <si>
    <t>出産,分娩,対応不可,無痛分娩</t>
  </si>
  <si>
    <t>資格確認書とは何ですか？/資格確認書について教えてください</t>
  </si>
  <si>
    <t>資格確認書は、健康保険の加入状況を証明する書類です。マイナ保険証をお持ちでない方は、お手元の資格確認書を保険証の代わりとしてご持参ください。</t>
  </si>
  <si>
    <t>資格確認書,保険証,マイナ保険証</t>
  </si>
  <si>
    <t>予約の日時を変更したいのですが/予約日を変更できますか？/予約変更の方法を教えてください</t>
  </si>
  <si>
    <t>ご予約の日時変更は、LINEの予約画面から変更が可能です。一度ご予約をキャンセルいただき、ご希望の日時で再度ご予約をお取りください。→https://cline-app.com/qr-codes/98ad6f149bfa20f4f2a9a2e91aac4187/preview</t>
  </si>
  <si>
    <t>予約変更,日時変更,変更方法</t>
  </si>
  <si>
    <t>ベトナム語の通訳はいますか？/通訳はいますか？</t>
  </si>
  <si>
    <t>恐れ入りますが、当院では通訳のご用意はございません。患者さまご本人が日本語で直接コミュニケーションが取れることが必要となります。</t>
  </si>
  <si>
    <t>通訳,ベトナム語,外国語,対応</t>
  </si>
  <si>
    <t>血尿が出ているのですが診てもらえますか？/血尿の検査はできますか？</t>
  </si>
  <si>
    <t>恐れ入りますが、血尿の診療は当院では行っておりません。泌尿器科でのご受診をお願いいたします。</t>
  </si>
  <si>
    <t>血尿,泌尿器科,対応不可</t>
  </si>
  <si>
    <t>男性も診療できますか？/男性の受診はできますか？/彼も一緒に受診できますか？/男性の付き添いは可能ですか？/男性はいくらですか？/男性の料金</t>
  </si>
  <si>
    <t>当院は女性専用クリニックのため、男性の診療・ご入室は承っておりません。</t>
  </si>
  <si>
    <t>男性,男,彼,パートナー,付き添い,入室</t>
  </si>
  <si>
    <t>紹介状を書いてもらいたいのですが何で予約すればいいですか？/紹介状が欲しい場合の予約メニュー</t>
  </si>
  <si>
    <t>紹介状の発行をご希望の場合は、前回の続きの診察であれば「再診 &gt; 一般婦人科診療（前回の続き）」、それ以外であれば「一般婦人科診療」のメニューでご予約ください。WEB問診票の備考欄に「紹介状希望」とご記入いただくとスムーズです。ご予約は公式LINEからお願い致します→https://cline-app.com/qr-codes/98ad6f149bfa20f4f2a9a2e91aac4187/preview</t>
  </si>
  <si>
    <t>紹介状,予約メニュー,書いてほしい</t>
  </si>
  <si>
    <t>ゴールデンウィークは営業していますか？/GW中は診療していますか？/GW期間中の休診日はありますか？</t>
  </si>
  <si>
    <t>ゴールデンウィーク期間中も横浜駅前院、川崎駅前院、町田駅前院は通常通り診療しております。町田駅前院は通常通り日曜日が休診です。ご予約は公式LINEから24時間承っております。ご予約は公式LINEからお願い致します→https://cline-app.com/qr-codes/98ad6f149bfa20f4f2a9a2e91aac4187/preview</t>
  </si>
  <si>
    <t>ゴールデンウィーク,GW,連休,営業,休診</t>
  </si>
  <si>
    <t>吐き気止めの料金はいくらですか？/吐き気止めは処方してもらえますか？</t>
  </si>
  <si>
    <t>吐き気止めの料金は220円（税込）です。別途、初診料・再診料がかかります。</t>
  </si>
  <si>
    <t>吐き気止め,料金,220円</t>
  </si>
  <si>
    <t>ピルの服用をやめたい場合、診察は必要ですか？/妊娠希望でピルを中止したい</t>
  </si>
  <si>
    <t>ピルの中断時期については医師の判断が必要となりますので、一度ご受診をお願いいたします。「一般婦人科診療（前回の続き）」のメニューでご予約ください。→https://cline-app.com/qr-codes/98ad6f149bfa20f4f2a9a2e91aac4187/preview
なお、当院では妊活・不妊に関する診療は行っておりませんので、妊活のご相談については妊活を取り扱っているクリニックへのご受診をおすすめいたします。</t>
  </si>
  <si>
    <t>ピル中止,やめたい,妊娠希望,妊活</t>
  </si>
  <si>
    <t>生理中でもピルを処方してもらえますか？/生理中でも受診できますか？/生理中のピル処方</t>
  </si>
  <si>
    <t>生理中でもピルの処方は可能です。ご予約は「ピル処方」のメニューからお取りください。→https://cline-app.com/qr-codes/98ad6f149bfa20f4f2a9a2e91aac4187/preview</t>
  </si>
  <si>
    <t>生理中,ピル処方,受診可能</t>
  </si>
  <si>
    <t>ブライダルチェックの基本パックから一部検査を外した場合、料金は変わりますか？/ブライダルチェックの検査を選べますか？</t>
  </si>
  <si>
    <t>ブライダルチェックの基本セット（経膣超音波・クラミジア・子宮頸がん検診）はセット価格で15,000円のため、一部の検査を外しても料金は変わりません。ご希望に応じてセット以外の組み合わせでのご案内も可能ですので、看護師にご相談ください。</t>
  </si>
  <si>
    <t>ブライダルチェック,料金,一部外す,セット,変更</t>
  </si>
  <si>
    <t>子宮頚部細胞診で陽性だった場合どうすればいいですか？/細胞診の結果が要精密検査だった</t>
  </si>
  <si>
    <t>検査結果の内容によって対応が異なるため、検査結果をお持ちの上ご受診をお願いいたします。「一般婦人科診療」のメニューでご予約ください。→https://cline-app.com/qr-codes/98ad6f149bfa20f4f2a9a2e91aac4187/preview</t>
  </si>
  <si>
    <t>検診</t>
  </si>
  <si>
    <t>細胞診,陽性,要精密検査,子宮頸がん</t>
  </si>
  <si>
    <t>健康診断で再検査になりました。受診できますか？/健康診断で引っかかった</t>
  </si>
  <si>
    <t>婦人科関連の再検査については、検査結果の内容によって受診可否が異なります。子宮頸がん検査での再検査の場合はお電話（050-1730-2768）にてご確認ください。なお、胸に関する検査での再検査は当院では対応しておりませんので予めご了承くださいませ。</t>
  </si>
  <si>
    <t>健康診断,再検査,引っかかった,要精密検査</t>
  </si>
  <si>
    <t>子宮頚部細胞診に性病検査は含まれますか？/細胞診で性感染症は分かりますか？</t>
  </si>
  <si>
    <t>子宮頚部細胞診に性病検査は含まれておりません。性感染症が気になる方は、別途性感染症検査をお受けください。「一般婦人科診療」のメニューでご予約いただき、WEB問診票に検査希望の内容をご入力ください。→https://cline-app.com/qr-codes/98ad6f149bfa20f4f2a9a2e91aac4187/preview</t>
  </si>
  <si>
    <t>細胞診,性病検査,含まれる,性感染症</t>
  </si>
  <si>
    <t>咽頭クラミジアの検査費用はいくらですか？/喉の性病検査の料金</t>
  </si>
  <si>
    <t>咽頭の性感染症検査も当院で対応可能です。検査費用は1項目5,000円（税込）です。ご予約は「一般婦人科診療」のメニューからお取りください。→https://cline-app.com/qr-codes/98ad6f149bfa20f4f2a9a2e91aac4187/preview</t>
  </si>
  <si>
    <t>咽頭クラミジア,喉,性病検査,検査費用</t>
  </si>
  <si>
    <t>他院で性病検査をして陽性でした。治療はできますか？/他の病院の検査結果で治療してもらえますか？</t>
  </si>
  <si>
    <t>他院での検査結果（オンライン検査を含む）で、検査結果にフルネームの記載がある場合は保険適用で治療が可能です。ただし、検査項目によっては自費のみの診療となる場合もございますのでご了承ください。検査結果をお持ちの上「一般婦人科診療」のメニューでご予約ください。→https://cline-app.com/qr-codes/98ad6f149bfa20f4f2a9a2e91aac4187/preview</t>
  </si>
  <si>
    <t>他院,陽性,治療,保険適用,検査結果</t>
  </si>
  <si>
    <t>子宮頸がん検査とAMH検査を当日まとめて受けられますか？/複数の検査を同じ日にできますか？</t>
  </si>
  <si>
    <t>検査の組み合わせについては医師の判断となりますので、ご受診時に医師にご相談ください。ご予約は「一般婦人科診療」のメニューからお取りいただき、WEB問診票の備考欄にご希望の検査内容をご記入ください。ご予約は「一般婦人科診療」のメニューからお取りください。→https://cline-app.com/qr-codes/98ad6f149bfa20f4f2a9a2e91aac4187/preview</t>
  </si>
  <si>
    <t>当日,同時,まとめて,複数検査,AMH</t>
  </si>
  <si>
    <t>麻疹抗体検査はできますか？/麻疹の検査はできますか？</t>
  </si>
  <si>
    <t>恐れ入りますが、麻疹抗体検査及び、麻疹ワクチン接種は当院では対応しておりません。</t>
  </si>
  <si>
    <t>麻疹,麻疹抗体,対応不可</t>
  </si>
  <si>
    <t>がん検診の結果は電話で聞けますか？/検査結果を電話で教えてもらえますか？</t>
  </si>
  <si>
    <t>恐れ入りますが、検査結果のお電話でのご案内は行っておりません。検査結果のご説明は「検査結果説明」のメニューでご予約ください。→https://cline-app.com/qr-codes/98ad6f149bfa20f4f2a9a2e91aac4187/preview</t>
  </si>
  <si>
    <t>電話,結果,聞けますか,確認方法</t>
  </si>
  <si>
    <t>中絶手術の予約は何時からできますか？/中絶手術は午前と午後どちらですか？</t>
  </si>
  <si>
    <t>中絶手術のご予約については、午前・午後の枠でのご案内となります。詳しい時間につきましては看護師よりご案内いたしますので、まずは「中絶相談」のメニューで初回診療をご予約ください。→https://cline-app.com/qr-codes/98ad6f149bfa20f4f2a9a2e91aac4187/preview</t>
  </si>
  <si>
    <t>中絶手術,予約,何時から,午前,午後</t>
  </si>
  <si>
    <t>中絶手術後に自宅に郵送で届くものはありますか？</t>
  </si>
  <si>
    <t>中絶手術後にご自宅に届くものはございませんので、ご安心ください。</t>
  </si>
  <si>
    <t>中絶手術,郵送,届くもの,プライバシー</t>
  </si>
  <si>
    <t>中絶手術日は何時に行けばいいですか？/中絶手術の当日の流れを教えてください</t>
  </si>
  <si>
    <t>手術当日の来院時間や流れにつきましては、初回診療の際に看護師よりご案内いたします。まずは「中絶相談」のメニューで初回診療をご予約ください。→https://cline-app.com/qr-codes/98ad6f149bfa20f4f2a9a2e91aac4187/preview</t>
  </si>
  <si>
    <t>中絶手術,当日,何時,来院時間,流れ</t>
  </si>
  <si>
    <t>流産の手術の予約メニューは何を選べばいいですか？/稽留流産の手術の予約方法</t>
  </si>
  <si>
    <t>流産手術のご予約は「一般婦人科診療」のメニューからお取りください。WEB問診票の備考欄に「流産手術」とご記入ください。→https://cline-app.com/qr-codes/98ad6f149bfa20f4f2a9a2e91aac4187/preview</t>
  </si>
  <si>
    <t>流産,手術,予約メニュー,稽留流産,一般婦人科診療</t>
  </si>
  <si>
    <t>流産のエコー検査は保険適用ですか？/流産の検査費用</t>
  </si>
  <si>
    <t>流産関連の検査の保険適用可否については、診察の上で医師の判断となるため、事前にお伝えすることができかねます。ご受診いただき医師にご相談ください。「一般婦人科診療」のメニューでご予約ください。→https://cline-app.com/qr-codes/98ad6f149bfa20f4f2a9a2e91aac4187/preview</t>
  </si>
  <si>
    <t>流産,エコー,保険適用,検査費用</t>
  </si>
  <si>
    <t>中絶同意書のフォーマットはダウンロードできますか？/中絶の同意書は事前にもらえますか？</t>
  </si>
  <si>
    <t>中絶同意書は初回のご相談でご受診いただいた際にお渡ししております。事前にダウンロードできるフォーマットはございません。ご本人とパートナーの署名・捺印（印鑑・シャチハタ・拇印いずれも可）が必要です。</t>
  </si>
  <si>
    <t>中絶,同意書,フォーマット,ダウンロード,事前</t>
  </si>
  <si>
    <t>流産手術後の経過確認の費用はどれくらいですか？/流産手術後の検診費用</t>
  </si>
  <si>
    <t>術後検診の料金につきましては、受診時に受付にてご確認ください。</t>
  </si>
  <si>
    <t>流産手術,術後,経過確認,費用,検診</t>
  </si>
  <si>
    <t>保険証がないのですが受診できますか？/保険証を持っていない場合/資格確認証がない/資格確認証をもっていない/保険証なしで保険ピルを自費で処方された場合、次回保険証を持参すれば返金されますか？/アフターピルに保険証はいりますか？/自費の性病検査でも保険証は必要？</t>
  </si>
  <si>
    <t>保険証をお持ちでない場合でもご受診いただけます。保険診療を行った場合は当日10割負担となりますが、当月中に領収書と保険証をお持ちいただければ7割分の返金対応を行っております。自費診療の場合は保険証がなくても処方可能です。</t>
  </si>
  <si>
    <t>保険証なし,保険証がない,10割負担,返金</t>
  </si>
  <si>
    <t>紹介状の再発行はできますか？/紹介状をもう一度出してもらえますか？</t>
  </si>
  <si>
    <t>紹介状の再発行は可能です。再発行料は自費の場合2,200円（税込）です。保険適用の場合の料金は受診時にご確認ください。お電話（050-1730-2768）または受付にてお申し付けください。</t>
  </si>
  <si>
    <t>書類・証明</t>
  </si>
  <si>
    <t>紹介状,再発行,料金</t>
  </si>
  <si>
    <t>HRTの相談はできますか？/ホルモン補充療法は対応していますか？</t>
  </si>
  <si>
    <t>恐れ入りますが、HRT（ホルモン補充療法）は当院では対応しておりません。</t>
  </si>
  <si>
    <t>HRT,ホルモン補充療法,対応不可</t>
  </si>
  <si>
    <t>バルトリン腺の治療はできますか？/バルトリン腺炎は診てもらえますか？/バルトリン腺化膿の診察/バルトリン腺のレーザー治療はできますか？/バルトリン腺の切開はできますか？</t>
  </si>
  <si>
    <t>バルトリン腺の治療は当院で対応可能です。ただし、レーザー治療・切開は行っておらず、排膿処置のみの対応となります。ご予約は「一般婦人科診療」のメニューでご予約ください。→https://cline-app.com/qr-codes/98ad6f149bfa20f4f2a9a2e91aac4187/preview</t>
  </si>
  <si>
    <t>バルトリン腺,治療,化膿,対応可能</t>
  </si>
  <si>
    <t>漢方の処方はできますか？/漢方薬を出してもらえますか？</t>
  </si>
  <si>
    <t>漢方の処方については医師の判断で可能です。ご希望の場合は「一般婦人科診療」のメニューでご予約ください。→https://cline-app.com/qr-codes/98ad6f149bfa20f4f2a9a2e91aac4187/preview</t>
  </si>
  <si>
    <t>漢方,漢方薬,処方</t>
  </si>
  <si>
    <t>心拍確認はできますか？/妊娠初期の心拍確認</t>
  </si>
  <si>
    <t>心拍確認は当院で行っております。ご予約は「一般婦人科診療」のメニューからお取りください。なお、卵黄嚢確認には対応しておりません。→https://cline-app.com/qr-codes/98ad6f149bfa20f4f2a9a2e91aac4187/preview</t>
  </si>
  <si>
    <t>心拍確認,妊娠初期,超音波</t>
  </si>
  <si>
    <t>オンライン診療のビデオ通話はどのくらいの時間がかかりますか？/オンライン診療の所要時間</t>
  </si>
  <si>
    <t>オンライン診療の通話時間は10分ほどです。予約枠は30分確保されておりますので、ご質問等ございましたらお気軽にお聞きください。</t>
  </si>
  <si>
    <t>オンライン診療,ビデオ通話,時間,所要時間,10分</t>
  </si>
  <si>
    <t>予約の時間より前に来ても大丈夫ですか？/予約より早く着いた場合/初診の場合何分前に受付すればいいですか？/予約時間の何分前に行けばいいですか？/来院は何分前が良いですか？</t>
  </si>
  <si>
    <t>予約時間より前にご来院いただいても問題ございません。ただし、その時間帯のご予約の方が優先となりますので、少しお待ちいただく場合がございます。</t>
  </si>
  <si>
    <t>予約前,早く着いた,早めに来院</t>
  </si>
  <si>
    <t>コンジローマの視診の料金はいくらですか？/コンジローマの診察費用</t>
  </si>
  <si>
    <t>コンジローマの視診料金につきましては、受診時に受付にてご確認ください。</t>
  </si>
  <si>
    <t>コンジローマ,視診,料金</t>
  </si>
  <si>
    <t>生理中でも膣錠はもらえますか？/生理中の膣錠処方</t>
  </si>
  <si>
    <t>膣錠の処方可否は医師の判断となりますので、ご受診時に医師にご相談ください。なお、生理中は膣錠が経血と一緒に流れ出てしまうため、使用を控えていただいております。「一般婦人科診療（前回の続き）」のメニューでご予約ください。→https://cline-app.com/qr-codes/98ad6f149bfa20f4f2a9a2e91aac4187/preview</t>
  </si>
  <si>
    <t>処方薬</t>
  </si>
  <si>
    <t>膣錠,生理中,処方</t>
  </si>
  <si>
    <t>胎児エコーはできますか？/妊娠中のエコー検査はできますか？/赤ちゃんのエコーを見てもらえますか？</t>
  </si>
  <si>
    <t>当院では妊娠12週未満の方のエコー検査に対応しております。ご予約は「一般婦人科診療」のメニューからお取りください。→https://cline-app.com/qr-codes/98ad6f149bfa20f4f2a9a2e91aac4187/preview　※妊娠12週以降の方は、かかりつけの産婦人科でのご受診をお願いいたします。</t>
  </si>
  <si>
    <t>胎児エコー,エコー検査,妊娠中,超音波,12週</t>
  </si>
  <si>
    <t>排卵誘発剤の処方はしてもらえますか？/排卵誘発剤は出してもらえますか？</t>
  </si>
  <si>
    <t>恐れ入りますが、当院では妊娠・妊活・不妊に関する診療を行っておりませんので、排卵誘発剤の処方は行っておりません。</t>
  </si>
  <si>
    <t>排卵誘発剤,処方,妊活,不妊,対応不可</t>
  </si>
  <si>
    <t>妊活の相談はできますか？/妊活について相談したい/不妊の相談はできますか？</t>
  </si>
  <si>
    <t>恐れ入りますが、当院では妊活・不妊に関する診療は行っておりません。妊活を取り扱っているクリニックへのご受診をおすすめいたします。</t>
  </si>
  <si>
    <t>妊活,不妊,相談,対応不可</t>
  </si>
  <si>
    <t>高校生でピル処方したいのですが親に知られますか？/未成年のピル処方は親にバレますか？/ピル処方で親に通知は届きますか？</t>
  </si>
  <si>
    <t>当院では未成年の方のピル処方について、ピルの種類によって対応が異なります。【自費ピル・アフターピル・月経移動ピルの場合】15歳以上であれば保護者の同伴なしでご受診いただけます。通知等がご自宅に届くことはございません。【保険適用のピル（LEP）の場合】初回診察時に保護者の方の同伴が必須となります。来院診療のご予約：こちらのLINEをご利用ください。ご予約は「ピル処方」のメニューからお取りください。→https://cline-app.com/qr-codes/98ad6f149bfa20f4f2a9a2e91aac4187/preview
オンライン診療のご予約：こちらのオンライン診療LINEページをご利用ください→https://liff-gateway.lineml.jp/landing?follow=%40590gpxrd&amp;lp=fX73yx&amp;liff_id=1657094566-LmjNPPbV</t>
  </si>
  <si>
    <t>高校生,未成年,親にバレる,保護者,通知,知られる</t>
  </si>
  <si>
    <t>処方箋が切れた場合どうすればいいですか？/自費ピルの処方箋の期限が切れた/処方箋の再発行はできますか？</t>
  </si>
  <si>
    <t>期限切れの処方箋は受付にて再発行が可能です。再発行料は1,100円（税込）です。再度の診察は基本的に不要ですが、前回の処方からだいぶ期間が空いている場合はカウンセリングがある場合がございます。</t>
  </si>
  <si>
    <t>処方箋,期限切れ,再発行,1100円</t>
  </si>
  <si>
    <t>スリンダは避妊効果はありますか？/スリンダに避妊効果はある？/ミニピルの避妊効果</t>
  </si>
  <si>
    <t>スリンダ（ミニピル）には避妊効果がございます。</t>
  </si>
  <si>
    <t>スリンダ,ミニピル,避妊効果</t>
  </si>
  <si>
    <t>スリンダで生理日程をずらせますか？/スリンダで月経移動はできますか？/ミニピルで生理をずらしたい</t>
  </si>
  <si>
    <t>スリンダ（ミニピル）での月経移動については、事前に看護師への確認が必要となります。</t>
  </si>
  <si>
    <t>スリンダ,ミニピル,月経移動,生理をずらす,日程変更</t>
  </si>
  <si>
    <t>コルポスコピー検査はできますか？/コルポ検査は受けられますか？/組織診は受けられますか？</t>
  </si>
  <si>
    <t>恐れ入りますが、コルポスコピー検査（腟拡大鏡検査）は当院では行っておりません。</t>
  </si>
  <si>
    <t>コルポスコピー,コルポ,組織診,腟拡大鏡</t>
  </si>
  <si>
    <t>子宮頸がんの精密検査はできますか？/子宮頸がん検査で要精密検査と言われました/子宮頸がんの再検査をしたい</t>
  </si>
  <si>
    <t>子宮頸がんの精密検査につきましては、検査結果の内容によってご案内が異なります。検査結果をお手元にご準備の上、お電話（050-1730-2768）にてお問い合わせください。</t>
  </si>
  <si>
    <t>子宮頸がん,精密検査,要精密検査,再検査</t>
  </si>
  <si>
    <t>中絶手術にパートナーは付き添えますか？/手術後はパートナーが付き添えますか？/手術当日に保護者は一緒に待てますか？</t>
  </si>
  <si>
    <t>男性のご入室は当院ではお断りしております。また、中絶手術当日のお付き添い（保護者の方を含む）および院内でお待ちいただくことは出来ませんので予めご了承くださいませ。</t>
  </si>
  <si>
    <t>付き添い,パートナー,手術,保護者,待つ,入室</t>
  </si>
  <si>
    <t>経膣エコーが痛いのですが配慮してもらえますか？/内診が怖いです/検査の痛みが心配/内診は拒否できますか？/内診は必須ですか？/内診したくない/性交渉経験がないのですが内診はありますか？/内診は必ずしなければいけませんか/生理不順は内診しますか/内診を受けずに診察や処方はできますか？</t>
  </si>
  <si>
    <t>検査時のご不安やお痛みについては、診察の際に医師やスタッフにお伝えください。できる限り配慮してご対応いたします。</t>
  </si>
  <si>
    <t>経膣エコー,痛み,内診,配慮,怖い</t>
  </si>
  <si>
    <t>保険診療と自由診療はどう決まるのですか？/保険か自費かの判別はどうするの？/保険適用になるかどうかの基準は？</t>
  </si>
  <si>
    <t>保険適用か自由診療かは、症状の有無やご受診内容によって異なります。具体的な適用可否は診察時に医師が判断いたします。</t>
  </si>
  <si>
    <t>保険診療,自由診療,判別,保険適用,自費</t>
  </si>
  <si>
    <t>診察の流れを教えてください/初めて受診する場合の流れは？/来院時の流れ/受診の流れ</t>
  </si>
  <si>
    <t>ご来院後の流れは、受付→WEB問診（事前にご回答いただくとスムーズです）→診察→検査（必要な場合）→お会計となります。ご予約は公式LINEから24時間承っております。LINEはこちら→https://cline-app.com/qr-codes/98ad6f149bfa20f4f2a9a2e91aac4187/preview</t>
  </si>
  <si>
    <t>診察の流れ,初めて,来院,受診の流れ</t>
  </si>
  <si>
    <t>定期便とは何ですか？/定期配送とは/ピルの定期購入とは/定期便について教えてください</t>
  </si>
  <si>
    <t>低用量ピルの定期配送サービスです。オンライン診療で処方を受けた後、ご自宅にお薬を定期的にお届けします。詳しくはこちら→https://luna-dr.com/telemedicine/</t>
  </si>
  <si>
    <t>定期便,定期配送,定期購入,とは</t>
  </si>
  <si>
    <t>検査結果はいつ分かりますか？/検査結果はどれくらいで出ますか？/結果はいつ頃わかりますか？/培養検査の結果はどれくらいで出る？/雑菌検査結果はいつ出ますか？</t>
  </si>
  <si>
    <t>検査結果は検査の種類によって異なります。クラミジア・淋菌等は約4日〜10日後にWebでご確認いただけます。血液検査は約1〜2週間後にご来院いただき医師から直接ご説明いたします。検査結果確認サイトはこちら→https://result.luna-dr.com/clinic_login</t>
  </si>
  <si>
    <t>検査結果,いつ,どれくらい,結果,日数</t>
  </si>
  <si>
    <t>https://result.luna-dr.com/clinic_login</t>
  </si>
  <si>
    <t>尿路感染は診てもらえますか？/尿路感染症の診察はできますか？/膀胱炎と尿路感染の両方を診てもらえますか？/尿路感染について相談したい/尿路感染か膣炎疑いなんですが/尿路感染と膣炎の両方を診てもらえますか？</t>
  </si>
  <si>
    <t>尿路感染症については泌尿器科が専門となるため、当院での診察は行っておりません。お近くの泌尿器科へのご受診をお願いいたします。</t>
  </si>
  <si>
    <t>対応不可</t>
  </si>
  <si>
    <t>尿路感染,尿路感染症,泌尿器科,膀胱炎,膣炎</t>
  </si>
  <si>
    <t>モナリザタッチはできますか？/モナリザタッチは行っていますか？/モナリザタッチについて教えてください</t>
  </si>
  <si>
    <t>モナリザタッチは当院では行っておりません。モナリザタッチをご希望の場合は、取り扱いのあるクリニックへのご受診をお願いいたします。</t>
  </si>
  <si>
    <t>モナリザタッチ,MonaLisa Touch,レーザー治療</t>
  </si>
  <si>
    <t>妊娠中の咳や気管支の痛みで受診できますか？/妊娠中の風邪は診てもらえますか？/妊娠中の内科的な症状</t>
  </si>
  <si>
    <t>当院は婦人科のため、咳・気管支の痛みなどの内科的な症状の診療は行っておりません。内科へのご受診をお願いいたします。</t>
  </si>
  <si>
    <t>妊娠中,咳,気管支,内科,風邪</t>
  </si>
  <si>
    <t>脱毛は取り扱っていますか？/医療脱毛はできますか？/脱毛について</t>
  </si>
  <si>
    <t>当院では脱毛（医療脱毛を含む）は行っておりません。</t>
  </si>
  <si>
    <t>脱毛,医療脱毛</t>
  </si>
  <si>
    <t>アレルギー検査は行っていますか？/アレルギー検査はできますか？/アレルギーの検査</t>
  </si>
  <si>
    <t>当院は婦人科のため、アレルギー検査は行っておりません。アレルギー科または内科へのご受診をお願いいたします。</t>
  </si>
  <si>
    <t>アレルギー検査,アレルギー</t>
  </si>
  <si>
    <t>父親が娘を連れて受診できますか？/父親の付き添いは可能ですか？/男性の保護者は同伴できますか？</t>
  </si>
  <si>
    <t>当院は女性専用のため、男性の方のご入室はお断りしております。18歳未満の患者さまには保護者の同伴が必須ですが、女性の保護者の方にお願いしております。男性の保護者の方は院外でお待ちいただくことになりますので、ご了承ください。</t>
  </si>
  <si>
    <t>父親,男性,保護者,付き添い,高校生,娘</t>
  </si>
  <si>
    <t>アクセスと診療時間を教えてください/場所と診療時間/アクセスと診療時間</t>
  </si>
  <si>
    <t>ルナレディースクリニックの住所は院によって異なります。
・横浜駅前院：〒220-0004 神奈川県横浜市西区北幸1丁目1-8 エキニア横浜7F（横浜駅から徒歩2分）。詳しくはこちら：https://luna-dr.com/yokohama/
・川崎駅前院：〒210-0007 神奈川県川崎市川崎区駅前本町3-1 NMF川崎東口ビルB1F（川崎駅から徒歩30秒）。詳しくはこちら：https://luna-dr.com/kawasaki/
・町田駅前院：〒194-0013 東京都町田市原町田6丁目3-20 TK町田ビル3階（町田駅から徒歩2分）。詳しくはこちら：https://luna-dr.com/
診療時間は院によって診療時間・休診日が異なります。
・横浜駅前院：平日は午前診療が10:00〜14:00、午後診療が15:30〜20:00です。土日祝は午前診療が10:00〜14:00、午後診療が15:30〜19:00です。土日祝日も含め、毎日診療を行っています。診療時間はこちら：https://luna-dr.com/yokohama/consultation-hours/ 
・川崎駅前院：平日は午前診療が10:00〜14:00、午後診療が15:30〜20:00です。土日祝は午前診療が10:00〜14:00、午後診療が15:30〜19:00です。土日祝日も含め、毎日診療を行っています。診療時間はこちら：https://luna-dr.com/kawasaki/consultation-hours/ 
・町田駅前院：午前診療が10:00〜14:00、午後診療が15:30〜20:00です。日曜は休診となります。土曜日の午後診療は15:30〜19:00です。診療時間はこちら：https://luna-dr.com/machida/consultation-hours/</t>
  </si>
  <si>
    <t>アクセス,診療時間,場所,行き方</t>
  </si>
  <si>
    <t>婦人科検診の結果はどこで見られますか？/検査結果のネットでの見方を教えてください/検査結果の確認方法/子宮頸がん検診の結果の見方/検査結果をWebで確認する方法/結果はどうやって見るんですか？/がん検査結果の表がほしい/検査結果の書類をもらいたい/検査結果を紙でもらえますか</t>
  </si>
  <si>
    <t>婦人科検診の結果は、検査日から約2週間後に検査結果確認サイトからWebでご確認いただけます。確認サイトはこちら→https://result.luna-dr.com/clinic_login 診察番号（患者番号）はLINEまたは領収書からご確認いただけます。詳しい確認手順はこちらのページをご参照ください。→https://luna-dr.notion.site/f0a26ab231534d8fa9cb069193c411a4　精密検査や治療が必要な結果だった場合は、医師が改めて診察を行い、今後の治療方針についてご説明します。</t>
  </si>
  <si>
    <t>検査結果,確認方法,見方,Web,ネット,子宮頸がん検診,婦人科検診,結果確認</t>
  </si>
  <si>
    <t>超低用量ピルは処方してもらえますか？/超低用量ピルの取り扱いはありますか？/LEPは処方可能ですか？</t>
  </si>
  <si>
    <t>超低用量ピル（LEP）は来院診療にて医師の診察（エコー）を受けていただき、医師の許可があれば処方可能です。当院で取り扱いのある超低用量ピルは、ヤーズフレックス・ドロエチ・ルリウェル（ルナベル）ULD・ヤーズ配合錠・ジェミーナがございます。ご予約は公式LINEから24時間承っております。LINEはこちら→https://cline-app.com/qr-codes/98ad6f149bfa20f4f2a9a2e91aac4187/preview</t>
  </si>
  <si>
    <t>超低用量ピル,LEP,ヤーズフレックス,ドロエチ,ルリウェル,ルナベル,ジェミーナ,ヤーズ</t>
  </si>
  <si>
    <t>低用量ピルは定期便ではなく1シートだけオンラインで購入できますか？/ピルを1シートだけ買いたい/単発でピルを買えますか？</t>
  </si>
  <si>
    <t>ネットショップでの単発購入は行っておりません。1シートのみのご購入をご希望の場合は、オンライン診療を受けていただいたうえで単品購入が可能です。オンライン診療はこちらのLINEからご予約ください。→https://liff-gateway.lineml.jp/landing?follow=%40590gpxrd&amp;lp=rJHUjK&amp;liff_id=1657094566-LmjNPPbV</t>
  </si>
  <si>
    <t>低用量ピル,1シート,単発,単品,オンライン購入</t>
  </si>
  <si>
    <t>予約枠はいつ解放されますか？/翌月の予約はいつからできますか？/来月の予約はいつから取れますか？/予約は何日からできますか？/先の予約は可能ですか？/</t>
  </si>
  <si>
    <t>毎月20日に翌月分の予約枠が解放されます。ご予約は公式LINEから24時間承っております。LINEはこちら→https://cline-app.com/qr-codes/98ad6f149bfa20f4f2a9a2e91aac4187/preview</t>
  </si>
  <si>
    <t>予約枠,解放,いつから,翌月,来月,先の予約</t>
  </si>
  <si>
    <t>予約が勝手にキャンセルされていたのですが/自動キャンセルの条件はありますか？/予約がキャンセルになっていた</t>
  </si>
  <si>
    <t>予約時間を10分以上経過しますと、予約が自動でキャンセルされます。キャンセルされた場合は、LINEに自動で通知が届きます。再度ご予約をお取りいただくか、お電話（050-1730-2768）にてお問い合わせください。</t>
  </si>
  <si>
    <t>自動キャンセル,勝手にキャンセル,10分</t>
  </si>
  <si>
    <t>オンライン診療の確認メールはいつ届きますか？/オンライン診療のリマインド</t>
  </si>
  <si>
    <t>オンライン診療の連絡は、ご予約取得日と予約当日の朝に届きます。</t>
  </si>
  <si>
    <t>オンライン診療,メール,連絡,リマインド,届く</t>
  </si>
  <si>
    <t>ビデオ診察はカメラオフでも大丈夫ですか？/オンライン診療でカメラをオフにしたい</t>
  </si>
  <si>
    <t>ビデオ診療ではカメラオンが必須となっております。医師・患者さまともにカメラをオンにしていただく必要がございます。</t>
  </si>
  <si>
    <t>ビデオ診察,カメラオフ,カメラ,オンライン</t>
  </si>
  <si>
    <t>術後検診の所要時間はどのくらいですか？/術後検診にかかる時間</t>
  </si>
  <si>
    <t>術後検診はご受診からお会計まで1時間前後が目安です。</t>
  </si>
  <si>
    <t>術後検診,所要時間,時間</t>
  </si>
  <si>
    <t>術後検診の持ち物は何ですか？/術後検診に必要なもの</t>
  </si>
  <si>
    <t>術後検診にお持ちいただくものは身分証明書のみです。</t>
  </si>
  <si>
    <t>術後検診,持ち物,必要なもの</t>
  </si>
  <si>
    <t>ラクトフローラは店舗で購入できますか？/院内で購入できる商品はありますか？/院内で売っている商品は？</t>
  </si>
  <si>
    <t>ラクトフローラ（乳酸桿菌）は全院の店舗で購入可能です。そのほか院内では、Lypo-C・Lypo-C+D・FemCHECK検査キット・コラージュフルフルをお取り扱いしております。</t>
  </si>
  <si>
    <t>ラクトフローラ,店舗購入,院内販売,Lypo-C,コラージュフルフル</t>
  </si>
  <si>
    <t>解析結果の「ステータス」とは何ですか？/解析中で陽性と書いてある場合は陽性ですか？/検査結果が解析中と表示されている</t>
  </si>
  <si>
    <t>「解析中」は全ての検査結果が出揃っていない状態を表しています。全ての結果が出揃うとステータスが変わります。なお、解析中であっても、表示されている検査結果は確定のものとなります。</t>
  </si>
  <si>
    <t>解析中,ステータス,検査結果,確定,陽性</t>
  </si>
  <si>
    <t>エコー写真はもらえますか？/エコー写真が欲しい/前回もらえなかったエコー写真が欲しい</t>
  </si>
  <si>
    <t>エコー写真は、診察時に医師にご希望をお伝えいただければお渡し可能です。</t>
  </si>
  <si>
    <t>エコー写真,もらえる,お渡し</t>
  </si>
  <si>
    <t>月経移動で受診する場合、内診はありますか？/月経移動の診察は内診がありますか？</t>
  </si>
  <si>
    <t>月経移動の処方のみの場合は、通常は内診なく処方が可能です。ただし、当日の医師の判断により内診を行う場合がございます。ご予約は「月経移動」のメニューからお取りください。→https://cline-app.com/qr-codes/98ad6f149bfa20f4f2a9a2e91aac4187/preview</t>
  </si>
  <si>
    <t>月経移動,内診,処方</t>
  </si>
  <si>
    <t>診察と経膣エコーは同日にできますか？/予約した即日にエコー検査を受けられますか？</t>
  </si>
  <si>
    <t>診察と経膣エコーは同日に対応可能です。診察時に医師にご希望をお伝えください。ご予約は公式LINEから24時間承っております。LINEはこちら→https://cline-app.com/qr-codes/98ad6f149bfa20f4f2a9a2e91aac4187/preview</t>
  </si>
  <si>
    <t>経膣エコー,同日,即日,超音波</t>
  </si>
  <si>
    <t>術後検診は生理中でも受診できますか？/術後検診で超音波検査はありますか？</t>
  </si>
  <si>
    <t>術後検診は生理中でも受診可能です。子宮の状態確認のため、医師の判断で超音波検査を行う場合がございます。ご予約は公式LINEから24時間承っております。LINEはこちら→https://cline-app.com/qr-codes/98ad6f149bfa20f4f2a9a2e91aac4187/preview</t>
  </si>
  <si>
    <t>術後検診,生理中,超音波</t>
  </si>
  <si>
    <t>アフターピルを処方してもらう場合、診察料や初診料はかかりますか？/アフターピルは薬代以外にかかりますか？/15000円以外にかかりますか？</t>
  </si>
  <si>
    <t>アフターピルは自費診療となるため、診察料・初診料はかかりません。お薬の金額のみのお支払いとなります。</t>
  </si>
  <si>
    <t>アフターピル,診察料,初診料,自費,追加料金</t>
  </si>
  <si>
    <t>問診票のURLが開けません/SMSの問診票URLがエラーになる/問診票が開けない場合</t>
  </si>
  <si>
    <t>問診票のURLが開けない場合は、お電話（050-1730-2768）にてご連絡いただければ再度URLを送信可能です。また、問診票が未回答のままでもご受診当日に院内でご対応いただけますので、ご安心ください。</t>
  </si>
  <si>
    <t>UI操作</t>
  </si>
  <si>
    <t>問診票,URL,エラー,開けない,SMS</t>
  </si>
  <si>
    <t>問診票を回答済みですが確認できますか？/回答した問診票を見直したい</t>
  </si>
  <si>
    <t>恐れ入りますが、回答済みの問診票を再度ご確認いただくことはできかねます。内容の修正が必要な場合は、ご受診当日に受付にてお申し出ください。</t>
  </si>
  <si>
    <t>問診票,確認,回答済み</t>
  </si>
  <si>
    <t>問診票の喫煙回数は1日あたりですか？</t>
  </si>
  <si>
    <t>問診票の喫煙回数は1日あたりの喫煙本数をご入力ください。</t>
  </si>
  <si>
    <t>問診票,喫煙,本数,1日</t>
  </si>
  <si>
    <t>前回いつ診療を受けたか確認したい/受診履歴を知りたい/最後の受診日</t>
  </si>
  <si>
    <t>LINEからご予約された場合は、LINEの予約履歴からご確認いただけます。お電話でご予約された場合は、予約受診状況の確認ができかねますので、お電話（050-1730-2768）にてお問い合わせください。</t>
  </si>
  <si>
    <t>受診履歴,前回,最後,受診日,確認</t>
  </si>
  <si>
    <t>スピロノラクトンは処方できますか？/ノアルテンは処方できますか？/クロミッドは処方できますか？/オンライン診療で抗生物質をもらえますか？/〇〇という薬は処方できますか？/ボンジェスタを処方していますか？</t>
  </si>
  <si>
    <t>お薬の処方可否は医師の診察にて判断となるため、事前のご案内ができかねます。お電話でもお答えが難しい内容となりますので、ご予約のうえ医師にご相談ください。ご予約は公式LINEから24時間承っております。LINEはこちら→https://cline-app.com/qr-codes/98ad6f149bfa20f4f2a9a2e91aac4187/preview</t>
  </si>
  <si>
    <t>処方,薬,処方可能,スピロノラクトン,ノアルテン,クロミッド,抗生物質</t>
  </si>
  <si>
    <t>ミニピルは定期配送できますか？/スリンダは郵送してもらえますか？/ミニピルの定期配送</t>
  </si>
  <si>
    <r>
      <rPr/>
      <t xml:space="preserve">ミニピル（スリンダ）の定期配送は可能です。定期配送の購入はこちらからお進みください→
</t>
    </r>
    <r>
      <rPr>
        <color rgb="FF1155CC"/>
        <u/>
      </rPr>
      <t>https://shop.luna-dr.com/collections/low_dose_pill_subscription</t>
    </r>
  </si>
  <si>
    <t>ミニピル,スリンダ,定期配送,郵送</t>
  </si>
  <si>
    <t>ピルと太田胃酸は一緒に飲んでも大丈夫ですか？/ピル服用中に蕁麻疹が出た/ピルと他の薬の飲み合わせ</t>
  </si>
  <si>
    <t>お薬の飲み合わせや服用中の症状については、お電話にてお問い合わせくださいませ。お電話は050-1730-2768（受付時間：平日9:45〜13:40・15:15〜19:40、土日祝9:45〜13:40・15:15〜18:40）となります。</t>
  </si>
  <si>
    <t>飲み合わせ,太田胃酸,蕁麻疹,副作用,併用</t>
  </si>
  <si>
    <t>薬は院内処方ですか？/薬は当日もらえますか？/処方箋を持って薬局に行く形ですか？</t>
  </si>
  <si>
    <t>お薬によって院内でお渡しするものと、処方箋を発行し院外の薬局でお受け取りいただくものがございます。詳しくは診察時に医師・スタッフにご確認ください。</t>
  </si>
  <si>
    <t>院内処方,院外処方,処方箋,薬局,当日</t>
  </si>
  <si>
    <t>保険診療の検査や薬の料金はいくらですか？/フラジール膣錠の料金/膣錠の処方料金</t>
  </si>
  <si>
    <t>保険診療の場合、診察内容・検査項目・処方薬が医師の判断により異なるため、事前に料金をお伝えすることができかねます。ご了承いただけますと幸いです。</t>
  </si>
  <si>
    <t>保険診療,料金,事前,フラジール,膣錠</t>
  </si>
  <si>
    <t>月経移動ピル5,000円には何日分の薬が含まれていますか？/月経移動ピルは何錠もらえますか？/プラノバールは何錠処方されますか？</t>
  </si>
  <si>
    <t>月経移動ピル（プラノバール）は21錠（1シート）の処方で5,000円（税込）です。7錠のみ等の処方は行っておらず、オンライン・来院ともに1シート単位の処方となります。1回の月経移動で使用し余った残薬は、次回の月経移動でご使用いただけます。</t>
  </si>
  <si>
    <t>月経移動,プラノバール,何日分,何錠,21錠,1シート,残薬</t>
  </si>
  <si>
    <t>ドロエチ服用中に生理がきた場合どうすればいいですか？/アリッサ配合錠を休薬から飲んでしまった/プラノバールで遅らせた次の次の生理は遅れますか？</t>
  </si>
  <si>
    <t>お薬の服用方法や服用中の症状については、個別の判断が必要となるため、診察にてご相談ください。ご予約は公式LINEから24時間承っております。LINEはこちら→https://cline-app.com/qr-codes/98ad6f149bfa20f4f2a9a2e91aac4187/preview</t>
  </si>
  <si>
    <t>ドロエチ,アリッサ,服用中,生理がきた,休薬,飲み間違い,服用方法</t>
  </si>
  <si>
    <t>妊娠12週未満ですがかかりつけではなくても受診できますか？/かかりつけ医が休みで受診したい/妊娠中ですが他院でも受診できますか？</t>
  </si>
  <si>
    <t>妊娠12週未満であれば、かかりつけ医が休診日等の場合も当院でご受診いただけます。「一般婦人科診療」のメニューでご予約ください。→https://cline-app.com/qr-codes/98ad6f149bfa20f4f2a9a2e91aac4187/preview</t>
  </si>
  <si>
    <t>妊娠</t>
  </si>
  <si>
    <t>妊娠,12週,かかりつけ,他院,休診</t>
  </si>
  <si>
    <t>分娩先が決まっていなくても妊婦健診だけ受けられますか？/どこで産むか決まっていないが健診だけ受けたい</t>
  </si>
  <si>
    <t>妊娠12週未満であれば、分娩先が決まっていなくても妊婦健診をお受けいただけます。「一般婦人科診療」のメニューでご予約ください。→https://cline-app.com/qr-codes/98ad6f149bfa20f4f2a9a2e91aac4187/preview</t>
  </si>
  <si>
    <t>妊婦健診,分娩先,未定,健診のみ</t>
  </si>
  <si>
    <t>初診で採血はありますか？/不正出血で受診した場合採血はしますか？</t>
  </si>
  <si>
    <t>採血の有無は診察内容や症状により医師が判断いたしますため、事前に確約することができかねます。ご不明な点がございましたら、診察時に医師にご相談ください。</t>
  </si>
  <si>
    <t>初診,採血,不正出血</t>
  </si>
  <si>
    <t>ピルの購入履歴を確認したい/いつピルを買ったか知りたい/購入履歴の確認方法</t>
  </si>
  <si>
    <t>来院のみでご購入の場合は領収書にてご確認ください。定期配送をご契約の場合はご契約の媒体よりご確認いただけます。ご不明な場合はお電話（050-1730-2768）にてお問い合わせくださいませ。</t>
  </si>
  <si>
    <t>購入履歴,いつ買った,確認</t>
  </si>
  <si>
    <t>支払い状況を確認したい/定期配送の支払いはどうなっていますか？/決済の確認方法</t>
  </si>
  <si>
    <t>定期配送は自動決済となっており、お支払いが失敗した場合のみご連絡が届きます。薬剤の発送時にはメールにて配送状況のご連絡がございます。詳しくはお電話（050-1730-2768）にてお問い合わせください。</t>
  </si>
  <si>
    <t>支払い状況,決済,自動決済,配送状況</t>
  </si>
  <si>
    <t>注文を間違えた場合どうなりますか？/定期配送の注文間違い/間違えて注文してしまった</t>
  </si>
  <si>
    <t>決済後の返金・返品は承ることができかねます。今回分は配送させていただき、解約をご希望の場合はお問い合わせフォームよりご連絡ください。こちらのフォーム（https://docs.google.com/forms/d/e/1FAIpQLSe41t1VsvN-rfcwsRSkalz89S2yqQc4zpWrbdcrwPo95Iif-Q/viewform）よりご連絡ください。なお、処方歴がなく誤ってご注文された場合は、処方ができかねるため返金対応とさせていただきます。</t>
  </si>
  <si>
    <t>注文間違い,返金,返品,解約</t>
  </si>
  <si>
    <t>腹部エコーはできますか？/腹部エコー検査はありますか？/お腹の上からのエコーはできますか？</t>
  </si>
  <si>
    <t>当院では腹部エコーは行っておりません。当院でのエコー検査は経膣エコーでのご対応となります。</t>
  </si>
  <si>
    <t>腹部エコー,経膣エコー,エコー検査,超音波,お腹</t>
  </si>
  <si>
    <t>横浜院と元町ルナは同じ病院ですか？/元町ルナレディースとの違いは？/元町のルナレディースは同じですか？</t>
  </si>
  <si>
    <t>ルナレディースクリニックは横浜駅前院・川崎駅前院・町田駅前院の3院となります。元町のクリニックは当院とは別のクリニックでございます。</t>
  </si>
  <si>
    <t>クリニック情報</t>
  </si>
  <si>
    <t>横浜院,元町,元町ルナ,別のクリニック</t>
  </si>
  <si>
    <t>初めてですが受付ではどうすればいいですか？/受付で何を伝えればいいですか？/来院したらまず何をすればいいですか？</t>
  </si>
  <si>
    <t>ご来院されましたら、受付にてご予約のお名前をお伝えください。保険証またはマイナンバーカードをご提示いただきます。WEB問診を事前にご回答いただくとスムーズに診察へお進みいただけます。</t>
  </si>
  <si>
    <t>受付,初めて,流れ,名前,来院</t>
  </si>
  <si>
    <t>男性医師はいますか？/男性もいるのですか？/男性医師もいるのですか？</t>
  </si>
  <si>
    <t>当院には男性医師も在籍しております。女性医師をご希望の場合はお電話でご予約・お問い合わせください。お電話は050-1730-2768までご連絡ください。電話受付時間は、平日9:45〜13:40・15:15〜19:40、土日祝9:45〜13:40・15:15〜18:40です。</t>
  </si>
  <si>
    <t>男性医師,いる</t>
  </si>
  <si>
    <t>LINEをやっていない場合はどうすればいいですか？/LINE以外で予約できますか？/ラインがない場合の予約方法</t>
  </si>
  <si>
    <t>LINEをご利用でない場合は、お電話（050-1730-2768）にてご予約を承っております。受付時間は平日9:45〜13:40・15:15〜19:40、土日祝9:45〜13:40・15:15〜18:40です。</t>
  </si>
  <si>
    <t>LINE,やっていない,電話予約,ライン</t>
  </si>
  <si>
    <t>平日の午前は混んでいますか？/土曜日は混んでいますか？/待ち時間はどのくらいですか？/混んでますか？</t>
  </si>
  <si>
    <t>大変恐縮ですが、混雑状況は外来の診察状況によって異なりますため、具体的なご案内が難しい状況です。恐れ入りますが、ご理解を頂けますと幸いです。</t>
  </si>
  <si>
    <t>混雑,混んでいる,待ち時間,土曜日</t>
  </si>
  <si>
    <t>風邪気味ですが受診できますか？/体調が悪いのですが受診できますか？</t>
  </si>
  <si>
    <t>当院は婦人科のため、風邪や内科的な症状の診療は行っておりません。内科へのご受診をおすすめいたします。なお、37.5℃以上の発熱がある場合はご受診いただけませんので、熱が下がってからご予約ください。</t>
  </si>
  <si>
    <t>風邪,体調不良,発熱</t>
  </si>
  <si>
    <t>新橋銀座口院について知りたい/新橋院はまだ営業していますか？/新橋の店舗は閉店しましたか？</t>
  </si>
  <si>
    <t>ルナレディースクリニックは横浜駅前院・川崎駅前院・町田駅前院の3院となります。</t>
  </si>
  <si>
    <t>横浜院,新橋,新橋銀座口院</t>
  </si>
  <si>
    <t>子宮体がん検査は入院になりますか？/子宮体がん検査は日帰りですか？</t>
  </si>
  <si>
    <t>子宮体がん検査は外来で行える検査です。細い器具で子宮体部の細胞を採取する検査で、1〜2分で終了します。予約は「婦人科検診」のメニューからお取りください。→https://cline-app.com/qr-codes/98ad6f149bfa20f4f2a9a2e91aac4187/preview</t>
  </si>
  <si>
    <t>検査・検診</t>
  </si>
  <si>
    <t>子宮体がん,入院,日帰り,検査</t>
  </si>
  <si>
    <t>低用量ピル処方時に血液検査はありますか？/ピル処方で採血はありますか？</t>
  </si>
  <si>
    <t>避妊目的の低用量ピル（OC）の場合は問診が中心で、基本的に内診や血液検査はございません。治療目的の保険ピル（LEP）の場合は初回に経膣エコー検査が必要です。ご予約は「ピル処方」のメニューからお取りください。→https://cline-app.com/qr-codes/98ad6f149bfa20f4f2a9a2e91aac4187/preview</t>
  </si>
  <si>
    <t>ピル,血液検査,採血,内診,エコー</t>
  </si>
  <si>
    <t>#</t>
  </si>
  <si>
    <t>質問</t>
  </si>
  <si>
    <t>ご回答</t>
  </si>
  <si>
    <t>診療内容の各ページで予約方法がLINEのみの場合と、電話が併記されている場合ばあるが、基本LINEを案内した方がよいでしょうか？
FAQ内で電話でも予約を受け付けているとお伝えしてもよいでしょうか？</t>
  </si>
  <si>
    <t>基本、LINEをご案内下さい。
（LINE予約後、事前問診等もLINEからできるため）</t>
  </si>
  <si>
    <t>電話番号は棲み分けたほうが良いでしょうか？
LINEのリッチメニューで案内されている番号→050-1730-2768
上記以外→050-1753-0801
棲み分けるとしたら何を軸に分けるのが良いでしょうか？</t>
  </si>
  <si>
    <t>050-1730-2768が正しいです。
050-1753-0801は古い番号なのですが、どこに表示されてますでしょうか？</t>
  </si>
  <si>
    <t>オンライン診療の薬の受け取りはコンビニ不可で、ヤマト運輸営業所での受け取りは可能と回答がありましたが、店舗？（薬局やルナレディースの各院）でも受け取りできるという認識で良いでしょうか？</t>
  </si>
  <si>
    <t>稀に店舗で受け取り希望される方がいらっしゃるのですが、配送のみとしたいです。</t>
  </si>
  <si>
    <t>性病のオンライン診療はありますでしょうか？
https://docs.google.com/spreadsheets/d/1dpocnsVY4FqCAm9vbjE9MYNyhcjganOz7KSZ7TNF6wE/edit?gid=2003216535#gid=2003216535&amp;range=142:142
よくあるオンライン診療の質問には性病オンライン診療がありましたが、HPには記載をされていない認識です</t>
  </si>
  <si>
    <t>症状がある場合、保険診療になるため、店舗（or近くのクリニック）受診促しとしたいです</t>
  </si>
  <si>
    <t>ブライダルチェック、女性の健診・検査は初診ではLINEで何を選べば良いでしょうか？一般婦人科健診でしょうか？</t>
  </si>
  <si>
    <t>一般婦人科健診です</t>
  </si>
  <si>
    <t>ブライダルチェック、女性の健診・検査は初診は予約無しでも可能なのでしょうか？</t>
  </si>
  <si>
    <t>確認中
全メニュー共通で予約を強く勧めたいです。（予約者優先で診療を行うため、予約なしの来院は待ち時間が長くなりクレームに発展するため）</t>
  </si>
  <si>
    <t>各診療ページのオンライン診療導線のLINEでのご予約はこちらボタンの遷移先がルナレディースクリニック【公式】で【オンライン】ルナレディースクリニックとなっていないようです。
FAQではこちらのオンライン診療ページ（https://liff-gateway.lineml.jp/landing?follow=%40590gpxrd&amp;lp=fX73yx&amp;liff_id=1657094566-LmjNPPbV）を案内しているのですが、問題ないでしょうか？</t>
  </si>
  <si>
    <t>検討します。ありがとうございます！</t>
  </si>
  <si>
    <t>車で来院は自由だが、駐車場はなく、近くのコインパークを利用するという理解であっていますでしょうか？</t>
  </si>
  <si>
    <t>あっています！</t>
  </si>
  <si>
    <t>医療ローンはありますか？</t>
  </si>
  <si>
    <t>医療ローンは取り扱いなしです。</t>
  </si>
  <si>
    <t>予約に関して
変更方法を教えていただきたいです
キャンセル方法を教えていただきたいです
※挙動確認用にテストとして予約をさせていただくことは可能でしょうか。予約確定➔変更➔キャンセルとさせていただきます。</t>
  </si>
  <si>
    <t>キャンセル料はなし、キャンセル待ちはなしという認識でよろしいでしょうか？</t>
  </si>
  <si>
    <t>分割払いはできますか？と聞かれた時にどのような対応方針が良いでしょうか？</t>
  </si>
  <si>
    <r>
      <rPr>
        <rFont val="Arial"/>
        <color rgb="FF1155CC"/>
        <u/>
      </rPr>
      <t xml:space="preserve">https://luna-dr.com/subjects/low-dose-contraceptive/
</t>
    </r>
    <r>
      <rPr>
        <rFont val="Arial"/>
        <color rgb="FF000000"/>
      </rPr>
      <t>このページの中盤に出てくるアフターピルは低用量ピルの間違い？</t>
    </r>
  </si>
  <si>
    <t>緊急避妊はアフターピル処方になります</t>
  </si>
  <si>
    <r>
      <rPr>
        <rFont val="Arial"/>
        <color rgb="FF1155CC"/>
        <u/>
      </rPr>
      <t xml:space="preserve">https://luna-dr.com/subjects/pregnancy-test/
</t>
    </r>
    <r>
      <rPr>
        <rFont val="Arial"/>
      </rPr>
      <t>保険使えますか？のところが◯◯◯◯</t>
    </r>
  </si>
  <si>
    <t>おお、、、失礼しました！修正します。</t>
  </si>
  <si>
    <t>ミレーナがリンク切れになっておりました
ここから遷移→https://luna-dr.com/subjects/low-dose-contraceptive/
遷移先URL→https://luna-dr.com/milena/</t>
  </si>
  <si>
    <t>同上</t>
  </si>
  <si>
    <t>オンライン診療はLINEからご利用いただけます。こちらのオンライン診療ページ（https://liff-gateway.lineml.jp/landing?follow=%40590gpxrd&amp;lp=fX73yx&amp;liff_id=1657094566-LmjNPPbV）からご利用ください。</t>
  </si>
  <si>
    <t>受診のご予約はLINEで受け付けています。LINEはこちら→https://cline-app.com/qr-codes/5281ce9ad8d178106e15ddf61c996e66/previewpage?utm_customid=977137868.1765506771-1766730497</t>
  </si>
  <si>
    <t>LINEでの予約後、事前問診等もLINEから行うことができ、スムーズに受診ができるため、当院ではLINEでのご予約を推奨しております。
来院診療のご予約：こちらのLINEをご利用ください→https://cline-app.com/qr-codes/5281ce9ad8d178106e15ddf61c996e66/previewpage?utm_customid=977137868.1765506771-1766730497
オンライン診療のご予約：こちらのオンライン診療LINEページをご利用ください→https://liff-gateway.lineml.jp/landing?follow=%40590gpxrd&amp;lp=fX73yx&amp;liff_id=1657094566-LmjNPPbV</t>
  </si>
  <si>
    <t>●●は初診の方もご予約いただけます。ご予約は公式LINEから受け付けておりますので、友だち追加の上ご利用ください。
来院診療のご予約：こちらのLINEをご利用ください→https://cline-app.com/qr-codes/5281ce9ad8d178106e15ddf61c996e66/previewpage?utm_customid=977137868.1765506771-1766730497
オンライン診療のご予約：こちらのオンライン診療LINEページをご利用ください→https://liff-gateway.lineml.jp/landing?follow=%40590gpxrd&amp;lp=fX73yx&amp;liff_id=1657094566-LmjNPPbV</t>
  </si>
  <si>
    <t>https://cline-app.com/qr-codes/b009a6cd254b40a0ce083f7296c55775/previewpage?utm_customid=977137868.1765506771-1766647176</t>
  </si>
  <si>
    <t>https://cline-app.com/qr-codes/5281ce9ad8d178106e15ddf61c996e66/previewpage?utm_customid=977137868.1765506771-1766730497</t>
  </si>
  <si>
    <t>これに差し替え↓ 4/18</t>
  </si>
  <si>
    <t>作業</t>
  </si>
  <si>
    <t>作業詳細</t>
  </si>
  <si>
    <t>開始</t>
  </si>
  <si>
    <t>終了</t>
  </si>
  <si>
    <t>所要時間</t>
  </si>
  <si>
    <t>サイトマップ作成</t>
  </si>
  <si>
    <t>FAQ作成1</t>
  </si>
  <si>
    <t>各ページのURLからページ内容をコピーしてGPTに貼り付け</t>
  </si>
  <si>
    <t>FAQ作成2</t>
  </si>
  <si>
    <t>FAQ作成3</t>
  </si>
  <si>
    <t>作成したQAにキーワードに診療名追加/各ページのURLからページ内容をコピーしてGPTに貼り付け</t>
  </si>
  <si>
    <t>FAQ作成4</t>
  </si>
  <si>
    <t>FAQ作成5</t>
  </si>
  <si>
    <t>FAQ作成6</t>
  </si>
  <si>
    <t>FAQ作成7</t>
  </si>
  <si>
    <t>FAQ作成8</t>
  </si>
  <si>
    <t>FAQ作成9</t>
  </si>
  <si>
    <t>FAQ作成10</t>
  </si>
  <si>
    <t>FAQ作成11</t>
  </si>
  <si>
    <t>各ページのURLからページ内容をコピーしてGPTに貼り付け＆オンラインのよくある質問を整形</t>
  </si>
  <si>
    <t>FAQ作成12</t>
  </si>
  <si>
    <t>オンラインのよくある質問を整形</t>
  </si>
  <si>
    <t>FAQ作成13</t>
  </si>
  <si>
    <t>FAQ作成14</t>
  </si>
  <si>
    <t>FAQ作成15</t>
  </si>
  <si>
    <t>FAQ作成16</t>
  </si>
  <si>
    <t>FAQ作成17</t>
  </si>
  <si>
    <t>各院の情報</t>
  </si>
  <si>
    <t>病名インプット -B型肝炎など</t>
  </si>
  <si>
    <t>既存質問反映</t>
  </si>
  <si>
    <t>各施術の予約方法を入れる</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</si>
</sst>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18">
    <font>
      <sz val="10.0"/>
      <color rgb="FF000000"/>
      <name val="Arial"/>
      <scheme val="minor"/>
    </font>
    <font>
      <b/>
      <color theme="1"/>
      <name val="Arial"/>
      <scheme val="minor"/>
    </font>
    <font>
      <color theme="1"/>
      <name val="Arial"/>
      <scheme val="minor"/>
    </font>
    <font>
      <u/>
      <color rgb="FF0000FF"/>
    </font>
    <font>
      <u/>
      <sz val="11.0"/>
      <color rgb="FF333333"/>
      <name val="Roboto"/>
    </font>
    <font>
      <sz val="9.0"/>
      <color rgb="FF333333"/>
      <name val="Roboto"/>
    </font>
    <font>
      <u/>
      <sz val="11.0"/>
      <color rgb="FF333333"/>
      <name val="Roboto"/>
    </font>
    <font>
      <color rgb="FF263137"/>
      <name val="&quot;Noto Sans Japanese&quot;"/>
    </font>
    <font>
      <u/>
      <color rgb="FF0000FF"/>
    </font>
    <font>
      <u/>
      <color rgb="FF1155CC"/>
      <name val="Arial"/>
    </font>
    <font>
      <u/>
      <color rgb="FF1155CC"/>
      <name val="Arial"/>
    </font>
    <font>
      <color theme="1"/>
      <name val="Arial"/>
    </font>
    <font>
      <u/>
      <color rgb="FF0000FF"/>
    </font>
    <font>
      <u/>
      <color rgb="FF0000FF"/>
    </font>
    <font>
      <u/>
      <color rgb="FF0000FF"/>
    </font>
    <font>
      <u/>
      <color rgb="FF0000FF"/>
      <name val="Arial"/>
    </font>
    <font>
      <u/>
      <color rgb="FF0000FF"/>
    </font>
    <font>
      <u/>
      <color rgb="FF0000FF"/>
    </font>
  </fonts>
  <fills count="4">
    <fill>
      <patternFill patternType="none"/>
    </fill>
    <fill>
      <patternFill patternType="lightGray"/>
    </fill>
    <fill>
      <patternFill patternType="solid">
        <fgColor rgb="FFFFF2CC"/>
        <bgColor rgb="FFFFF2CC"/>
      </patternFill>
    </fill>
    <fill>
      <patternFill patternType="solid">
        <fgColor rgb="FFFFFFFF"/>
        <bgColor rgb="FFFFFFFF"/>
      </patternFill>
    </fill>
  </fills>
  <borders count="18">
    <border/>
    <border>
      <top style="thin">
        <color rgb="FFDDDDDD"/>
      </top>
    </border>
    <border>
      <left style="thin">
        <color rgb="FF000000"/>
      </left>
      <top style="thin">
        <color rgb="FF000000"/>
      </top>
      <bottom style="hair">
        <color rgb="FF000000"/>
      </bottom>
    </border>
    <border>
      <top style="thin">
        <color rgb="FF000000"/>
      </top>
      <bottom style="hair">
        <color rgb="FF000000"/>
      </bottom>
    </border>
    <border>
      <right style="thin">
        <color rgb="FF000000"/>
      </right>
      <top style="thin">
        <color rgb="FF000000"/>
      </top>
      <bottom style="hair">
        <color rgb="FF000000"/>
      </bottom>
    </border>
    <border>
      <left style="thin">
        <color rgb="FF000000"/>
      </left>
      <top style="hair">
        <color rgb="FF000000"/>
      </top>
      <bottom style="hair">
        <color rgb="FF000000"/>
      </bottom>
    </border>
    <border>
      <top style="hair">
        <color rgb="FF000000"/>
      </top>
      <bottom style="hair">
        <color rgb="FF000000"/>
      </bottom>
    </border>
    <border>
      <right style="thin">
        <color rgb="FF000000"/>
      </right>
      <top style="hair">
        <color rgb="FF000000"/>
      </top>
      <bottom style="hair">
        <color rgb="FF000000"/>
      </bottom>
    </border>
    <border>
      <left style="thin">
        <color rgb="FF000000"/>
      </left>
      <top style="hair">
        <color rgb="FF000000"/>
      </top>
      <bottom style="thin">
        <color rgb="FF000000"/>
      </bottom>
    </border>
    <border>
      <top style="hair">
        <color rgb="FF000000"/>
      </top>
      <bottom style="thin">
        <color rgb="FF000000"/>
      </bottom>
    </border>
    <border>
      <right style="thin">
        <color rgb="FF000000"/>
      </right>
      <top style="hair">
        <color rgb="FF000000"/>
      </top>
      <bottom style="thin">
        <color rgb="FF000000"/>
      </bottom>
    </border>
    <border>
      <left style="thin">
        <color rgb="FF000000"/>
      </left>
      <top style="hair">
        <color rgb="FF000000"/>
      </top>
    </border>
    <border>
      <right style="thin">
        <color rgb="FF000000"/>
      </right>
      <top style="hair">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73">
    <xf borderId="0" fillId="0" fontId="0" numFmtId="0" xfId="0" applyAlignment="1" applyFont="1">
      <alignment readingOrder="0" shrinkToFit="0" vertical="bottom" wrapText="0"/>
    </xf>
    <xf borderId="0" fillId="0" fontId="1" numFmtId="0" xfId="0" applyAlignment="1" applyFont="1">
      <alignment horizontal="center" readingOrder="0" shrinkToFit="0" vertical="top" wrapText="1"/>
    </xf>
    <xf borderId="0" fillId="0" fontId="2" numFmtId="0" xfId="0" applyAlignment="1" applyFont="1">
      <alignment vertical="top"/>
    </xf>
    <xf borderId="0" fillId="0" fontId="2" numFmtId="0" xfId="0" applyAlignment="1" applyFont="1">
      <alignment readingOrder="0" shrinkToFit="0" vertical="top" wrapText="1"/>
    </xf>
    <xf borderId="0" fillId="0" fontId="3" numFmtId="0" xfId="0" applyAlignment="1" applyFont="1">
      <alignment readingOrder="0" shrinkToFit="0" vertical="top" wrapText="1"/>
    </xf>
    <xf borderId="0" fillId="0" fontId="2" numFmtId="0" xfId="0" applyAlignment="1" applyFont="1">
      <alignment shrinkToFit="0" vertical="top" wrapText="1"/>
    </xf>
    <xf borderId="0" fillId="2" fontId="2" numFmtId="0" xfId="0" applyAlignment="1" applyFill="1" applyFont="1">
      <alignment readingOrder="0"/>
    </xf>
    <xf borderId="0" fillId="0" fontId="1" numFmtId="0" xfId="0" applyAlignment="1" applyFont="1">
      <alignment horizontal="center" readingOrder="0"/>
    </xf>
    <xf borderId="0" fillId="0" fontId="1" numFmtId="0" xfId="0" applyAlignment="1" applyFont="1">
      <alignment readingOrder="0" shrinkToFit="0" wrapText="1"/>
    </xf>
    <xf borderId="0" fillId="0" fontId="1" numFmtId="0" xfId="0" applyAlignment="1" applyFont="1">
      <alignment readingOrder="0"/>
    </xf>
    <xf borderId="0" fillId="0" fontId="2" numFmtId="0" xfId="0" applyAlignment="1" applyFont="1">
      <alignment readingOrder="0"/>
    </xf>
    <xf borderId="1" fillId="3" fontId="4" numFmtId="0" xfId="0" applyAlignment="1" applyBorder="1" applyFill="1" applyFont="1">
      <alignment readingOrder="0" vertical="top"/>
    </xf>
    <xf borderId="1" fillId="3" fontId="5" numFmtId="0" xfId="0" applyAlignment="1" applyBorder="1" applyFont="1">
      <alignment readingOrder="0" shrinkToFit="0" vertical="top" wrapText="0"/>
    </xf>
    <xf borderId="1" fillId="3" fontId="6" numFmtId="0" xfId="0" applyAlignment="1" applyBorder="1" applyFont="1">
      <alignment readingOrder="0" vertical="top"/>
    </xf>
    <xf borderId="0" fillId="0" fontId="7" numFmtId="0" xfId="0" applyAlignment="1" applyFont="1">
      <alignment readingOrder="0"/>
    </xf>
    <xf borderId="0" fillId="0" fontId="8" numFmtId="0" xfId="0" applyAlignment="1" applyFont="1">
      <alignment readingOrder="0" shrinkToFit="0" vertical="top" wrapText="1"/>
    </xf>
    <xf borderId="0" fillId="3" fontId="2" numFmtId="0" xfId="0" applyAlignment="1" applyFont="1">
      <alignment readingOrder="0" shrinkToFit="0" vertical="top" wrapText="1"/>
    </xf>
    <xf borderId="0" fillId="3" fontId="2" numFmtId="0" xfId="0" applyAlignment="1" applyFont="1">
      <alignment shrinkToFit="0" vertical="top" wrapText="1"/>
    </xf>
    <xf borderId="0" fillId="0" fontId="9" numFmtId="0" xfId="0" applyAlignment="1" applyFont="1">
      <alignment shrinkToFit="0" vertical="top" wrapText="1"/>
    </xf>
    <xf borderId="0" fillId="3" fontId="10" numFmtId="0" xfId="0" applyAlignment="1" applyFont="1">
      <alignment shrinkToFit="0" vertical="top" wrapText="1"/>
    </xf>
    <xf borderId="0" fillId="0" fontId="11" numFmtId="0" xfId="0" applyAlignment="1" applyFont="1">
      <alignment readingOrder="0" shrinkToFit="0" vertical="top" wrapText="1"/>
    </xf>
    <xf borderId="0" fillId="0" fontId="11" numFmtId="0" xfId="0" applyAlignment="1" applyFont="1">
      <alignment shrinkToFit="0" vertical="top" wrapText="1"/>
    </xf>
    <xf borderId="0" fillId="0" fontId="11" numFmtId="0" xfId="0" applyAlignment="1" applyFont="1">
      <alignment shrinkToFit="0" vertical="top" wrapText="1"/>
    </xf>
    <xf borderId="0" fillId="0" fontId="2" numFmtId="0" xfId="0" applyAlignment="1" applyFont="1">
      <alignment readingOrder="0" shrinkToFit="0" vertical="top" wrapText="1"/>
    </xf>
    <xf borderId="0" fillId="3" fontId="2" numFmtId="0" xfId="0" applyAlignment="1" applyFont="1">
      <alignment readingOrder="0" shrinkToFit="0" vertical="top" wrapText="1"/>
    </xf>
    <xf borderId="0" fillId="3" fontId="12" numFmtId="0" xfId="0" applyAlignment="1" applyFont="1">
      <alignment readingOrder="0" shrinkToFit="0" vertical="top" wrapText="1"/>
    </xf>
    <xf borderId="0" fillId="3" fontId="13" numFmtId="0" xfId="0" applyAlignment="1" applyFont="1">
      <alignment readingOrder="0" shrinkToFit="0" vertical="top" wrapText="1"/>
    </xf>
    <xf borderId="0" fillId="0" fontId="2" numFmtId="0" xfId="0" applyAlignment="1" applyFont="1">
      <alignment readingOrder="0" vertical="top"/>
    </xf>
    <xf borderId="0" fillId="0" fontId="11" numFmtId="0" xfId="0" applyAlignment="1" applyFont="1">
      <alignment readingOrder="0" vertical="top"/>
    </xf>
    <xf borderId="0" fillId="0" fontId="11" numFmtId="0" xfId="0" applyAlignment="1" applyFont="1">
      <alignment vertical="top"/>
    </xf>
    <xf borderId="0" fillId="0" fontId="11" numFmtId="0" xfId="0" applyAlignment="1" applyFont="1">
      <alignment vertical="top"/>
    </xf>
    <xf borderId="0" fillId="0" fontId="2" numFmtId="0" xfId="0" applyFont="1"/>
    <xf borderId="0" fillId="0" fontId="14" numFmtId="0" xfId="0" applyFont="1"/>
    <xf borderId="2" fillId="2" fontId="11" numFmtId="0" xfId="0" applyAlignment="1" applyBorder="1" applyFont="1">
      <alignment shrinkToFit="0" vertical="top" wrapText="1"/>
    </xf>
    <xf borderId="3" fillId="2" fontId="11" numFmtId="0" xfId="0" applyAlignment="1" applyBorder="1" applyFont="1">
      <alignment shrinkToFit="0" vertical="top" wrapText="1"/>
    </xf>
    <xf borderId="4" fillId="2" fontId="11" numFmtId="0" xfId="0" applyAlignment="1" applyBorder="1" applyFont="1">
      <alignment shrinkToFit="0" vertical="top" wrapText="1"/>
    </xf>
    <xf borderId="5" fillId="0" fontId="11" numFmtId="0" xfId="0" applyAlignment="1" applyBorder="1" applyFont="1">
      <alignment horizontal="right" shrinkToFit="0" vertical="top" wrapText="1"/>
    </xf>
    <xf borderId="6" fillId="0" fontId="11" numFmtId="0" xfId="0" applyAlignment="1" applyBorder="1" applyFont="1">
      <alignment shrinkToFit="0" vertical="top" wrapText="1"/>
    </xf>
    <xf borderId="7" fillId="0" fontId="11" numFmtId="0" xfId="0" applyAlignment="1" applyBorder="1" applyFont="1">
      <alignment shrinkToFit="0" vertical="top" wrapText="1"/>
    </xf>
    <xf borderId="7" fillId="0" fontId="11" numFmtId="0" xfId="0" applyAlignment="1" applyBorder="1" applyFont="1">
      <alignment shrinkToFit="0" vertical="top" wrapText="1"/>
    </xf>
    <xf borderId="7" fillId="0" fontId="11" numFmtId="0" xfId="0" applyAlignment="1" applyBorder="1" applyFont="1">
      <alignment vertical="top"/>
    </xf>
    <xf borderId="6" fillId="0" fontId="11" numFmtId="0" xfId="0" applyAlignment="1" applyBorder="1" applyFont="1">
      <alignment shrinkToFit="0" vertical="top" wrapText="1"/>
    </xf>
    <xf borderId="6" fillId="0" fontId="11" numFmtId="0" xfId="0" applyAlignment="1" applyBorder="1" applyFont="1">
      <alignment readingOrder="0" vertical="top"/>
    </xf>
    <xf borderId="6" fillId="0" fontId="11" numFmtId="0" xfId="0" applyAlignment="1" applyBorder="1" applyFont="1">
      <alignment vertical="top"/>
    </xf>
    <xf borderId="8" fillId="0" fontId="11" numFmtId="0" xfId="0" applyAlignment="1" applyBorder="1" applyFont="1">
      <alignment horizontal="right" shrinkToFit="0" vertical="top" wrapText="1"/>
    </xf>
    <xf borderId="9" fillId="0" fontId="11" numFmtId="0" xfId="0" applyAlignment="1" applyBorder="1" applyFont="1">
      <alignment vertical="top"/>
    </xf>
    <xf borderId="10" fillId="0" fontId="11" numFmtId="0" xfId="0" applyAlignment="1" applyBorder="1" applyFont="1">
      <alignment vertical="top"/>
    </xf>
    <xf borderId="2" fillId="2" fontId="11" numFmtId="0" xfId="0" applyAlignment="1" applyBorder="1" applyFont="1">
      <alignment shrinkToFit="0" vertical="top" wrapText="1"/>
    </xf>
    <xf borderId="3" fillId="2" fontId="11" numFmtId="0" xfId="0" applyAlignment="1" applyBorder="1" applyFont="1">
      <alignment vertical="top"/>
    </xf>
    <xf borderId="4" fillId="2" fontId="11" numFmtId="0" xfId="0" applyAlignment="1" applyBorder="1" applyFont="1">
      <alignment vertical="top"/>
    </xf>
    <xf borderId="11" fillId="0" fontId="11" numFmtId="0" xfId="0" applyAlignment="1" applyBorder="1" applyFont="1">
      <alignment vertical="top"/>
    </xf>
    <xf borderId="6" fillId="0" fontId="15" numFmtId="0" xfId="0" applyAlignment="1" applyBorder="1" applyFont="1">
      <alignment shrinkToFit="0" vertical="top" wrapText="1"/>
    </xf>
    <xf borderId="12" fillId="0" fontId="11" numFmtId="0" xfId="0" applyAlignment="1" applyBorder="1" applyFont="1">
      <alignment shrinkToFit="0" vertical="top" wrapText="1"/>
    </xf>
    <xf borderId="13" fillId="0" fontId="11" numFmtId="0" xfId="0" applyAlignment="1" applyBorder="1" applyFont="1">
      <alignment vertical="top"/>
    </xf>
    <xf borderId="14" fillId="0" fontId="11" numFmtId="0" xfId="0" applyAlignment="1" applyBorder="1" applyFont="1">
      <alignment shrinkToFit="0" vertical="top" wrapText="1"/>
    </xf>
    <xf borderId="15" fillId="0" fontId="11" numFmtId="0" xfId="0" applyAlignment="1" applyBorder="1" applyFont="1">
      <alignment vertical="top"/>
    </xf>
    <xf borderId="16" fillId="0" fontId="11" numFmtId="0" xfId="0" applyAlignment="1" applyBorder="1" applyFont="1">
      <alignment shrinkToFit="0" vertical="top" wrapText="1"/>
    </xf>
    <xf borderId="17" fillId="0" fontId="11" numFmtId="0" xfId="0" applyAlignment="1" applyBorder="1" applyFont="1">
      <alignment shrinkToFit="0" vertical="top" wrapText="1"/>
    </xf>
    <xf borderId="0" fillId="0" fontId="16" numFmtId="0" xfId="0" applyAlignment="1" applyFont="1">
      <alignment readingOrder="0"/>
    </xf>
    <xf borderId="0" fillId="0" fontId="17" numFmtId="0" xfId="0" applyAlignment="1" applyFont="1">
      <alignment readingOrder="0"/>
    </xf>
    <xf borderId="0" fillId="0" fontId="11" numFmtId="0" xfId="0" applyAlignment="1" applyFont="1">
      <alignment vertical="bottom"/>
    </xf>
    <xf borderId="0" fillId="0" fontId="11" numFmtId="0" xfId="0" applyAlignment="1" applyFont="1">
      <alignment shrinkToFit="0" vertical="bottom" wrapText="1"/>
    </xf>
    <xf borderId="0" fillId="0" fontId="11" numFmtId="164" xfId="0" applyAlignment="1" applyFont="1" applyNumberFormat="1">
      <alignment vertical="bottom"/>
    </xf>
    <xf borderId="0" fillId="0" fontId="11" numFmtId="46" xfId="0" applyAlignment="1" applyFont="1" applyNumberFormat="1">
      <alignment vertical="bottom"/>
    </xf>
    <xf borderId="0" fillId="0" fontId="11" numFmtId="164" xfId="0" applyAlignment="1" applyFont="1" applyNumberFormat="1">
      <alignment horizontal="right" readingOrder="0" vertical="bottom"/>
    </xf>
    <xf borderId="0" fillId="0" fontId="11" numFmtId="46" xfId="0" applyAlignment="1" applyFont="1" applyNumberFormat="1">
      <alignment horizontal="right" vertical="bottom"/>
    </xf>
    <xf borderId="0" fillId="0" fontId="11" numFmtId="164" xfId="0" applyAlignment="1" applyFont="1" applyNumberFormat="1">
      <alignment horizontal="right" vertical="bottom"/>
    </xf>
    <xf borderId="0" fillId="0" fontId="11" numFmtId="0" xfId="0" applyAlignment="1" applyFont="1">
      <alignment readingOrder="0" shrinkToFit="0" vertical="bottom" wrapText="1"/>
    </xf>
    <xf borderId="0" fillId="0" fontId="11" numFmtId="164" xfId="0" applyAlignment="1" applyFont="1" applyNumberFormat="1">
      <alignment horizontal="right" readingOrder="0" shrinkToFit="0" vertical="bottom" wrapText="1"/>
    </xf>
    <xf borderId="0" fillId="0" fontId="11" numFmtId="164" xfId="0" applyAlignment="1" applyFont="1" applyNumberFormat="1">
      <alignment horizontal="right" shrinkToFit="0" vertical="bottom" wrapText="1"/>
    </xf>
    <xf borderId="0" fillId="0" fontId="11" numFmtId="0" xfId="0" applyAlignment="1" applyFont="1">
      <alignment readingOrder="0" vertical="bottom"/>
    </xf>
    <xf borderId="0" fillId="0" fontId="11" numFmtId="164" xfId="0" applyAlignment="1" applyFont="1" applyNumberFormat="1">
      <alignment readingOrder="0" vertical="bottom"/>
    </xf>
    <xf borderId="0" fillId="0" fontId="2" numFmtId="16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根来杏奈" id="{48cb3f2d-3c2b-4db6-ae03-15303b8781c0}"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784" dT="2026-03-08T12:27:17.00" personId="{48cb3f2d-3c2b-4db6-ae03-15303b8781c0}" id="{4bd64072-36c4-42e4-b858-d29805a57e28}" done="1">
    <x18tc:text xml:space="preserve">どう修正するべきか？</x18tc:text>
  </x18tc:threadedComment>
  <x18tc:threadedComment ref="B974" dT="2026-03-08T12:24:15.00" personId="{48cb3f2d-3c2b-4db6-ae03-15303b8781c0}" id="{59a8d0f7-7323-4618-bb39-a5d69fdf33dd}" done="1">
    <x18tc:text xml:space="preserve">どう修正すべきか？</x18tc:text>
  </x18tc:threadedComment>
  <x18tc:threadedComment ref="B1000" dT="2026-03-08T12:26:44.00" personId="{48cb3f2d-3c2b-4db6-ae03-15303b8781c0}" id="{26a6a318-8623-4c40-8a6c-eb57d887741e}" done="1">
    <x18tc:text xml:space="preserve">どう修正するべきか？</x18tc:text>
  </x18tc:threadedComment>
  <x18tc:threadedComment ref="B788" dT="2026-03-08T12:28:17.00" personId="{48cb3f2d-3c2b-4db6-ae03-15303b8781c0}" id="{ae9f07e9-507a-49ab-8134-7f5cc5ef2276}" done="1">
    <x18tc:text xml:space="preserve">解答案をご作成いただけるとのこと</x18tc:text>
  </x18tc:threadedComment>
  <x18tc:threadedComment ref="B805" dT="2026-03-08T12:24:58.00" personId="{48cb3f2d-3c2b-4db6-ae03-15303b8781c0}" id="{881382c8-8538-4325-b30e-6b8ded299012}" done="1">
    <x18tc:text xml:space="preserve">どう修正するべきか？</x18tc:text>
  </x18tc:threadedComment>
  <x18tc:threadedComment ref="B79" dT="2026-03-08T12:23:17.00" personId="{48cb3f2d-3c2b-4db6-ae03-15303b8781c0}" id="{2a2890af-a76d-47f0-ab46-320d2cb25ce3}" done="1">
    <x18tc:text xml:space="preserve">予約受付時間は
どこにどう追加すべきか？</x18tc:text>
  </x18tc:threadedComment>
  <x18tc:threadedComment ref="B79" dT="2026-03-09T02:48:04.00" personId="{48cb3f2d-3c2b-4db6-ae03-15303b8781c0}" id="{a3694b4f-5358-471f-b0b4-145bd28422c0}" parentId="{2a2890af-a76d-47f0-ab46-320d2cb25ce3}">
    <x18tc:text xml:space="preserve">予約受付時間はLINE促し</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hyperlink" Target="https://www.adeb.com/yoyaku/"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90" Type="http://schemas.openxmlformats.org/officeDocument/2006/relationships/hyperlink" Target="https://luna-dr.com/subjects/media/4127/" TargetMode="External"/><Relationship Id="rId194" Type="http://schemas.openxmlformats.org/officeDocument/2006/relationships/hyperlink" Target="https://luna-dr.com/subjects/media/4736/" TargetMode="External"/><Relationship Id="rId193" Type="http://schemas.openxmlformats.org/officeDocument/2006/relationships/hyperlink" Target="https://luna-dr.com/subjects/media/9798/" TargetMode="External"/><Relationship Id="rId192" Type="http://schemas.openxmlformats.org/officeDocument/2006/relationships/hyperlink" Target="https://luna-dr.com/subjects/media/9804/" TargetMode="External"/><Relationship Id="rId191" Type="http://schemas.openxmlformats.org/officeDocument/2006/relationships/hyperlink" Target="https://luna-dr.com/subjects/media/9839/" TargetMode="External"/><Relationship Id="rId187" Type="http://schemas.openxmlformats.org/officeDocument/2006/relationships/hyperlink" Target="https://luna-dr.com/subjects/media/8929/" TargetMode="External"/><Relationship Id="rId186" Type="http://schemas.openxmlformats.org/officeDocument/2006/relationships/hyperlink" Target="https://luna-dr.com/subjects/media/8939/" TargetMode="External"/><Relationship Id="rId185" Type="http://schemas.openxmlformats.org/officeDocument/2006/relationships/hyperlink" Target="https://luna-dr.com/subjects/media/8655/" TargetMode="External"/><Relationship Id="rId184" Type="http://schemas.openxmlformats.org/officeDocument/2006/relationships/hyperlink" Target="https://luna-dr.com/subjects/media/7500/" TargetMode="External"/><Relationship Id="rId189" Type="http://schemas.openxmlformats.org/officeDocument/2006/relationships/hyperlink" Target="https://luna-dr.com/subjects/media/8925/" TargetMode="External"/><Relationship Id="rId188" Type="http://schemas.openxmlformats.org/officeDocument/2006/relationships/hyperlink" Target="https://luna-dr.com/subjects/media/8908/" TargetMode="External"/><Relationship Id="rId183" Type="http://schemas.openxmlformats.org/officeDocument/2006/relationships/hyperlink" Target="https://luna-dr.com/subjects/media/1385/" TargetMode="External"/><Relationship Id="rId182" Type="http://schemas.openxmlformats.org/officeDocument/2006/relationships/hyperlink" Target="https://luna-dr.com/subjects/media/3050/" TargetMode="External"/><Relationship Id="rId181" Type="http://schemas.openxmlformats.org/officeDocument/2006/relationships/hyperlink" Target="https://luna-dr.com/subjects/media/4681/" TargetMode="External"/><Relationship Id="rId180" Type="http://schemas.openxmlformats.org/officeDocument/2006/relationships/hyperlink" Target="https://luna-dr.com/subjects/media/3807/" TargetMode="External"/><Relationship Id="rId176" Type="http://schemas.openxmlformats.org/officeDocument/2006/relationships/hyperlink" Target="https://luna-dr.com/subjects/media/7157/" TargetMode="External"/><Relationship Id="rId297" Type="http://schemas.openxmlformats.org/officeDocument/2006/relationships/hyperlink" Target="https://luna-dr.com/kawasaki/news/hpv%e3%83%af%e3%82%af%e3%83%81%e3%83%b3%e3%81%ab%e3%81%a4%e3%81%8d%e3%81%be%e3%81%97%e3%81%a6/" TargetMode="External"/><Relationship Id="rId175" Type="http://schemas.openxmlformats.org/officeDocument/2006/relationships/hyperlink" Target="https://luna-dr.com/subjects/media/7104/" TargetMode="External"/><Relationship Id="rId296" Type="http://schemas.openxmlformats.org/officeDocument/2006/relationships/hyperlink" Target="https://luna-dr.com/kawasaki/news/%e5%8d%93%e7%90%83t%e3%83%aa%e3%83%bc%e3%82%b0%e3%80%8c%e6%9c%a8%e4%b8%8b%e3%82%a2%e3%83%93%e3%82%a8%e3%83%ab%e7%a5%9e%e5%a5%88%e5%b7%9d%e3%80%8d%e5%a5%b3%e5%ad%90%e9%81%b8%e6%89%8b%e5%90%91%e3%81%91/" TargetMode="External"/><Relationship Id="rId174" Type="http://schemas.openxmlformats.org/officeDocument/2006/relationships/hyperlink" Target="https://luna-dr.com/subjects/media/7008/" TargetMode="External"/><Relationship Id="rId295" Type="http://schemas.openxmlformats.org/officeDocument/2006/relationships/hyperlink" Target="https://luna-dr.com/kawasaki/news/%e4%b8%80%e8%88%ac%e5%90%8d%e3%81%a7%e3%81%ae%e5%87%a6%e6%96%b9%e3%81%ab%e3%81%a4%e3%81%84%e3%81%a6/" TargetMode="External"/><Relationship Id="rId173" Type="http://schemas.openxmlformats.org/officeDocument/2006/relationships/hyperlink" Target="https://luna-dr.com/subjects/media/6689/" TargetMode="External"/><Relationship Id="rId294" Type="http://schemas.openxmlformats.org/officeDocument/2006/relationships/hyperlink" Target="https://luna-dr.com/kawasaki/news/%e4%bb%a4%e5%92%8c6%e5%b9%b4%e5%ba%a6-%e5%b9%b4%e6%9c%ab%e5%b9%b4%e5%a7%8b%e4%bc%91%e8%a8%ba%e3%81%ae%e3%81%8a%e7%9f%a5%e3%82%89%e3%81%9b/" TargetMode="External"/><Relationship Id="rId179" Type="http://schemas.openxmlformats.org/officeDocument/2006/relationships/hyperlink" Target="https://luna-dr.com/subjects/media/4659/" TargetMode="External"/><Relationship Id="rId178" Type="http://schemas.openxmlformats.org/officeDocument/2006/relationships/hyperlink" Target="https://luna-dr.com/subjects/media/6140/" TargetMode="External"/><Relationship Id="rId299" Type="http://schemas.openxmlformats.org/officeDocument/2006/relationships/hyperlink" Target="https://luna-dr.com/kawasaki/news/%e6%9c%ac%e6%97%a5%e3%81%ae%e4%ba%88%e7%b4%84%e5%a4%96%e5%8f%97%e4%bb%98%e3%81%ab%e3%81%a4%e3%81%8d%e3%81%be%e3%81%97%e3%81%a6/" TargetMode="External"/><Relationship Id="rId177" Type="http://schemas.openxmlformats.org/officeDocument/2006/relationships/hyperlink" Target="https://luna-dr.com/subjects/media/5040/" TargetMode="External"/><Relationship Id="rId298" Type="http://schemas.openxmlformats.org/officeDocument/2006/relationships/hyperlink" Target="https://luna-dr.com/kawasaki/news/8-16-%e5%8f%b0%e9%a2%a8%e3%81%ae%e5%bd%b1%e9%9f%bf%e3%81%ab%e3%82%88%e3%82%8b%e5%8f%97%e4%bb%98%e6%99%82%e9%96%93%e3%83%bb%e9%9b%bb%e8%a9%b1%e5%af%be%e5%bf%9c%e6%99%82%e9%96%93%e3%81%ae%e5%a4%89/" TargetMode="External"/><Relationship Id="rId198" Type="http://schemas.openxmlformats.org/officeDocument/2006/relationships/hyperlink" Target="https://luna-dr.com/subjects/media/4734/" TargetMode="External"/><Relationship Id="rId197" Type="http://schemas.openxmlformats.org/officeDocument/2006/relationships/hyperlink" Target="https://luna-dr.com/subjects/media/4696/" TargetMode="External"/><Relationship Id="rId196" Type="http://schemas.openxmlformats.org/officeDocument/2006/relationships/hyperlink" Target="https://luna-dr.com/subjects/media/4738/" TargetMode="External"/><Relationship Id="rId195" Type="http://schemas.openxmlformats.org/officeDocument/2006/relationships/hyperlink" Target="https://luna-dr.com/subjects/media/2869/" TargetMode="External"/><Relationship Id="rId199" Type="http://schemas.openxmlformats.org/officeDocument/2006/relationships/hyperlink" Target="https://luna-dr.com/subjects/media/4690/" TargetMode="External"/><Relationship Id="rId150" Type="http://schemas.openxmlformats.org/officeDocument/2006/relationships/hyperlink" Target="https://luna-dr.com/subjects/media/2928/" TargetMode="External"/><Relationship Id="rId271" Type="http://schemas.openxmlformats.org/officeDocument/2006/relationships/hyperlink" Target="https://luna-dr.com/subjects/media/1148/" TargetMode="External"/><Relationship Id="rId392" Type="http://schemas.openxmlformats.org/officeDocument/2006/relationships/hyperlink" Target="https://luna-dr.com/subjects/media/1001/" TargetMode="External"/><Relationship Id="rId270" Type="http://schemas.openxmlformats.org/officeDocument/2006/relationships/hyperlink" Target="https://luna-dr.com/subjects/media/1049/" TargetMode="External"/><Relationship Id="rId391" Type="http://schemas.openxmlformats.org/officeDocument/2006/relationships/hyperlink" Target="https://luna-dr.com/subjects/media/2953/" TargetMode="External"/><Relationship Id="rId390" Type="http://schemas.openxmlformats.org/officeDocument/2006/relationships/hyperlink" Target="https://luna-dr.com/subjects/media/2866/" TargetMode="External"/><Relationship Id="rId1" Type="http://schemas.openxmlformats.org/officeDocument/2006/relationships/hyperlink" Target="https://luna-dr.com/" TargetMode="External"/><Relationship Id="rId2" Type="http://schemas.openxmlformats.org/officeDocument/2006/relationships/hyperlink" Target="https://luna-dr.com/femcheck/" TargetMode="External"/><Relationship Id="rId3" Type="http://schemas.openxmlformats.org/officeDocument/2006/relationships/hyperlink" Target="https://luna-dr.com/telemedicine/" TargetMode="External"/><Relationship Id="rId149" Type="http://schemas.openxmlformats.org/officeDocument/2006/relationships/hyperlink" Target="https://luna-dr.com/subjects/media/3035/" TargetMode="External"/><Relationship Id="rId4" Type="http://schemas.openxmlformats.org/officeDocument/2006/relationships/hyperlink" Target="https://luna-dr.com/recruit/" TargetMode="External"/><Relationship Id="rId148" Type="http://schemas.openxmlformats.org/officeDocument/2006/relationships/hyperlink" Target="https://luna-dr.com/subjects/media/4706/" TargetMode="External"/><Relationship Id="rId269" Type="http://schemas.openxmlformats.org/officeDocument/2006/relationships/hyperlink" Target="https://luna-dr.com/subjects/media/1166/" TargetMode="External"/><Relationship Id="rId9" Type="http://schemas.openxmlformats.org/officeDocument/2006/relationships/hyperlink" Target="https://luna-dr.com/news/%e3%80%90%e7%89%b9%e5%ae%9a%e3%81%ae%e5%8c%bb%e5%b8%ab%e3%81%ae%e6%8c%87%e5%90%8d%e3%81%ab%e3%81%a4%e3%81%84%e3%81%a6%e3%80%91/" TargetMode="External"/><Relationship Id="rId143" Type="http://schemas.openxmlformats.org/officeDocument/2006/relationships/hyperlink" Target="https://luna-dr.com/subjects/media/3593/" TargetMode="External"/><Relationship Id="rId264" Type="http://schemas.openxmlformats.org/officeDocument/2006/relationships/hyperlink" Target="https://luna-dr.com/subjects/media/1073/" TargetMode="External"/><Relationship Id="rId385" Type="http://schemas.openxmlformats.org/officeDocument/2006/relationships/hyperlink" Target="https://luna-dr.com/subjects/media/2892/" TargetMode="External"/><Relationship Id="rId142" Type="http://schemas.openxmlformats.org/officeDocument/2006/relationships/hyperlink" Target="https://luna-dr.com/subjects/media/8230/" TargetMode="External"/><Relationship Id="rId263" Type="http://schemas.openxmlformats.org/officeDocument/2006/relationships/hyperlink" Target="https://luna-dr.com/subjects/media/1502/" TargetMode="External"/><Relationship Id="rId384" Type="http://schemas.openxmlformats.org/officeDocument/2006/relationships/hyperlink" Target="https://luna-dr.com/subjects/media/985/" TargetMode="External"/><Relationship Id="rId141" Type="http://schemas.openxmlformats.org/officeDocument/2006/relationships/hyperlink" Target="https://luna-dr.com/subjects/media/3620/" TargetMode="External"/><Relationship Id="rId262" Type="http://schemas.openxmlformats.org/officeDocument/2006/relationships/hyperlink" Target="https://luna-dr.com/subjects/media/1126/" TargetMode="External"/><Relationship Id="rId383" Type="http://schemas.openxmlformats.org/officeDocument/2006/relationships/hyperlink" Target="https://luna-dr.com/subjects/media/1657/" TargetMode="External"/><Relationship Id="rId140" Type="http://schemas.openxmlformats.org/officeDocument/2006/relationships/hyperlink" Target="https://luna-dr.com/subjects/media/2129/" TargetMode="External"/><Relationship Id="rId261" Type="http://schemas.openxmlformats.org/officeDocument/2006/relationships/hyperlink" Target="https://luna-dr.com/subjects/media/1157/" TargetMode="External"/><Relationship Id="rId382" Type="http://schemas.openxmlformats.org/officeDocument/2006/relationships/hyperlink" Target="https://luna-dr.com/subjects/media/2767/" TargetMode="External"/><Relationship Id="rId5" Type="http://schemas.openxmlformats.org/officeDocument/2006/relationships/hyperlink" Target="https://luna-dr.com/subjects/media/" TargetMode="External"/><Relationship Id="rId147" Type="http://schemas.openxmlformats.org/officeDocument/2006/relationships/hyperlink" Target="https://luna-dr.com/subjects/media/2841/" TargetMode="External"/><Relationship Id="rId268" Type="http://schemas.openxmlformats.org/officeDocument/2006/relationships/hyperlink" Target="https://luna-dr.com/subjects/media/1354/" TargetMode="External"/><Relationship Id="rId389" Type="http://schemas.openxmlformats.org/officeDocument/2006/relationships/hyperlink" Target="https://luna-dr.com/subjects/media/2791/" TargetMode="External"/><Relationship Id="rId6" Type="http://schemas.openxmlformats.org/officeDocument/2006/relationships/hyperlink" Target="https://luna-dr.com/machida/" TargetMode="External"/><Relationship Id="rId146" Type="http://schemas.openxmlformats.org/officeDocument/2006/relationships/hyperlink" Target="https://luna-dr.com/subjects/media/995/" TargetMode="External"/><Relationship Id="rId267" Type="http://schemas.openxmlformats.org/officeDocument/2006/relationships/hyperlink" Target="https://luna-dr.com/subjects/media/3570/" TargetMode="External"/><Relationship Id="rId388" Type="http://schemas.openxmlformats.org/officeDocument/2006/relationships/hyperlink" Target="https://luna-dr.com/subjects/media/2665/" TargetMode="External"/><Relationship Id="rId7" Type="http://schemas.openxmlformats.org/officeDocument/2006/relationships/hyperlink" Target="https://luna-dr.com/kawasaki/" TargetMode="External"/><Relationship Id="rId145" Type="http://schemas.openxmlformats.org/officeDocument/2006/relationships/hyperlink" Target="https://luna-dr.com/subjects/media/2935/" TargetMode="External"/><Relationship Id="rId266" Type="http://schemas.openxmlformats.org/officeDocument/2006/relationships/hyperlink" Target="https://luna-dr.com/subjects/media/1523/" TargetMode="External"/><Relationship Id="rId387" Type="http://schemas.openxmlformats.org/officeDocument/2006/relationships/hyperlink" Target="https://luna-dr.com/subjects/media/2788/" TargetMode="External"/><Relationship Id="rId8" Type="http://schemas.openxmlformats.org/officeDocument/2006/relationships/hyperlink" Target="https://luna-dr.com/yokohama/" TargetMode="External"/><Relationship Id="rId144" Type="http://schemas.openxmlformats.org/officeDocument/2006/relationships/hyperlink" Target="https://luna-dr.com/subjects/media/3822/" TargetMode="External"/><Relationship Id="rId265" Type="http://schemas.openxmlformats.org/officeDocument/2006/relationships/hyperlink" Target="https://luna-dr.com/subjects/media/1462/" TargetMode="External"/><Relationship Id="rId386" Type="http://schemas.openxmlformats.org/officeDocument/2006/relationships/hyperlink" Target="https://luna-dr.com/subjects/media/1470/" TargetMode="External"/><Relationship Id="rId260" Type="http://schemas.openxmlformats.org/officeDocument/2006/relationships/hyperlink" Target="https://luna-dr.com/subjects/media/4654/" TargetMode="External"/><Relationship Id="rId381" Type="http://schemas.openxmlformats.org/officeDocument/2006/relationships/hyperlink" Target="https://luna-dr.com/subjects/media/2853/" TargetMode="External"/><Relationship Id="rId380" Type="http://schemas.openxmlformats.org/officeDocument/2006/relationships/hyperlink" Target="https://luna-dr.com/subjects/media/964/" TargetMode="External"/><Relationship Id="rId139" Type="http://schemas.openxmlformats.org/officeDocument/2006/relationships/hyperlink" Target="https://luna-dr.com/subjects/media/8361/" TargetMode="External"/><Relationship Id="rId138" Type="http://schemas.openxmlformats.org/officeDocument/2006/relationships/hyperlink" Target="https://luna-dr.com/subjects/media/7577/" TargetMode="External"/><Relationship Id="rId259" Type="http://schemas.openxmlformats.org/officeDocument/2006/relationships/hyperlink" Target="https://luna-dr.com/subjects/media/4683/" TargetMode="External"/><Relationship Id="rId137" Type="http://schemas.openxmlformats.org/officeDocument/2006/relationships/hyperlink" Target="https://luna-dr.com/subjects/media/169/" TargetMode="External"/><Relationship Id="rId258" Type="http://schemas.openxmlformats.org/officeDocument/2006/relationships/hyperlink" Target="https://luna-dr.com/subjects/media/1575/" TargetMode="External"/><Relationship Id="rId379" Type="http://schemas.openxmlformats.org/officeDocument/2006/relationships/hyperlink" Target="https://luna-dr.com/subjects/media/2662/" TargetMode="External"/><Relationship Id="rId132" Type="http://schemas.openxmlformats.org/officeDocument/2006/relationships/hyperlink" Target="https://luna-dr.com/subjects/media/971/" TargetMode="External"/><Relationship Id="rId253" Type="http://schemas.openxmlformats.org/officeDocument/2006/relationships/hyperlink" Target="https://luna-dr.com/subjects/media/4732/" TargetMode="External"/><Relationship Id="rId374" Type="http://schemas.openxmlformats.org/officeDocument/2006/relationships/hyperlink" Target="https://luna-dr.com/subjects/media/1393/" TargetMode="External"/><Relationship Id="rId495" Type="http://schemas.openxmlformats.org/officeDocument/2006/relationships/hyperlink" Target="https://luna-dr.com/subjects/media/1175/" TargetMode="External"/><Relationship Id="rId131" Type="http://schemas.openxmlformats.org/officeDocument/2006/relationships/hyperlink" Target="https://luna-dr.com/subjects/media/116/" TargetMode="External"/><Relationship Id="rId252" Type="http://schemas.openxmlformats.org/officeDocument/2006/relationships/hyperlink" Target="https://luna-dr.com/subjects/media/3641/" TargetMode="External"/><Relationship Id="rId373" Type="http://schemas.openxmlformats.org/officeDocument/2006/relationships/hyperlink" Target="https://luna-dr.com/subjects/media/2983/" TargetMode="External"/><Relationship Id="rId494" Type="http://schemas.openxmlformats.org/officeDocument/2006/relationships/hyperlink" Target="https://luna-dr.com/subjects/media/9791/" TargetMode="External"/><Relationship Id="rId130" Type="http://schemas.openxmlformats.org/officeDocument/2006/relationships/hyperlink" Target="https://luna-dr.com/subjects/media/2976/" TargetMode="External"/><Relationship Id="rId251" Type="http://schemas.openxmlformats.org/officeDocument/2006/relationships/hyperlink" Target="https://luna-dr.com/subjects/media/4045/" TargetMode="External"/><Relationship Id="rId372" Type="http://schemas.openxmlformats.org/officeDocument/2006/relationships/hyperlink" Target="https://luna-dr.com/subjects/media/921/" TargetMode="External"/><Relationship Id="rId493" Type="http://schemas.openxmlformats.org/officeDocument/2006/relationships/hyperlink" Target="https://luna-dr.com/subjects/media/9748/" TargetMode="External"/><Relationship Id="rId250" Type="http://schemas.openxmlformats.org/officeDocument/2006/relationships/hyperlink" Target="https://luna-dr.com/subjects/media/4031/" TargetMode="External"/><Relationship Id="rId371" Type="http://schemas.openxmlformats.org/officeDocument/2006/relationships/hyperlink" Target="https://luna-dr.com/subjects/media/3021/" TargetMode="External"/><Relationship Id="rId492" Type="http://schemas.openxmlformats.org/officeDocument/2006/relationships/hyperlink" Target="https://luna-dr.com/subjects/media/7465/" TargetMode="External"/><Relationship Id="rId136" Type="http://schemas.openxmlformats.org/officeDocument/2006/relationships/hyperlink" Target="https://luna-dr.com/subjects/media/2740/" TargetMode="External"/><Relationship Id="rId257" Type="http://schemas.openxmlformats.org/officeDocument/2006/relationships/hyperlink" Target="https://luna-dr.com/subjects/media/4261/" TargetMode="External"/><Relationship Id="rId378" Type="http://schemas.openxmlformats.org/officeDocument/2006/relationships/hyperlink" Target="https://luna-dr.com/subjects/media/2671/" TargetMode="External"/><Relationship Id="rId499" Type="http://schemas.openxmlformats.org/officeDocument/2006/relationships/hyperlink" Target="https://luna-dr.com/subjects/media/1241/" TargetMode="External"/><Relationship Id="rId135" Type="http://schemas.openxmlformats.org/officeDocument/2006/relationships/hyperlink" Target="https://luna-dr.com/subjects/media/2668/" TargetMode="External"/><Relationship Id="rId256" Type="http://schemas.openxmlformats.org/officeDocument/2006/relationships/hyperlink" Target="https://luna-dr.com/subjects/media/1584/" TargetMode="External"/><Relationship Id="rId377" Type="http://schemas.openxmlformats.org/officeDocument/2006/relationships/hyperlink" Target="https://luna-dr.com/subjects/media/2895/" TargetMode="External"/><Relationship Id="rId498" Type="http://schemas.openxmlformats.org/officeDocument/2006/relationships/hyperlink" Target="https://luna-dr.com/subjects/media/1306/" TargetMode="External"/><Relationship Id="rId134" Type="http://schemas.openxmlformats.org/officeDocument/2006/relationships/hyperlink" Target="https://luna-dr.com/subjects/media/978/" TargetMode="External"/><Relationship Id="rId255" Type="http://schemas.openxmlformats.org/officeDocument/2006/relationships/hyperlink" Target="https://luna-dr.com/subjects/media/3581/" TargetMode="External"/><Relationship Id="rId376" Type="http://schemas.openxmlformats.org/officeDocument/2006/relationships/hyperlink" Target="https://luna-dr.com/subjects/media/2725/" TargetMode="External"/><Relationship Id="rId497" Type="http://schemas.openxmlformats.org/officeDocument/2006/relationships/hyperlink" Target="https://luna-dr.com/subjects/media/4017/" TargetMode="External"/><Relationship Id="rId133" Type="http://schemas.openxmlformats.org/officeDocument/2006/relationships/hyperlink" Target="https://luna-dr.com/subjects/media/2734/" TargetMode="External"/><Relationship Id="rId254" Type="http://schemas.openxmlformats.org/officeDocument/2006/relationships/hyperlink" Target="https://luna-dr.com/subjects/media/4688/" TargetMode="External"/><Relationship Id="rId375" Type="http://schemas.openxmlformats.org/officeDocument/2006/relationships/hyperlink" Target="https://luna-dr.com/subjects/media/2968/" TargetMode="External"/><Relationship Id="rId496" Type="http://schemas.openxmlformats.org/officeDocument/2006/relationships/hyperlink" Target="https://luna-dr.com/subjects/media/1209/" TargetMode="External"/><Relationship Id="rId172" Type="http://schemas.openxmlformats.org/officeDocument/2006/relationships/hyperlink" Target="https://luna-dr.com/subjects/media/1261/" TargetMode="External"/><Relationship Id="rId293" Type="http://schemas.openxmlformats.org/officeDocument/2006/relationships/hyperlink" Target="https://luna-dr.com/kawasaki/news/%e3%83%a1%e3%83%b3%e3%83%86%e3%83%8a%e3%83%b3%e3%82%b9%e3%81%ae%e3%81%8a%e7%9f%a5%e3%82%89%e3%81%9b/" TargetMode="External"/><Relationship Id="rId171" Type="http://schemas.openxmlformats.org/officeDocument/2006/relationships/hyperlink" Target="https://luna-dr.com/subjects/media/6955/" TargetMode="External"/><Relationship Id="rId292" Type="http://schemas.openxmlformats.org/officeDocument/2006/relationships/hyperlink" Target="https://luna-dr.com/kawasaki/news/%e3%80%90%e7%89%b9%e5%ae%9a%e3%81%ae%e5%8c%bb%e5%b8%ab%e3%81%ae%e6%8c%87%e5%90%8d%e3%81%ab%e3%81%a4%e3%81%84%e3%81%a6%e3%80%91/" TargetMode="External"/><Relationship Id="rId170" Type="http://schemas.openxmlformats.org/officeDocument/2006/relationships/hyperlink" Target="https://luna-dr.com/subjects/media/6982/" TargetMode="External"/><Relationship Id="rId291" Type="http://schemas.openxmlformats.org/officeDocument/2006/relationships/hyperlink" Target="https://luna-dr.com/kawasaki/news/%e3%82%b4%e3%83%bc%e3%83%ab%e3%83%87%e3%83%b3%e3%82%a6%e3%82%a3%e3%83%bc%e3%82%af%e6%9c%9f%e9%96%93%e3%81%ae%e5%8f%97%e8%a8%ba%e3%81%ab%e3%81%a4%e3%81%84%e3%81%a6/" TargetMode="External"/><Relationship Id="rId290" Type="http://schemas.openxmlformats.org/officeDocument/2006/relationships/hyperlink" Target="https://luna-dr.com/kawasaki/news/8%e6%9c%885%e6%97%a5%e7%81%ab%e3%81%ae%e8%a8%ba%e7%99%82%e6%99%82%e9%96%93%e3%81%ab%e3%81%a4%e3%81%84%e3%81%a6/" TargetMode="External"/><Relationship Id="rId165" Type="http://schemas.openxmlformats.org/officeDocument/2006/relationships/hyperlink" Target="https://luna-dr.com/subjects/media/2989/" TargetMode="External"/><Relationship Id="rId286" Type="http://schemas.openxmlformats.org/officeDocument/2006/relationships/hyperlink" Target="https://luna-dr.com/machida/news/%e3%80%90%e7%89%b9%e5%ae%9a%e3%81%ae%e5%8c%bb%e5%b8%ab%e3%81%ae%e6%8c%87%e5%90%8d%e3%81%ab%e3%81%a4%e3%81%84%e3%81%a6%e3%80%91/" TargetMode="External"/><Relationship Id="rId164" Type="http://schemas.openxmlformats.org/officeDocument/2006/relationships/hyperlink" Target="https://luna-dr.com/subjects/media/2980/" TargetMode="External"/><Relationship Id="rId285" Type="http://schemas.openxmlformats.org/officeDocument/2006/relationships/hyperlink" Target="https://luna-dr.com/machida/news/%e4%ba%88%e7%b4%84%e5%a4%96%ef%bc%88line%e4%ba%88%e7%b4%84%e7%84%a1%e3%81%97%ef%bc%89%e3%81%a7%e3%81%94%e6%9d%a5%e9%99%a2%e3%81%95%e3%82%8c%e3%82%8b%e6%82%a3%e8%80%85%e6%a7%98%e3%81%b8/" TargetMode="External"/><Relationship Id="rId163" Type="http://schemas.openxmlformats.org/officeDocument/2006/relationships/hyperlink" Target="https://luna-dr.com/subjects/media/2680/" TargetMode="External"/><Relationship Id="rId284" Type="http://schemas.openxmlformats.org/officeDocument/2006/relationships/hyperlink" Target="https://luna-dr.com/machida/news/%e3%81%8a%e9%9b%bb%e8%a9%b1%e3%81%a7%e3%81%ae%e3%81%8a%e5%95%8f%e3%81%84%e5%90%88%e3%82%8f%e3%81%9b%e3%81%ab%e3%81%a4%e3%81%84%e3%81%a6/" TargetMode="External"/><Relationship Id="rId162" Type="http://schemas.openxmlformats.org/officeDocument/2006/relationships/hyperlink" Target="https://luna-dr.com/subjects/media/3047/" TargetMode="External"/><Relationship Id="rId283" Type="http://schemas.openxmlformats.org/officeDocument/2006/relationships/hyperlink" Target="https://luna-dr.com/machida/news/%e4%b8%80%e8%88%ac%e5%90%8d%e3%81%a7%e3%81%ae%e5%87%a6%e6%96%b9%e3%81%ab%e3%81%a4%e3%81%84%e3%81%a6/" TargetMode="External"/><Relationship Id="rId169" Type="http://schemas.openxmlformats.org/officeDocument/2006/relationships/hyperlink" Target="https://luna-dr.com/subjects/media/4652/" TargetMode="External"/><Relationship Id="rId168" Type="http://schemas.openxmlformats.org/officeDocument/2006/relationships/hyperlink" Target="https://luna-dr.com/subjects/media/2759/" TargetMode="External"/><Relationship Id="rId289" Type="http://schemas.openxmlformats.org/officeDocument/2006/relationships/hyperlink" Target="https://luna-dr.com/kawasaki/news/%e7%be%8e%e5%ae%b9%e7%82%b9%e6%bb%b4%e7%b5%82%e4%ba%86%e3%83%a1%e3%83%8b%e3%83%a5%e3%83%bc%e3%81%ae%e3%81%8a%e7%9f%a5%e3%82%89%e3%81%9b/" TargetMode="External"/><Relationship Id="rId167" Type="http://schemas.openxmlformats.org/officeDocument/2006/relationships/hyperlink" Target="https://luna-dr.com/subjects/media/2695/" TargetMode="External"/><Relationship Id="rId288" Type="http://schemas.openxmlformats.org/officeDocument/2006/relationships/hyperlink" Target="https://luna-dr.com/kawasaki/news/9-4%e6%9c%a8%e3%81%ae%e5%8d%88%e5%89%8d%e8%a8%ba%e7%99%82%e3%81%ab%e3%81%a4%e3%81%8d%e3%81%be%e3%81%97%e3%81%a6/" TargetMode="External"/><Relationship Id="rId166" Type="http://schemas.openxmlformats.org/officeDocument/2006/relationships/hyperlink" Target="https://luna-dr.com/subjects/media/114/" TargetMode="External"/><Relationship Id="rId287" Type="http://schemas.openxmlformats.org/officeDocument/2006/relationships/hyperlink" Target="https://luna-dr.com/machida/news/2021%e5%b9%b48%e6%9c%88%e5%b7%9d%e5%b4%8e%e9%a7%85%e6%9d%b1%e5%8f%a3%e3%81%99%e3%81%90%e3%81%ae%e5%a0%b4%e6%89%80%e3%81%ab%e3%80%8c%e5%b7%9d%e5%b4%8e%e9%a7%85%e5%89%8d%e3%83%ac%e3%83%87%e3%82%a3/" TargetMode="External"/><Relationship Id="rId161" Type="http://schemas.openxmlformats.org/officeDocument/2006/relationships/hyperlink" Target="https://luna-dr.com/subjects/media/3031/" TargetMode="External"/><Relationship Id="rId282" Type="http://schemas.openxmlformats.org/officeDocument/2006/relationships/hyperlink" Target="https://luna-dr.com/machida/news/7%e6%9c%8828%e6%97%a5%ef%bc%88%e6%9c%88%ef%bc%89%e7%94%ba%e7%94%b0%e9%99%a2%e3%80%80%e5%8d%88%e5%89%8d%e8%a8%ba%e7%99%82%e3%81%ab%e3%81%a4%e3%81%84%e3%81%a6/" TargetMode="External"/><Relationship Id="rId160" Type="http://schemas.openxmlformats.org/officeDocument/2006/relationships/hyperlink" Target="https://luna-dr.com/subjects/media/1009/" TargetMode="External"/><Relationship Id="rId281" Type="http://schemas.openxmlformats.org/officeDocument/2006/relationships/hyperlink" Target="https://luna-dr.com/machida/news/9-6%ef%bc%88%e5%9c%9f%ef%bc%89%e3%81%ae%e8%a8%ba%e7%99%82%e3%81%ab%e3%81%a4%e3%81%8d%e3%81%be%e3%81%97%e3%81%a6/" TargetMode="External"/><Relationship Id="rId280" Type="http://schemas.openxmlformats.org/officeDocument/2006/relationships/hyperlink" Target="https://luna-dr.com/machida/news/10%e6%9c%887%e6%97%a5%e7%81%ab%e3%81%ae%e8%a8%ba%e7%99%82%e6%99%82%e9%96%93%e3%81%ab%e3%81%a4%e3%81%8d%e3%81%be%e3%81%97%e3%81%a6/" TargetMode="External"/><Relationship Id="rId159" Type="http://schemas.openxmlformats.org/officeDocument/2006/relationships/hyperlink" Target="https://luna-dr.com/subjects/media/2674/" TargetMode="External"/><Relationship Id="rId154" Type="http://schemas.openxmlformats.org/officeDocument/2006/relationships/hyperlink" Target="https://luna-dr.com/subjects/media/2956/" TargetMode="External"/><Relationship Id="rId275" Type="http://schemas.openxmlformats.org/officeDocument/2006/relationships/hyperlink" Target="https://luna-dr.com/subjects/media/1106/" TargetMode="External"/><Relationship Id="rId396" Type="http://schemas.openxmlformats.org/officeDocument/2006/relationships/hyperlink" Target="https://luna-dr.com/subjects/media/5733/" TargetMode="External"/><Relationship Id="rId153" Type="http://schemas.openxmlformats.org/officeDocument/2006/relationships/hyperlink" Target="https://luna-dr.com/subjects/media/2762/" TargetMode="External"/><Relationship Id="rId274" Type="http://schemas.openxmlformats.org/officeDocument/2006/relationships/hyperlink" Target="https://luna-dr.com/subjects/media/1061/" TargetMode="External"/><Relationship Id="rId395" Type="http://schemas.openxmlformats.org/officeDocument/2006/relationships/hyperlink" Target="https://luna-dr.com/subjects/media/165/" TargetMode="External"/><Relationship Id="rId152" Type="http://schemas.openxmlformats.org/officeDocument/2006/relationships/hyperlink" Target="https://luna-dr.com/subjects/media/3004/" TargetMode="External"/><Relationship Id="rId273" Type="http://schemas.openxmlformats.org/officeDocument/2006/relationships/hyperlink" Target="https://luna-dr.com/subjects/media/1668/" TargetMode="External"/><Relationship Id="rId394" Type="http://schemas.openxmlformats.org/officeDocument/2006/relationships/hyperlink" Target="https://luna-dr.com/subjects/media/2879/" TargetMode="External"/><Relationship Id="rId151" Type="http://schemas.openxmlformats.org/officeDocument/2006/relationships/hyperlink" Target="https://luna-dr.com/subjects/media/2623/" TargetMode="External"/><Relationship Id="rId272" Type="http://schemas.openxmlformats.org/officeDocument/2006/relationships/hyperlink" Target="https://luna-dr.com/subjects/media/1482/" TargetMode="External"/><Relationship Id="rId393" Type="http://schemas.openxmlformats.org/officeDocument/2006/relationships/hyperlink" Target="https://luna-dr.com/subjects/media/2821/" TargetMode="External"/><Relationship Id="rId158" Type="http://schemas.openxmlformats.org/officeDocument/2006/relationships/hyperlink" Target="https://luna-dr.com/subjects/media/2850/" TargetMode="External"/><Relationship Id="rId279" Type="http://schemas.openxmlformats.org/officeDocument/2006/relationships/hyperlink" Target="https://luna-dr.com/machida/news/%e7%9c%8b%e8%ad%b7%e5%b8%ab%e4%b8%8d%e5%9c%a8%e6%99%82%e3%81%ae%e7%82%b9%e6%bb%b4%e3%83%bb%e6%b3%a8%e5%b0%84%e3%81%ab%e3%81%a4%e3%81%84%e3%81%a6/" TargetMode="External"/><Relationship Id="rId157" Type="http://schemas.openxmlformats.org/officeDocument/2006/relationships/hyperlink" Target="https://luna-dr.com/subjects/media/2902/" TargetMode="External"/><Relationship Id="rId278" Type="http://schemas.openxmlformats.org/officeDocument/2006/relationships/hyperlink" Target="https://luna-dr.com/machida/news/11%e6%9c%8827%e6%97%a5%e6%9c%a8%e3%81%ae%e8%a8%ba%e7%99%82%e6%99%82%e9%96%93%e3%81%ab%e3%81%a4%e3%81%8d%e3%81%be%e3%81%97%e3%81%a6/" TargetMode="External"/><Relationship Id="rId399" Type="http://schemas.openxmlformats.org/officeDocument/2006/relationships/hyperlink" Target="https://luna-dr.com/subjects/media/595/" TargetMode="External"/><Relationship Id="rId156" Type="http://schemas.openxmlformats.org/officeDocument/2006/relationships/hyperlink" Target="https://luna-dr.com/subjects/media/2763/" TargetMode="External"/><Relationship Id="rId277" Type="http://schemas.openxmlformats.org/officeDocument/2006/relationships/hyperlink" Target="https://luna-dr.com/machida/news/%e4%bb%a4%e5%92%8c7%e5%b9%b4%e5%ba%a6%e3%80%80%e5%b9%b4%e6%9c%ab%e5%b9%b4%e5%a7%8b%e4%bc%91%e8%a8%ba%e3%81%ae%e3%81%8a%e7%9f%a5%e3%82%89%e3%81%9b/" TargetMode="External"/><Relationship Id="rId398" Type="http://schemas.openxmlformats.org/officeDocument/2006/relationships/hyperlink" Target="https://luna-dr.com/subjects/media/1623/" TargetMode="External"/><Relationship Id="rId155" Type="http://schemas.openxmlformats.org/officeDocument/2006/relationships/hyperlink" Target="https://luna-dr.com/subjects/media/1429/" TargetMode="External"/><Relationship Id="rId276" Type="http://schemas.openxmlformats.org/officeDocument/2006/relationships/hyperlink" Target="https://luna-dr.com/subjects/media/1516/" TargetMode="External"/><Relationship Id="rId397" Type="http://schemas.openxmlformats.org/officeDocument/2006/relationships/hyperlink" Target="https://luna-dr.com/subjects/media/6707/" TargetMode="External"/><Relationship Id="rId40" Type="http://schemas.openxmlformats.org/officeDocument/2006/relationships/hyperlink" Target="https://luna-dr.com/subjects/media/191/" TargetMode="External"/><Relationship Id="rId42" Type="http://schemas.openxmlformats.org/officeDocument/2006/relationships/hyperlink" Target="https://luna-dr.com/subjects/media/199/" TargetMode="External"/><Relationship Id="rId41" Type="http://schemas.openxmlformats.org/officeDocument/2006/relationships/hyperlink" Target="https://luna-dr.com/subjects/media/194/" TargetMode="External"/><Relationship Id="rId44" Type="http://schemas.openxmlformats.org/officeDocument/2006/relationships/hyperlink" Target="https://luna-dr.com/subjects/media/207/" TargetMode="External"/><Relationship Id="rId43" Type="http://schemas.openxmlformats.org/officeDocument/2006/relationships/hyperlink" Target="https://luna-dr.com/subjects/media/211/" TargetMode="External"/><Relationship Id="rId46" Type="http://schemas.openxmlformats.org/officeDocument/2006/relationships/hyperlink" Target="https://luna-dr.com/subjects/media/category/morning-after-pill/" TargetMode="External"/><Relationship Id="rId45" Type="http://schemas.openxmlformats.org/officeDocument/2006/relationships/hyperlink" Target="https://luna-dr.com/subjects/media/212/" TargetMode="External"/><Relationship Id="rId501" Type="http://schemas.openxmlformats.org/officeDocument/2006/relationships/drawing" Target="../drawings/drawing3.xml"/><Relationship Id="rId500" Type="http://schemas.openxmlformats.org/officeDocument/2006/relationships/hyperlink" Target="https://luna-dr.com/subjects/media/4657/" TargetMode="External"/><Relationship Id="rId48" Type="http://schemas.openxmlformats.org/officeDocument/2006/relationships/hyperlink" Target="https://luna-dr.com/subjects/media/category/uncategorized/" TargetMode="External"/><Relationship Id="rId47" Type="http://schemas.openxmlformats.org/officeDocument/2006/relationships/hyperlink" Target="https://luna-dr.com/subjects/media/category/abnormal-vaginal-discharge/" TargetMode="External"/><Relationship Id="rId49" Type="http://schemas.openxmlformats.org/officeDocument/2006/relationships/hyperlink" Target="https://luna-dr.com/subjects/media/category/pill-prescription/" TargetMode="External"/><Relationship Id="rId31" Type="http://schemas.openxmlformats.org/officeDocument/2006/relationships/hyperlink" Target="https://luna-dr.com/partner-clinic/" TargetMode="External"/><Relationship Id="rId30" Type="http://schemas.openxmlformats.org/officeDocument/2006/relationships/hyperlink" Target="https://luna-dr.com/question/" TargetMode="External"/><Relationship Id="rId33" Type="http://schemas.openxmlformats.org/officeDocument/2006/relationships/hyperlink" Target="https://luna-dr.com/femcheck/about/" TargetMode="External"/><Relationship Id="rId32" Type="http://schemas.openxmlformats.org/officeDocument/2006/relationships/hyperlink" Target="https://luna-dr.com/femcheck/begginer/" TargetMode="External"/><Relationship Id="rId35" Type="http://schemas.openxmlformats.org/officeDocument/2006/relationships/hyperlink" Target="https://luna-dr.com/femcheck/faq/" TargetMode="External"/><Relationship Id="rId34" Type="http://schemas.openxmlformats.org/officeDocument/2006/relationships/hyperlink" Target="https://luna-dr.com/femcheck/deliver/" TargetMode="External"/><Relationship Id="rId37" Type="http://schemas.openxmlformats.org/officeDocument/2006/relationships/hyperlink" Target="https://luna-dr.com/subjects/media/209/" TargetMode="External"/><Relationship Id="rId36" Type="http://schemas.openxmlformats.org/officeDocument/2006/relationships/hyperlink" Target="https://luna-dr.com/morning-after-pill/" TargetMode="External"/><Relationship Id="rId39" Type="http://schemas.openxmlformats.org/officeDocument/2006/relationships/hyperlink" Target="https://luna-dr.com/subjects/media/189/" TargetMode="External"/><Relationship Id="rId38" Type="http://schemas.openxmlformats.org/officeDocument/2006/relationships/hyperlink" Target="https://luna-dr.com/subjects/media/72/" TargetMode="External"/><Relationship Id="rId20" Type="http://schemas.openxmlformats.org/officeDocument/2006/relationships/hyperlink" Target="https://luna-dr.com/subjects/after-pill_page/" TargetMode="External"/><Relationship Id="rId22" Type="http://schemas.openxmlformats.org/officeDocument/2006/relationships/hyperlink" Target="https://luna-dr.com/subjects/abnormal-vaginal-discharge/" TargetMode="External"/><Relationship Id="rId21" Type="http://schemas.openxmlformats.org/officeDocument/2006/relationships/hyperlink" Target="https://luna-dr.com/subjects/ius-treatment/" TargetMode="External"/><Relationship Id="rId24" Type="http://schemas.openxmlformats.org/officeDocument/2006/relationships/hyperlink" Target="https://luna-dr.com/subjects/std/" TargetMode="External"/><Relationship Id="rId23" Type="http://schemas.openxmlformats.org/officeDocument/2006/relationships/hyperlink" Target="https://luna-dr.com/subjects/irregular-genital-bleeding/" TargetMode="External"/><Relationship Id="rId409" Type="http://schemas.openxmlformats.org/officeDocument/2006/relationships/hyperlink" Target="https://luna-dr.com/subjects/media/4586/" TargetMode="External"/><Relationship Id="rId404" Type="http://schemas.openxmlformats.org/officeDocument/2006/relationships/hyperlink" Target="https://luna-dr.com/subjects/media/6341/" TargetMode="External"/><Relationship Id="rId403" Type="http://schemas.openxmlformats.org/officeDocument/2006/relationships/hyperlink" Target="https://luna-dr.com/subjects/media/7892/" TargetMode="External"/><Relationship Id="rId402" Type="http://schemas.openxmlformats.org/officeDocument/2006/relationships/hyperlink" Target="https://luna-dr.com/subjects/media/8154/" TargetMode="External"/><Relationship Id="rId401" Type="http://schemas.openxmlformats.org/officeDocument/2006/relationships/hyperlink" Target="https://luna-dr.com/subjects/media/1806/" TargetMode="External"/><Relationship Id="rId408" Type="http://schemas.openxmlformats.org/officeDocument/2006/relationships/hyperlink" Target="https://luna-dr.com/subjects/media/7906/" TargetMode="External"/><Relationship Id="rId407" Type="http://schemas.openxmlformats.org/officeDocument/2006/relationships/hyperlink" Target="https://luna-dr.com/subjects/media/4364/" TargetMode="External"/><Relationship Id="rId406" Type="http://schemas.openxmlformats.org/officeDocument/2006/relationships/hyperlink" Target="https://luna-dr.com/subjects/media/7534/" TargetMode="External"/><Relationship Id="rId405" Type="http://schemas.openxmlformats.org/officeDocument/2006/relationships/hyperlink" Target="https://luna-dr.com/subjects/media/6883/" TargetMode="External"/><Relationship Id="rId26" Type="http://schemas.openxmlformats.org/officeDocument/2006/relationships/hyperlink" Target="https://luna-dr.com/subjects/abortion_page/" TargetMode="External"/><Relationship Id="rId25" Type="http://schemas.openxmlformats.org/officeDocument/2006/relationships/hyperlink" Target="https://luna-dr.com/subjects/pregnancy-test/" TargetMode="External"/><Relationship Id="rId28" Type="http://schemas.openxmlformats.org/officeDocument/2006/relationships/hyperlink" Target="https://luna-dr.com/subjects/medical-checkup/" TargetMode="External"/><Relationship Id="rId27" Type="http://schemas.openxmlformats.org/officeDocument/2006/relationships/hyperlink" Target="https://luna-dr.com/subjects/bridal-check/" TargetMode="External"/><Relationship Id="rId400" Type="http://schemas.openxmlformats.org/officeDocument/2006/relationships/hyperlink" Target="https://luna-dr.com/subjects/media/7571/" TargetMode="External"/><Relationship Id="rId29" Type="http://schemas.openxmlformats.org/officeDocument/2006/relationships/hyperlink" Target="https://luna-dr.com/subjects/hpv-vaccine/" TargetMode="External"/><Relationship Id="rId11" Type="http://schemas.openxmlformats.org/officeDocument/2006/relationships/hyperlink" Target="https://luna-dr.com/news/%e4%bb%a4%e5%92%8c6%e5%b9%b4%e5%ba%a6-%e5%b9%b4%e6%9c%ab%e5%b9%b4%e5%a7%8b%e4%bc%91%e8%a8%ba%e3%81%ae%e3%81%8a%e7%9f%a5%e3%82%89%e3%81%9b/" TargetMode="External"/><Relationship Id="rId10" Type="http://schemas.openxmlformats.org/officeDocument/2006/relationships/hyperlink" Target="https://luna-dr.com/news/%e3%83%a1%e3%83%b3%e3%83%86%e3%83%8a%e3%83%b3%e3%82%b9%e3%81%ae%e3%81%8a%e7%9f%a5%e3%82%89%e3%81%9b/" TargetMode="External"/><Relationship Id="rId13" Type="http://schemas.openxmlformats.org/officeDocument/2006/relationships/hyperlink" Target="https://luna-dr.com/news/%e5%bd%93%e9%99%a2%e5%8c%bb%e5%b8%ab%e3%81%ae%e7%9b%a3%e4%bf%ae%e8%a8%98%e4%ba%8b%e6%8e%b2%e8%bc%89%e3%81%ab%e3%81%a4%e3%81%84%e3%81%a6/" TargetMode="External"/><Relationship Id="rId12" Type="http://schemas.openxmlformats.org/officeDocument/2006/relationships/hyperlink" Target="https://luna-dr.com/news/%e4%b8%80%e8%88%ac%e5%90%8d%e3%81%a7%e3%81%ae%e5%87%a6%e6%96%b9%e3%81%ab%e3%81%a4%e3%81%84%e3%81%a6/" TargetMode="External"/><Relationship Id="rId15" Type="http://schemas.openxmlformats.org/officeDocument/2006/relationships/hyperlink" Target="https://luna-dr.com/subjects/menstrual-manipulation/" TargetMode="External"/><Relationship Id="rId14" Type="http://schemas.openxmlformats.org/officeDocument/2006/relationships/hyperlink" Target="https://luna-dr.com/news/" TargetMode="External"/><Relationship Id="rId17" Type="http://schemas.openxmlformats.org/officeDocument/2006/relationships/hyperlink" Target="https://luna-dr.com/subjects/menstrual-pain/" TargetMode="External"/><Relationship Id="rId16" Type="http://schemas.openxmlformats.org/officeDocument/2006/relationships/hyperlink" Target="https://luna-dr.com/subjects/menstrual-irregularity/" TargetMode="External"/><Relationship Id="rId19" Type="http://schemas.openxmlformats.org/officeDocument/2006/relationships/hyperlink" Target="https://luna-dr.com/subjects/low-dose-contraceptive/" TargetMode="External"/><Relationship Id="rId18" Type="http://schemas.openxmlformats.org/officeDocument/2006/relationships/hyperlink" Target="https://luna-dr.com/subjects/pill-prescription/" TargetMode="External"/><Relationship Id="rId84" Type="http://schemas.openxmlformats.org/officeDocument/2006/relationships/hyperlink" Target="https://luna-dr.com/kawasaki/subjects/" TargetMode="External"/><Relationship Id="rId83" Type="http://schemas.openxmlformats.org/officeDocument/2006/relationships/hyperlink" Target="https://luna-dr.com/kawasaki/doctors/" TargetMode="External"/><Relationship Id="rId86" Type="http://schemas.openxmlformats.org/officeDocument/2006/relationships/hyperlink" Target="https://luna-dr.com/kawasaki/about_result/" TargetMode="External"/><Relationship Id="rId85" Type="http://schemas.openxmlformats.org/officeDocument/2006/relationships/hyperlink" Target="https://luna-dr.com/kawasaki/price/" TargetMode="External"/><Relationship Id="rId88" Type="http://schemas.openxmlformats.org/officeDocument/2006/relationships/hyperlink" Target="https://luna-dr.com/kawasaki/question/" TargetMode="External"/><Relationship Id="rId87" Type="http://schemas.openxmlformats.org/officeDocument/2006/relationships/hyperlink" Target="https://luna-dr.com/kawasaki/recruit/" TargetMode="External"/><Relationship Id="rId89" Type="http://schemas.openxmlformats.org/officeDocument/2006/relationships/hyperlink" Target="https://luna-dr.com/kawasaki/news/12%e6%9c%8829%e6%97%a5%e6%9c%88%e3%81%ae%e8%a8%ba%e7%99%82%e6%99%82%e9%96%93%e3%81%ab%e3%81%a4%e3%81%8d%e3%81%be%e3%81%97%e3%81%a6/" TargetMode="External"/><Relationship Id="rId80" Type="http://schemas.openxmlformats.org/officeDocument/2006/relationships/hyperlink" Target="https://luna-dr.com/kawasaki/about/" TargetMode="External"/><Relationship Id="rId82" Type="http://schemas.openxmlformats.org/officeDocument/2006/relationships/hyperlink" Target="https://luna-dr.com/kawasaki/consultation-hours/" TargetMode="External"/><Relationship Id="rId81" Type="http://schemas.openxmlformats.org/officeDocument/2006/relationships/hyperlink" Target="https://luna-dr.com/kawasaki/access/" TargetMode="External"/><Relationship Id="rId73" Type="http://schemas.openxmlformats.org/officeDocument/2006/relationships/hyperlink" Target="https://luna-dr.com/machida/question/" TargetMode="External"/><Relationship Id="rId72" Type="http://schemas.openxmlformats.org/officeDocument/2006/relationships/hyperlink" Target="https://luna-dr.com/machida/recruit/" TargetMode="External"/><Relationship Id="rId75" Type="http://schemas.openxmlformats.org/officeDocument/2006/relationships/hyperlink" Target="https://luna-dr.com/machida/news/1%e6%9c%8822%e6%97%a5%e6%9c%a8%e3%81%ae%e8%a8%ba%e7%99%82%e6%99%82%e9%96%93%e3%81%ab%e3%81%a4%e3%81%8d%e3%81%be%e3%81%97%e3%81%a6/" TargetMode="External"/><Relationship Id="rId74" Type="http://schemas.openxmlformats.org/officeDocument/2006/relationships/hyperlink" Target="https://luna-dr.com/machida/news/12%e6%9c%8825%e6%97%a5%e6%9c%a8%e3%81%ae%e4%ba%88%e7%b4%84%e5%a4%96%e3%81%ae%e5%8f%97%e4%bb%98%e6%99%82%e9%96%93%e3%81%ab%e3%81%a4%e3%81%8d%e3%81%be%e3%81%97%e3%81%a6/" TargetMode="External"/><Relationship Id="rId77" Type="http://schemas.openxmlformats.org/officeDocument/2006/relationships/hyperlink" Target="https://luna-dr.com/machida/news/12%e6%9c%8829%e6%97%a5%e6%9c%88%e3%81%ae%e8%a8%ba%e7%99%82%e6%99%82%e9%96%93%e3%81%ab%e3%81%a4%e3%81%8d%e3%81%be%e3%81%97%e3%81%a6/" TargetMode="External"/><Relationship Id="rId76" Type="http://schemas.openxmlformats.org/officeDocument/2006/relationships/hyperlink" Target="https://luna-dr.com/machida/news/12%e6%9c%8818%e6%97%a5%e6%9c%a8%e3%81%ae%e8%a8%ba%e7%99%82%e6%99%82%e9%96%93%e3%81%ab%e3%81%a4%e3%81%8d%e3%81%be%e3%81%97%e3%81%a6/" TargetMode="External"/><Relationship Id="rId79" Type="http://schemas.openxmlformats.org/officeDocument/2006/relationships/hyperlink" Target="https://luna-dr.com/machida/news/" TargetMode="External"/><Relationship Id="rId78" Type="http://schemas.openxmlformats.org/officeDocument/2006/relationships/hyperlink" Target="https://luna-dr.com/machida/news/12%e6%9c%8815%e6%97%a5%e6%9c%88%e3%81%ae%e8%a8%ba%e7%99%82%e6%99%82%e9%96%93%e3%81%ab%e3%81%a4%e3%81%8d%e3%81%be%e3%81%97%e3%81%a6/" TargetMode="External"/><Relationship Id="rId71" Type="http://schemas.openxmlformats.org/officeDocument/2006/relationships/hyperlink" Target="https://luna-dr.com/machida/about_result/" TargetMode="External"/><Relationship Id="rId70" Type="http://schemas.openxmlformats.org/officeDocument/2006/relationships/hyperlink" Target="https://luna-dr.com/machida/price/" TargetMode="External"/><Relationship Id="rId62" Type="http://schemas.openxmlformats.org/officeDocument/2006/relationships/hyperlink" Target="https://luna-dr.com/subjects/media/10126/" TargetMode="External"/><Relationship Id="rId61" Type="http://schemas.openxmlformats.org/officeDocument/2006/relationships/hyperlink" Target="https://luna-dr.com/subjects/media/10143/" TargetMode="External"/><Relationship Id="rId64" Type="http://schemas.openxmlformats.org/officeDocument/2006/relationships/hyperlink" Target="https://luna-dr.com/subjects/media/10108/" TargetMode="External"/><Relationship Id="rId63" Type="http://schemas.openxmlformats.org/officeDocument/2006/relationships/hyperlink" Target="https://luna-dr.com/subjects/media/10121/" TargetMode="External"/><Relationship Id="rId66" Type="http://schemas.openxmlformats.org/officeDocument/2006/relationships/hyperlink" Target="https://luna-dr.com/machida/access/" TargetMode="External"/><Relationship Id="rId65" Type="http://schemas.openxmlformats.org/officeDocument/2006/relationships/hyperlink" Target="https://luna-dr.com/machida/about/" TargetMode="External"/><Relationship Id="rId68" Type="http://schemas.openxmlformats.org/officeDocument/2006/relationships/hyperlink" Target="https://luna-dr.com/machida/doctors/" TargetMode="External"/><Relationship Id="rId67" Type="http://schemas.openxmlformats.org/officeDocument/2006/relationships/hyperlink" Target="https://luna-dr.com/machida/consultation-hours/" TargetMode="External"/><Relationship Id="rId60" Type="http://schemas.openxmlformats.org/officeDocument/2006/relationships/hyperlink" Target="https://luna-dr.com/subjects/media/10148/" TargetMode="External"/><Relationship Id="rId69" Type="http://schemas.openxmlformats.org/officeDocument/2006/relationships/hyperlink" Target="https://luna-dr.com/machida/subjects/" TargetMode="External"/><Relationship Id="rId51" Type="http://schemas.openxmlformats.org/officeDocument/2006/relationships/hyperlink" Target="https://luna-dr.com/subjects/media/category/irregular-genital-bleeding/" TargetMode="External"/><Relationship Id="rId50" Type="http://schemas.openxmlformats.org/officeDocument/2006/relationships/hyperlink" Target="https://luna-dr.com/subjects/media/category/bridal-check/" TargetMode="External"/><Relationship Id="rId53" Type="http://schemas.openxmlformats.org/officeDocument/2006/relationships/hyperlink" Target="https://luna-dr.com/subjects/media/category/low-dose-contraceptive/" TargetMode="External"/><Relationship Id="rId52" Type="http://schemas.openxmlformats.org/officeDocument/2006/relationships/hyperlink" Target="https://luna-dr.com/subjects/media/category/abortion/" TargetMode="External"/><Relationship Id="rId55" Type="http://schemas.openxmlformats.org/officeDocument/2006/relationships/hyperlink" Target="https://luna-dr.com/subjects/media/category/pregnancy-test/" TargetMode="External"/><Relationship Id="rId54" Type="http://schemas.openxmlformats.org/officeDocument/2006/relationships/hyperlink" Target="https://luna-dr.com/subjects/media/category/medical-checkup/" TargetMode="External"/><Relationship Id="rId57" Type="http://schemas.openxmlformats.org/officeDocument/2006/relationships/hyperlink" Target="https://luna-dr.com/subjects/media/category/menstrual-manipulation/" TargetMode="External"/><Relationship Id="rId56" Type="http://schemas.openxmlformats.org/officeDocument/2006/relationships/hyperlink" Target="https://luna-dr.com/subjects/media/category/std/" TargetMode="External"/><Relationship Id="rId59" Type="http://schemas.openxmlformats.org/officeDocument/2006/relationships/hyperlink" Target="https://luna-dr.com/subjects/media/category/menstrual-pain/" TargetMode="External"/><Relationship Id="rId58" Type="http://schemas.openxmlformats.org/officeDocument/2006/relationships/hyperlink" Target="https://luna-dr.com/subjects/media/category/menstrual-irregularity/" TargetMode="External"/><Relationship Id="rId107" Type="http://schemas.openxmlformats.org/officeDocument/2006/relationships/hyperlink" Target="https://luna-dr.com/yokohama/news/%e5%8c%bb%e7%99%82dx%e6%8e%a8%e9%80%b2%e4%bd%93%e5%88%b6%e6%95%b4%e5%82%99%e5%8a%a0%e7%ae%97%e3%81%ab%e3%81%a4%e3%81%8d%e3%81%be%e3%81%97%e3%81%a6/" TargetMode="External"/><Relationship Id="rId228" Type="http://schemas.openxmlformats.org/officeDocument/2006/relationships/hyperlink" Target="https://luna-dr.com/subjects/media/2992/" TargetMode="External"/><Relationship Id="rId349" Type="http://schemas.openxmlformats.org/officeDocument/2006/relationships/hyperlink" Target="https://luna-dr.com/subjects/media/1728/" TargetMode="External"/><Relationship Id="rId106" Type="http://schemas.openxmlformats.org/officeDocument/2006/relationships/hyperlink" Target="https://luna-dr.com/yokohama/news/%e4%bb%a4%e5%92%8c7%e5%b9%b4%e5%ba%a6%e3%80%80%e5%b9%b4%e6%9c%ab%e5%b9%b4%e5%a7%8b%e4%bc%91%e8%a8%ba%e3%81%ae%e3%81%8a%e7%9f%a5%e3%82%89%e3%81%9b/" TargetMode="External"/><Relationship Id="rId227" Type="http://schemas.openxmlformats.org/officeDocument/2006/relationships/hyperlink" Target="https://luna-dr.com/subjects/media/4661/" TargetMode="External"/><Relationship Id="rId348" Type="http://schemas.openxmlformats.org/officeDocument/2006/relationships/hyperlink" Target="https://luna-dr.com/subjects/media/1681/" TargetMode="External"/><Relationship Id="rId469" Type="http://schemas.openxmlformats.org/officeDocument/2006/relationships/hyperlink" Target="https://luna-dr.com/subjects/media/9733/" TargetMode="External"/><Relationship Id="rId105" Type="http://schemas.openxmlformats.org/officeDocument/2006/relationships/hyperlink" Target="https://luna-dr.com/yokohama/news/12%e6%9c%8815%e6%97%a5%e6%9c%88%e3%81%ae%e8%a8%ba%e7%99%82%e6%99%82%e9%96%93%e3%81%ab%e3%81%a4%e3%81%8d%e3%81%be%e3%81%97%e3%81%a6/" TargetMode="External"/><Relationship Id="rId226" Type="http://schemas.openxmlformats.org/officeDocument/2006/relationships/hyperlink" Target="https://luna-dr.com/subjects/media/8751/" TargetMode="External"/><Relationship Id="rId347" Type="http://schemas.openxmlformats.org/officeDocument/2006/relationships/hyperlink" Target="https://luna-dr.com/subjects/media/2798/" TargetMode="External"/><Relationship Id="rId468" Type="http://schemas.openxmlformats.org/officeDocument/2006/relationships/hyperlink" Target="https://luna-dr.com/subjects/media/7525/" TargetMode="External"/><Relationship Id="rId104" Type="http://schemas.openxmlformats.org/officeDocument/2006/relationships/hyperlink" Target="https://luna-dr.com/yokohama/news/12%e6%9c%8829%e6%97%a5%e6%9c%88%e3%81%ae%e8%a8%ba%e7%99%82%e6%99%82%e9%96%93%e3%81%ab%e3%81%a4%e3%81%8d%e3%81%be%e3%81%97%e3%81%a6/" TargetMode="External"/><Relationship Id="rId225" Type="http://schemas.openxmlformats.org/officeDocument/2006/relationships/hyperlink" Target="https://luna-dr.com/subjects/media/8753/" TargetMode="External"/><Relationship Id="rId346" Type="http://schemas.openxmlformats.org/officeDocument/2006/relationships/hyperlink" Target="https://luna-dr.com/subjects/media/4729/" TargetMode="External"/><Relationship Id="rId467" Type="http://schemas.openxmlformats.org/officeDocument/2006/relationships/hyperlink" Target="https://luna-dr.com/subjects/media/7486/" TargetMode="External"/><Relationship Id="rId109" Type="http://schemas.openxmlformats.org/officeDocument/2006/relationships/hyperlink" Target="https://luna-dr.com/yokohama/news/" TargetMode="External"/><Relationship Id="rId108" Type="http://schemas.openxmlformats.org/officeDocument/2006/relationships/hyperlink" Target="https://luna-dr.com/yokohama/news/%e5%8c%bb%e7%99%82%e6%83%85%e5%a0%b1%e5%8f%96%e5%be%97%e5%8a%a0%e7%ae%97%e3%81%ab%e3%81%a4%e3%81%8d%e3%81%be%e3%81%97%e3%81%a6/" TargetMode="External"/><Relationship Id="rId229" Type="http://schemas.openxmlformats.org/officeDocument/2006/relationships/hyperlink" Target="https://luna-dr.com/subjects/media/4243/" TargetMode="External"/><Relationship Id="rId220" Type="http://schemas.openxmlformats.org/officeDocument/2006/relationships/hyperlink" Target="https://luna-dr.com/subjects/media/3498/" TargetMode="External"/><Relationship Id="rId341" Type="http://schemas.openxmlformats.org/officeDocument/2006/relationships/hyperlink" Target="https://luna-dr.com/subjects/media/1558/" TargetMode="External"/><Relationship Id="rId462" Type="http://schemas.openxmlformats.org/officeDocument/2006/relationships/hyperlink" Target="https://luna-dr.com/subjects/media/3657/" TargetMode="External"/><Relationship Id="rId340" Type="http://schemas.openxmlformats.org/officeDocument/2006/relationships/hyperlink" Target="https://luna-dr.com/subjects/media/2712/" TargetMode="External"/><Relationship Id="rId461" Type="http://schemas.openxmlformats.org/officeDocument/2006/relationships/hyperlink" Target="https://luna-dr.com/subjects/media/7453/" TargetMode="External"/><Relationship Id="rId460" Type="http://schemas.openxmlformats.org/officeDocument/2006/relationships/hyperlink" Target="https://luna-dr.com/subjects/media/7450/" TargetMode="External"/><Relationship Id="rId103" Type="http://schemas.openxmlformats.org/officeDocument/2006/relationships/hyperlink" Target="https://luna-dr.com/yokohama/question/" TargetMode="External"/><Relationship Id="rId224" Type="http://schemas.openxmlformats.org/officeDocument/2006/relationships/hyperlink" Target="https://luna-dr.com/subjects/media/8791/" TargetMode="External"/><Relationship Id="rId345" Type="http://schemas.openxmlformats.org/officeDocument/2006/relationships/hyperlink" Target="https://luna-dr.com/subjects/media/2652/" TargetMode="External"/><Relationship Id="rId466" Type="http://schemas.openxmlformats.org/officeDocument/2006/relationships/hyperlink" Target="https://luna-dr.com/subjects/media/7557/" TargetMode="External"/><Relationship Id="rId102" Type="http://schemas.openxmlformats.org/officeDocument/2006/relationships/hyperlink" Target="https://luna-dr.com/yokohama/recruit/" TargetMode="External"/><Relationship Id="rId223" Type="http://schemas.openxmlformats.org/officeDocument/2006/relationships/hyperlink" Target="https://luna-dr.com/subjects/media/8793/" TargetMode="External"/><Relationship Id="rId344" Type="http://schemas.openxmlformats.org/officeDocument/2006/relationships/hyperlink" Target="https://luna-dr.com/subjects/media/2965/" TargetMode="External"/><Relationship Id="rId465" Type="http://schemas.openxmlformats.org/officeDocument/2006/relationships/hyperlink" Target="https://luna-dr.com/subjects/media/9342/" TargetMode="External"/><Relationship Id="rId101" Type="http://schemas.openxmlformats.org/officeDocument/2006/relationships/hyperlink" Target="https://luna-dr.com/yokohama/about_result/" TargetMode="External"/><Relationship Id="rId222" Type="http://schemas.openxmlformats.org/officeDocument/2006/relationships/hyperlink" Target="https://luna-dr.com/subjects/media/5052/" TargetMode="External"/><Relationship Id="rId343" Type="http://schemas.openxmlformats.org/officeDocument/2006/relationships/hyperlink" Target="https://luna-dr.com/subjects/media/2632/" TargetMode="External"/><Relationship Id="rId464" Type="http://schemas.openxmlformats.org/officeDocument/2006/relationships/hyperlink" Target="https://luna-dr.com/subjects/media/8592/" TargetMode="External"/><Relationship Id="rId100" Type="http://schemas.openxmlformats.org/officeDocument/2006/relationships/hyperlink" Target="https://luna-dr.com/yokohama/price/" TargetMode="External"/><Relationship Id="rId221" Type="http://schemas.openxmlformats.org/officeDocument/2006/relationships/hyperlink" Target="https://luna-dr.com/subjects/media/5068/" TargetMode="External"/><Relationship Id="rId342" Type="http://schemas.openxmlformats.org/officeDocument/2006/relationships/hyperlink" Target="https://luna-dr.com/subjects/media/2737/" TargetMode="External"/><Relationship Id="rId463" Type="http://schemas.openxmlformats.org/officeDocument/2006/relationships/hyperlink" Target="https://luna-dr.com/subjects/media/6458/" TargetMode="External"/><Relationship Id="rId217" Type="http://schemas.openxmlformats.org/officeDocument/2006/relationships/hyperlink" Target="https://luna-dr.com/subjects/media/5370/" TargetMode="External"/><Relationship Id="rId338" Type="http://schemas.openxmlformats.org/officeDocument/2006/relationships/hyperlink" Target="https://luna-dr.com/subjects/media/2908/" TargetMode="External"/><Relationship Id="rId459" Type="http://schemas.openxmlformats.org/officeDocument/2006/relationships/hyperlink" Target="https://luna-dr.com/subjects/media/6685/" TargetMode="External"/><Relationship Id="rId216" Type="http://schemas.openxmlformats.org/officeDocument/2006/relationships/hyperlink" Target="https://luna-dr.com/subjects/media/5590/" TargetMode="External"/><Relationship Id="rId337" Type="http://schemas.openxmlformats.org/officeDocument/2006/relationships/hyperlink" Target="https://luna-dr.com/subjects/media/2780/" TargetMode="External"/><Relationship Id="rId458" Type="http://schemas.openxmlformats.org/officeDocument/2006/relationships/hyperlink" Target="https://luna-dr.com/subjects/media/4953/" TargetMode="External"/><Relationship Id="rId215" Type="http://schemas.openxmlformats.org/officeDocument/2006/relationships/hyperlink" Target="https://luna-dr.com/subjects/media/5373/" TargetMode="External"/><Relationship Id="rId336" Type="http://schemas.openxmlformats.org/officeDocument/2006/relationships/hyperlink" Target="https://luna-dr.com/subjects/media/1416/" TargetMode="External"/><Relationship Id="rId457" Type="http://schemas.openxmlformats.org/officeDocument/2006/relationships/hyperlink" Target="https://luna-dr.com/subjects/media/4212/" TargetMode="External"/><Relationship Id="rId214" Type="http://schemas.openxmlformats.org/officeDocument/2006/relationships/hyperlink" Target="https://luna-dr.com/subjects/media/5713/" TargetMode="External"/><Relationship Id="rId335" Type="http://schemas.openxmlformats.org/officeDocument/2006/relationships/hyperlink" Target="https://luna-dr.com/subjects/media/2747/" TargetMode="External"/><Relationship Id="rId456" Type="http://schemas.openxmlformats.org/officeDocument/2006/relationships/hyperlink" Target="https://luna-dr.com/subjects/media/4669/" TargetMode="External"/><Relationship Id="rId219" Type="http://schemas.openxmlformats.org/officeDocument/2006/relationships/hyperlink" Target="https://luna-dr.com/subjects/media/6850/" TargetMode="External"/><Relationship Id="rId218" Type="http://schemas.openxmlformats.org/officeDocument/2006/relationships/hyperlink" Target="https://luna-dr.com/subjects/media/5430/" TargetMode="External"/><Relationship Id="rId339" Type="http://schemas.openxmlformats.org/officeDocument/2006/relationships/hyperlink" Target="https://luna-dr.com/subjects/media/2701/" TargetMode="External"/><Relationship Id="rId330" Type="http://schemas.openxmlformats.org/officeDocument/2006/relationships/hyperlink" Target="https://luna-dr.com/subjects/media/2947/" TargetMode="External"/><Relationship Id="rId451" Type="http://schemas.openxmlformats.org/officeDocument/2006/relationships/hyperlink" Target="https://luna-dr.com/subjects/media/1252/" TargetMode="External"/><Relationship Id="rId450" Type="http://schemas.openxmlformats.org/officeDocument/2006/relationships/hyperlink" Target="https://luna-dr.com/subjects/media/6088/" TargetMode="External"/><Relationship Id="rId213" Type="http://schemas.openxmlformats.org/officeDocument/2006/relationships/hyperlink" Target="https://luna-dr.com/subjects/media/4489/" TargetMode="External"/><Relationship Id="rId334" Type="http://schemas.openxmlformats.org/officeDocument/2006/relationships/hyperlink" Target="https://luna-dr.com/subjects/media/2859/" TargetMode="External"/><Relationship Id="rId455" Type="http://schemas.openxmlformats.org/officeDocument/2006/relationships/hyperlink" Target="https://luna-dr.com/subjects/media/1281/" TargetMode="External"/><Relationship Id="rId212" Type="http://schemas.openxmlformats.org/officeDocument/2006/relationships/hyperlink" Target="https://luna-dr.com/subjects/media/4060/" TargetMode="External"/><Relationship Id="rId333" Type="http://schemas.openxmlformats.org/officeDocument/2006/relationships/hyperlink" Target="https://luna-dr.com/subjects/media/3024/" TargetMode="External"/><Relationship Id="rId454" Type="http://schemas.openxmlformats.org/officeDocument/2006/relationships/hyperlink" Target="https://luna-dr.com/subjects/media/7491/" TargetMode="External"/><Relationship Id="rId211" Type="http://schemas.openxmlformats.org/officeDocument/2006/relationships/hyperlink" Target="https://luna-dr.com/subjects/media/4284/" TargetMode="External"/><Relationship Id="rId332" Type="http://schemas.openxmlformats.org/officeDocument/2006/relationships/hyperlink" Target="https://luna-dr.com/subjects/media/2922/" TargetMode="External"/><Relationship Id="rId453" Type="http://schemas.openxmlformats.org/officeDocument/2006/relationships/hyperlink" Target="https://luna-dr.com/subjects/media/1294/" TargetMode="External"/><Relationship Id="rId210" Type="http://schemas.openxmlformats.org/officeDocument/2006/relationships/hyperlink" Target="https://luna-dr.com/subjects/media/4253/" TargetMode="External"/><Relationship Id="rId331" Type="http://schemas.openxmlformats.org/officeDocument/2006/relationships/hyperlink" Target="https://luna-dr.com/subjects/media/2832/" TargetMode="External"/><Relationship Id="rId452" Type="http://schemas.openxmlformats.org/officeDocument/2006/relationships/hyperlink" Target="https://luna-dr.com/subjects/media/1270/" TargetMode="External"/><Relationship Id="rId370" Type="http://schemas.openxmlformats.org/officeDocument/2006/relationships/hyperlink" Target="https://luna-dr.com/subjects/media/2844/" TargetMode="External"/><Relationship Id="rId491" Type="http://schemas.openxmlformats.org/officeDocument/2006/relationships/hyperlink" Target="https://luna-dr.com/subjects/media/7898/" TargetMode="External"/><Relationship Id="rId490" Type="http://schemas.openxmlformats.org/officeDocument/2006/relationships/hyperlink" Target="https://luna-dr.com/subjects/media/3544/" TargetMode="External"/><Relationship Id="rId129" Type="http://schemas.openxmlformats.org/officeDocument/2006/relationships/hyperlink" Target="https://luna-dr.com/subjects/media/2986/" TargetMode="External"/><Relationship Id="rId128" Type="http://schemas.openxmlformats.org/officeDocument/2006/relationships/hyperlink" Target="https://luna-dr.com/subjects/media/2847/" TargetMode="External"/><Relationship Id="rId249" Type="http://schemas.openxmlformats.org/officeDocument/2006/relationships/hyperlink" Target="https://luna-dr.com/subjects/media/4115/" TargetMode="External"/><Relationship Id="rId127" Type="http://schemas.openxmlformats.org/officeDocument/2006/relationships/hyperlink" Target="https://luna-dr.com/subjects/media/2649/" TargetMode="External"/><Relationship Id="rId248" Type="http://schemas.openxmlformats.org/officeDocument/2006/relationships/hyperlink" Target="https://luna-dr.com/subjects/media/1702/" TargetMode="External"/><Relationship Id="rId369" Type="http://schemas.openxmlformats.org/officeDocument/2006/relationships/hyperlink" Target="https://luna-dr.com/subjects/media/1609/" TargetMode="External"/><Relationship Id="rId126" Type="http://schemas.openxmlformats.org/officeDocument/2006/relationships/hyperlink" Target="https://luna-dr.com/subjects/media/2646/" TargetMode="External"/><Relationship Id="rId247" Type="http://schemas.openxmlformats.org/officeDocument/2006/relationships/hyperlink" Target="https://luna-dr.com/subjects/media/4665/" TargetMode="External"/><Relationship Id="rId368" Type="http://schemas.openxmlformats.org/officeDocument/2006/relationships/hyperlink" Target="https://luna-dr.com/subjects/media/2731/" TargetMode="External"/><Relationship Id="rId489" Type="http://schemas.openxmlformats.org/officeDocument/2006/relationships/hyperlink" Target="https://luna-dr.com/subjects/media/6672/" TargetMode="External"/><Relationship Id="rId121" Type="http://schemas.openxmlformats.org/officeDocument/2006/relationships/hyperlink" Target="https://luna-dr.com/subjects/media/2962/" TargetMode="External"/><Relationship Id="rId242" Type="http://schemas.openxmlformats.org/officeDocument/2006/relationships/hyperlink" Target="https://luna-dr.com/subjects/media/2932/" TargetMode="External"/><Relationship Id="rId363" Type="http://schemas.openxmlformats.org/officeDocument/2006/relationships/hyperlink" Target="https://luna-dr.com/subjects/media/918/" TargetMode="External"/><Relationship Id="rId484" Type="http://schemas.openxmlformats.org/officeDocument/2006/relationships/hyperlink" Target="https://luna-dr.com/subjects/media/7546/" TargetMode="External"/><Relationship Id="rId120" Type="http://schemas.openxmlformats.org/officeDocument/2006/relationships/hyperlink" Target="https://luna-dr.com/subjects/media/2708/" TargetMode="External"/><Relationship Id="rId241" Type="http://schemas.openxmlformats.org/officeDocument/2006/relationships/hyperlink" Target="https://luna-dr.com/subjects/media/2941/" TargetMode="External"/><Relationship Id="rId362" Type="http://schemas.openxmlformats.org/officeDocument/2006/relationships/hyperlink" Target="https://luna-dr.com/subjects/media/2995/" TargetMode="External"/><Relationship Id="rId483" Type="http://schemas.openxmlformats.org/officeDocument/2006/relationships/hyperlink" Target="https://luna-dr.com/subjects/media/9171/" TargetMode="External"/><Relationship Id="rId240" Type="http://schemas.openxmlformats.org/officeDocument/2006/relationships/hyperlink" Target="https://luna-dr.com/subjects/media/471/" TargetMode="External"/><Relationship Id="rId361" Type="http://schemas.openxmlformats.org/officeDocument/2006/relationships/hyperlink" Target="https://luna-dr.com/subjects/media/935/" TargetMode="External"/><Relationship Id="rId482" Type="http://schemas.openxmlformats.org/officeDocument/2006/relationships/hyperlink" Target="https://luna-dr.com/subjects/media/6848/" TargetMode="External"/><Relationship Id="rId360" Type="http://schemas.openxmlformats.org/officeDocument/2006/relationships/hyperlink" Target="https://luna-dr.com/subjects/media/2876/" TargetMode="External"/><Relationship Id="rId481" Type="http://schemas.openxmlformats.org/officeDocument/2006/relationships/hyperlink" Target="https://luna-dr.com/subjects/media/5656/" TargetMode="External"/><Relationship Id="rId125" Type="http://schemas.openxmlformats.org/officeDocument/2006/relationships/hyperlink" Target="https://luna-dr.com/subjects/media/2642/" TargetMode="External"/><Relationship Id="rId246" Type="http://schemas.openxmlformats.org/officeDocument/2006/relationships/hyperlink" Target="https://luna-dr.com/subjects/media/4740/" TargetMode="External"/><Relationship Id="rId367" Type="http://schemas.openxmlformats.org/officeDocument/2006/relationships/hyperlink" Target="https://luna-dr.com/subjects/media/3056/" TargetMode="External"/><Relationship Id="rId488" Type="http://schemas.openxmlformats.org/officeDocument/2006/relationships/hyperlink" Target="https://luna-dr.com/subjects/media/8443/" TargetMode="External"/><Relationship Id="rId124" Type="http://schemas.openxmlformats.org/officeDocument/2006/relationships/hyperlink" Target="https://luna-dr.com/subjects/media/344/" TargetMode="External"/><Relationship Id="rId245" Type="http://schemas.openxmlformats.org/officeDocument/2006/relationships/hyperlink" Target="https://luna-dr.com/subjects/media/2919/" TargetMode="External"/><Relationship Id="rId366" Type="http://schemas.openxmlformats.org/officeDocument/2006/relationships/hyperlink" Target="https://luna-dr.com/subjects/media/2916/" TargetMode="External"/><Relationship Id="rId487" Type="http://schemas.openxmlformats.org/officeDocument/2006/relationships/hyperlink" Target="https://luna-dr.com/subjects/media/7447/" TargetMode="External"/><Relationship Id="rId123" Type="http://schemas.openxmlformats.org/officeDocument/2006/relationships/hyperlink" Target="https://luna-dr.com/subjects/media/210/" TargetMode="External"/><Relationship Id="rId244" Type="http://schemas.openxmlformats.org/officeDocument/2006/relationships/hyperlink" Target="https://luna-dr.com/subjects/media/2959/" TargetMode="External"/><Relationship Id="rId365" Type="http://schemas.openxmlformats.org/officeDocument/2006/relationships/hyperlink" Target="https://luna-dr.com/subjects/media/2677/" TargetMode="External"/><Relationship Id="rId486" Type="http://schemas.openxmlformats.org/officeDocument/2006/relationships/hyperlink" Target="https://luna-dr.com/subjects/media/7845/" TargetMode="External"/><Relationship Id="rId122" Type="http://schemas.openxmlformats.org/officeDocument/2006/relationships/hyperlink" Target="https://luna-dr.com/subjects/media/1715/" TargetMode="External"/><Relationship Id="rId243" Type="http://schemas.openxmlformats.org/officeDocument/2006/relationships/hyperlink" Target="https://luna-dr.com/subjects/media/472/" TargetMode="External"/><Relationship Id="rId364" Type="http://schemas.openxmlformats.org/officeDocument/2006/relationships/hyperlink" Target="https://luna-dr.com/subjects/media/2938/" TargetMode="External"/><Relationship Id="rId485" Type="http://schemas.openxmlformats.org/officeDocument/2006/relationships/hyperlink" Target="https://luna-dr.com/subjects/media/7853/" TargetMode="External"/><Relationship Id="rId95" Type="http://schemas.openxmlformats.org/officeDocument/2006/relationships/hyperlink" Target="https://luna-dr.com/yokohama/about/" TargetMode="External"/><Relationship Id="rId94" Type="http://schemas.openxmlformats.org/officeDocument/2006/relationships/hyperlink" Target="https://luna-dr.com/kawasaki/news/" TargetMode="External"/><Relationship Id="rId97" Type="http://schemas.openxmlformats.org/officeDocument/2006/relationships/hyperlink" Target="https://luna-dr.com/yokohama/consultation-hours/" TargetMode="External"/><Relationship Id="rId96" Type="http://schemas.openxmlformats.org/officeDocument/2006/relationships/hyperlink" Target="https://luna-dr.com/yokohama/access/" TargetMode="External"/><Relationship Id="rId99" Type="http://schemas.openxmlformats.org/officeDocument/2006/relationships/hyperlink" Target="https://luna-dr.com/yokohama/subjects/" TargetMode="External"/><Relationship Id="rId480" Type="http://schemas.openxmlformats.org/officeDocument/2006/relationships/hyperlink" Target="https://luna-dr.com/subjects/media/7441/" TargetMode="External"/><Relationship Id="rId98" Type="http://schemas.openxmlformats.org/officeDocument/2006/relationships/hyperlink" Target="https://luna-dr.com/yokohama/doctors/" TargetMode="External"/><Relationship Id="rId91" Type="http://schemas.openxmlformats.org/officeDocument/2006/relationships/hyperlink" Target="https://luna-dr.com/kawasaki/news/%e4%bb%a4%e5%92%8c7%e5%b9%b4%e5%ba%a6%e3%80%80%e5%b9%b4%e6%9c%ab%e5%b9%b4%e5%a7%8b%e4%bc%91%e8%a8%ba%e3%81%ae%e3%81%8a%e7%9f%a5%e3%82%89%e3%81%9b/" TargetMode="External"/><Relationship Id="rId90" Type="http://schemas.openxmlformats.org/officeDocument/2006/relationships/hyperlink" Target="https://luna-dr.com/kawasaki/news/12%e6%9c%8815%e6%97%a5%e6%9c%88%e3%81%ae%e8%a8%ba%e7%99%82%e6%99%82%e9%96%93%e3%81%ab%e3%81%a4%e3%81%8d%e3%81%be%e3%81%97%e3%81%a6/" TargetMode="External"/><Relationship Id="rId93" Type="http://schemas.openxmlformats.org/officeDocument/2006/relationships/hyperlink" Target="https://luna-dr.com/kawasaki/news/%e5%8c%bb%e7%99%82%e6%83%85%e5%a0%b1%e5%8f%96%e5%be%97%e5%8a%a0%e7%ae%97%e3%81%ab%e3%81%a4%e3%81%8d%e3%81%be%e3%81%97%e3%81%a6/" TargetMode="External"/><Relationship Id="rId92" Type="http://schemas.openxmlformats.org/officeDocument/2006/relationships/hyperlink" Target="https://luna-dr.com/kawasaki/news/%e5%8c%bb%e7%99%82dx%e6%8e%a8%e9%80%b2%e4%bd%93%e5%88%b6%e6%95%b4%e5%82%99%e5%8a%a0%e7%ae%97%e3%81%ab%e3%81%a4%e3%81%8d%e3%81%be%e3%81%97%e3%81%a6/" TargetMode="External"/><Relationship Id="rId118" Type="http://schemas.openxmlformats.org/officeDocument/2006/relationships/hyperlink" Target="https://luna-dr.com/subjects/media/2719/" TargetMode="External"/><Relationship Id="rId239" Type="http://schemas.openxmlformats.org/officeDocument/2006/relationships/hyperlink" Target="https://luna-dr.com/subjects/media/2629/" TargetMode="External"/><Relationship Id="rId117" Type="http://schemas.openxmlformats.org/officeDocument/2006/relationships/hyperlink" Target="https://luna-dr.com/subjects/media/author/adminluna-dr-com/" TargetMode="External"/><Relationship Id="rId238" Type="http://schemas.openxmlformats.org/officeDocument/2006/relationships/hyperlink" Target="https://luna-dr.com/subjects/media/8228/" TargetMode="External"/><Relationship Id="rId359" Type="http://schemas.openxmlformats.org/officeDocument/2006/relationships/hyperlink" Target="https://luna-dr.com/subjects/media/2862/" TargetMode="External"/><Relationship Id="rId116" Type="http://schemas.openxmlformats.org/officeDocument/2006/relationships/hyperlink" Target="https://luna-dr.com/subjects/media/author/good-dejavu0712gmail-com/" TargetMode="External"/><Relationship Id="rId237" Type="http://schemas.openxmlformats.org/officeDocument/2006/relationships/hyperlink" Target="https://luna-dr.com/subjects/media/8456/" TargetMode="External"/><Relationship Id="rId358" Type="http://schemas.openxmlformats.org/officeDocument/2006/relationships/hyperlink" Target="https://luna-dr.com/subjects/media/2639/" TargetMode="External"/><Relationship Id="rId479" Type="http://schemas.openxmlformats.org/officeDocument/2006/relationships/hyperlink" Target="https://luna-dr.com/subjects/media/4268/" TargetMode="External"/><Relationship Id="rId115" Type="http://schemas.openxmlformats.org/officeDocument/2006/relationships/hyperlink" Target="https://luna-dr.com/femcheck/?utm_source=lunamedia&amp;utm_medium=banner&amp;utm_campaign=femcheck_article_hpseo" TargetMode="External"/><Relationship Id="rId236" Type="http://schemas.openxmlformats.org/officeDocument/2006/relationships/hyperlink" Target="https://luna-dr.com/subjects/media/599/" TargetMode="External"/><Relationship Id="rId357" Type="http://schemas.openxmlformats.org/officeDocument/2006/relationships/hyperlink" Target="https://luna-dr.com/subjects/media/2704/" TargetMode="External"/><Relationship Id="rId478" Type="http://schemas.openxmlformats.org/officeDocument/2006/relationships/hyperlink" Target="https://luna-dr.com/subjects/media/5456/" TargetMode="External"/><Relationship Id="rId119" Type="http://schemas.openxmlformats.org/officeDocument/2006/relationships/hyperlink" Target="https://luna-dr.com/subjects/media/2925/" TargetMode="External"/><Relationship Id="rId110" Type="http://schemas.openxmlformats.org/officeDocument/2006/relationships/hyperlink" Target="https://luna-dr.com/news/%e5%8d%93%e7%90%83t%e3%83%aa%e3%83%bc%e3%82%b0%e3%80%8c%e6%9c%a8%e4%b8%8b%e3%82%a2%e3%83%93%e3%82%a8%e3%83%ab%e7%a5%9e%e5%a5%88%e5%b7%9d%e3%80%8d%e5%a5%b3%e5%ad%90%e9%81%b8%e6%89%8b%e5%90%91%e3%81%91/" TargetMode="External"/><Relationship Id="rId231" Type="http://schemas.openxmlformats.org/officeDocument/2006/relationships/hyperlink" Target="https://luna-dr.com/subjects/media/2359/" TargetMode="External"/><Relationship Id="rId352" Type="http://schemas.openxmlformats.org/officeDocument/2006/relationships/hyperlink" Target="https://luna-dr.com/subjects/media/2905/" TargetMode="External"/><Relationship Id="rId473" Type="http://schemas.openxmlformats.org/officeDocument/2006/relationships/hyperlink" Target="https://luna-dr.com/subjects/media/5667/" TargetMode="External"/><Relationship Id="rId230" Type="http://schemas.openxmlformats.org/officeDocument/2006/relationships/hyperlink" Target="https://luna-dr.com/subjects/media/1750/" TargetMode="External"/><Relationship Id="rId351" Type="http://schemas.openxmlformats.org/officeDocument/2006/relationships/hyperlink" Target="https://luna-dr.com/subjects/media/2784/" TargetMode="External"/><Relationship Id="rId472" Type="http://schemas.openxmlformats.org/officeDocument/2006/relationships/hyperlink" Target="https://luna-dr.com/subjects/media/7400/" TargetMode="External"/><Relationship Id="rId350" Type="http://schemas.openxmlformats.org/officeDocument/2006/relationships/hyperlink" Target="https://luna-dr.com/subjects/media/3059/" TargetMode="External"/><Relationship Id="rId471" Type="http://schemas.openxmlformats.org/officeDocument/2006/relationships/hyperlink" Target="https://luna-dr.com/subjects/media/6161/" TargetMode="External"/><Relationship Id="rId470" Type="http://schemas.openxmlformats.org/officeDocument/2006/relationships/hyperlink" Target="https://luna-dr.com/subjects/media/7560/" TargetMode="External"/><Relationship Id="rId114" Type="http://schemas.openxmlformats.org/officeDocument/2006/relationships/hyperlink" Target="https://luna-dr.com/subjects/" TargetMode="External"/><Relationship Id="rId235" Type="http://schemas.openxmlformats.org/officeDocument/2006/relationships/hyperlink" Target="https://luna-dr.com/subjects/media/8234/" TargetMode="External"/><Relationship Id="rId356" Type="http://schemas.openxmlformats.org/officeDocument/2006/relationships/hyperlink" Target="https://luna-dr.com/subjects/media/1406/" TargetMode="External"/><Relationship Id="rId477" Type="http://schemas.openxmlformats.org/officeDocument/2006/relationships/hyperlink" Target="https://luna-dr.com/subjects/media/7391/" TargetMode="External"/><Relationship Id="rId113" Type="http://schemas.openxmlformats.org/officeDocument/2006/relationships/hyperlink" Target="https://luna-dr.com/news/%e3%82%af%e3%83%aa%e3%83%8b%e3%83%83%e3%82%af%e5%90%8d%e5%a4%89%e6%9b%b4%e3%81%ae%e3%81%8a%e7%9f%a5%e3%82%89%e3%81%9b/" TargetMode="External"/><Relationship Id="rId234" Type="http://schemas.openxmlformats.org/officeDocument/2006/relationships/hyperlink" Target="https://luna-dr.com/subjects/media/8232/" TargetMode="External"/><Relationship Id="rId355" Type="http://schemas.openxmlformats.org/officeDocument/2006/relationships/hyperlink" Target="https://luna-dr.com/subjects/media/2756/" TargetMode="External"/><Relationship Id="rId476" Type="http://schemas.openxmlformats.org/officeDocument/2006/relationships/hyperlink" Target="https://luna-dr.com/subjects/media/7568/" TargetMode="External"/><Relationship Id="rId112" Type="http://schemas.openxmlformats.org/officeDocument/2006/relationships/hyperlink" Target="https://luna-dr.com/news/%e3%82%b5%e3%82%a4%e3%83%88%e3%83%aa%e3%83%8b%e3%83%a5%e3%83%bc%e3%82%a2%e3%83%ab/" TargetMode="External"/><Relationship Id="rId233" Type="http://schemas.openxmlformats.org/officeDocument/2006/relationships/hyperlink" Target="https://luna-dr.com/subjects/media/8352/" TargetMode="External"/><Relationship Id="rId354" Type="http://schemas.openxmlformats.org/officeDocument/2006/relationships/hyperlink" Target="https://luna-dr.com/subjects/media/2950/" TargetMode="External"/><Relationship Id="rId475" Type="http://schemas.openxmlformats.org/officeDocument/2006/relationships/hyperlink" Target="https://luna-dr.com/subjects/media/8124/" TargetMode="External"/><Relationship Id="rId111" Type="http://schemas.openxmlformats.org/officeDocument/2006/relationships/hyperlink" Target="https://luna-dr.com/news/hpv%e3%83%af%e3%82%af%e3%83%81%e3%83%b3%e3%81%ab%e3%81%a4%e3%81%8d%e3%81%be%e3%81%97%e3%81%a6/" TargetMode="External"/><Relationship Id="rId232" Type="http://schemas.openxmlformats.org/officeDocument/2006/relationships/hyperlink" Target="https://luna-dr.com/subjects/media/8203/" TargetMode="External"/><Relationship Id="rId353" Type="http://schemas.openxmlformats.org/officeDocument/2006/relationships/hyperlink" Target="https://luna-dr.com/subjects/media/2626/" TargetMode="External"/><Relationship Id="rId474" Type="http://schemas.openxmlformats.org/officeDocument/2006/relationships/hyperlink" Target="https://luna-dr.com/subjects/media/8031/" TargetMode="External"/><Relationship Id="rId305" Type="http://schemas.openxmlformats.org/officeDocument/2006/relationships/hyperlink" Target="https://luna-dr.com/yokohama/news/%e3%82%b4%e3%83%bc%e3%83%ab%e3%83%87%e3%83%b3%e3%82%a6%e3%82%a3%e3%83%bc%e3%82%af%e6%9c%9f%e9%96%93%e3%81%ae%e5%8f%97%e8%a8%ba%e3%81%ab%e3%81%a4%e3%81%84%e3%81%a6/" TargetMode="External"/><Relationship Id="rId426" Type="http://schemas.openxmlformats.org/officeDocument/2006/relationships/hyperlink" Target="https://luna-dr.com/subjects/media/3026/" TargetMode="External"/><Relationship Id="rId304" Type="http://schemas.openxmlformats.org/officeDocument/2006/relationships/hyperlink" Target="https://luna-dr.com/yokohama/news/8%e6%9c%8819%e6%97%a5%e7%81%ab%e3%81%ae%e8%a8%ba%e7%99%82%e6%99%82%e9%96%93%e3%81%ab%e3%81%a4%e3%81%84%e3%81%a6/" TargetMode="External"/><Relationship Id="rId425" Type="http://schemas.openxmlformats.org/officeDocument/2006/relationships/hyperlink" Target="https://luna-dr.com/subjects/media/988/" TargetMode="External"/><Relationship Id="rId303" Type="http://schemas.openxmlformats.org/officeDocument/2006/relationships/hyperlink" Target="https://luna-dr.com/yokohama/news/%e7%be%8e%e5%ae%b9%e7%82%b9%e6%bb%b4%e7%b5%82%e4%ba%86%e3%83%a1%e3%83%8b%e3%83%a5%e3%83%bc%e3%81%ae%e3%81%8a%e7%9f%a5%e3%82%89%e3%81%9b/" TargetMode="External"/><Relationship Id="rId424" Type="http://schemas.openxmlformats.org/officeDocument/2006/relationships/hyperlink" Target="https://luna-dr.com/subjects/media/3001/" TargetMode="External"/><Relationship Id="rId302" Type="http://schemas.openxmlformats.org/officeDocument/2006/relationships/hyperlink" Target="https://luna-dr.com/kawasaki/news/%e5%bd%93%e9%99%a2%e5%8c%bb%e5%b8%ab%e7%9b%a3%e4%bf%ae%e3%81%ae%e6%9b%b8%e7%b1%8d%e5%87%ba%e7%89%88/" TargetMode="External"/><Relationship Id="rId423" Type="http://schemas.openxmlformats.org/officeDocument/2006/relationships/hyperlink" Target="https://luna-dr.com/subjects/media/2824/" TargetMode="External"/><Relationship Id="rId309" Type="http://schemas.openxmlformats.org/officeDocument/2006/relationships/hyperlink" Target="https://luna-dr.com/yokohama/news/%e4%b8%80%e8%88%ac%e5%90%8d%e3%81%a7%e3%81%ae%e5%87%a6%e6%96%b9%e3%81%ab%e3%81%a4%e3%81%84%e3%81%a6/" TargetMode="External"/><Relationship Id="rId308" Type="http://schemas.openxmlformats.org/officeDocument/2006/relationships/hyperlink" Target="https://luna-dr.com/yokohama/news/%e4%bb%a4%e5%92%8c6%e5%b9%b4%e5%ba%a6-%e5%b9%b4%e6%9c%ab%e5%b9%b4%e5%a7%8b%e4%bc%91%e8%a8%ba%e3%81%ae%e3%81%8a%e7%9f%a5%e3%82%89%e3%81%9b/" TargetMode="External"/><Relationship Id="rId429" Type="http://schemas.openxmlformats.org/officeDocument/2006/relationships/hyperlink" Target="https://luna-dr.com/subjects/media/1647/" TargetMode="External"/><Relationship Id="rId307" Type="http://schemas.openxmlformats.org/officeDocument/2006/relationships/hyperlink" Target="https://luna-dr.com/yokohama/news/%e3%83%a1%e3%83%b3%e3%83%86%e3%83%8a%e3%83%b3%e3%82%b9%e3%81%ae%e3%81%8a%e7%9f%a5%e3%82%89%e3%81%9b/" TargetMode="External"/><Relationship Id="rId428" Type="http://schemas.openxmlformats.org/officeDocument/2006/relationships/hyperlink" Target="https://luna-dr.com/subjects/media/2794/" TargetMode="External"/><Relationship Id="rId306" Type="http://schemas.openxmlformats.org/officeDocument/2006/relationships/hyperlink" Target="https://luna-dr.com/yokohama/news/%e3%80%90%e7%89%b9%e5%ae%9a%e3%81%ae%e5%8c%bb%e5%b8%ab%e3%81%ae%e6%8c%87%e5%90%8d%e3%81%ab%e3%81%a4%e3%81%84%e3%81%a6%e3%80%91/" TargetMode="External"/><Relationship Id="rId427" Type="http://schemas.openxmlformats.org/officeDocument/2006/relationships/hyperlink" Target="https://luna-dr.com/subjects/media/3011/" TargetMode="External"/><Relationship Id="rId301" Type="http://schemas.openxmlformats.org/officeDocument/2006/relationships/hyperlink" Target="https://luna-dr.com/kawasaki/news/%e7%be%8e%e5%ae%b9%e7%82%b9%e6%bb%b4%e3%81%94%e5%b8%8c%e6%9c%9b%e3%81%ae%e6%96%b9%e3%81%b8/" TargetMode="External"/><Relationship Id="rId422" Type="http://schemas.openxmlformats.org/officeDocument/2006/relationships/hyperlink" Target="https://luna-dr.com/subjects/media/3533/" TargetMode="External"/><Relationship Id="rId300" Type="http://schemas.openxmlformats.org/officeDocument/2006/relationships/hyperlink" Target="https://luna-dr.com/kawasaki/news/%e3%81%8a%e9%9b%bb%e8%a9%b1%e3%81%a7%e3%81%ae%e3%81%8a%e5%95%8f%e3%81%84%e5%90%88%e3%82%8f%e3%81%9b%e3%81%ab%e3%81%a4%e3%81%84%e3%81%a6/" TargetMode="External"/><Relationship Id="rId421" Type="http://schemas.openxmlformats.org/officeDocument/2006/relationships/hyperlink" Target="https://luna-dr.com/subjects/media/4643/" TargetMode="External"/><Relationship Id="rId420" Type="http://schemas.openxmlformats.org/officeDocument/2006/relationships/hyperlink" Target="https://luna-dr.com/subjects/media/4138/" TargetMode="External"/><Relationship Id="rId415" Type="http://schemas.openxmlformats.org/officeDocument/2006/relationships/hyperlink" Target="https://luna-dr.com/subjects/media/3843/" TargetMode="External"/><Relationship Id="rId414" Type="http://schemas.openxmlformats.org/officeDocument/2006/relationships/hyperlink" Target="https://luna-dr.com/subjects/media/1365/" TargetMode="External"/><Relationship Id="rId413" Type="http://schemas.openxmlformats.org/officeDocument/2006/relationships/hyperlink" Target="https://luna-dr.com/subjects/media/3044/" TargetMode="External"/><Relationship Id="rId412" Type="http://schemas.openxmlformats.org/officeDocument/2006/relationships/hyperlink" Target="https://luna-dr.com/subjects/media/4103/" TargetMode="External"/><Relationship Id="rId419" Type="http://schemas.openxmlformats.org/officeDocument/2006/relationships/hyperlink" Target="https://luna-dr.com/subjects/media/1373/" TargetMode="External"/><Relationship Id="rId418" Type="http://schemas.openxmlformats.org/officeDocument/2006/relationships/hyperlink" Target="https://luna-dr.com/subjects/media/992/" TargetMode="External"/><Relationship Id="rId417" Type="http://schemas.openxmlformats.org/officeDocument/2006/relationships/hyperlink" Target="https://luna-dr.com/subjects/media/1544/" TargetMode="External"/><Relationship Id="rId416" Type="http://schemas.openxmlformats.org/officeDocument/2006/relationships/hyperlink" Target="https://luna-dr.com/subjects/media/1569/" TargetMode="External"/><Relationship Id="rId411" Type="http://schemas.openxmlformats.org/officeDocument/2006/relationships/hyperlink" Target="https://luna-dr.com/subjects/media/10065/" TargetMode="External"/><Relationship Id="rId410" Type="http://schemas.openxmlformats.org/officeDocument/2006/relationships/hyperlink" Target="https://luna-dr.com/subjects/media/8165/" TargetMode="External"/><Relationship Id="rId206" Type="http://schemas.openxmlformats.org/officeDocument/2006/relationships/hyperlink" Target="https://luna-dr.com/subjects/media/1639/" TargetMode="External"/><Relationship Id="rId327" Type="http://schemas.openxmlformats.org/officeDocument/2006/relationships/hyperlink" Target="https://luna-dr.com/subjects/media/2636/" TargetMode="External"/><Relationship Id="rId448" Type="http://schemas.openxmlformats.org/officeDocument/2006/relationships/hyperlink" Target="https://luna-dr.com/subjects/media/6680/" TargetMode="External"/><Relationship Id="rId205" Type="http://schemas.openxmlformats.org/officeDocument/2006/relationships/hyperlink" Target="https://luna-dr.com/subjects/media/4596/" TargetMode="External"/><Relationship Id="rId326" Type="http://schemas.openxmlformats.org/officeDocument/2006/relationships/hyperlink" Target="https://luna-dr.com/subjects/media/3008/" TargetMode="External"/><Relationship Id="rId447" Type="http://schemas.openxmlformats.org/officeDocument/2006/relationships/hyperlink" Target="https://luna-dr.com/subjects/media/6933/" TargetMode="External"/><Relationship Id="rId204" Type="http://schemas.openxmlformats.org/officeDocument/2006/relationships/hyperlink" Target="https://luna-dr.com/subjects/media/1493/" TargetMode="External"/><Relationship Id="rId325" Type="http://schemas.openxmlformats.org/officeDocument/2006/relationships/hyperlink" Target="https://luna-dr.com/subjects/media/2998/" TargetMode="External"/><Relationship Id="rId446" Type="http://schemas.openxmlformats.org/officeDocument/2006/relationships/hyperlink" Target="https://luna-dr.com/subjects/media/6128/" TargetMode="External"/><Relationship Id="rId203" Type="http://schemas.openxmlformats.org/officeDocument/2006/relationships/hyperlink" Target="https://luna-dr.com/subjects/media/4466/" TargetMode="External"/><Relationship Id="rId324" Type="http://schemas.openxmlformats.org/officeDocument/2006/relationships/hyperlink" Target="https://luna-dr.com/subjects/media/3016/" TargetMode="External"/><Relationship Id="rId445" Type="http://schemas.openxmlformats.org/officeDocument/2006/relationships/hyperlink" Target="https://luna-dr.com/subjects/media/4180/" TargetMode="External"/><Relationship Id="rId209" Type="http://schemas.openxmlformats.org/officeDocument/2006/relationships/hyperlink" Target="https://luna-dr.com/subjects/media/3632/" TargetMode="External"/><Relationship Id="rId208" Type="http://schemas.openxmlformats.org/officeDocument/2006/relationships/hyperlink" Target="https://luna-dr.com/subjects/media/1689/" TargetMode="External"/><Relationship Id="rId329" Type="http://schemas.openxmlformats.org/officeDocument/2006/relationships/hyperlink" Target="https://luna-dr.com/subjects/media/2722/" TargetMode="External"/><Relationship Id="rId207" Type="http://schemas.openxmlformats.org/officeDocument/2006/relationships/hyperlink" Target="https://luna-dr.com/subjects/media/4150/" TargetMode="External"/><Relationship Id="rId328" Type="http://schemas.openxmlformats.org/officeDocument/2006/relationships/hyperlink" Target="https://luna-dr.com/subjects/media/2716/" TargetMode="External"/><Relationship Id="rId449" Type="http://schemas.openxmlformats.org/officeDocument/2006/relationships/hyperlink" Target="https://luna-dr.com/subjects/media/7080/" TargetMode="External"/><Relationship Id="rId440" Type="http://schemas.openxmlformats.org/officeDocument/2006/relationships/hyperlink" Target="https://luna-dr.com/subjects/media/3451/" TargetMode="External"/><Relationship Id="rId202" Type="http://schemas.openxmlformats.org/officeDocument/2006/relationships/hyperlink" Target="https://luna-dr.com/subjects/media/1534/" TargetMode="External"/><Relationship Id="rId323" Type="http://schemas.openxmlformats.org/officeDocument/2006/relationships/hyperlink" Target="https://luna-dr.com/subjects/media/2659/" TargetMode="External"/><Relationship Id="rId444" Type="http://schemas.openxmlformats.org/officeDocument/2006/relationships/hyperlink" Target="https://luna-dr.com/subjects/media/6692/" TargetMode="External"/><Relationship Id="rId201" Type="http://schemas.openxmlformats.org/officeDocument/2006/relationships/hyperlink" Target="https://luna-dr.com/subjects/media/1317/" TargetMode="External"/><Relationship Id="rId322" Type="http://schemas.openxmlformats.org/officeDocument/2006/relationships/hyperlink" Target="https://luna-dr.com/subjects/media/8431/" TargetMode="External"/><Relationship Id="rId443" Type="http://schemas.openxmlformats.org/officeDocument/2006/relationships/hyperlink" Target="https://luna-dr.com/subjects/media/1230/" TargetMode="External"/><Relationship Id="rId200" Type="http://schemas.openxmlformats.org/officeDocument/2006/relationships/hyperlink" Target="https://luna-dr.com/subjects/media/4663/" TargetMode="External"/><Relationship Id="rId321" Type="http://schemas.openxmlformats.org/officeDocument/2006/relationships/hyperlink" Target="https://luna-dr.com/subjects/media/8181/" TargetMode="External"/><Relationship Id="rId442" Type="http://schemas.openxmlformats.org/officeDocument/2006/relationships/hyperlink" Target="https://luna-dr.com/subjects/media/4694/" TargetMode="External"/><Relationship Id="rId320" Type="http://schemas.openxmlformats.org/officeDocument/2006/relationships/hyperlink" Target="https://luna-dr.com/subjects/media/355/" TargetMode="External"/><Relationship Id="rId441" Type="http://schemas.openxmlformats.org/officeDocument/2006/relationships/hyperlink" Target="https://luna-dr.com/subjects/media/1201/" TargetMode="External"/><Relationship Id="rId316" Type="http://schemas.openxmlformats.org/officeDocument/2006/relationships/hyperlink" Target="https://luna-dr.com/subjects/media/470/" TargetMode="External"/><Relationship Id="rId437" Type="http://schemas.openxmlformats.org/officeDocument/2006/relationships/hyperlink" Target="https://luna-dr.com/subjects/media/2776/" TargetMode="External"/><Relationship Id="rId315" Type="http://schemas.openxmlformats.org/officeDocument/2006/relationships/hyperlink" Target="https://luna-dr.com/yokohama/news/%e4%bb%96%e9%99%a2%e3%81%a8%e3%81%ae%e8%aa%a4%e3%82%8a%e3%81%ab%e3%81%94%e6%b3%a8%e6%84%8f%e3%81%8f%e3%81%a0%e3%81%95%e3%81%84/" TargetMode="External"/><Relationship Id="rId436" Type="http://schemas.openxmlformats.org/officeDocument/2006/relationships/hyperlink" Target="https://luna-dr.com/subjects/media/1024/" TargetMode="External"/><Relationship Id="rId314" Type="http://schemas.openxmlformats.org/officeDocument/2006/relationships/hyperlink" Target="https://luna-dr.com/yokohama/news/%e3%81%8a%e9%9b%bb%e8%a9%b1%e3%81%a7%e3%81%ae%e3%81%8a%e5%95%8f%e3%81%84%e5%90%88%e3%82%8f%e3%81%9b%e3%81%ab%e3%81%a4%e3%81%84%e3%81%a6/" TargetMode="External"/><Relationship Id="rId435" Type="http://schemas.openxmlformats.org/officeDocument/2006/relationships/hyperlink" Target="https://luna-dr.com/subjects/media/1007/" TargetMode="External"/><Relationship Id="rId313" Type="http://schemas.openxmlformats.org/officeDocument/2006/relationships/hyperlink" Target="https://luna-dr.com/yokohama/news/%e6%a8%aa%e6%b5%9c%e5%b8%82%e3%83%bb%e5%ad%90%e5%ae%ae%e9%a0%b8%e3%81%8c%e3%82%93%e6%a4%9c%e8%a8%ba%ef%bc%86hpv%e3%83%af%e3%82%af%e3%83%81%e3%83%b3%e3%81%ae%e5%8f%96%e3%82%8a%e6%89%b1%e3%81%84/" TargetMode="External"/><Relationship Id="rId434" Type="http://schemas.openxmlformats.org/officeDocument/2006/relationships/hyperlink" Target="https://luna-dr.com/subjects/media/2770/" TargetMode="External"/><Relationship Id="rId319" Type="http://schemas.openxmlformats.org/officeDocument/2006/relationships/hyperlink" Target="https://luna-dr.com/subjects/media/339/" TargetMode="External"/><Relationship Id="rId318" Type="http://schemas.openxmlformats.org/officeDocument/2006/relationships/hyperlink" Target="https://luna-dr.com/subjects/media/349/" TargetMode="External"/><Relationship Id="rId439" Type="http://schemas.openxmlformats.org/officeDocument/2006/relationships/hyperlink" Target="https://luna-dr.com/subjects/media/2944/" TargetMode="External"/><Relationship Id="rId317" Type="http://schemas.openxmlformats.org/officeDocument/2006/relationships/hyperlink" Target="https://luna-dr.com/subjects/media/469/" TargetMode="External"/><Relationship Id="rId438" Type="http://schemas.openxmlformats.org/officeDocument/2006/relationships/hyperlink" Target="https://luna-dr.com/subjects/media/2692/" TargetMode="External"/><Relationship Id="rId312" Type="http://schemas.openxmlformats.org/officeDocument/2006/relationships/hyperlink" Target="https://luna-dr.com/yokohama/news/%e4%ba%88%e7%b4%84%e5%a4%96%ef%bc%88line%e4%ba%88%e7%b4%84%e7%84%a1%e3%81%97%ef%bc%89%e3%81%a7%e3%81%94%e6%9d%a5%e9%99%a2%e3%81%95%e3%82%8c%e3%82%8b%e6%82%a3%e8%80%85%e6%a7%98%e3%81%b8-2/" TargetMode="External"/><Relationship Id="rId433" Type="http://schemas.openxmlformats.org/officeDocument/2006/relationships/hyperlink" Target="https://luna-dr.com/subjects/media/2971/" TargetMode="External"/><Relationship Id="rId311" Type="http://schemas.openxmlformats.org/officeDocument/2006/relationships/hyperlink" Target="https://luna-dr.com/yokohama/news/hpv%e3%83%af%e3%82%af%e3%83%81%e3%83%b3%e3%81%ab%e3%81%a4%e3%81%8d%e3%81%be%e3%81%97%e3%81%a6/" TargetMode="External"/><Relationship Id="rId432" Type="http://schemas.openxmlformats.org/officeDocument/2006/relationships/hyperlink" Target="https://luna-dr.com/subjects/media/3053/" TargetMode="External"/><Relationship Id="rId310" Type="http://schemas.openxmlformats.org/officeDocument/2006/relationships/hyperlink" Target="https://luna-dr.com/yokohama/news/%e5%8d%93%e7%90%83t%e3%83%aa%e3%83%bc%e3%82%b0%e3%80%8c%e6%9c%a8%e4%b8%8b%e3%82%a2%e3%83%93%e3%82%a8%e3%83%ab%e7%a5%9e%e5%a5%88%e5%b7%9d%e3%80%8d%e5%a5%b3%e5%ad%90%e9%81%b8%e6%89%8b%e5%90%91%e3%81%91/" TargetMode="External"/><Relationship Id="rId431" Type="http://schemas.openxmlformats.org/officeDocument/2006/relationships/hyperlink" Target="https://luna-dr.com/subjects/media/2899/" TargetMode="External"/><Relationship Id="rId430" Type="http://schemas.openxmlformats.org/officeDocument/2006/relationships/hyperlink" Target="https://luna-dr.com/subjects/media/2773/"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luna-dr.com/machida/" TargetMode="External"/><Relationship Id="rId2" Type="http://schemas.openxmlformats.org/officeDocument/2006/relationships/hyperlink" Target="https://luna-dr.com/machida/" TargetMode="External"/><Relationship Id="rId3" Type="http://schemas.openxmlformats.org/officeDocument/2006/relationships/hyperlink" Target="https://luna-dr.com/machida/" TargetMode="External"/><Relationship Id="rId4" Type="http://schemas.openxmlformats.org/officeDocument/2006/relationships/hyperlink" Target="https://luna-dr.com/machida/" TargetMode="External"/><Relationship Id="rId9" Type="http://schemas.openxmlformats.org/officeDocument/2006/relationships/hyperlink" Target="https://luna-dr.com/machida/" TargetMode="External"/><Relationship Id="rId5" Type="http://schemas.openxmlformats.org/officeDocument/2006/relationships/hyperlink" Target="https://luna-dr.com/machida/" TargetMode="External"/><Relationship Id="rId6" Type="http://schemas.openxmlformats.org/officeDocument/2006/relationships/hyperlink" Target="https://luna-dr.com/machida/" TargetMode="External"/><Relationship Id="rId7" Type="http://schemas.openxmlformats.org/officeDocument/2006/relationships/hyperlink" Target="https://luna-dr.com/machida/" TargetMode="External"/><Relationship Id="rId8" Type="http://schemas.openxmlformats.org/officeDocument/2006/relationships/hyperlink" Target="https://luna-dr.com/machida/" TargetMode="External"/><Relationship Id="rId40" Type="http://schemas.openxmlformats.org/officeDocument/2006/relationships/hyperlink" Target="https://luna-dr.com/machida/price/" TargetMode="External"/><Relationship Id="rId42" Type="http://schemas.openxmlformats.org/officeDocument/2006/relationships/hyperlink" Target="https://luna-dr.com/machida/price/" TargetMode="External"/><Relationship Id="rId41" Type="http://schemas.openxmlformats.org/officeDocument/2006/relationships/hyperlink" Target="https://luna-dr.com/machida/price/" TargetMode="External"/><Relationship Id="rId44" Type="http://schemas.openxmlformats.org/officeDocument/2006/relationships/hyperlink" Target="https://luna-dr.com/machida/price/" TargetMode="External"/><Relationship Id="rId43" Type="http://schemas.openxmlformats.org/officeDocument/2006/relationships/hyperlink" Target="https://luna-dr.com/machida/price/" TargetMode="External"/><Relationship Id="rId46" Type="http://schemas.openxmlformats.org/officeDocument/2006/relationships/hyperlink" Target="https://luna-dr.com/machida/price/" TargetMode="External"/><Relationship Id="rId45" Type="http://schemas.openxmlformats.org/officeDocument/2006/relationships/hyperlink" Target="https://luna-dr.com/machida/price/" TargetMode="External"/><Relationship Id="rId48" Type="http://schemas.openxmlformats.org/officeDocument/2006/relationships/hyperlink" Target="https://luna-dr.com/machida/price/" TargetMode="External"/><Relationship Id="rId47" Type="http://schemas.openxmlformats.org/officeDocument/2006/relationships/hyperlink" Target="https://luna-dr.com/machida/price/" TargetMode="External"/><Relationship Id="rId49" Type="http://schemas.openxmlformats.org/officeDocument/2006/relationships/hyperlink" Target="https://luna-dr.com/machida/price/" TargetMode="External"/><Relationship Id="rId31" Type="http://schemas.openxmlformats.org/officeDocument/2006/relationships/hyperlink" Target="https://luna-dr.com/machida/price/" TargetMode="External"/><Relationship Id="rId30" Type="http://schemas.openxmlformats.org/officeDocument/2006/relationships/hyperlink" Target="https://luna-dr.com/machida/price/" TargetMode="External"/><Relationship Id="rId33" Type="http://schemas.openxmlformats.org/officeDocument/2006/relationships/hyperlink" Target="https://luna-dr.com/machida/price/" TargetMode="External"/><Relationship Id="rId32" Type="http://schemas.openxmlformats.org/officeDocument/2006/relationships/hyperlink" Target="https://luna-dr.com/machida/price/" TargetMode="External"/><Relationship Id="rId35" Type="http://schemas.openxmlformats.org/officeDocument/2006/relationships/hyperlink" Target="https://luna-dr.com/machida/price/" TargetMode="External"/><Relationship Id="rId34" Type="http://schemas.openxmlformats.org/officeDocument/2006/relationships/hyperlink" Target="https://luna-dr.com/machida/price/" TargetMode="External"/><Relationship Id="rId37" Type="http://schemas.openxmlformats.org/officeDocument/2006/relationships/hyperlink" Target="https://luna-dr.com/machida/price/" TargetMode="External"/><Relationship Id="rId36" Type="http://schemas.openxmlformats.org/officeDocument/2006/relationships/hyperlink" Target="https://luna-dr.com/machida/price/" TargetMode="External"/><Relationship Id="rId39" Type="http://schemas.openxmlformats.org/officeDocument/2006/relationships/hyperlink" Target="https://luna-dr.com/machida/price/" TargetMode="External"/><Relationship Id="rId38" Type="http://schemas.openxmlformats.org/officeDocument/2006/relationships/hyperlink" Target="https://luna-dr.com/machida/price/" TargetMode="External"/><Relationship Id="rId20" Type="http://schemas.openxmlformats.org/officeDocument/2006/relationships/hyperlink" Target="https://luna-dr.com/machida/doctors/" TargetMode="External"/><Relationship Id="rId22" Type="http://schemas.openxmlformats.org/officeDocument/2006/relationships/hyperlink" Target="https://luna-dr.com/machida/doctors/" TargetMode="External"/><Relationship Id="rId21" Type="http://schemas.openxmlformats.org/officeDocument/2006/relationships/hyperlink" Target="https://luna-dr.com/machida/doctors/" TargetMode="External"/><Relationship Id="rId24" Type="http://schemas.openxmlformats.org/officeDocument/2006/relationships/hyperlink" Target="https://luna-dr.com/machida/doctors/" TargetMode="External"/><Relationship Id="rId23" Type="http://schemas.openxmlformats.org/officeDocument/2006/relationships/hyperlink" Target="https://luna-dr.com/machida/doctors/" TargetMode="External"/><Relationship Id="rId26" Type="http://schemas.openxmlformats.org/officeDocument/2006/relationships/hyperlink" Target="https://luna-dr.com/machida/price/" TargetMode="External"/><Relationship Id="rId25" Type="http://schemas.openxmlformats.org/officeDocument/2006/relationships/hyperlink" Target="https://luna-dr.com/machida/price/" TargetMode="External"/><Relationship Id="rId28" Type="http://schemas.openxmlformats.org/officeDocument/2006/relationships/hyperlink" Target="https://luna-dr.com/machida/price/" TargetMode="External"/><Relationship Id="rId27" Type="http://schemas.openxmlformats.org/officeDocument/2006/relationships/hyperlink" Target="https://luna-dr.com/machida/price/" TargetMode="External"/><Relationship Id="rId29" Type="http://schemas.openxmlformats.org/officeDocument/2006/relationships/hyperlink" Target="https://luna-dr.com/machida/price/" TargetMode="External"/><Relationship Id="rId11" Type="http://schemas.openxmlformats.org/officeDocument/2006/relationships/hyperlink" Target="https://luna-dr.com/machida/" TargetMode="External"/><Relationship Id="rId10" Type="http://schemas.openxmlformats.org/officeDocument/2006/relationships/hyperlink" Target="https://luna-dr.com/machida/" TargetMode="External"/><Relationship Id="rId13" Type="http://schemas.openxmlformats.org/officeDocument/2006/relationships/hyperlink" Target="https://luna-dr.com/" TargetMode="External"/><Relationship Id="rId12" Type="http://schemas.openxmlformats.org/officeDocument/2006/relationships/hyperlink" Target="https://luna-dr.com/" TargetMode="External"/><Relationship Id="rId15" Type="http://schemas.openxmlformats.org/officeDocument/2006/relationships/hyperlink" Target="https://luna-dr.com/machida/access/" TargetMode="External"/><Relationship Id="rId14" Type="http://schemas.openxmlformats.org/officeDocument/2006/relationships/hyperlink" Target="https://luna-dr.com/" TargetMode="External"/><Relationship Id="rId17" Type="http://schemas.openxmlformats.org/officeDocument/2006/relationships/hyperlink" Target="https://luna-dr.com/machida/consultation-hours/" TargetMode="External"/><Relationship Id="rId16" Type="http://schemas.openxmlformats.org/officeDocument/2006/relationships/hyperlink" Target="https://luna-dr.com/machida/access/" TargetMode="External"/><Relationship Id="rId19" Type="http://schemas.openxmlformats.org/officeDocument/2006/relationships/hyperlink" Target="https://luna-dr.com/machida/consultation-hours/" TargetMode="External"/><Relationship Id="rId18" Type="http://schemas.openxmlformats.org/officeDocument/2006/relationships/hyperlink" Target="https://luna-dr.com/machida/consultation-hours/" TargetMode="External"/><Relationship Id="rId84" Type="http://schemas.openxmlformats.org/officeDocument/2006/relationships/hyperlink" Target="https://luna-dr.com/machida/price/" TargetMode="External"/><Relationship Id="rId83" Type="http://schemas.openxmlformats.org/officeDocument/2006/relationships/hyperlink" Target="https://luna-dr.com/machida/price/" TargetMode="External"/><Relationship Id="rId86" Type="http://schemas.openxmlformats.org/officeDocument/2006/relationships/hyperlink" Target="https://luna-dr.com/machida/price/" TargetMode="External"/><Relationship Id="rId85" Type="http://schemas.openxmlformats.org/officeDocument/2006/relationships/hyperlink" Target="https://luna-dr.com/machida/price/" TargetMode="External"/><Relationship Id="rId88" Type="http://schemas.openxmlformats.org/officeDocument/2006/relationships/hyperlink" Target="https://luna-dr.com/machida/price/" TargetMode="External"/><Relationship Id="rId87" Type="http://schemas.openxmlformats.org/officeDocument/2006/relationships/hyperlink" Target="https://luna-dr.com/machida/price/" TargetMode="External"/><Relationship Id="rId89" Type="http://schemas.openxmlformats.org/officeDocument/2006/relationships/hyperlink" Target="https://luna-dr.com/machida/price/" TargetMode="External"/><Relationship Id="rId80" Type="http://schemas.openxmlformats.org/officeDocument/2006/relationships/hyperlink" Target="https://luna-dr.com/machida/price/" TargetMode="External"/><Relationship Id="rId82" Type="http://schemas.openxmlformats.org/officeDocument/2006/relationships/hyperlink" Target="https://luna-dr.com/machida/price/" TargetMode="External"/><Relationship Id="rId81" Type="http://schemas.openxmlformats.org/officeDocument/2006/relationships/hyperlink" Target="https://luna-dr.com/machida/price/" TargetMode="External"/><Relationship Id="rId73" Type="http://schemas.openxmlformats.org/officeDocument/2006/relationships/hyperlink" Target="https://luna-dr.com/machida/price/" TargetMode="External"/><Relationship Id="rId72" Type="http://schemas.openxmlformats.org/officeDocument/2006/relationships/hyperlink" Target="https://luna-dr.com/machida/price/" TargetMode="External"/><Relationship Id="rId75" Type="http://schemas.openxmlformats.org/officeDocument/2006/relationships/hyperlink" Target="https://luna-dr.com/machida/price/" TargetMode="External"/><Relationship Id="rId74" Type="http://schemas.openxmlformats.org/officeDocument/2006/relationships/hyperlink" Target="https://luna-dr.com/machida/price/" TargetMode="External"/><Relationship Id="rId77" Type="http://schemas.openxmlformats.org/officeDocument/2006/relationships/hyperlink" Target="https://luna-dr.com/machida/price/" TargetMode="External"/><Relationship Id="rId76" Type="http://schemas.openxmlformats.org/officeDocument/2006/relationships/hyperlink" Target="https://luna-dr.com/machida/price/" TargetMode="External"/><Relationship Id="rId79" Type="http://schemas.openxmlformats.org/officeDocument/2006/relationships/hyperlink" Target="https://luna-dr.com/machida/price/" TargetMode="External"/><Relationship Id="rId78" Type="http://schemas.openxmlformats.org/officeDocument/2006/relationships/hyperlink" Target="https://luna-dr.com/machida/price/" TargetMode="External"/><Relationship Id="rId71" Type="http://schemas.openxmlformats.org/officeDocument/2006/relationships/hyperlink" Target="https://luna-dr.com/machida/price/" TargetMode="External"/><Relationship Id="rId70" Type="http://schemas.openxmlformats.org/officeDocument/2006/relationships/hyperlink" Target="https://luna-dr.com/machida/price/" TargetMode="External"/><Relationship Id="rId62" Type="http://schemas.openxmlformats.org/officeDocument/2006/relationships/hyperlink" Target="https://luna-dr.com/machida/price/" TargetMode="External"/><Relationship Id="rId61" Type="http://schemas.openxmlformats.org/officeDocument/2006/relationships/hyperlink" Target="https://luna-dr.com/machida/price/" TargetMode="External"/><Relationship Id="rId64" Type="http://schemas.openxmlformats.org/officeDocument/2006/relationships/hyperlink" Target="https://luna-dr.com/machida/price/" TargetMode="External"/><Relationship Id="rId63" Type="http://schemas.openxmlformats.org/officeDocument/2006/relationships/hyperlink" Target="https://luna-dr.com/machida/price/" TargetMode="External"/><Relationship Id="rId66" Type="http://schemas.openxmlformats.org/officeDocument/2006/relationships/hyperlink" Target="https://luna-dr.com/machida/price/" TargetMode="External"/><Relationship Id="rId65" Type="http://schemas.openxmlformats.org/officeDocument/2006/relationships/hyperlink" Target="https://luna-dr.com/machida/price/" TargetMode="External"/><Relationship Id="rId68" Type="http://schemas.openxmlformats.org/officeDocument/2006/relationships/hyperlink" Target="https://luna-dr.com/machida/price/" TargetMode="External"/><Relationship Id="rId67" Type="http://schemas.openxmlformats.org/officeDocument/2006/relationships/hyperlink" Target="https://luna-dr.com/machida/price/" TargetMode="External"/><Relationship Id="rId60" Type="http://schemas.openxmlformats.org/officeDocument/2006/relationships/hyperlink" Target="https://luna-dr.com/machida/price/" TargetMode="External"/><Relationship Id="rId69" Type="http://schemas.openxmlformats.org/officeDocument/2006/relationships/hyperlink" Target="https://luna-dr.com/machida/price/" TargetMode="External"/><Relationship Id="rId51" Type="http://schemas.openxmlformats.org/officeDocument/2006/relationships/hyperlink" Target="https://luna-dr.com/machida/price/" TargetMode="External"/><Relationship Id="rId50" Type="http://schemas.openxmlformats.org/officeDocument/2006/relationships/hyperlink" Target="https://luna-dr.com/machida/price/" TargetMode="External"/><Relationship Id="rId53" Type="http://schemas.openxmlformats.org/officeDocument/2006/relationships/hyperlink" Target="https://luna-dr.com/machida/price/" TargetMode="External"/><Relationship Id="rId52" Type="http://schemas.openxmlformats.org/officeDocument/2006/relationships/hyperlink" Target="https://luna-dr.com/machida/price/" TargetMode="External"/><Relationship Id="rId55" Type="http://schemas.openxmlformats.org/officeDocument/2006/relationships/hyperlink" Target="https://luna-dr.com/machida/price/" TargetMode="External"/><Relationship Id="rId54" Type="http://schemas.openxmlformats.org/officeDocument/2006/relationships/hyperlink" Target="https://luna-dr.com/machida/price/" TargetMode="External"/><Relationship Id="rId57" Type="http://schemas.openxmlformats.org/officeDocument/2006/relationships/hyperlink" Target="https://luna-dr.com/machida/price/" TargetMode="External"/><Relationship Id="rId56" Type="http://schemas.openxmlformats.org/officeDocument/2006/relationships/hyperlink" Target="https://luna-dr.com/machida/price/" TargetMode="External"/><Relationship Id="rId59" Type="http://schemas.openxmlformats.org/officeDocument/2006/relationships/hyperlink" Target="https://luna-dr.com/machida/price/" TargetMode="External"/><Relationship Id="rId58" Type="http://schemas.openxmlformats.org/officeDocument/2006/relationships/hyperlink" Target="https://luna-dr.com/machida/price/" TargetMode="External"/><Relationship Id="rId95" Type="http://schemas.openxmlformats.org/officeDocument/2006/relationships/drawing" Target="../drawings/drawing4.xml"/><Relationship Id="rId94" Type="http://schemas.openxmlformats.org/officeDocument/2006/relationships/hyperlink" Target="https://luna-dr.com/machida/about_result/" TargetMode="External"/><Relationship Id="rId91" Type="http://schemas.openxmlformats.org/officeDocument/2006/relationships/hyperlink" Target="https://luna-dr.com/machida/about_result/" TargetMode="External"/><Relationship Id="rId90" Type="http://schemas.openxmlformats.org/officeDocument/2006/relationships/hyperlink" Target="https://luna-dr.com/machida/price/" TargetMode="External"/><Relationship Id="rId93" Type="http://schemas.openxmlformats.org/officeDocument/2006/relationships/hyperlink" Target="https://luna-dr.com/machida/about_result/" TargetMode="External"/><Relationship Id="rId92" Type="http://schemas.openxmlformats.org/officeDocument/2006/relationships/hyperlink" Target="https://luna-dr.com/machida/about_result/"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luna-dr.com/kawasaki/" TargetMode="External"/><Relationship Id="rId2" Type="http://schemas.openxmlformats.org/officeDocument/2006/relationships/hyperlink" Target="https://luna-dr.com/kawasaki/" TargetMode="External"/><Relationship Id="rId3" Type="http://schemas.openxmlformats.org/officeDocument/2006/relationships/hyperlink" Target="https://luna-dr.com/kawasaki/" TargetMode="External"/><Relationship Id="rId4" Type="http://schemas.openxmlformats.org/officeDocument/2006/relationships/hyperlink" Target="https://luna-dr.com/kawasaki/" TargetMode="External"/><Relationship Id="rId9" Type="http://schemas.openxmlformats.org/officeDocument/2006/relationships/hyperlink" Target="https://luna-dr.com/kawasaki/" TargetMode="External"/><Relationship Id="rId5" Type="http://schemas.openxmlformats.org/officeDocument/2006/relationships/hyperlink" Target="https://luna-dr.com/kawasaki/" TargetMode="External"/><Relationship Id="rId6" Type="http://schemas.openxmlformats.org/officeDocument/2006/relationships/hyperlink" Target="https://luna-dr.com/kawasaki/" TargetMode="External"/><Relationship Id="rId7" Type="http://schemas.openxmlformats.org/officeDocument/2006/relationships/hyperlink" Target="https://luna-dr.com/kawasaki/" TargetMode="External"/><Relationship Id="rId8" Type="http://schemas.openxmlformats.org/officeDocument/2006/relationships/hyperlink" Target="https://luna-dr.com/kawasaki/" TargetMode="External"/><Relationship Id="rId40" Type="http://schemas.openxmlformats.org/officeDocument/2006/relationships/hyperlink" Target="https://luna-dr.com/kawasaki/price/" TargetMode="External"/><Relationship Id="rId42" Type="http://schemas.openxmlformats.org/officeDocument/2006/relationships/hyperlink" Target="https://luna-dr.com/kawasaki/price/" TargetMode="External"/><Relationship Id="rId41" Type="http://schemas.openxmlformats.org/officeDocument/2006/relationships/hyperlink" Target="https://luna-dr.com/kawasaki/price/" TargetMode="External"/><Relationship Id="rId44" Type="http://schemas.openxmlformats.org/officeDocument/2006/relationships/hyperlink" Target="https://luna-dr.com/kawasaki/price/" TargetMode="External"/><Relationship Id="rId43" Type="http://schemas.openxmlformats.org/officeDocument/2006/relationships/hyperlink" Target="https://luna-dr.com/kawasaki/price/" TargetMode="External"/><Relationship Id="rId46" Type="http://schemas.openxmlformats.org/officeDocument/2006/relationships/hyperlink" Target="https://luna-dr.com/kawasaki/price/" TargetMode="External"/><Relationship Id="rId45" Type="http://schemas.openxmlformats.org/officeDocument/2006/relationships/hyperlink" Target="https://luna-dr.com/kawasaki/price/" TargetMode="External"/><Relationship Id="rId48" Type="http://schemas.openxmlformats.org/officeDocument/2006/relationships/hyperlink" Target="https://luna-dr.com/kawasaki/price/" TargetMode="External"/><Relationship Id="rId47" Type="http://schemas.openxmlformats.org/officeDocument/2006/relationships/hyperlink" Target="https://luna-dr.com/kawasaki/price/" TargetMode="External"/><Relationship Id="rId49" Type="http://schemas.openxmlformats.org/officeDocument/2006/relationships/hyperlink" Target="https://luna-dr.com/kawasaki/price/" TargetMode="External"/><Relationship Id="rId31" Type="http://schemas.openxmlformats.org/officeDocument/2006/relationships/hyperlink" Target="https://luna-dr.com/kawasaki/price/" TargetMode="External"/><Relationship Id="rId30" Type="http://schemas.openxmlformats.org/officeDocument/2006/relationships/hyperlink" Target="https://luna-dr.com/kawasaki/price/" TargetMode="External"/><Relationship Id="rId33" Type="http://schemas.openxmlformats.org/officeDocument/2006/relationships/hyperlink" Target="https://luna-dr.com/kawasaki/price/" TargetMode="External"/><Relationship Id="rId32" Type="http://schemas.openxmlformats.org/officeDocument/2006/relationships/hyperlink" Target="https://luna-dr.com/kawasaki/price/" TargetMode="External"/><Relationship Id="rId35" Type="http://schemas.openxmlformats.org/officeDocument/2006/relationships/hyperlink" Target="https://luna-dr.com/kawasaki/price/" TargetMode="External"/><Relationship Id="rId34" Type="http://schemas.openxmlformats.org/officeDocument/2006/relationships/hyperlink" Target="https://luna-dr.com/kawasaki/price/" TargetMode="External"/><Relationship Id="rId37" Type="http://schemas.openxmlformats.org/officeDocument/2006/relationships/hyperlink" Target="https://luna-dr.com/kawasaki/price/" TargetMode="External"/><Relationship Id="rId36" Type="http://schemas.openxmlformats.org/officeDocument/2006/relationships/hyperlink" Target="https://luna-dr.com/kawasaki/price/" TargetMode="External"/><Relationship Id="rId39" Type="http://schemas.openxmlformats.org/officeDocument/2006/relationships/hyperlink" Target="https://luna-dr.com/kawasaki/price/" TargetMode="External"/><Relationship Id="rId38" Type="http://schemas.openxmlformats.org/officeDocument/2006/relationships/hyperlink" Target="https://luna-dr.com/kawasaki/price/" TargetMode="External"/><Relationship Id="rId20" Type="http://schemas.openxmlformats.org/officeDocument/2006/relationships/hyperlink" Target="https://luna-dr.com/kawasaki/doctors/" TargetMode="External"/><Relationship Id="rId22" Type="http://schemas.openxmlformats.org/officeDocument/2006/relationships/hyperlink" Target="https://luna-dr.com/kawasaki/doctors/" TargetMode="External"/><Relationship Id="rId21" Type="http://schemas.openxmlformats.org/officeDocument/2006/relationships/hyperlink" Target="https://luna-dr.com/kawasaki/doctors/" TargetMode="External"/><Relationship Id="rId24" Type="http://schemas.openxmlformats.org/officeDocument/2006/relationships/hyperlink" Target="https://luna-dr.com/kawasaki/price/" TargetMode="External"/><Relationship Id="rId23" Type="http://schemas.openxmlformats.org/officeDocument/2006/relationships/hyperlink" Target="https://luna-dr.com/kawasaki/doctors/" TargetMode="External"/><Relationship Id="rId26" Type="http://schemas.openxmlformats.org/officeDocument/2006/relationships/hyperlink" Target="https://luna-dr.com/kawasaki/price/" TargetMode="External"/><Relationship Id="rId25" Type="http://schemas.openxmlformats.org/officeDocument/2006/relationships/hyperlink" Target="https://luna-dr.com/kawasaki/price/" TargetMode="External"/><Relationship Id="rId28" Type="http://schemas.openxmlformats.org/officeDocument/2006/relationships/hyperlink" Target="https://luna-dr.com/kawasaki/price/" TargetMode="External"/><Relationship Id="rId27" Type="http://schemas.openxmlformats.org/officeDocument/2006/relationships/hyperlink" Target="https://luna-dr.com/kawasaki/price/" TargetMode="External"/><Relationship Id="rId29" Type="http://schemas.openxmlformats.org/officeDocument/2006/relationships/hyperlink" Target="https://luna-dr.com/kawasaki/price/" TargetMode="External"/><Relationship Id="rId11" Type="http://schemas.openxmlformats.org/officeDocument/2006/relationships/hyperlink" Target="https://luna-dr.com/kawasaki/" TargetMode="External"/><Relationship Id="rId10" Type="http://schemas.openxmlformats.org/officeDocument/2006/relationships/hyperlink" Target="https://luna-dr.com/kawasaki/" TargetMode="External"/><Relationship Id="rId13" Type="http://schemas.openxmlformats.org/officeDocument/2006/relationships/hyperlink" Target="https://luna-dr.com/kawasaki/" TargetMode="External"/><Relationship Id="rId12" Type="http://schemas.openxmlformats.org/officeDocument/2006/relationships/hyperlink" Target="https://luna-dr.com/kawasaki/" TargetMode="External"/><Relationship Id="rId15" Type="http://schemas.openxmlformats.org/officeDocument/2006/relationships/hyperlink" Target="https://luna-dr.com/kawasaki/access/" TargetMode="External"/><Relationship Id="rId14" Type="http://schemas.openxmlformats.org/officeDocument/2006/relationships/hyperlink" Target="https://luna-dr.com/kawasaki/" TargetMode="External"/><Relationship Id="rId17" Type="http://schemas.openxmlformats.org/officeDocument/2006/relationships/hyperlink" Target="https://luna-dr.com/kawasaki/consultation-hours/" TargetMode="External"/><Relationship Id="rId16" Type="http://schemas.openxmlformats.org/officeDocument/2006/relationships/hyperlink" Target="https://luna-dr.com/kawasaki/consultation-hours/" TargetMode="External"/><Relationship Id="rId19" Type="http://schemas.openxmlformats.org/officeDocument/2006/relationships/hyperlink" Target="https://luna-dr.com/machida/doctors/" TargetMode="External"/><Relationship Id="rId18" Type="http://schemas.openxmlformats.org/officeDocument/2006/relationships/hyperlink" Target="https://luna-dr.com/kawasaki/consultation-hours/" TargetMode="External"/><Relationship Id="rId84" Type="http://schemas.openxmlformats.org/officeDocument/2006/relationships/hyperlink" Target="https://luna-dr.com/kawasaki/price/" TargetMode="External"/><Relationship Id="rId83" Type="http://schemas.openxmlformats.org/officeDocument/2006/relationships/hyperlink" Target="https://luna-dr.com/kawasaki/price/" TargetMode="External"/><Relationship Id="rId86" Type="http://schemas.openxmlformats.org/officeDocument/2006/relationships/hyperlink" Target="https://luna-dr.com/kawasaki/price/" TargetMode="External"/><Relationship Id="rId85" Type="http://schemas.openxmlformats.org/officeDocument/2006/relationships/hyperlink" Target="https://luna-dr.com/kawasaki/price/" TargetMode="External"/><Relationship Id="rId88" Type="http://schemas.openxmlformats.org/officeDocument/2006/relationships/hyperlink" Target="https://luna-dr.com/kawasaki/price/" TargetMode="External"/><Relationship Id="rId87" Type="http://schemas.openxmlformats.org/officeDocument/2006/relationships/hyperlink" Target="https://luna-dr.com/kawasaki/price/" TargetMode="External"/><Relationship Id="rId89" Type="http://schemas.openxmlformats.org/officeDocument/2006/relationships/hyperlink" Target="https://luna-dr.com/kawasaki/price/" TargetMode="External"/><Relationship Id="rId80" Type="http://schemas.openxmlformats.org/officeDocument/2006/relationships/hyperlink" Target="https://luna-dr.com/kawasaki/price/" TargetMode="External"/><Relationship Id="rId82" Type="http://schemas.openxmlformats.org/officeDocument/2006/relationships/hyperlink" Target="https://luna-dr.com/kawasaki/price/" TargetMode="External"/><Relationship Id="rId81" Type="http://schemas.openxmlformats.org/officeDocument/2006/relationships/hyperlink" Target="https://luna-dr.com/kawasaki/price/" TargetMode="External"/><Relationship Id="rId73" Type="http://schemas.openxmlformats.org/officeDocument/2006/relationships/hyperlink" Target="https://luna-dr.com/kawasaki/price/" TargetMode="External"/><Relationship Id="rId72" Type="http://schemas.openxmlformats.org/officeDocument/2006/relationships/hyperlink" Target="https://luna-dr.com/kawasaki/price/" TargetMode="External"/><Relationship Id="rId75" Type="http://schemas.openxmlformats.org/officeDocument/2006/relationships/hyperlink" Target="https://luna-dr.com/kawasaki/price/" TargetMode="External"/><Relationship Id="rId74" Type="http://schemas.openxmlformats.org/officeDocument/2006/relationships/hyperlink" Target="https://luna-dr.com/kawasaki/price/" TargetMode="External"/><Relationship Id="rId77" Type="http://schemas.openxmlformats.org/officeDocument/2006/relationships/hyperlink" Target="https://luna-dr.com/kawasaki/price/" TargetMode="External"/><Relationship Id="rId76" Type="http://schemas.openxmlformats.org/officeDocument/2006/relationships/hyperlink" Target="https://luna-dr.com/kawasaki/price/" TargetMode="External"/><Relationship Id="rId79" Type="http://schemas.openxmlformats.org/officeDocument/2006/relationships/hyperlink" Target="https://luna-dr.com/kawasaki/price/" TargetMode="External"/><Relationship Id="rId78" Type="http://schemas.openxmlformats.org/officeDocument/2006/relationships/hyperlink" Target="https://luna-dr.com/kawasaki/price/" TargetMode="External"/><Relationship Id="rId71" Type="http://schemas.openxmlformats.org/officeDocument/2006/relationships/hyperlink" Target="https://luna-dr.com/kawasaki/price/" TargetMode="External"/><Relationship Id="rId70" Type="http://schemas.openxmlformats.org/officeDocument/2006/relationships/hyperlink" Target="https://luna-dr.com/kawasaki/price/" TargetMode="External"/><Relationship Id="rId62" Type="http://schemas.openxmlformats.org/officeDocument/2006/relationships/hyperlink" Target="https://luna-dr.com/kawasaki/price/" TargetMode="External"/><Relationship Id="rId61" Type="http://schemas.openxmlformats.org/officeDocument/2006/relationships/hyperlink" Target="https://luna-dr.com/kawasaki/price/" TargetMode="External"/><Relationship Id="rId64" Type="http://schemas.openxmlformats.org/officeDocument/2006/relationships/hyperlink" Target="https://luna-dr.com/kawasaki/price/" TargetMode="External"/><Relationship Id="rId63" Type="http://schemas.openxmlformats.org/officeDocument/2006/relationships/hyperlink" Target="https://luna-dr.com/kawasaki/price/" TargetMode="External"/><Relationship Id="rId66" Type="http://schemas.openxmlformats.org/officeDocument/2006/relationships/hyperlink" Target="https://luna-dr.com/kawasaki/price/" TargetMode="External"/><Relationship Id="rId65" Type="http://schemas.openxmlformats.org/officeDocument/2006/relationships/hyperlink" Target="https://luna-dr.com/kawasaki/price/" TargetMode="External"/><Relationship Id="rId68" Type="http://schemas.openxmlformats.org/officeDocument/2006/relationships/hyperlink" Target="https://luna-dr.com/kawasaki/price/" TargetMode="External"/><Relationship Id="rId67" Type="http://schemas.openxmlformats.org/officeDocument/2006/relationships/hyperlink" Target="https://luna-dr.com/kawasaki/price/" TargetMode="External"/><Relationship Id="rId60" Type="http://schemas.openxmlformats.org/officeDocument/2006/relationships/hyperlink" Target="https://luna-dr.com/kawasaki/price/" TargetMode="External"/><Relationship Id="rId69" Type="http://schemas.openxmlformats.org/officeDocument/2006/relationships/hyperlink" Target="https://luna-dr.com/kawasaki/price/" TargetMode="External"/><Relationship Id="rId51" Type="http://schemas.openxmlformats.org/officeDocument/2006/relationships/hyperlink" Target="https://luna-dr.com/kawasaki/price/" TargetMode="External"/><Relationship Id="rId50" Type="http://schemas.openxmlformats.org/officeDocument/2006/relationships/hyperlink" Target="https://luna-dr.com/kawasaki/price/" TargetMode="External"/><Relationship Id="rId53" Type="http://schemas.openxmlformats.org/officeDocument/2006/relationships/hyperlink" Target="https://luna-dr.com/kawasaki/price/" TargetMode="External"/><Relationship Id="rId52" Type="http://schemas.openxmlformats.org/officeDocument/2006/relationships/hyperlink" Target="https://luna-dr.com/kawasaki/price/" TargetMode="External"/><Relationship Id="rId55" Type="http://schemas.openxmlformats.org/officeDocument/2006/relationships/hyperlink" Target="https://luna-dr.com/kawasaki/price/" TargetMode="External"/><Relationship Id="rId54" Type="http://schemas.openxmlformats.org/officeDocument/2006/relationships/hyperlink" Target="https://luna-dr.com/kawasaki/price/" TargetMode="External"/><Relationship Id="rId57" Type="http://schemas.openxmlformats.org/officeDocument/2006/relationships/hyperlink" Target="https://luna-dr.com/kawasaki/price/" TargetMode="External"/><Relationship Id="rId56" Type="http://schemas.openxmlformats.org/officeDocument/2006/relationships/hyperlink" Target="https://luna-dr.com/kawasaki/price/" TargetMode="External"/><Relationship Id="rId59" Type="http://schemas.openxmlformats.org/officeDocument/2006/relationships/hyperlink" Target="https://luna-dr.com/kawasaki/price/" TargetMode="External"/><Relationship Id="rId58" Type="http://schemas.openxmlformats.org/officeDocument/2006/relationships/hyperlink" Target="https://luna-dr.com/kawasaki/price/" TargetMode="External"/><Relationship Id="rId95" Type="http://schemas.openxmlformats.org/officeDocument/2006/relationships/drawing" Target="../drawings/drawing5.xml"/><Relationship Id="rId94" Type="http://schemas.openxmlformats.org/officeDocument/2006/relationships/hyperlink" Target="https://luna-dr.com/machida/about_result/" TargetMode="External"/><Relationship Id="rId91" Type="http://schemas.openxmlformats.org/officeDocument/2006/relationships/hyperlink" Target="https://luna-dr.com/machida/about_result/" TargetMode="External"/><Relationship Id="rId90" Type="http://schemas.openxmlformats.org/officeDocument/2006/relationships/hyperlink" Target="https://luna-dr.com/kawasaki/price/" TargetMode="External"/><Relationship Id="rId93" Type="http://schemas.openxmlformats.org/officeDocument/2006/relationships/hyperlink" Target="https://luna-dr.com/machida/about_result/" TargetMode="External"/><Relationship Id="rId92" Type="http://schemas.openxmlformats.org/officeDocument/2006/relationships/hyperlink" Target="https://luna-dr.com/machida/about_result/"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luna-dr.com/yokohama/" TargetMode="External"/><Relationship Id="rId2" Type="http://schemas.openxmlformats.org/officeDocument/2006/relationships/hyperlink" Target="https://luna-dr.com/yokohama/" TargetMode="External"/><Relationship Id="rId3" Type="http://schemas.openxmlformats.org/officeDocument/2006/relationships/hyperlink" Target="https://luna-dr.com/yokohama/" TargetMode="External"/><Relationship Id="rId4" Type="http://schemas.openxmlformats.org/officeDocument/2006/relationships/hyperlink" Target="https://luna-dr.com/yokohama/" TargetMode="External"/><Relationship Id="rId9" Type="http://schemas.openxmlformats.org/officeDocument/2006/relationships/hyperlink" Target="https://luna-dr.com/yokohama/" TargetMode="External"/><Relationship Id="rId5" Type="http://schemas.openxmlformats.org/officeDocument/2006/relationships/hyperlink" Target="https://luna-dr.com/yokohama/" TargetMode="External"/><Relationship Id="rId6" Type="http://schemas.openxmlformats.org/officeDocument/2006/relationships/hyperlink" Target="https://luna-dr.com/yokohama/" TargetMode="External"/><Relationship Id="rId7" Type="http://schemas.openxmlformats.org/officeDocument/2006/relationships/hyperlink" Target="https://luna-dr.com/yokohama/" TargetMode="External"/><Relationship Id="rId8" Type="http://schemas.openxmlformats.org/officeDocument/2006/relationships/hyperlink" Target="https://luna-dr.com/yokohama/" TargetMode="External"/><Relationship Id="rId40" Type="http://schemas.openxmlformats.org/officeDocument/2006/relationships/hyperlink" Target="https://luna-dr.com/yokohama/price/" TargetMode="External"/><Relationship Id="rId42" Type="http://schemas.openxmlformats.org/officeDocument/2006/relationships/hyperlink" Target="https://luna-dr.com/yokohama/price/" TargetMode="External"/><Relationship Id="rId41" Type="http://schemas.openxmlformats.org/officeDocument/2006/relationships/hyperlink" Target="https://luna-dr.com/yokohama/price/" TargetMode="External"/><Relationship Id="rId44" Type="http://schemas.openxmlformats.org/officeDocument/2006/relationships/hyperlink" Target="https://luna-dr.com/yokohama/price/" TargetMode="External"/><Relationship Id="rId43" Type="http://schemas.openxmlformats.org/officeDocument/2006/relationships/hyperlink" Target="https://luna-dr.com/yokohama/price/" TargetMode="External"/><Relationship Id="rId46" Type="http://schemas.openxmlformats.org/officeDocument/2006/relationships/hyperlink" Target="https://luna-dr.com/yokohama/price/" TargetMode="External"/><Relationship Id="rId45" Type="http://schemas.openxmlformats.org/officeDocument/2006/relationships/hyperlink" Target="https://luna-dr.com/yokohama/price/" TargetMode="External"/><Relationship Id="rId48" Type="http://schemas.openxmlformats.org/officeDocument/2006/relationships/hyperlink" Target="https://luna-dr.com/yokohama/price/" TargetMode="External"/><Relationship Id="rId47" Type="http://schemas.openxmlformats.org/officeDocument/2006/relationships/hyperlink" Target="https://luna-dr.com/yokohama/price/" TargetMode="External"/><Relationship Id="rId49" Type="http://schemas.openxmlformats.org/officeDocument/2006/relationships/hyperlink" Target="https://luna-dr.com/yokohama/price/" TargetMode="External"/><Relationship Id="rId31" Type="http://schemas.openxmlformats.org/officeDocument/2006/relationships/hyperlink" Target="https://luna-dr.com/yokohama/price/" TargetMode="External"/><Relationship Id="rId30" Type="http://schemas.openxmlformats.org/officeDocument/2006/relationships/hyperlink" Target="https://luna-dr.com/yokohama/price/" TargetMode="External"/><Relationship Id="rId33" Type="http://schemas.openxmlformats.org/officeDocument/2006/relationships/hyperlink" Target="https://luna-dr.com/yokohama/price/" TargetMode="External"/><Relationship Id="rId32" Type="http://schemas.openxmlformats.org/officeDocument/2006/relationships/hyperlink" Target="https://luna-dr.com/yokohama/price/" TargetMode="External"/><Relationship Id="rId35" Type="http://schemas.openxmlformats.org/officeDocument/2006/relationships/hyperlink" Target="https://luna-dr.com/yokohama/price/" TargetMode="External"/><Relationship Id="rId34" Type="http://schemas.openxmlformats.org/officeDocument/2006/relationships/hyperlink" Target="https://luna-dr.com/yokohama/price/" TargetMode="External"/><Relationship Id="rId37" Type="http://schemas.openxmlformats.org/officeDocument/2006/relationships/hyperlink" Target="https://luna-dr.com/yokohama/price/" TargetMode="External"/><Relationship Id="rId36" Type="http://schemas.openxmlformats.org/officeDocument/2006/relationships/hyperlink" Target="https://luna-dr.com/yokohama/price/" TargetMode="External"/><Relationship Id="rId39" Type="http://schemas.openxmlformats.org/officeDocument/2006/relationships/hyperlink" Target="https://luna-dr.com/yokohama/price/" TargetMode="External"/><Relationship Id="rId38" Type="http://schemas.openxmlformats.org/officeDocument/2006/relationships/hyperlink" Target="https://luna-dr.com/yokohama/price/" TargetMode="External"/><Relationship Id="rId20" Type="http://schemas.openxmlformats.org/officeDocument/2006/relationships/hyperlink" Target="https://luna-dr.com/yokohama/doctors/" TargetMode="External"/><Relationship Id="rId22" Type="http://schemas.openxmlformats.org/officeDocument/2006/relationships/hyperlink" Target="https://luna-dr.com/yokohama/doctors/" TargetMode="External"/><Relationship Id="rId21" Type="http://schemas.openxmlformats.org/officeDocument/2006/relationships/hyperlink" Target="https://luna-dr.com/yokohama/doctors/" TargetMode="External"/><Relationship Id="rId24" Type="http://schemas.openxmlformats.org/officeDocument/2006/relationships/hyperlink" Target="https://luna-dr.com/yokohama/price/" TargetMode="External"/><Relationship Id="rId23" Type="http://schemas.openxmlformats.org/officeDocument/2006/relationships/hyperlink" Target="https://luna-dr.com/yokohama/doctors/" TargetMode="External"/><Relationship Id="rId26" Type="http://schemas.openxmlformats.org/officeDocument/2006/relationships/hyperlink" Target="https://luna-dr.com/yokohama/price/" TargetMode="External"/><Relationship Id="rId25" Type="http://schemas.openxmlformats.org/officeDocument/2006/relationships/hyperlink" Target="https://luna-dr.com/yokohama/price/" TargetMode="External"/><Relationship Id="rId28" Type="http://schemas.openxmlformats.org/officeDocument/2006/relationships/hyperlink" Target="https://luna-dr.com/yokohama/price/" TargetMode="External"/><Relationship Id="rId27" Type="http://schemas.openxmlformats.org/officeDocument/2006/relationships/hyperlink" Target="https://luna-dr.com/yokohama/price/" TargetMode="External"/><Relationship Id="rId29" Type="http://schemas.openxmlformats.org/officeDocument/2006/relationships/hyperlink" Target="https://luna-dr.com/yokohama/price/" TargetMode="External"/><Relationship Id="rId11" Type="http://schemas.openxmlformats.org/officeDocument/2006/relationships/hyperlink" Target="https://luna-dr.com/yokohama/" TargetMode="External"/><Relationship Id="rId10" Type="http://schemas.openxmlformats.org/officeDocument/2006/relationships/hyperlink" Target="https://luna-dr.com/yokohama/" TargetMode="External"/><Relationship Id="rId13" Type="http://schemas.openxmlformats.org/officeDocument/2006/relationships/hyperlink" Target="https://luna-dr.com/yokohama/" TargetMode="External"/><Relationship Id="rId12" Type="http://schemas.openxmlformats.org/officeDocument/2006/relationships/hyperlink" Target="https://luna-dr.com/yokohama/" TargetMode="External"/><Relationship Id="rId15" Type="http://schemas.openxmlformats.org/officeDocument/2006/relationships/hyperlink" Target="https://luna-dr.com/yokohama/access/" TargetMode="External"/><Relationship Id="rId14" Type="http://schemas.openxmlformats.org/officeDocument/2006/relationships/hyperlink" Target="https://luna-dr.com/yokohama/" TargetMode="External"/><Relationship Id="rId17" Type="http://schemas.openxmlformats.org/officeDocument/2006/relationships/hyperlink" Target="https://luna-dr.com/yokohama/consultation-hours/" TargetMode="External"/><Relationship Id="rId16" Type="http://schemas.openxmlformats.org/officeDocument/2006/relationships/hyperlink" Target="https://luna-dr.com/yokohama/consultation-hours/" TargetMode="External"/><Relationship Id="rId19" Type="http://schemas.openxmlformats.org/officeDocument/2006/relationships/hyperlink" Target="https://luna-dr.com/yokohama/doctors/" TargetMode="External"/><Relationship Id="rId18" Type="http://schemas.openxmlformats.org/officeDocument/2006/relationships/hyperlink" Target="https://luna-dr.com/yokohama/consultation-hours/" TargetMode="External"/><Relationship Id="rId84" Type="http://schemas.openxmlformats.org/officeDocument/2006/relationships/hyperlink" Target="https://luna-dr.com/yokohama/price/" TargetMode="External"/><Relationship Id="rId83" Type="http://schemas.openxmlformats.org/officeDocument/2006/relationships/hyperlink" Target="https://luna-dr.com/yokohama/price/" TargetMode="External"/><Relationship Id="rId86" Type="http://schemas.openxmlformats.org/officeDocument/2006/relationships/hyperlink" Target="https://luna-dr.com/yokohama/price/" TargetMode="External"/><Relationship Id="rId85" Type="http://schemas.openxmlformats.org/officeDocument/2006/relationships/hyperlink" Target="https://luna-dr.com/yokohama/price/" TargetMode="External"/><Relationship Id="rId88" Type="http://schemas.openxmlformats.org/officeDocument/2006/relationships/hyperlink" Target="https://luna-dr.com/yokohama/price/" TargetMode="External"/><Relationship Id="rId87" Type="http://schemas.openxmlformats.org/officeDocument/2006/relationships/hyperlink" Target="https://luna-dr.com/yokohama/price/" TargetMode="External"/><Relationship Id="rId89" Type="http://schemas.openxmlformats.org/officeDocument/2006/relationships/hyperlink" Target="https://luna-dr.com/yokohama/price/" TargetMode="External"/><Relationship Id="rId80" Type="http://schemas.openxmlformats.org/officeDocument/2006/relationships/hyperlink" Target="https://luna-dr.com/yokohama/price/" TargetMode="External"/><Relationship Id="rId82" Type="http://schemas.openxmlformats.org/officeDocument/2006/relationships/hyperlink" Target="https://luna-dr.com/yokohama/price/" TargetMode="External"/><Relationship Id="rId81" Type="http://schemas.openxmlformats.org/officeDocument/2006/relationships/hyperlink" Target="https://luna-dr.com/yokohama/price/" TargetMode="External"/><Relationship Id="rId73" Type="http://schemas.openxmlformats.org/officeDocument/2006/relationships/hyperlink" Target="https://luna-dr.com/yokohama/price/" TargetMode="External"/><Relationship Id="rId72" Type="http://schemas.openxmlformats.org/officeDocument/2006/relationships/hyperlink" Target="https://luna-dr.com/yokohama/price/" TargetMode="External"/><Relationship Id="rId75" Type="http://schemas.openxmlformats.org/officeDocument/2006/relationships/hyperlink" Target="https://luna-dr.com/yokohama/price/" TargetMode="External"/><Relationship Id="rId74" Type="http://schemas.openxmlformats.org/officeDocument/2006/relationships/hyperlink" Target="https://luna-dr.com/yokohama/price/" TargetMode="External"/><Relationship Id="rId77" Type="http://schemas.openxmlformats.org/officeDocument/2006/relationships/hyperlink" Target="https://luna-dr.com/yokohama/price/" TargetMode="External"/><Relationship Id="rId76" Type="http://schemas.openxmlformats.org/officeDocument/2006/relationships/hyperlink" Target="https://luna-dr.com/yokohama/price/" TargetMode="External"/><Relationship Id="rId79" Type="http://schemas.openxmlformats.org/officeDocument/2006/relationships/hyperlink" Target="https://luna-dr.com/yokohama/price/" TargetMode="External"/><Relationship Id="rId78" Type="http://schemas.openxmlformats.org/officeDocument/2006/relationships/hyperlink" Target="https://luna-dr.com/yokohama/price/" TargetMode="External"/><Relationship Id="rId71" Type="http://schemas.openxmlformats.org/officeDocument/2006/relationships/hyperlink" Target="https://luna-dr.com/yokohama/price/" TargetMode="External"/><Relationship Id="rId70" Type="http://schemas.openxmlformats.org/officeDocument/2006/relationships/hyperlink" Target="https://luna-dr.com/yokohama/price/" TargetMode="External"/><Relationship Id="rId62" Type="http://schemas.openxmlformats.org/officeDocument/2006/relationships/hyperlink" Target="https://luna-dr.com/yokohama/price/" TargetMode="External"/><Relationship Id="rId61" Type="http://schemas.openxmlformats.org/officeDocument/2006/relationships/hyperlink" Target="https://luna-dr.com/yokohama/price/" TargetMode="External"/><Relationship Id="rId64" Type="http://schemas.openxmlformats.org/officeDocument/2006/relationships/hyperlink" Target="https://luna-dr.com/yokohama/price/" TargetMode="External"/><Relationship Id="rId63" Type="http://schemas.openxmlformats.org/officeDocument/2006/relationships/hyperlink" Target="https://luna-dr.com/yokohama/price/" TargetMode="External"/><Relationship Id="rId66" Type="http://schemas.openxmlformats.org/officeDocument/2006/relationships/hyperlink" Target="https://luna-dr.com/yokohama/price/" TargetMode="External"/><Relationship Id="rId65" Type="http://schemas.openxmlformats.org/officeDocument/2006/relationships/hyperlink" Target="https://luna-dr.com/yokohama/price/" TargetMode="External"/><Relationship Id="rId68" Type="http://schemas.openxmlformats.org/officeDocument/2006/relationships/hyperlink" Target="https://luna-dr.com/yokohama/price/" TargetMode="External"/><Relationship Id="rId67" Type="http://schemas.openxmlformats.org/officeDocument/2006/relationships/hyperlink" Target="https://luna-dr.com/yokohama/price/" TargetMode="External"/><Relationship Id="rId60" Type="http://schemas.openxmlformats.org/officeDocument/2006/relationships/hyperlink" Target="https://luna-dr.com/yokohama/price/" TargetMode="External"/><Relationship Id="rId69" Type="http://schemas.openxmlformats.org/officeDocument/2006/relationships/hyperlink" Target="https://luna-dr.com/yokohama/price/" TargetMode="External"/><Relationship Id="rId51" Type="http://schemas.openxmlformats.org/officeDocument/2006/relationships/hyperlink" Target="https://luna-dr.com/yokohama/price/" TargetMode="External"/><Relationship Id="rId50" Type="http://schemas.openxmlformats.org/officeDocument/2006/relationships/hyperlink" Target="https://luna-dr.com/yokohama/price/" TargetMode="External"/><Relationship Id="rId53" Type="http://schemas.openxmlformats.org/officeDocument/2006/relationships/hyperlink" Target="https://luna-dr.com/yokohama/price/" TargetMode="External"/><Relationship Id="rId52" Type="http://schemas.openxmlformats.org/officeDocument/2006/relationships/hyperlink" Target="https://luna-dr.com/yokohama/price/" TargetMode="External"/><Relationship Id="rId55" Type="http://schemas.openxmlformats.org/officeDocument/2006/relationships/hyperlink" Target="https://luna-dr.com/yokohama/price/" TargetMode="External"/><Relationship Id="rId54" Type="http://schemas.openxmlformats.org/officeDocument/2006/relationships/hyperlink" Target="https://luna-dr.com/yokohama/price/" TargetMode="External"/><Relationship Id="rId57" Type="http://schemas.openxmlformats.org/officeDocument/2006/relationships/hyperlink" Target="https://luna-dr.com/yokohama/price/" TargetMode="External"/><Relationship Id="rId56" Type="http://schemas.openxmlformats.org/officeDocument/2006/relationships/hyperlink" Target="https://luna-dr.com/yokohama/price/" TargetMode="External"/><Relationship Id="rId59" Type="http://schemas.openxmlformats.org/officeDocument/2006/relationships/hyperlink" Target="https://luna-dr.com/yokohama/price/" TargetMode="External"/><Relationship Id="rId58" Type="http://schemas.openxmlformats.org/officeDocument/2006/relationships/hyperlink" Target="https://luna-dr.com/yokohama/price/" TargetMode="External"/><Relationship Id="rId94" Type="http://schemas.openxmlformats.org/officeDocument/2006/relationships/drawing" Target="../drawings/drawing6.xml"/><Relationship Id="rId91" Type="http://schemas.openxmlformats.org/officeDocument/2006/relationships/hyperlink" Target="https://luna-dr.com/yokohama/about_result/" TargetMode="External"/><Relationship Id="rId90" Type="http://schemas.openxmlformats.org/officeDocument/2006/relationships/hyperlink" Target="https://luna-dr.com/yokohama/about_result/" TargetMode="External"/><Relationship Id="rId93" Type="http://schemas.openxmlformats.org/officeDocument/2006/relationships/hyperlink" Target="https://luna-dr.com/yokohama/about_result/" TargetMode="External"/><Relationship Id="rId92" Type="http://schemas.openxmlformats.org/officeDocument/2006/relationships/hyperlink" Target="https://luna-dr.com/yokohama/about_result/" TargetMode="External"/></Relationships>
</file>

<file path=xl/worksheets/_rels/sheet7.xml.rels><?xml version="1.0" encoding="UTF-8" standalone="yes"?><Relationships xmlns="http://schemas.openxmlformats.org/package/2006/relationships"><Relationship Id="rId190" Type="http://schemas.openxmlformats.org/officeDocument/2006/relationships/hyperlink" Target="https://luna-dr.com/subjects/pill-prescription/" TargetMode="External"/><Relationship Id="rId194" Type="http://schemas.openxmlformats.org/officeDocument/2006/relationships/hyperlink" Target="https://luna-dr.com/subjects/pill-prescription/" TargetMode="External"/><Relationship Id="rId193" Type="http://schemas.openxmlformats.org/officeDocument/2006/relationships/hyperlink" Target="https://luna-dr.com/subjects/pill-prescription/" TargetMode="External"/><Relationship Id="rId192" Type="http://schemas.openxmlformats.org/officeDocument/2006/relationships/hyperlink" Target="https://luna-dr.com/subjects/pill-prescription/" TargetMode="External"/><Relationship Id="rId191" Type="http://schemas.openxmlformats.org/officeDocument/2006/relationships/hyperlink" Target="https://luna-dr.com/subjects/pill-prescription/" TargetMode="External"/><Relationship Id="rId187" Type="http://schemas.openxmlformats.org/officeDocument/2006/relationships/hyperlink" Target="https://luna-dr.com/subjects/menstrual-pain/" TargetMode="External"/><Relationship Id="rId186" Type="http://schemas.openxmlformats.org/officeDocument/2006/relationships/hyperlink" Target="https://luna-dr.com/subjects/menstrual-pain/" TargetMode="External"/><Relationship Id="rId185" Type="http://schemas.openxmlformats.org/officeDocument/2006/relationships/hyperlink" Target="https://luna-dr.com/subjects/menstrual-pain/" TargetMode="External"/><Relationship Id="rId184" Type="http://schemas.openxmlformats.org/officeDocument/2006/relationships/hyperlink" Target="https://luna-dr.com/subjects/menstrual-pain/" TargetMode="External"/><Relationship Id="rId189" Type="http://schemas.openxmlformats.org/officeDocument/2006/relationships/hyperlink" Target="https://luna-dr.com/subjects/menstrual-pain/" TargetMode="External"/><Relationship Id="rId188" Type="http://schemas.openxmlformats.org/officeDocument/2006/relationships/hyperlink" Target="https://luna-dr.com/subjects/menstrual-pain/" TargetMode="External"/><Relationship Id="rId183" Type="http://schemas.openxmlformats.org/officeDocument/2006/relationships/hyperlink" Target="https://luna-dr.com/subjects/menstrual-pain/" TargetMode="External"/><Relationship Id="rId182" Type="http://schemas.openxmlformats.org/officeDocument/2006/relationships/hyperlink" Target="https://luna-dr.com/subjects/menstrual-pain/" TargetMode="External"/><Relationship Id="rId181" Type="http://schemas.openxmlformats.org/officeDocument/2006/relationships/hyperlink" Target="https://luna-dr.com/subjects/menstrual-pain/" TargetMode="External"/><Relationship Id="rId180" Type="http://schemas.openxmlformats.org/officeDocument/2006/relationships/hyperlink" Target="https://luna-dr.com/subjects/menstrual-pain/" TargetMode="External"/><Relationship Id="rId176" Type="http://schemas.openxmlformats.org/officeDocument/2006/relationships/hyperlink" Target="https://luna-dr.com/subjects/after-pill/" TargetMode="External"/><Relationship Id="rId175" Type="http://schemas.openxmlformats.org/officeDocument/2006/relationships/hyperlink" Target="https://luna-dr.com/subjects/low-dose-pill/" TargetMode="External"/><Relationship Id="rId174" Type="http://schemas.openxmlformats.org/officeDocument/2006/relationships/hyperlink" Target="https://luna-dr.com/subjects/menstrual-pain/" TargetMode="External"/><Relationship Id="rId173" Type="http://schemas.openxmlformats.org/officeDocument/2006/relationships/hyperlink" Target="https://luna-dr.com/subjects/menstrual-pain/" TargetMode="External"/><Relationship Id="rId179" Type="http://schemas.openxmlformats.org/officeDocument/2006/relationships/hyperlink" Target="https://luna-dr.com/subjects/menstrual-pain/" TargetMode="External"/><Relationship Id="rId178" Type="http://schemas.openxmlformats.org/officeDocument/2006/relationships/hyperlink" Target="https://luna-dr.com/subjects/menstrual-pain/" TargetMode="External"/><Relationship Id="rId177" Type="http://schemas.openxmlformats.org/officeDocument/2006/relationships/hyperlink" Target="https://luna-dr.com/" TargetMode="External"/><Relationship Id="rId198" Type="http://schemas.openxmlformats.org/officeDocument/2006/relationships/hyperlink" Target="https://luna-dr.com/subjects/pill-prescription/" TargetMode="External"/><Relationship Id="rId197" Type="http://schemas.openxmlformats.org/officeDocument/2006/relationships/hyperlink" Target="https://luna-dr.com/subjects/pill-prescription/" TargetMode="External"/><Relationship Id="rId196" Type="http://schemas.openxmlformats.org/officeDocument/2006/relationships/hyperlink" Target="https://luna-dr.com/subjects/pill-prescription/" TargetMode="External"/><Relationship Id="rId195" Type="http://schemas.openxmlformats.org/officeDocument/2006/relationships/hyperlink" Target="https://luna-dr.com/subjects/pill-prescription/" TargetMode="External"/><Relationship Id="rId199" Type="http://schemas.openxmlformats.org/officeDocument/2006/relationships/hyperlink" Target="https://luna-dr.com/subjects/pill-prescription/" TargetMode="External"/><Relationship Id="rId150" Type="http://schemas.openxmlformats.org/officeDocument/2006/relationships/hyperlink" Target="https://luna-dr.com/subjects/menstrual-irregularity/" TargetMode="External"/><Relationship Id="rId392" Type="http://schemas.openxmlformats.org/officeDocument/2006/relationships/hyperlink" Target="https://luna-dr.com/subjects/abnormal-vaginal-discharge/" TargetMode="External"/><Relationship Id="rId391" Type="http://schemas.openxmlformats.org/officeDocument/2006/relationships/hyperlink" Target="https://luna-dr.com/subjects/abnormal-vaginal-discharge/" TargetMode="External"/><Relationship Id="rId390" Type="http://schemas.openxmlformats.org/officeDocument/2006/relationships/hyperlink" Target="https://luna-dr.com/subjects/abnormal-vaginal-discharge/"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149" Type="http://schemas.openxmlformats.org/officeDocument/2006/relationships/hyperlink" Target="https://luna-dr.com/subjects/menstrual-irregularity/" TargetMode="External"/><Relationship Id="rId4" Type="http://schemas.openxmlformats.org/officeDocument/2006/relationships/hyperlink" Target="https://luna-dr.com/" TargetMode="External"/><Relationship Id="rId148" Type="http://schemas.openxmlformats.org/officeDocument/2006/relationships/hyperlink" Target="https://luna-dr.com/subjects/menstrual-irregularity/" TargetMode="External"/><Relationship Id="rId9" Type="http://schemas.openxmlformats.org/officeDocument/2006/relationships/hyperlink" Target="https://luna-dr.com/" TargetMode="External"/><Relationship Id="rId143" Type="http://schemas.openxmlformats.org/officeDocument/2006/relationships/hyperlink" Target="https://luna-dr.com/subjects/menstrual-irregularity/" TargetMode="External"/><Relationship Id="rId385" Type="http://schemas.openxmlformats.org/officeDocument/2006/relationships/hyperlink" Target="https://luna-dr.com/subjects/abnormal-vaginal-discharge/" TargetMode="External"/><Relationship Id="rId142" Type="http://schemas.openxmlformats.org/officeDocument/2006/relationships/hyperlink" Target="https://luna-dr.com/subjects/menstrual-irregularity/" TargetMode="External"/><Relationship Id="rId384" Type="http://schemas.openxmlformats.org/officeDocument/2006/relationships/hyperlink" Target="https://luna-dr.com/subjects/abnormal-vaginal-discharge/" TargetMode="External"/><Relationship Id="rId141" Type="http://schemas.openxmlformats.org/officeDocument/2006/relationships/hyperlink" Target="https://luna-dr.com/subjects/menstrual-irregularity/" TargetMode="External"/><Relationship Id="rId383" Type="http://schemas.openxmlformats.org/officeDocument/2006/relationships/hyperlink" Target="https://luna-dr.com/subjects/abnormal-vaginal-discharge/" TargetMode="External"/><Relationship Id="rId140" Type="http://schemas.openxmlformats.org/officeDocument/2006/relationships/hyperlink" Target="https://luna-dr.com/subjects/menstrual-irregularity/" TargetMode="External"/><Relationship Id="rId382" Type="http://schemas.openxmlformats.org/officeDocument/2006/relationships/hyperlink" Target="https://luna-dr.com/subjects/abnormal-vaginal-discharge/" TargetMode="External"/><Relationship Id="rId5" Type="http://schemas.openxmlformats.org/officeDocument/2006/relationships/hyperlink" Target="https://luna-dr.com/" TargetMode="External"/><Relationship Id="rId147" Type="http://schemas.openxmlformats.org/officeDocument/2006/relationships/hyperlink" Target="https://luna-dr.com/subjects/menstrual-irregularity/" TargetMode="External"/><Relationship Id="rId389" Type="http://schemas.openxmlformats.org/officeDocument/2006/relationships/hyperlink" Target="https://luna-dr.com/subjects/abnormal-vaginal-discharge/" TargetMode="External"/><Relationship Id="rId6" Type="http://schemas.openxmlformats.org/officeDocument/2006/relationships/hyperlink" Target="https://luna-dr.com/" TargetMode="External"/><Relationship Id="rId146" Type="http://schemas.openxmlformats.org/officeDocument/2006/relationships/hyperlink" Target="https://luna-dr.com/subjects/menstrual-irregularity/" TargetMode="External"/><Relationship Id="rId388" Type="http://schemas.openxmlformats.org/officeDocument/2006/relationships/hyperlink" Target="https://luna-dr.com/subjects/abnormal-vaginal-discharge/" TargetMode="External"/><Relationship Id="rId7" Type="http://schemas.openxmlformats.org/officeDocument/2006/relationships/hyperlink" Target="https://luna-dr.com/" TargetMode="External"/><Relationship Id="rId145" Type="http://schemas.openxmlformats.org/officeDocument/2006/relationships/hyperlink" Target="https://luna-dr.com/subjects/menstrual-irregularity/" TargetMode="External"/><Relationship Id="rId387" Type="http://schemas.openxmlformats.org/officeDocument/2006/relationships/hyperlink" Target="https://luna-dr.com/subjects/abnormal-vaginal-discharge/" TargetMode="External"/><Relationship Id="rId8" Type="http://schemas.openxmlformats.org/officeDocument/2006/relationships/hyperlink" Target="https://luna-dr.com/" TargetMode="External"/><Relationship Id="rId144" Type="http://schemas.openxmlformats.org/officeDocument/2006/relationships/hyperlink" Target="https://luna-dr.com/subjects/menstrual-irregularity/" TargetMode="External"/><Relationship Id="rId386" Type="http://schemas.openxmlformats.org/officeDocument/2006/relationships/hyperlink" Target="https://luna-dr.com/subjects/abnormal-vaginal-discharge/" TargetMode="External"/><Relationship Id="rId381" Type="http://schemas.openxmlformats.org/officeDocument/2006/relationships/hyperlink" Target="https://luna-dr.com/subjects/abnormal-vaginal-discharge/" TargetMode="External"/><Relationship Id="rId380" Type="http://schemas.openxmlformats.org/officeDocument/2006/relationships/hyperlink" Target="https://luna-dr.com/subjects/abnormal-vaginal-discharge/" TargetMode="External"/><Relationship Id="rId139" Type="http://schemas.openxmlformats.org/officeDocument/2006/relationships/hyperlink" Target="https://luna-dr.com/subjects/menstrual-irregularity/" TargetMode="External"/><Relationship Id="rId138" Type="http://schemas.openxmlformats.org/officeDocument/2006/relationships/hyperlink" Target="https://luna-dr.com/subjects/menstrual-irregularity/" TargetMode="External"/><Relationship Id="rId137" Type="http://schemas.openxmlformats.org/officeDocument/2006/relationships/hyperlink" Target="https://luna-dr.com/subjects/menstrual-irregularity/" TargetMode="External"/><Relationship Id="rId379" Type="http://schemas.openxmlformats.org/officeDocument/2006/relationships/hyperlink" Target="https://luna-dr.com/subjects/abnormal-vaginal-discharge/" TargetMode="External"/><Relationship Id="rId132" Type="http://schemas.openxmlformats.org/officeDocument/2006/relationships/hyperlink" Target="https://luna-dr.com/subjects/menstrual-irregularity/" TargetMode="External"/><Relationship Id="rId374" Type="http://schemas.openxmlformats.org/officeDocument/2006/relationships/hyperlink" Target="https://luna-dr.com/subjects/abnormal-vaginal-discharge/" TargetMode="External"/><Relationship Id="rId131" Type="http://schemas.openxmlformats.org/officeDocument/2006/relationships/hyperlink" Target="https://luna-dr.com/subjects/menstrual-irregularity/" TargetMode="External"/><Relationship Id="rId373" Type="http://schemas.openxmlformats.org/officeDocument/2006/relationships/hyperlink" Target="https://luna-dr.com/subjects/abnormal-vaginal-discharge/" TargetMode="External"/><Relationship Id="rId130" Type="http://schemas.openxmlformats.org/officeDocument/2006/relationships/hyperlink" Target="https://luna-dr.com/subjects/menstrual-irregularity/" TargetMode="External"/><Relationship Id="rId372" Type="http://schemas.openxmlformats.org/officeDocument/2006/relationships/hyperlink" Target="https://luna-dr.com/subjects/abnormal-vaginal-discharge/" TargetMode="External"/><Relationship Id="rId371" Type="http://schemas.openxmlformats.org/officeDocument/2006/relationships/hyperlink" Target="https://luna-dr.com/subjects/abnormal-vaginal-discharge/" TargetMode="External"/><Relationship Id="rId136" Type="http://schemas.openxmlformats.org/officeDocument/2006/relationships/hyperlink" Target="https://luna-dr.com/subjects/menstrual-irregularity/" TargetMode="External"/><Relationship Id="rId378" Type="http://schemas.openxmlformats.org/officeDocument/2006/relationships/hyperlink" Target="https://luna-dr.com/subjects/abnormal-vaginal-discharge/" TargetMode="External"/><Relationship Id="rId135" Type="http://schemas.openxmlformats.org/officeDocument/2006/relationships/hyperlink" Target="https://luna-dr.com/subjects/menstrual-irregularity/" TargetMode="External"/><Relationship Id="rId377" Type="http://schemas.openxmlformats.org/officeDocument/2006/relationships/hyperlink" Target="https://luna-dr.com/subjects/abnormal-vaginal-discharge/" TargetMode="External"/><Relationship Id="rId134" Type="http://schemas.openxmlformats.org/officeDocument/2006/relationships/hyperlink" Target="https://luna-dr.com/subjects/menstrual-irregularity/" TargetMode="External"/><Relationship Id="rId376" Type="http://schemas.openxmlformats.org/officeDocument/2006/relationships/hyperlink" Target="https://luna-dr.com/subjects/abnormal-vaginal-discharge/" TargetMode="External"/><Relationship Id="rId133" Type="http://schemas.openxmlformats.org/officeDocument/2006/relationships/hyperlink" Target="https://luna-dr.com/subjects/menstrual-irregularity/" TargetMode="External"/><Relationship Id="rId375" Type="http://schemas.openxmlformats.org/officeDocument/2006/relationships/hyperlink" Target="https://luna-dr.com/subjects/abnormal-vaginal-discharge/" TargetMode="External"/><Relationship Id="rId172" Type="http://schemas.openxmlformats.org/officeDocument/2006/relationships/hyperlink" Target="https://luna-dr.com/subjects/menstrual-pain/" TargetMode="External"/><Relationship Id="rId171" Type="http://schemas.openxmlformats.org/officeDocument/2006/relationships/hyperlink" Target="https://luna-dr.com/subjects/menstrual-pain/" TargetMode="External"/><Relationship Id="rId170" Type="http://schemas.openxmlformats.org/officeDocument/2006/relationships/hyperlink" Target="https://luna-dr.com/subjects/menstrual-pain/" TargetMode="External"/><Relationship Id="rId165" Type="http://schemas.openxmlformats.org/officeDocument/2006/relationships/hyperlink" Target="https://luna-dr.com/subjects/menstrual-pain/" TargetMode="External"/><Relationship Id="rId164" Type="http://schemas.openxmlformats.org/officeDocument/2006/relationships/hyperlink" Target="https://luna-dr.com/subjects/menstrual-pain/" TargetMode="External"/><Relationship Id="rId163" Type="http://schemas.openxmlformats.org/officeDocument/2006/relationships/hyperlink" Target="https://luna-dr.com/subjects/menstrual-pain/" TargetMode="External"/><Relationship Id="rId162" Type="http://schemas.openxmlformats.org/officeDocument/2006/relationships/hyperlink" Target="https://luna-dr.com/subjects/menstrual-pain/" TargetMode="External"/><Relationship Id="rId169" Type="http://schemas.openxmlformats.org/officeDocument/2006/relationships/hyperlink" Target="https://luna-dr.com/subjects/menstrual-pain/" TargetMode="External"/><Relationship Id="rId168" Type="http://schemas.openxmlformats.org/officeDocument/2006/relationships/hyperlink" Target="https://luna-dr.com/subjects/menstrual-pain/" TargetMode="External"/><Relationship Id="rId167" Type="http://schemas.openxmlformats.org/officeDocument/2006/relationships/hyperlink" Target="https://luna-dr.com/subjects/menstrual-pain/" TargetMode="External"/><Relationship Id="rId166" Type="http://schemas.openxmlformats.org/officeDocument/2006/relationships/hyperlink" Target="https://luna-dr.com/subjects/menstrual-pain/" TargetMode="External"/><Relationship Id="rId161" Type="http://schemas.openxmlformats.org/officeDocument/2006/relationships/hyperlink" Target="https://luna-dr.com/subjects/menstrual-pain/" TargetMode="External"/><Relationship Id="rId160" Type="http://schemas.openxmlformats.org/officeDocument/2006/relationships/hyperlink" Target="https://luna-dr.com/subjects/menstrual-pain/" TargetMode="External"/><Relationship Id="rId159" Type="http://schemas.openxmlformats.org/officeDocument/2006/relationships/hyperlink" Target="https://luna-dr.com/subjects/menstrual-pain/" TargetMode="External"/><Relationship Id="rId154" Type="http://schemas.openxmlformats.org/officeDocument/2006/relationships/hyperlink" Target="https://luna-dr.com/subjects/menstrual-irregularity/" TargetMode="External"/><Relationship Id="rId396" Type="http://schemas.openxmlformats.org/officeDocument/2006/relationships/hyperlink" Target="https://luna-dr.com/subjects/abnormal-vaginal-discharge/" TargetMode="External"/><Relationship Id="rId153" Type="http://schemas.openxmlformats.org/officeDocument/2006/relationships/hyperlink" Target="https://luna-dr.com/subjects/menstrual-irregularity/" TargetMode="External"/><Relationship Id="rId395" Type="http://schemas.openxmlformats.org/officeDocument/2006/relationships/hyperlink" Target="https://luna-dr.com/subjects/abnormal-vaginal-discharge/" TargetMode="External"/><Relationship Id="rId152" Type="http://schemas.openxmlformats.org/officeDocument/2006/relationships/hyperlink" Target="https://luna-dr.com/subjects/menstrual-irregularity/" TargetMode="External"/><Relationship Id="rId394" Type="http://schemas.openxmlformats.org/officeDocument/2006/relationships/hyperlink" Target="https://luna-dr.com/subjects/abnormal-vaginal-discharge/" TargetMode="External"/><Relationship Id="rId151" Type="http://schemas.openxmlformats.org/officeDocument/2006/relationships/hyperlink" Target="https://luna-dr.com/subjects/menstrual-irregularity/" TargetMode="External"/><Relationship Id="rId393" Type="http://schemas.openxmlformats.org/officeDocument/2006/relationships/hyperlink" Target="https://luna-dr.com/subjects/abnormal-vaginal-discharge/" TargetMode="External"/><Relationship Id="rId158" Type="http://schemas.openxmlformats.org/officeDocument/2006/relationships/hyperlink" Target="https://luna-dr.com/subjects/menstrual-pain/" TargetMode="External"/><Relationship Id="rId157" Type="http://schemas.openxmlformats.org/officeDocument/2006/relationships/hyperlink" Target="https://luna-dr.com/subjects/menstrual-pain/" TargetMode="External"/><Relationship Id="rId399" Type="http://schemas.openxmlformats.org/officeDocument/2006/relationships/hyperlink" Target="https://luna-dr.com/subjects/abnormal-vaginal-discharge/" TargetMode="External"/><Relationship Id="rId156" Type="http://schemas.openxmlformats.org/officeDocument/2006/relationships/hyperlink" Target="https://luna-dr.com/subjects/menstrual-irregularity/" TargetMode="External"/><Relationship Id="rId398" Type="http://schemas.openxmlformats.org/officeDocument/2006/relationships/hyperlink" Target="https://luna-dr.com/subjects/abnormal-vaginal-discharge/" TargetMode="External"/><Relationship Id="rId155" Type="http://schemas.openxmlformats.org/officeDocument/2006/relationships/hyperlink" Target="https://luna-dr.com/subjects/menstrual-irregularity/" TargetMode="External"/><Relationship Id="rId397" Type="http://schemas.openxmlformats.org/officeDocument/2006/relationships/hyperlink" Target="https://luna-dr.com/subjects/abnormal-vaginal-discharge/" TargetMode="External"/><Relationship Id="rId808" Type="http://schemas.openxmlformats.org/officeDocument/2006/relationships/hyperlink" Target="https://luna-dr.com/subjects/media/2794/" TargetMode="External"/><Relationship Id="rId807" Type="http://schemas.openxmlformats.org/officeDocument/2006/relationships/hyperlink" Target="https://luna-dr.com/subjects/media/2794/" TargetMode="External"/><Relationship Id="rId806" Type="http://schemas.openxmlformats.org/officeDocument/2006/relationships/hyperlink" Target="https://luna-dr.com/subjects/media/2794/" TargetMode="External"/><Relationship Id="rId805" Type="http://schemas.openxmlformats.org/officeDocument/2006/relationships/hyperlink" Target="https://luna-dr.com/subjects/media/2794/" TargetMode="External"/><Relationship Id="rId809" Type="http://schemas.openxmlformats.org/officeDocument/2006/relationships/hyperlink" Target="https://luna-dr.com/subjects/low-dose-contraceptive/" TargetMode="External"/><Relationship Id="rId800" Type="http://schemas.openxmlformats.org/officeDocument/2006/relationships/hyperlink" Target="https://luna-dr.com/" TargetMode="External"/><Relationship Id="rId804" Type="http://schemas.openxmlformats.org/officeDocument/2006/relationships/hyperlink" Target="https://luna-dr.com/subjects/media/2794/" TargetMode="External"/><Relationship Id="rId803" Type="http://schemas.openxmlformats.org/officeDocument/2006/relationships/hyperlink" Target="https://luna-dr.com/subjects/media/2794/" TargetMode="External"/><Relationship Id="rId802" Type="http://schemas.openxmlformats.org/officeDocument/2006/relationships/hyperlink" Target="https://luna-dr.com/subjects/pill-prescription/" TargetMode="External"/><Relationship Id="rId801" Type="http://schemas.openxmlformats.org/officeDocument/2006/relationships/hyperlink" Target="https://shop.luna-dr.com/collections/low_dose_pill_subscription" TargetMode="External"/><Relationship Id="rId40" Type="http://schemas.openxmlformats.org/officeDocument/2006/relationships/hyperlink" Target="https://luna-dr.com/question/" TargetMode="External"/><Relationship Id="rId42" Type="http://schemas.openxmlformats.org/officeDocument/2006/relationships/hyperlink" Target="https://luna-dr.com/question/" TargetMode="External"/><Relationship Id="rId41" Type="http://schemas.openxmlformats.org/officeDocument/2006/relationships/hyperlink" Target="https://luna-dr.com/question/" TargetMode="External"/><Relationship Id="rId44" Type="http://schemas.openxmlformats.org/officeDocument/2006/relationships/hyperlink" Target="https://luna-dr.com/question/" TargetMode="External"/><Relationship Id="rId43" Type="http://schemas.openxmlformats.org/officeDocument/2006/relationships/hyperlink" Target="https://luna-dr.com/question/" TargetMode="External"/><Relationship Id="rId46" Type="http://schemas.openxmlformats.org/officeDocument/2006/relationships/hyperlink" Target="https://luna-dr.com/question/" TargetMode="External"/><Relationship Id="rId45" Type="http://schemas.openxmlformats.org/officeDocument/2006/relationships/hyperlink" Target="https://luna-dr.com/question/" TargetMode="External"/><Relationship Id="rId509" Type="http://schemas.openxmlformats.org/officeDocument/2006/relationships/hyperlink" Target="https://luna-dr.com/subjects/abortion_page/" TargetMode="External"/><Relationship Id="rId508" Type="http://schemas.openxmlformats.org/officeDocument/2006/relationships/hyperlink" Target="https://luna-dr.com/subjects/pregnancy-test/" TargetMode="External"/><Relationship Id="rId503" Type="http://schemas.openxmlformats.org/officeDocument/2006/relationships/hyperlink" Target="https://luna-dr.com/subjects/pregnancy-test/" TargetMode="External"/><Relationship Id="rId745" Type="http://schemas.openxmlformats.org/officeDocument/2006/relationships/hyperlink" Target="https://luna-dr.com/femcheck/faq/" TargetMode="External"/><Relationship Id="rId502" Type="http://schemas.openxmlformats.org/officeDocument/2006/relationships/hyperlink" Target="https://luna-dr.com/subjects/pregnancy-test/" TargetMode="External"/><Relationship Id="rId744" Type="http://schemas.openxmlformats.org/officeDocument/2006/relationships/hyperlink" Target="https://luna-dr.com/femcheck/faq/" TargetMode="External"/><Relationship Id="rId501" Type="http://schemas.openxmlformats.org/officeDocument/2006/relationships/hyperlink" Target="https://luna-dr.com/subjects/pregnancy-test/" TargetMode="External"/><Relationship Id="rId743" Type="http://schemas.openxmlformats.org/officeDocument/2006/relationships/hyperlink" Target="https://luna-dr.com/femcheck/faq/" TargetMode="External"/><Relationship Id="rId500" Type="http://schemas.openxmlformats.org/officeDocument/2006/relationships/hyperlink" Target="https://luna-dr.com/subjects/pregnancy-test/" TargetMode="External"/><Relationship Id="rId742" Type="http://schemas.openxmlformats.org/officeDocument/2006/relationships/hyperlink" Target="https://luna-dr.com/femcheck/deliver/" TargetMode="External"/><Relationship Id="rId507" Type="http://schemas.openxmlformats.org/officeDocument/2006/relationships/hyperlink" Target="https://luna-dr.com/subjects/pregnancy-test/" TargetMode="External"/><Relationship Id="rId749" Type="http://schemas.openxmlformats.org/officeDocument/2006/relationships/hyperlink" Target="https://luna-dr.com/femcheck/faq/" TargetMode="External"/><Relationship Id="rId506" Type="http://schemas.openxmlformats.org/officeDocument/2006/relationships/hyperlink" Target="https://luna-dr.com/subjects/pregnancy-test/" TargetMode="External"/><Relationship Id="rId748" Type="http://schemas.openxmlformats.org/officeDocument/2006/relationships/hyperlink" Target="https://luna-dr.com/femcheck/faq/" TargetMode="External"/><Relationship Id="rId505" Type="http://schemas.openxmlformats.org/officeDocument/2006/relationships/hyperlink" Target="https://luna-dr.com/subjects/pregnancy-test/" TargetMode="External"/><Relationship Id="rId747" Type="http://schemas.openxmlformats.org/officeDocument/2006/relationships/hyperlink" Target="https://luna-dr.com/femcheck/faq/" TargetMode="External"/><Relationship Id="rId504" Type="http://schemas.openxmlformats.org/officeDocument/2006/relationships/hyperlink" Target="https://luna-dr.com/subjects/pregnancy-test/" TargetMode="External"/><Relationship Id="rId746" Type="http://schemas.openxmlformats.org/officeDocument/2006/relationships/hyperlink" Target="https://luna-dr.com/femcheck/faq/" TargetMode="External"/><Relationship Id="rId48" Type="http://schemas.openxmlformats.org/officeDocument/2006/relationships/hyperlink" Target="https://luna-dr.com/question/" TargetMode="External"/><Relationship Id="rId47" Type="http://schemas.openxmlformats.org/officeDocument/2006/relationships/hyperlink" Target="https://luna-dr.com/question/" TargetMode="External"/><Relationship Id="rId49" Type="http://schemas.openxmlformats.org/officeDocument/2006/relationships/hyperlink" Target="https://luna-dr.com/question/" TargetMode="External"/><Relationship Id="rId741" Type="http://schemas.openxmlformats.org/officeDocument/2006/relationships/hyperlink" Target="https://luna-dr.com/femcheck/deliver/" TargetMode="External"/><Relationship Id="rId740" Type="http://schemas.openxmlformats.org/officeDocument/2006/relationships/hyperlink" Target="https://luna-dr.com/femcheck/deliver/" TargetMode="External"/><Relationship Id="rId31" Type="http://schemas.openxmlformats.org/officeDocument/2006/relationships/hyperlink" Target="https://luna-dr.com/subjects/medical-checkup/" TargetMode="External"/><Relationship Id="rId30" Type="http://schemas.openxmlformats.org/officeDocument/2006/relationships/hyperlink" Target="https://luna-dr.com/subjects/irregular-genital-bleeding/" TargetMode="External"/><Relationship Id="rId33" Type="http://schemas.openxmlformats.org/officeDocument/2006/relationships/hyperlink" Target="https://luna-dr.com/subjects/hpv-vaccine/" TargetMode="External"/><Relationship Id="rId32" Type="http://schemas.openxmlformats.org/officeDocument/2006/relationships/hyperlink" Target="https://luna-dr.com/subjects/ius-treatment/" TargetMode="External"/><Relationship Id="rId35" Type="http://schemas.openxmlformats.org/officeDocument/2006/relationships/hyperlink" Target="https://luna-dr.com/" TargetMode="External"/><Relationship Id="rId34" Type="http://schemas.openxmlformats.org/officeDocument/2006/relationships/hyperlink" Target="https://luna-dr.com/" TargetMode="External"/><Relationship Id="rId739" Type="http://schemas.openxmlformats.org/officeDocument/2006/relationships/hyperlink" Target="https://luna-dr.com/femcheck/deliver/" TargetMode="External"/><Relationship Id="rId734" Type="http://schemas.openxmlformats.org/officeDocument/2006/relationships/hyperlink" Target="https://luna-dr.com/femcheck/about/" TargetMode="External"/><Relationship Id="rId733" Type="http://schemas.openxmlformats.org/officeDocument/2006/relationships/hyperlink" Target="https://luna-dr.com/femcheck/about/" TargetMode="External"/><Relationship Id="rId732" Type="http://schemas.openxmlformats.org/officeDocument/2006/relationships/hyperlink" Target="https://luna-dr.com/femcheck/about/" TargetMode="External"/><Relationship Id="rId731" Type="http://schemas.openxmlformats.org/officeDocument/2006/relationships/hyperlink" Target="https://luna-dr.com/femcheck/about/" TargetMode="External"/><Relationship Id="rId738" Type="http://schemas.openxmlformats.org/officeDocument/2006/relationships/hyperlink" Target="https://luna-dr.com/femcheck/deliver/" TargetMode="External"/><Relationship Id="rId737" Type="http://schemas.openxmlformats.org/officeDocument/2006/relationships/hyperlink" Target="https://luna-dr.com/femcheck/deliver/" TargetMode="External"/><Relationship Id="rId736" Type="http://schemas.openxmlformats.org/officeDocument/2006/relationships/hyperlink" Target="https://luna-dr.com/femcheck/deliver/" TargetMode="External"/><Relationship Id="rId735" Type="http://schemas.openxmlformats.org/officeDocument/2006/relationships/hyperlink" Target="https://luna-dr.com/femcheck/about/" TargetMode="External"/><Relationship Id="rId37" Type="http://schemas.openxmlformats.org/officeDocument/2006/relationships/hyperlink" Target="https://luna-dr.com/question/" TargetMode="External"/><Relationship Id="rId36" Type="http://schemas.openxmlformats.org/officeDocument/2006/relationships/hyperlink" Target="https://luna-dr.com/" TargetMode="External"/><Relationship Id="rId39" Type="http://schemas.openxmlformats.org/officeDocument/2006/relationships/hyperlink" Target="https://luna-dr.com/question/" TargetMode="External"/><Relationship Id="rId38" Type="http://schemas.openxmlformats.org/officeDocument/2006/relationships/hyperlink" Target="https://luna-dr.com/question/" TargetMode="External"/><Relationship Id="rId730" Type="http://schemas.openxmlformats.org/officeDocument/2006/relationships/hyperlink" Target="https://luna-dr.com/femcheck/about/" TargetMode="External"/><Relationship Id="rId20" Type="http://schemas.openxmlformats.org/officeDocument/2006/relationships/hyperlink" Target="https://luna-dr.com/subjects/pill-prescription/" TargetMode="External"/><Relationship Id="rId22" Type="http://schemas.openxmlformats.org/officeDocument/2006/relationships/hyperlink" Target="https://luna-dr.com/subjects/low-dose-contraceptive/" TargetMode="External"/><Relationship Id="rId21" Type="http://schemas.openxmlformats.org/officeDocument/2006/relationships/hyperlink" Target="https://luna-dr.com/subjects/after-pill_page/" TargetMode="External"/><Relationship Id="rId24" Type="http://schemas.openxmlformats.org/officeDocument/2006/relationships/hyperlink" Target="https://luna-dr.com/subjects/menstrual-manipulation/" TargetMode="External"/><Relationship Id="rId23" Type="http://schemas.openxmlformats.org/officeDocument/2006/relationships/hyperlink" Target="https://luna-dr.com/subjects/pill-prescription/" TargetMode="External"/><Relationship Id="rId525" Type="http://schemas.openxmlformats.org/officeDocument/2006/relationships/hyperlink" Target="https://luna-dr.com/subjects/abortion_page/" TargetMode="External"/><Relationship Id="rId767" Type="http://schemas.openxmlformats.org/officeDocument/2006/relationships/hyperlink" Target="https://docs.google.com/forms/d/e/1FAIpQLSe41t1VsvN-rfcwsRSkalz89S2yqQc4zpWrbdcrwPo95Iif-Q/viewform" TargetMode="External"/><Relationship Id="rId524" Type="http://schemas.openxmlformats.org/officeDocument/2006/relationships/hyperlink" Target="https://luna-dr.com/subjects/abortion_page/" TargetMode="External"/><Relationship Id="rId766" Type="http://schemas.openxmlformats.org/officeDocument/2006/relationships/hyperlink" Target="https://docs.google.com/forms/d/e/1FAIpQLSe41t1VsvN-rfcwsRSkalz89S2yqQc4zpWrbdcrwPo95Iif-Q/viewform" TargetMode="External"/><Relationship Id="rId523" Type="http://schemas.openxmlformats.org/officeDocument/2006/relationships/hyperlink" Target="https://luna-dr.com/subjects/abortion_page/" TargetMode="External"/><Relationship Id="rId765" Type="http://schemas.openxmlformats.org/officeDocument/2006/relationships/hyperlink" Target="https://docs.google.com/forms/d/e/1FAIpQLSe41t1VsvN-rfcwsRSkalz89S2yqQc4zpWrbdcrwPo95Iif-Q/viewform" TargetMode="External"/><Relationship Id="rId522" Type="http://schemas.openxmlformats.org/officeDocument/2006/relationships/hyperlink" Target="https://luna-dr.com/subjects/abortion_page/" TargetMode="External"/><Relationship Id="rId764" Type="http://schemas.openxmlformats.org/officeDocument/2006/relationships/hyperlink" Target="https://shop.luna-dr.com/products/lactobacillus" TargetMode="External"/><Relationship Id="rId529" Type="http://schemas.openxmlformats.org/officeDocument/2006/relationships/hyperlink" Target="https://luna-dr.com/subjects/abortion_page/" TargetMode="External"/><Relationship Id="rId528" Type="http://schemas.openxmlformats.org/officeDocument/2006/relationships/hyperlink" Target="https://luna-dr.com/subjects/abortion_page/" TargetMode="External"/><Relationship Id="rId527" Type="http://schemas.openxmlformats.org/officeDocument/2006/relationships/hyperlink" Target="https://luna-dr.com/subjects/abortion_page/" TargetMode="External"/><Relationship Id="rId769" Type="http://schemas.openxmlformats.org/officeDocument/2006/relationships/hyperlink" Target="https://docs.google.com/forms/d/e/1FAIpQLSe41t1VsvN-rfcwsRSkalz89S2yqQc4zpWrbdcrwPo95Iif-Q/viewform" TargetMode="External"/><Relationship Id="rId526" Type="http://schemas.openxmlformats.org/officeDocument/2006/relationships/hyperlink" Target="https://luna-dr.com/subjects/abortion_page/" TargetMode="External"/><Relationship Id="rId768" Type="http://schemas.openxmlformats.org/officeDocument/2006/relationships/hyperlink" Target="https://docs.google.com/forms/d/e/1FAIpQLSe41t1VsvN-rfcwsRSkalz89S2yqQc4zpWrbdcrwPo95Iif-Q/viewform" TargetMode="External"/><Relationship Id="rId26" Type="http://schemas.openxmlformats.org/officeDocument/2006/relationships/hyperlink" Target="https://luna-dr.com/subjects/bridal-check/" TargetMode="External"/><Relationship Id="rId25" Type="http://schemas.openxmlformats.org/officeDocument/2006/relationships/hyperlink" Target="https://luna-dr.com/subjects/abnormal-vaginal-discharge/" TargetMode="External"/><Relationship Id="rId28" Type="http://schemas.openxmlformats.org/officeDocument/2006/relationships/hyperlink" Target="https://luna-dr.com/subjects/pregnancy-test/" TargetMode="External"/><Relationship Id="rId27" Type="http://schemas.openxmlformats.org/officeDocument/2006/relationships/hyperlink" Target="https://luna-dr.com/subjects/std/" TargetMode="External"/><Relationship Id="rId521" Type="http://schemas.openxmlformats.org/officeDocument/2006/relationships/hyperlink" Target="https://luna-dr.com/subjects/abortion_page/" TargetMode="External"/><Relationship Id="rId763" Type="http://schemas.openxmlformats.org/officeDocument/2006/relationships/hyperlink" Target="https://shop.luna-dr.com/" TargetMode="External"/><Relationship Id="rId29" Type="http://schemas.openxmlformats.org/officeDocument/2006/relationships/hyperlink" Target="https://luna-dr.com/subjects/pregnancy-test/" TargetMode="External"/><Relationship Id="rId520" Type="http://schemas.openxmlformats.org/officeDocument/2006/relationships/hyperlink" Target="https://luna-dr.com/subjects/abortion_page/" TargetMode="External"/><Relationship Id="rId762" Type="http://schemas.openxmlformats.org/officeDocument/2006/relationships/hyperlink" Target="https://shop.luna-dr.com/collections/low_dose_pill_subscription" TargetMode="External"/><Relationship Id="rId761" Type="http://schemas.openxmlformats.org/officeDocument/2006/relationships/hyperlink" Target="https://shop.luna-dr.com/collections/low_dose_pill_subscription" TargetMode="External"/><Relationship Id="rId760" Type="http://schemas.openxmlformats.org/officeDocument/2006/relationships/hyperlink" Target="https://shop.luna-dr.com/collections/low_dose_pill_subscription" TargetMode="External"/><Relationship Id="rId11" Type="http://schemas.openxmlformats.org/officeDocument/2006/relationships/hyperlink" Target="https://cline-app.com/qr-codes/98ad6f149bfa20f4f2a9a2e91aac4187/preview" TargetMode="External"/><Relationship Id="rId10" Type="http://schemas.openxmlformats.org/officeDocument/2006/relationships/hyperlink" Target="https://cline-app.com/qr-codes/98ad6f149bfa20f4f2a9a2e91aac4187/preview" TargetMode="External"/><Relationship Id="rId13" Type="http://schemas.openxmlformats.org/officeDocument/2006/relationships/hyperlink" Target="https://luna-dr.com/" TargetMode="External"/><Relationship Id="rId12" Type="http://schemas.openxmlformats.org/officeDocument/2006/relationships/hyperlink" Target="https://cline-app.com/qr-codes/98ad6f149bfa20f4f2a9a2e91aac4187/preview" TargetMode="External"/><Relationship Id="rId519" Type="http://schemas.openxmlformats.org/officeDocument/2006/relationships/hyperlink" Target="https://luna-dr.com/subjects/abortion_page/" TargetMode="External"/><Relationship Id="rId514" Type="http://schemas.openxmlformats.org/officeDocument/2006/relationships/hyperlink" Target="https://luna-dr.com/subjects/abortion_page/" TargetMode="External"/><Relationship Id="rId756" Type="http://schemas.openxmlformats.org/officeDocument/2006/relationships/hyperlink" Target="https://luna-dr.com/femcheck/faq/" TargetMode="External"/><Relationship Id="rId513" Type="http://schemas.openxmlformats.org/officeDocument/2006/relationships/hyperlink" Target="https://luna-dr.com/subjects/abortion_page/" TargetMode="External"/><Relationship Id="rId755" Type="http://schemas.openxmlformats.org/officeDocument/2006/relationships/hyperlink" Target="https://luna-dr.com/femcheck/faq/" TargetMode="External"/><Relationship Id="rId512" Type="http://schemas.openxmlformats.org/officeDocument/2006/relationships/hyperlink" Target="https://luna-dr.com/subjects/abortion_page/" TargetMode="External"/><Relationship Id="rId754" Type="http://schemas.openxmlformats.org/officeDocument/2006/relationships/hyperlink" Target="https://luna-dr.com/femcheck/faq/" TargetMode="External"/><Relationship Id="rId511" Type="http://schemas.openxmlformats.org/officeDocument/2006/relationships/hyperlink" Target="https://luna-dr.com/subjects/abortion_page/" TargetMode="External"/><Relationship Id="rId753" Type="http://schemas.openxmlformats.org/officeDocument/2006/relationships/hyperlink" Target="https://luna-dr.com/femcheck/faq/" TargetMode="External"/><Relationship Id="rId518" Type="http://schemas.openxmlformats.org/officeDocument/2006/relationships/hyperlink" Target="https://luna-dr.com/subjects/abortion_page/" TargetMode="External"/><Relationship Id="rId517" Type="http://schemas.openxmlformats.org/officeDocument/2006/relationships/hyperlink" Target="https://luna-dr.com/subjects/abortion_page/" TargetMode="External"/><Relationship Id="rId759" Type="http://schemas.openxmlformats.org/officeDocument/2006/relationships/hyperlink" Target="https://shop.luna-dr.com/collections/low_dose_pill_subscription" TargetMode="External"/><Relationship Id="rId516" Type="http://schemas.openxmlformats.org/officeDocument/2006/relationships/hyperlink" Target="https://luna-dr.com/subjects/abortion_page/" TargetMode="External"/><Relationship Id="rId758" Type="http://schemas.openxmlformats.org/officeDocument/2006/relationships/hyperlink" Target="https://luna-dr.com/" TargetMode="External"/><Relationship Id="rId515" Type="http://schemas.openxmlformats.org/officeDocument/2006/relationships/hyperlink" Target="https://luna-dr.com/subjects/abortion_page/" TargetMode="External"/><Relationship Id="rId757" Type="http://schemas.openxmlformats.org/officeDocument/2006/relationships/hyperlink" Target="https://luna-dr.com/femcheck/faq/" TargetMode="External"/><Relationship Id="rId15" Type="http://schemas.openxmlformats.org/officeDocument/2006/relationships/hyperlink" Target="https://luna-dr.com/" TargetMode="External"/><Relationship Id="rId14" Type="http://schemas.openxmlformats.org/officeDocument/2006/relationships/hyperlink" Target="https://luna-dr.com/" TargetMode="External"/><Relationship Id="rId17" Type="http://schemas.openxmlformats.org/officeDocument/2006/relationships/hyperlink" Target="https://luna-dr.com/subjects/menstrual-irregularity/" TargetMode="External"/><Relationship Id="rId16" Type="http://schemas.openxmlformats.org/officeDocument/2006/relationships/hyperlink" Target="https://luna-dr.com/subjects/menstrual-pain/" TargetMode="External"/><Relationship Id="rId19" Type="http://schemas.openxmlformats.org/officeDocument/2006/relationships/hyperlink" Target="https://luna-dr.com/subjects/abortion_page/" TargetMode="External"/><Relationship Id="rId510" Type="http://schemas.openxmlformats.org/officeDocument/2006/relationships/hyperlink" Target="https://luna-dr.com/subjects/abortion_page/" TargetMode="External"/><Relationship Id="rId752" Type="http://schemas.openxmlformats.org/officeDocument/2006/relationships/hyperlink" Target="https://luna-dr.com/femcheck/faq/" TargetMode="External"/><Relationship Id="rId18" Type="http://schemas.openxmlformats.org/officeDocument/2006/relationships/hyperlink" Target="https://luna-dr.com/subjects/menstrual-pain/" TargetMode="External"/><Relationship Id="rId751" Type="http://schemas.openxmlformats.org/officeDocument/2006/relationships/hyperlink" Target="https://luna-dr.com/femcheck/faq/" TargetMode="External"/><Relationship Id="rId750" Type="http://schemas.openxmlformats.org/officeDocument/2006/relationships/hyperlink" Target="https://luna-dr.com/femcheck/faq/" TargetMode="External"/><Relationship Id="rId84" Type="http://schemas.openxmlformats.org/officeDocument/2006/relationships/hyperlink" Target="https://luna-dr.com/subjects/menstrual-manipulation/" TargetMode="External"/><Relationship Id="rId83" Type="http://schemas.openxmlformats.org/officeDocument/2006/relationships/hyperlink" Target="https://luna-dr.com/subjects/menstrual-manipulation/" TargetMode="External"/><Relationship Id="rId86" Type="http://schemas.openxmlformats.org/officeDocument/2006/relationships/hyperlink" Target="https://luna-dr.com/subjects/menstrual-manipulation/" TargetMode="External"/><Relationship Id="rId85" Type="http://schemas.openxmlformats.org/officeDocument/2006/relationships/hyperlink" Target="https://luna-dr.com/subjects/menstrual-manipulation/" TargetMode="External"/><Relationship Id="rId88" Type="http://schemas.openxmlformats.org/officeDocument/2006/relationships/hyperlink" Target="https://luna-dr.com/subjects/menstrual-manipulation/" TargetMode="External"/><Relationship Id="rId87" Type="http://schemas.openxmlformats.org/officeDocument/2006/relationships/hyperlink" Target="https://luna-dr.com/subjects/menstrual-manipulation/" TargetMode="External"/><Relationship Id="rId89" Type="http://schemas.openxmlformats.org/officeDocument/2006/relationships/hyperlink" Target="https://luna-dr.com/subjects/menstrual-manipulation/" TargetMode="External"/><Relationship Id="rId709" Type="http://schemas.openxmlformats.org/officeDocument/2006/relationships/hyperlink" Target="https://luna-dr.com/femcheck/about/" TargetMode="External"/><Relationship Id="rId708" Type="http://schemas.openxmlformats.org/officeDocument/2006/relationships/hyperlink" Target="https://luna-dr.com/femcheck/about/" TargetMode="External"/><Relationship Id="rId707" Type="http://schemas.openxmlformats.org/officeDocument/2006/relationships/hyperlink" Target="https://luna-dr.com/femcheck/about/" TargetMode="External"/><Relationship Id="rId706" Type="http://schemas.openxmlformats.org/officeDocument/2006/relationships/hyperlink" Target="https://luna-dr.com/femcheck/about/" TargetMode="External"/><Relationship Id="rId80" Type="http://schemas.openxmlformats.org/officeDocument/2006/relationships/hyperlink" Target="https://luna-dr.com/" TargetMode="External"/><Relationship Id="rId82" Type="http://schemas.openxmlformats.org/officeDocument/2006/relationships/hyperlink" Target="https://luna-dr.com/subjects/menstrual-manipulation/" TargetMode="External"/><Relationship Id="rId81" Type="http://schemas.openxmlformats.org/officeDocument/2006/relationships/hyperlink" Target="https://luna-dr.com/subjects/menstrual-manipulation/" TargetMode="External"/><Relationship Id="rId701" Type="http://schemas.openxmlformats.org/officeDocument/2006/relationships/hyperlink" Target="https://luna-dr.com/femcheck/about/" TargetMode="External"/><Relationship Id="rId700" Type="http://schemas.openxmlformats.org/officeDocument/2006/relationships/hyperlink" Target="https://luna-dr.com/femcheck/about/" TargetMode="External"/><Relationship Id="rId705" Type="http://schemas.openxmlformats.org/officeDocument/2006/relationships/hyperlink" Target="https://luna-dr.com/femcheck/about/" TargetMode="External"/><Relationship Id="rId704" Type="http://schemas.openxmlformats.org/officeDocument/2006/relationships/hyperlink" Target="https://luna-dr.com/femcheck/about/" TargetMode="External"/><Relationship Id="rId703" Type="http://schemas.openxmlformats.org/officeDocument/2006/relationships/hyperlink" Target="https://luna-dr.com/femcheck/about/" TargetMode="External"/><Relationship Id="rId702" Type="http://schemas.openxmlformats.org/officeDocument/2006/relationships/hyperlink" Target="https://luna-dr.com/femcheck/about/" TargetMode="External"/><Relationship Id="rId73" Type="http://schemas.openxmlformats.org/officeDocument/2006/relationships/hyperlink" Target="https://luna-dr.com/" TargetMode="External"/><Relationship Id="rId72" Type="http://schemas.openxmlformats.org/officeDocument/2006/relationships/hyperlink" Target="https://luna-dr.com/" TargetMode="External"/><Relationship Id="rId75" Type="http://schemas.openxmlformats.org/officeDocument/2006/relationships/hyperlink" Target="https://luna-dr.com/" TargetMode="External"/><Relationship Id="rId74" Type="http://schemas.openxmlformats.org/officeDocument/2006/relationships/hyperlink" Target="https://luna-dr.com/" TargetMode="External"/><Relationship Id="rId77" Type="http://schemas.openxmlformats.org/officeDocument/2006/relationships/hyperlink" Target="https://luna-dr.com/" TargetMode="External"/><Relationship Id="rId76" Type="http://schemas.openxmlformats.org/officeDocument/2006/relationships/hyperlink" Target="https://luna-dr.com/" TargetMode="External"/><Relationship Id="rId79" Type="http://schemas.openxmlformats.org/officeDocument/2006/relationships/hyperlink" Target="https://luna-dr.com/" TargetMode="External"/><Relationship Id="rId78" Type="http://schemas.openxmlformats.org/officeDocument/2006/relationships/hyperlink" Target="https://luna-dr.com/" TargetMode="External"/><Relationship Id="rId71" Type="http://schemas.openxmlformats.org/officeDocument/2006/relationships/hyperlink" Target="https://luna-dr.com/" TargetMode="External"/><Relationship Id="rId70" Type="http://schemas.openxmlformats.org/officeDocument/2006/relationships/hyperlink" Target="https://luna-dr.com/" TargetMode="External"/><Relationship Id="rId62" Type="http://schemas.openxmlformats.org/officeDocument/2006/relationships/hyperlink" Target="https://luna-dr.com/telemedicine/" TargetMode="External"/><Relationship Id="rId61" Type="http://schemas.openxmlformats.org/officeDocument/2006/relationships/hyperlink" Target="https://luna-dr.com/telemedicine/" TargetMode="External"/><Relationship Id="rId64" Type="http://schemas.openxmlformats.org/officeDocument/2006/relationships/hyperlink" Target="https://luna-dr.com/telemedicine/" TargetMode="External"/><Relationship Id="rId63" Type="http://schemas.openxmlformats.org/officeDocument/2006/relationships/hyperlink" Target="https://luna-dr.com/telemedicine/" TargetMode="External"/><Relationship Id="rId66" Type="http://schemas.openxmlformats.org/officeDocument/2006/relationships/hyperlink" Target="https://luna-dr.com/telemedicine/" TargetMode="External"/><Relationship Id="rId65" Type="http://schemas.openxmlformats.org/officeDocument/2006/relationships/hyperlink" Target="https://luna-dr.com/telemedicine/" TargetMode="External"/><Relationship Id="rId68" Type="http://schemas.openxmlformats.org/officeDocument/2006/relationships/hyperlink" Target="https://luna-dr.com/" TargetMode="External"/><Relationship Id="rId67" Type="http://schemas.openxmlformats.org/officeDocument/2006/relationships/hyperlink" Target="https://luna-dr.com/" TargetMode="External"/><Relationship Id="rId729" Type="http://schemas.openxmlformats.org/officeDocument/2006/relationships/hyperlink" Target="https://luna-dr.com/femcheck/about/" TargetMode="External"/><Relationship Id="rId728" Type="http://schemas.openxmlformats.org/officeDocument/2006/relationships/hyperlink" Target="https://luna-dr.com/femcheck/about/" TargetMode="External"/><Relationship Id="rId60" Type="http://schemas.openxmlformats.org/officeDocument/2006/relationships/hyperlink" Target="https://luna-dr.com/telemedicine/" TargetMode="External"/><Relationship Id="rId723" Type="http://schemas.openxmlformats.org/officeDocument/2006/relationships/hyperlink" Target="https://luna-dr.com/femcheck/about/" TargetMode="External"/><Relationship Id="rId722" Type="http://schemas.openxmlformats.org/officeDocument/2006/relationships/hyperlink" Target="https://luna-dr.com/femcheck/about/" TargetMode="External"/><Relationship Id="rId721" Type="http://schemas.openxmlformats.org/officeDocument/2006/relationships/hyperlink" Target="https://luna-dr.com/femcheck/about/" TargetMode="External"/><Relationship Id="rId720" Type="http://schemas.openxmlformats.org/officeDocument/2006/relationships/hyperlink" Target="https://luna-dr.com/femcheck/about/" TargetMode="External"/><Relationship Id="rId727" Type="http://schemas.openxmlformats.org/officeDocument/2006/relationships/hyperlink" Target="https://luna-dr.com/femcheck/about/" TargetMode="External"/><Relationship Id="rId726" Type="http://schemas.openxmlformats.org/officeDocument/2006/relationships/hyperlink" Target="https://luna-dr.com/femcheck/about/" TargetMode="External"/><Relationship Id="rId725" Type="http://schemas.openxmlformats.org/officeDocument/2006/relationships/hyperlink" Target="https://luna-dr.com/femcheck/about/" TargetMode="External"/><Relationship Id="rId724" Type="http://schemas.openxmlformats.org/officeDocument/2006/relationships/hyperlink" Target="https://luna-dr.com/femcheck/about/" TargetMode="External"/><Relationship Id="rId69" Type="http://schemas.openxmlformats.org/officeDocument/2006/relationships/hyperlink" Target="https://luna-dr.com/" TargetMode="External"/><Relationship Id="rId51" Type="http://schemas.openxmlformats.org/officeDocument/2006/relationships/hyperlink" Target="https://luna-dr.com/question/" TargetMode="External"/><Relationship Id="rId50" Type="http://schemas.openxmlformats.org/officeDocument/2006/relationships/hyperlink" Target="https://luna-dr.com/question/" TargetMode="External"/><Relationship Id="rId53" Type="http://schemas.openxmlformats.org/officeDocument/2006/relationships/hyperlink" Target="https://luna-dr.com/telemedicine/" TargetMode="External"/><Relationship Id="rId52" Type="http://schemas.openxmlformats.org/officeDocument/2006/relationships/hyperlink" Target="https://luna-dr.com/question/" TargetMode="External"/><Relationship Id="rId55" Type="http://schemas.openxmlformats.org/officeDocument/2006/relationships/hyperlink" Target="https://luna-dr.com/telemedicine/" TargetMode="External"/><Relationship Id="rId54" Type="http://schemas.openxmlformats.org/officeDocument/2006/relationships/hyperlink" Target="https://luna-dr.com/telemedicine/" TargetMode="External"/><Relationship Id="rId57" Type="http://schemas.openxmlformats.org/officeDocument/2006/relationships/hyperlink" Target="https://luna-dr.com/telemedicine/" TargetMode="External"/><Relationship Id="rId56" Type="http://schemas.openxmlformats.org/officeDocument/2006/relationships/hyperlink" Target="https://luna-dr.com/telemedicine/" TargetMode="External"/><Relationship Id="rId719" Type="http://schemas.openxmlformats.org/officeDocument/2006/relationships/hyperlink" Target="https://luna-dr.com/femcheck/about/" TargetMode="External"/><Relationship Id="rId718" Type="http://schemas.openxmlformats.org/officeDocument/2006/relationships/hyperlink" Target="https://luna-dr.com/femcheck/about/" TargetMode="External"/><Relationship Id="rId717" Type="http://schemas.openxmlformats.org/officeDocument/2006/relationships/hyperlink" Target="https://luna-dr.com/femcheck/about/" TargetMode="External"/><Relationship Id="rId712" Type="http://schemas.openxmlformats.org/officeDocument/2006/relationships/hyperlink" Target="https://luna-dr.com/femcheck/about/" TargetMode="External"/><Relationship Id="rId711" Type="http://schemas.openxmlformats.org/officeDocument/2006/relationships/hyperlink" Target="https://luna-dr.com/femcheck/about/" TargetMode="External"/><Relationship Id="rId710" Type="http://schemas.openxmlformats.org/officeDocument/2006/relationships/hyperlink" Target="https://luna-dr.com/femcheck/about/" TargetMode="External"/><Relationship Id="rId716" Type="http://schemas.openxmlformats.org/officeDocument/2006/relationships/hyperlink" Target="https://luna-dr.com/femcheck/about/" TargetMode="External"/><Relationship Id="rId715" Type="http://schemas.openxmlformats.org/officeDocument/2006/relationships/hyperlink" Target="https://luna-dr.com/femcheck/about/" TargetMode="External"/><Relationship Id="rId714" Type="http://schemas.openxmlformats.org/officeDocument/2006/relationships/hyperlink" Target="https://luna-dr.com/femcheck/about/" TargetMode="External"/><Relationship Id="rId713" Type="http://schemas.openxmlformats.org/officeDocument/2006/relationships/hyperlink" Target="https://luna-dr.com/femcheck/about/" TargetMode="External"/><Relationship Id="rId59" Type="http://schemas.openxmlformats.org/officeDocument/2006/relationships/hyperlink" Target="https://luna-dr.com/telemedicine/" TargetMode="External"/><Relationship Id="rId58" Type="http://schemas.openxmlformats.org/officeDocument/2006/relationships/hyperlink" Target="https://luna-dr.com/telemedicine/" TargetMode="External"/><Relationship Id="rId590" Type="http://schemas.openxmlformats.org/officeDocument/2006/relationships/hyperlink" Target="https://luna-dr.com/subjects/bridal-check/" TargetMode="External"/><Relationship Id="rId107" Type="http://schemas.openxmlformats.org/officeDocument/2006/relationships/hyperlink" Target="https://luna-dr.com/subjects/menstrual-manipulation/" TargetMode="External"/><Relationship Id="rId349" Type="http://schemas.openxmlformats.org/officeDocument/2006/relationships/hyperlink" Target="https://luna-dr.com/subjects/abnormal-vaginal-discharge/" TargetMode="External"/><Relationship Id="rId106" Type="http://schemas.openxmlformats.org/officeDocument/2006/relationships/hyperlink" Target="https://luna-dr.com/subjects/menstrual-manipulation/" TargetMode="External"/><Relationship Id="rId348" Type="http://schemas.openxmlformats.org/officeDocument/2006/relationships/hyperlink" Target="https://luna-dr.com/subjects/abnormal-vaginal-discharge/" TargetMode="External"/><Relationship Id="rId105" Type="http://schemas.openxmlformats.org/officeDocument/2006/relationships/hyperlink" Target="https://luna-dr.com/subjects/menstrual-manipulation/" TargetMode="External"/><Relationship Id="rId347" Type="http://schemas.openxmlformats.org/officeDocument/2006/relationships/hyperlink" Target="https://luna-dr.com/subjects/abnormal-vaginal-discharge/" TargetMode="External"/><Relationship Id="rId589" Type="http://schemas.openxmlformats.org/officeDocument/2006/relationships/hyperlink" Target="https://luna-dr.com/subjects/bridal-check/" TargetMode="External"/><Relationship Id="rId104" Type="http://schemas.openxmlformats.org/officeDocument/2006/relationships/hyperlink" Target="https://luna-dr.com/subjects/menstrual-manipulation/" TargetMode="External"/><Relationship Id="rId346" Type="http://schemas.openxmlformats.org/officeDocument/2006/relationships/hyperlink" Target="https://luna-dr.com/subjects/abnormal-vaginal-discharge/" TargetMode="External"/><Relationship Id="rId588" Type="http://schemas.openxmlformats.org/officeDocument/2006/relationships/hyperlink" Target="https://luna-dr.com/subjects/bridal-check/" TargetMode="External"/><Relationship Id="rId109" Type="http://schemas.openxmlformats.org/officeDocument/2006/relationships/hyperlink" Target="https://luna-dr.com/subjects/menstrual-manipulation/" TargetMode="External"/><Relationship Id="rId108" Type="http://schemas.openxmlformats.org/officeDocument/2006/relationships/hyperlink" Target="https://luna-dr.com/subjects/menstrual-manipulation/" TargetMode="External"/><Relationship Id="rId341" Type="http://schemas.openxmlformats.org/officeDocument/2006/relationships/hyperlink" Target="https://luna-dr.com/subjects/ius-treatment/" TargetMode="External"/><Relationship Id="rId583" Type="http://schemas.openxmlformats.org/officeDocument/2006/relationships/hyperlink" Target="https://luna-dr.com/subjects/bridal-check/" TargetMode="External"/><Relationship Id="rId340" Type="http://schemas.openxmlformats.org/officeDocument/2006/relationships/hyperlink" Target="https://luna-dr.com/subjects/ius-treatment/" TargetMode="External"/><Relationship Id="rId582" Type="http://schemas.openxmlformats.org/officeDocument/2006/relationships/hyperlink" Target="https://luna-dr.com/subjects/bridal-check/" TargetMode="External"/><Relationship Id="rId581" Type="http://schemas.openxmlformats.org/officeDocument/2006/relationships/hyperlink" Target="https://luna-dr.com/subjects/bridal-check/" TargetMode="External"/><Relationship Id="rId580" Type="http://schemas.openxmlformats.org/officeDocument/2006/relationships/hyperlink" Target="https://luna-dr.com/subjects/bridal-check/" TargetMode="External"/><Relationship Id="rId103" Type="http://schemas.openxmlformats.org/officeDocument/2006/relationships/hyperlink" Target="https://luna-dr.com/subjects/menstrual-manipulation/" TargetMode="External"/><Relationship Id="rId345" Type="http://schemas.openxmlformats.org/officeDocument/2006/relationships/hyperlink" Target="https://luna-dr.com/subjects/abnormal-vaginal-discharge/" TargetMode="External"/><Relationship Id="rId587" Type="http://schemas.openxmlformats.org/officeDocument/2006/relationships/hyperlink" Target="https://luna-dr.com/subjects/bridal-check/" TargetMode="External"/><Relationship Id="rId102" Type="http://schemas.openxmlformats.org/officeDocument/2006/relationships/hyperlink" Target="https://luna-dr.com/subjects/menstrual-manipulation/" TargetMode="External"/><Relationship Id="rId344" Type="http://schemas.openxmlformats.org/officeDocument/2006/relationships/hyperlink" Target="https://luna-dr.com/subjects/ius-treatment/" TargetMode="External"/><Relationship Id="rId586" Type="http://schemas.openxmlformats.org/officeDocument/2006/relationships/hyperlink" Target="https://luna-dr.com/subjects/bridal-check/" TargetMode="External"/><Relationship Id="rId101" Type="http://schemas.openxmlformats.org/officeDocument/2006/relationships/hyperlink" Target="https://luna-dr.com/subjects/menstrual-manipulation/" TargetMode="External"/><Relationship Id="rId343" Type="http://schemas.openxmlformats.org/officeDocument/2006/relationships/hyperlink" Target="https://luna-dr.com/subjects/ius-treatment/" TargetMode="External"/><Relationship Id="rId585" Type="http://schemas.openxmlformats.org/officeDocument/2006/relationships/hyperlink" Target="https://luna-dr.com/subjects/bridal-check/" TargetMode="External"/><Relationship Id="rId100" Type="http://schemas.openxmlformats.org/officeDocument/2006/relationships/hyperlink" Target="https://luna-dr.com/subjects/menstrual-manipulation/" TargetMode="External"/><Relationship Id="rId342" Type="http://schemas.openxmlformats.org/officeDocument/2006/relationships/hyperlink" Target="https://luna-dr.com/subjects/ius-treatment/" TargetMode="External"/><Relationship Id="rId584" Type="http://schemas.openxmlformats.org/officeDocument/2006/relationships/hyperlink" Target="https://luna-dr.com/subjects/bridal-check/" TargetMode="External"/><Relationship Id="rId338" Type="http://schemas.openxmlformats.org/officeDocument/2006/relationships/hyperlink" Target="https://luna-dr.com/subjects/ius-treatment/" TargetMode="External"/><Relationship Id="rId337" Type="http://schemas.openxmlformats.org/officeDocument/2006/relationships/hyperlink" Target="https://luna-dr.com/subjects/ius-treatment/" TargetMode="External"/><Relationship Id="rId579" Type="http://schemas.openxmlformats.org/officeDocument/2006/relationships/hyperlink" Target="https://luna-dr.com/subjects/bridal-check/" TargetMode="External"/><Relationship Id="rId336" Type="http://schemas.openxmlformats.org/officeDocument/2006/relationships/hyperlink" Target="https://luna-dr.com/subjects/ius-treatment/" TargetMode="External"/><Relationship Id="rId578" Type="http://schemas.openxmlformats.org/officeDocument/2006/relationships/hyperlink" Target="https://luna-dr.com/subjects/bridal-check/" TargetMode="External"/><Relationship Id="rId335" Type="http://schemas.openxmlformats.org/officeDocument/2006/relationships/hyperlink" Target="https://luna-dr.com/subjects/ius-treatment/" TargetMode="External"/><Relationship Id="rId577" Type="http://schemas.openxmlformats.org/officeDocument/2006/relationships/hyperlink" Target="https://luna-dr.com/subjects/bridal-check/" TargetMode="External"/><Relationship Id="rId339" Type="http://schemas.openxmlformats.org/officeDocument/2006/relationships/hyperlink" Target="https://luna-dr.com/subjects/ius-treatment/" TargetMode="External"/><Relationship Id="rId330" Type="http://schemas.openxmlformats.org/officeDocument/2006/relationships/hyperlink" Target="https://luna-dr.com/subjects/ius-treatment/" TargetMode="External"/><Relationship Id="rId572" Type="http://schemas.openxmlformats.org/officeDocument/2006/relationships/hyperlink" Target="https://luna-dr.com/subjects/abortion_page/" TargetMode="External"/><Relationship Id="rId571" Type="http://schemas.openxmlformats.org/officeDocument/2006/relationships/hyperlink" Target="https://luna-dr.com/subjects/abortion_page/" TargetMode="External"/><Relationship Id="rId570" Type="http://schemas.openxmlformats.org/officeDocument/2006/relationships/hyperlink" Target="https://luna-dr.com/subjects/abortion_page/" TargetMode="External"/><Relationship Id="rId334" Type="http://schemas.openxmlformats.org/officeDocument/2006/relationships/hyperlink" Target="https://luna-dr.com/subjects/ius-treatment/" TargetMode="External"/><Relationship Id="rId576" Type="http://schemas.openxmlformats.org/officeDocument/2006/relationships/hyperlink" Target="https://luna-dr.com/subjects/bridal-check/" TargetMode="External"/><Relationship Id="rId333" Type="http://schemas.openxmlformats.org/officeDocument/2006/relationships/hyperlink" Target="https://luna-dr.com/subjects/ius-treatment/" TargetMode="External"/><Relationship Id="rId575" Type="http://schemas.openxmlformats.org/officeDocument/2006/relationships/hyperlink" Target="https://luna-dr.com/subjects/bridal-check/" TargetMode="External"/><Relationship Id="rId332" Type="http://schemas.openxmlformats.org/officeDocument/2006/relationships/hyperlink" Target="https://luna-dr.com/subjects/ius-treatment/" TargetMode="External"/><Relationship Id="rId574" Type="http://schemas.openxmlformats.org/officeDocument/2006/relationships/hyperlink" Target="https://luna-dr.com/subjects/bridal-check/" TargetMode="External"/><Relationship Id="rId331" Type="http://schemas.openxmlformats.org/officeDocument/2006/relationships/hyperlink" Target="https://luna-dr.com/subjects/ius-treatment/" TargetMode="External"/><Relationship Id="rId573" Type="http://schemas.openxmlformats.org/officeDocument/2006/relationships/hyperlink" Target="https://luna-dr.com/subjects/abortion_page/" TargetMode="External"/><Relationship Id="rId370" Type="http://schemas.openxmlformats.org/officeDocument/2006/relationships/hyperlink" Target="https://luna-dr.com/subjects/abnormal-vaginal-discharge/" TargetMode="External"/><Relationship Id="rId129" Type="http://schemas.openxmlformats.org/officeDocument/2006/relationships/hyperlink" Target="https://luna-dr.com/" TargetMode="External"/><Relationship Id="rId128" Type="http://schemas.openxmlformats.org/officeDocument/2006/relationships/hyperlink" Target="https://luna-dr.com/" TargetMode="External"/><Relationship Id="rId127" Type="http://schemas.openxmlformats.org/officeDocument/2006/relationships/hyperlink" Target="https://luna-dr.com/" TargetMode="External"/><Relationship Id="rId369" Type="http://schemas.openxmlformats.org/officeDocument/2006/relationships/hyperlink" Target="https://luna-dr.com/subjects/abnormal-vaginal-discharge/" TargetMode="External"/><Relationship Id="rId126" Type="http://schemas.openxmlformats.org/officeDocument/2006/relationships/hyperlink" Target="https://luna-dr.com/" TargetMode="External"/><Relationship Id="rId368" Type="http://schemas.openxmlformats.org/officeDocument/2006/relationships/hyperlink" Target="https://luna-dr.com/subjects/abnormal-vaginal-discharge/" TargetMode="External"/><Relationship Id="rId121" Type="http://schemas.openxmlformats.org/officeDocument/2006/relationships/hyperlink" Target="https://luna-dr.com/subjects/menstrual-manipulation/" TargetMode="External"/><Relationship Id="rId363" Type="http://schemas.openxmlformats.org/officeDocument/2006/relationships/hyperlink" Target="https://luna-dr.com/subjects/abnormal-vaginal-discharge/" TargetMode="External"/><Relationship Id="rId120" Type="http://schemas.openxmlformats.org/officeDocument/2006/relationships/hyperlink" Target="https://luna-dr.com/subjects/menstrual-manipulation/" TargetMode="External"/><Relationship Id="rId362" Type="http://schemas.openxmlformats.org/officeDocument/2006/relationships/hyperlink" Target="https://luna-dr.com/subjects/abnormal-vaginal-discharge/" TargetMode="External"/><Relationship Id="rId361" Type="http://schemas.openxmlformats.org/officeDocument/2006/relationships/hyperlink" Target="https://luna-dr.com/subjects/abnormal-vaginal-discharge/" TargetMode="External"/><Relationship Id="rId360" Type="http://schemas.openxmlformats.org/officeDocument/2006/relationships/hyperlink" Target="https://luna-dr.com/subjects/abnormal-vaginal-discharge/" TargetMode="External"/><Relationship Id="rId125" Type="http://schemas.openxmlformats.org/officeDocument/2006/relationships/hyperlink" Target="https://luna-dr.com/" TargetMode="External"/><Relationship Id="rId367" Type="http://schemas.openxmlformats.org/officeDocument/2006/relationships/hyperlink" Target="https://luna-dr.com/subjects/abnormal-vaginal-discharge/" TargetMode="External"/><Relationship Id="rId124" Type="http://schemas.openxmlformats.org/officeDocument/2006/relationships/hyperlink" Target="https://luna-dr.com/" TargetMode="External"/><Relationship Id="rId366" Type="http://schemas.openxmlformats.org/officeDocument/2006/relationships/hyperlink" Target="https://luna-dr.com/subjects/abnormal-vaginal-discharge/" TargetMode="External"/><Relationship Id="rId123" Type="http://schemas.openxmlformats.org/officeDocument/2006/relationships/hyperlink" Target="https://luna-dr.com/subjects/menstrual-irregularity/" TargetMode="External"/><Relationship Id="rId365" Type="http://schemas.openxmlformats.org/officeDocument/2006/relationships/hyperlink" Target="https://luna-dr.com/subjects/abnormal-vaginal-discharge/" TargetMode="External"/><Relationship Id="rId122" Type="http://schemas.openxmlformats.org/officeDocument/2006/relationships/hyperlink" Target="https://luna-dr.com/subjects/menstrual-irregularity/" TargetMode="External"/><Relationship Id="rId364" Type="http://schemas.openxmlformats.org/officeDocument/2006/relationships/hyperlink" Target="https://luna-dr.com/subjects/abnormal-vaginal-discharge/" TargetMode="External"/><Relationship Id="rId95" Type="http://schemas.openxmlformats.org/officeDocument/2006/relationships/hyperlink" Target="https://luna-dr.com/subjects/menstrual-manipulation/" TargetMode="External"/><Relationship Id="rId94" Type="http://schemas.openxmlformats.org/officeDocument/2006/relationships/hyperlink" Target="https://luna-dr.com/subjects/menstrual-manipulation/" TargetMode="External"/><Relationship Id="rId97" Type="http://schemas.openxmlformats.org/officeDocument/2006/relationships/hyperlink" Target="https://luna-dr.com/subjects/menstrual-manipulation/" TargetMode="External"/><Relationship Id="rId96" Type="http://schemas.openxmlformats.org/officeDocument/2006/relationships/hyperlink" Target="https://luna-dr.com/subjects/menstrual-manipulation/" TargetMode="External"/><Relationship Id="rId99" Type="http://schemas.openxmlformats.org/officeDocument/2006/relationships/hyperlink" Target="https://luna-dr.com/subjects/menstrual-manipulation/" TargetMode="External"/><Relationship Id="rId98" Type="http://schemas.openxmlformats.org/officeDocument/2006/relationships/hyperlink" Target="https://luna-dr.com/subjects/menstrual-manipulation/" TargetMode="External"/><Relationship Id="rId91" Type="http://schemas.openxmlformats.org/officeDocument/2006/relationships/hyperlink" Target="https://luna-dr.com/subjects/menstrual-manipulation/" TargetMode="External"/><Relationship Id="rId90" Type="http://schemas.openxmlformats.org/officeDocument/2006/relationships/hyperlink" Target="https://luna-dr.com/subjects/menstrual-manipulation/" TargetMode="External"/><Relationship Id="rId93" Type="http://schemas.openxmlformats.org/officeDocument/2006/relationships/hyperlink" Target="https://luna-dr.com/subjects/menstrual-manipulation/" TargetMode="External"/><Relationship Id="rId92" Type="http://schemas.openxmlformats.org/officeDocument/2006/relationships/hyperlink" Target="https://luna-dr.com/subjects/menstrual-manipulation/" TargetMode="External"/><Relationship Id="rId118" Type="http://schemas.openxmlformats.org/officeDocument/2006/relationships/hyperlink" Target="https://luna-dr.com/subjects/menstrual-manipulation/" TargetMode="External"/><Relationship Id="rId117" Type="http://schemas.openxmlformats.org/officeDocument/2006/relationships/hyperlink" Target="https://luna-dr.com/subjects/menstrual-manipulation/" TargetMode="External"/><Relationship Id="rId359" Type="http://schemas.openxmlformats.org/officeDocument/2006/relationships/hyperlink" Target="https://luna-dr.com/subjects/abnormal-vaginal-discharge/" TargetMode="External"/><Relationship Id="rId116" Type="http://schemas.openxmlformats.org/officeDocument/2006/relationships/hyperlink" Target="https://luna-dr.com/subjects/menstrual-manipulation/" TargetMode="External"/><Relationship Id="rId358" Type="http://schemas.openxmlformats.org/officeDocument/2006/relationships/hyperlink" Target="https://luna-dr.com/subjects/abnormal-vaginal-discharge/" TargetMode="External"/><Relationship Id="rId115" Type="http://schemas.openxmlformats.org/officeDocument/2006/relationships/hyperlink" Target="https://luna-dr.com/subjects/menstrual-manipulation/" TargetMode="External"/><Relationship Id="rId357" Type="http://schemas.openxmlformats.org/officeDocument/2006/relationships/hyperlink" Target="https://luna-dr.com/subjects/abnormal-vaginal-discharge/" TargetMode="External"/><Relationship Id="rId599" Type="http://schemas.openxmlformats.org/officeDocument/2006/relationships/hyperlink" Target="https://luna-dr.com/subjects/bridal-check/" TargetMode="External"/><Relationship Id="rId119" Type="http://schemas.openxmlformats.org/officeDocument/2006/relationships/hyperlink" Target="https://luna-dr.com/subjects/menstrual-manipulation/" TargetMode="External"/><Relationship Id="rId110" Type="http://schemas.openxmlformats.org/officeDocument/2006/relationships/hyperlink" Target="https://luna-dr.com/subjects/menstrual-manipulation/" TargetMode="External"/><Relationship Id="rId352" Type="http://schemas.openxmlformats.org/officeDocument/2006/relationships/hyperlink" Target="https://luna-dr.com/subjects/abnormal-vaginal-discharge/" TargetMode="External"/><Relationship Id="rId594" Type="http://schemas.openxmlformats.org/officeDocument/2006/relationships/hyperlink" Target="https://luna-dr.com/subjects/bridal-check/" TargetMode="External"/><Relationship Id="rId351" Type="http://schemas.openxmlformats.org/officeDocument/2006/relationships/hyperlink" Target="https://luna-dr.com/subjects/abnormal-vaginal-discharge/" TargetMode="External"/><Relationship Id="rId593" Type="http://schemas.openxmlformats.org/officeDocument/2006/relationships/hyperlink" Target="https://luna-dr.com/subjects/bridal-check/" TargetMode="External"/><Relationship Id="rId350" Type="http://schemas.openxmlformats.org/officeDocument/2006/relationships/hyperlink" Target="https://luna-dr.com/subjects/abnormal-vaginal-discharge/" TargetMode="External"/><Relationship Id="rId592" Type="http://schemas.openxmlformats.org/officeDocument/2006/relationships/hyperlink" Target="https://luna-dr.com/subjects/bridal-check/" TargetMode="External"/><Relationship Id="rId591" Type="http://schemas.openxmlformats.org/officeDocument/2006/relationships/hyperlink" Target="https://luna-dr.com/subjects/bridal-check/" TargetMode="External"/><Relationship Id="rId114" Type="http://schemas.openxmlformats.org/officeDocument/2006/relationships/hyperlink" Target="https://luna-dr.com/subjects/menstrual-manipulation/" TargetMode="External"/><Relationship Id="rId356" Type="http://schemas.openxmlformats.org/officeDocument/2006/relationships/hyperlink" Target="https://luna-dr.com/subjects/abnormal-vaginal-discharge/" TargetMode="External"/><Relationship Id="rId598" Type="http://schemas.openxmlformats.org/officeDocument/2006/relationships/hyperlink" Target="https://luna-dr.com/subjects/bridal-check/" TargetMode="External"/><Relationship Id="rId113" Type="http://schemas.openxmlformats.org/officeDocument/2006/relationships/hyperlink" Target="https://luna-dr.com/subjects/menstrual-manipulation/" TargetMode="External"/><Relationship Id="rId355" Type="http://schemas.openxmlformats.org/officeDocument/2006/relationships/hyperlink" Target="https://luna-dr.com/subjects/abnormal-vaginal-discharge/" TargetMode="External"/><Relationship Id="rId597" Type="http://schemas.openxmlformats.org/officeDocument/2006/relationships/hyperlink" Target="https://luna-dr.com/subjects/bridal-check/" TargetMode="External"/><Relationship Id="rId112" Type="http://schemas.openxmlformats.org/officeDocument/2006/relationships/hyperlink" Target="https://luna-dr.com/subjects/menstrual-manipulation/" TargetMode="External"/><Relationship Id="rId354" Type="http://schemas.openxmlformats.org/officeDocument/2006/relationships/hyperlink" Target="https://luna-dr.com/subjects/abnormal-vaginal-discharge/" TargetMode="External"/><Relationship Id="rId596" Type="http://schemas.openxmlformats.org/officeDocument/2006/relationships/hyperlink" Target="https://luna-dr.com/subjects/bridal-check/" TargetMode="External"/><Relationship Id="rId111" Type="http://schemas.openxmlformats.org/officeDocument/2006/relationships/hyperlink" Target="https://luna-dr.com/subjects/menstrual-manipulation/" TargetMode="External"/><Relationship Id="rId353" Type="http://schemas.openxmlformats.org/officeDocument/2006/relationships/hyperlink" Target="https://luna-dr.com/subjects/abnormal-vaginal-discharge/" TargetMode="External"/><Relationship Id="rId595" Type="http://schemas.openxmlformats.org/officeDocument/2006/relationships/hyperlink" Target="https://luna-dr.com/subjects/bridal-check/" TargetMode="External"/><Relationship Id="rId305" Type="http://schemas.openxmlformats.org/officeDocument/2006/relationships/hyperlink" Target="https://luna-dr.com/subjects/after-pill_page/" TargetMode="External"/><Relationship Id="rId547" Type="http://schemas.openxmlformats.org/officeDocument/2006/relationships/hyperlink" Target="https://luna-dr.com/subjects/abortion_page/" TargetMode="External"/><Relationship Id="rId789" Type="http://schemas.openxmlformats.org/officeDocument/2006/relationships/hyperlink" Target="https://cline-app.com/qr-codes/5281ce9ad8d178106e15ddf61c996e66/previewpage?utm_customid=977137868.1765506771-1766730497" TargetMode="External"/><Relationship Id="rId304" Type="http://schemas.openxmlformats.org/officeDocument/2006/relationships/hyperlink" Target="https://luna-dr.com/subjects/after-pill_page/" TargetMode="External"/><Relationship Id="rId546" Type="http://schemas.openxmlformats.org/officeDocument/2006/relationships/hyperlink" Target="https://luna-dr.com/subjects/pregnancy-test/" TargetMode="External"/><Relationship Id="rId788" Type="http://schemas.openxmlformats.org/officeDocument/2006/relationships/hyperlink" Target="https://cline-app.com/qr-codes/5281ce9ad8d178106e15ddf61c996e66/previewpage?utm_customid=977137868.1765506771-1766730497" TargetMode="External"/><Relationship Id="rId303" Type="http://schemas.openxmlformats.org/officeDocument/2006/relationships/hyperlink" Target="https://luna-dr.com/subjects/after-pill_page/" TargetMode="External"/><Relationship Id="rId545" Type="http://schemas.openxmlformats.org/officeDocument/2006/relationships/hyperlink" Target="https://luna-dr.com/subjects/pregnancy-test/" TargetMode="External"/><Relationship Id="rId787" Type="http://schemas.openxmlformats.org/officeDocument/2006/relationships/hyperlink" Target="https://cline-app.com/qr-codes/5281ce9ad8d178106e15ddf61c996e66/previewpage?utm_customid=977137868.1765506771-1766730497" TargetMode="External"/><Relationship Id="rId302" Type="http://schemas.openxmlformats.org/officeDocument/2006/relationships/hyperlink" Target="https://luna-dr.com/subjects/after-pill_page/" TargetMode="External"/><Relationship Id="rId544" Type="http://schemas.openxmlformats.org/officeDocument/2006/relationships/hyperlink" Target="https://luna-dr.com/subjects/pregnancy-test/" TargetMode="External"/><Relationship Id="rId786" Type="http://schemas.openxmlformats.org/officeDocument/2006/relationships/hyperlink" Target="https://cline-app.com/qr-codes/5281ce9ad8d178106e15ddf61c996e66/previewpage?utm_customid=977137868.1765506771-1766730497" TargetMode="External"/><Relationship Id="rId309" Type="http://schemas.openxmlformats.org/officeDocument/2006/relationships/hyperlink" Target="https://luna-dr.com/subjects/after-pill_page/" TargetMode="External"/><Relationship Id="rId308" Type="http://schemas.openxmlformats.org/officeDocument/2006/relationships/hyperlink" Target="https://luna-dr.com/subjects/after-pill_page/" TargetMode="External"/><Relationship Id="rId307" Type="http://schemas.openxmlformats.org/officeDocument/2006/relationships/hyperlink" Target="https://luna-dr.com/subjects/after-pill_page/" TargetMode="External"/><Relationship Id="rId549" Type="http://schemas.openxmlformats.org/officeDocument/2006/relationships/hyperlink" Target="https://luna-dr.com/subjects/abortion_page/" TargetMode="External"/><Relationship Id="rId306" Type="http://schemas.openxmlformats.org/officeDocument/2006/relationships/hyperlink" Target="https://luna-dr.com/subjects/after-pill_page/" TargetMode="External"/><Relationship Id="rId548" Type="http://schemas.openxmlformats.org/officeDocument/2006/relationships/hyperlink" Target="https://luna-dr.com/subjects/abortion_page/" TargetMode="External"/><Relationship Id="rId781" Type="http://schemas.openxmlformats.org/officeDocument/2006/relationships/hyperlink" Target="https://liff-gateway.lineml.jp/landing?follow=%40590gpxrd&amp;lp=rJHUjK&amp;liff_id=1657094566-LmjNPPbV" TargetMode="External"/><Relationship Id="rId780" Type="http://schemas.openxmlformats.org/officeDocument/2006/relationships/hyperlink" Target="https://shop.luna-dr.com/products/lactobacillus" TargetMode="External"/><Relationship Id="rId301" Type="http://schemas.openxmlformats.org/officeDocument/2006/relationships/hyperlink" Target="https://luna-dr.com/subjects/after-pill_page/" TargetMode="External"/><Relationship Id="rId543" Type="http://schemas.openxmlformats.org/officeDocument/2006/relationships/hyperlink" Target="https://luna-dr.com/subjects/pregnancy-test/" TargetMode="External"/><Relationship Id="rId785" Type="http://schemas.openxmlformats.org/officeDocument/2006/relationships/hyperlink" Target="https://shop.luna-dr.com/collections/femcheck/products/femcheck" TargetMode="External"/><Relationship Id="rId300" Type="http://schemas.openxmlformats.org/officeDocument/2006/relationships/hyperlink" Target="https://luna-dr.com/subjects/after-pill_page/" TargetMode="External"/><Relationship Id="rId542" Type="http://schemas.openxmlformats.org/officeDocument/2006/relationships/hyperlink" Target="https://luna-dr.com/subjects/pregnancy-test/" TargetMode="External"/><Relationship Id="rId784" Type="http://schemas.openxmlformats.org/officeDocument/2006/relationships/hyperlink" Target="https://shop.luna-dr.com/products/lactobacillus" TargetMode="External"/><Relationship Id="rId541" Type="http://schemas.openxmlformats.org/officeDocument/2006/relationships/hyperlink" Target="https://luna-dr.com/subjects/pregnancy-test/" TargetMode="External"/><Relationship Id="rId783" Type="http://schemas.openxmlformats.org/officeDocument/2006/relationships/hyperlink" Target="https://shop.luna-dr.com/products/lactobacillus" TargetMode="External"/><Relationship Id="rId540" Type="http://schemas.openxmlformats.org/officeDocument/2006/relationships/hyperlink" Target="https://luna-dr.com/subjects/pregnancy-test/" TargetMode="External"/><Relationship Id="rId782" Type="http://schemas.openxmlformats.org/officeDocument/2006/relationships/hyperlink" Target="https://shop.luna-dr.com/collections/femcheck/products/femcheck" TargetMode="External"/><Relationship Id="rId536" Type="http://schemas.openxmlformats.org/officeDocument/2006/relationships/hyperlink" Target="https://luna-dr.com/subjects/abortion_page/" TargetMode="External"/><Relationship Id="rId778" Type="http://schemas.openxmlformats.org/officeDocument/2006/relationships/hyperlink" Target="https://luna-dr.com/" TargetMode="External"/><Relationship Id="rId535" Type="http://schemas.openxmlformats.org/officeDocument/2006/relationships/hyperlink" Target="https://luna-dr.com/subjects/abortion_page/" TargetMode="External"/><Relationship Id="rId777" Type="http://schemas.openxmlformats.org/officeDocument/2006/relationships/hyperlink" Target="https://luna-dr.com/" TargetMode="External"/><Relationship Id="rId534" Type="http://schemas.openxmlformats.org/officeDocument/2006/relationships/hyperlink" Target="https://luna-dr.com/subjects/abortion_page/" TargetMode="External"/><Relationship Id="rId776" Type="http://schemas.openxmlformats.org/officeDocument/2006/relationships/hyperlink" Target="https://luna-dr.com/" TargetMode="External"/><Relationship Id="rId533" Type="http://schemas.openxmlformats.org/officeDocument/2006/relationships/hyperlink" Target="https://luna-dr.com/subjects/abortion_page/" TargetMode="External"/><Relationship Id="rId775" Type="http://schemas.openxmlformats.org/officeDocument/2006/relationships/hyperlink" Target="https://luna-dr.notion.site/1962f1eed8ff817497d6e727d9c32c73" TargetMode="External"/><Relationship Id="rId539" Type="http://schemas.openxmlformats.org/officeDocument/2006/relationships/hyperlink" Target="https://luna-dr.com/subjects/abortion_page/" TargetMode="External"/><Relationship Id="rId538" Type="http://schemas.openxmlformats.org/officeDocument/2006/relationships/hyperlink" Target="https://luna-dr.com/subjects/abortion_page/" TargetMode="External"/><Relationship Id="rId537" Type="http://schemas.openxmlformats.org/officeDocument/2006/relationships/hyperlink" Target="https://luna-dr.com/subjects/abortion_page/" TargetMode="External"/><Relationship Id="rId779" Type="http://schemas.openxmlformats.org/officeDocument/2006/relationships/hyperlink" Target="https://luna-dr.notion.site/f0a26ab231534d8fa9cb069193c411a4" TargetMode="External"/><Relationship Id="rId770" Type="http://schemas.openxmlformats.org/officeDocument/2006/relationships/hyperlink" Target="https://docs.google.com/forms/d/e/1FAIpQLSe41t1VsvN-rfcwsRSkalz89S2yqQc4zpWrbdcrwPo95Iif-Q/viewform" TargetMode="External"/><Relationship Id="rId532" Type="http://schemas.openxmlformats.org/officeDocument/2006/relationships/hyperlink" Target="https://luna-dr.com/subjects/abortion_page/" TargetMode="External"/><Relationship Id="rId774" Type="http://schemas.openxmlformats.org/officeDocument/2006/relationships/hyperlink" Target="https://shop.luna-dr.com/collections/low_dose_pill_subscription" TargetMode="External"/><Relationship Id="rId531" Type="http://schemas.openxmlformats.org/officeDocument/2006/relationships/hyperlink" Target="https://luna-dr.com/subjects/abortion_page/" TargetMode="External"/><Relationship Id="rId773" Type="http://schemas.openxmlformats.org/officeDocument/2006/relationships/hyperlink" Target="https://shop.luna-dr.com/collections/low_dose_pill_subscription" TargetMode="External"/><Relationship Id="rId530" Type="http://schemas.openxmlformats.org/officeDocument/2006/relationships/hyperlink" Target="https://luna-dr.com/subjects/abortion_page/" TargetMode="External"/><Relationship Id="rId772" Type="http://schemas.openxmlformats.org/officeDocument/2006/relationships/hyperlink" Target="https://docs.google.com/forms/d/e/1FAIpQLSe41t1VsvN-rfcwsRSkalz89S2yqQc4zpWrbdcrwPo95Iif-Q/viewform" TargetMode="External"/><Relationship Id="rId771" Type="http://schemas.openxmlformats.org/officeDocument/2006/relationships/hyperlink" Target="https://shop.luna-dr.com/collections/low_dose_pill_subscription" TargetMode="External"/><Relationship Id="rId327" Type="http://schemas.openxmlformats.org/officeDocument/2006/relationships/hyperlink" Target="https://luna-dr.com/subjects/ius-treatment/" TargetMode="External"/><Relationship Id="rId569" Type="http://schemas.openxmlformats.org/officeDocument/2006/relationships/hyperlink" Target="https://luna-dr.com/subjects/abortion_page/" TargetMode="External"/><Relationship Id="rId326" Type="http://schemas.openxmlformats.org/officeDocument/2006/relationships/hyperlink" Target="https://luna-dr.com/subjects/ius-treatment/" TargetMode="External"/><Relationship Id="rId568" Type="http://schemas.openxmlformats.org/officeDocument/2006/relationships/hyperlink" Target="https://luna-dr.com/subjects/abortion_page/" TargetMode="External"/><Relationship Id="rId325" Type="http://schemas.openxmlformats.org/officeDocument/2006/relationships/hyperlink" Target="https://luna-dr.com/subjects/ius-treatment/" TargetMode="External"/><Relationship Id="rId567" Type="http://schemas.openxmlformats.org/officeDocument/2006/relationships/hyperlink" Target="https://luna-dr.com/subjects/abortion_page/" TargetMode="External"/><Relationship Id="rId324" Type="http://schemas.openxmlformats.org/officeDocument/2006/relationships/hyperlink" Target="https://luna-dr.com/subjects/ius-treatment/" TargetMode="External"/><Relationship Id="rId566" Type="http://schemas.openxmlformats.org/officeDocument/2006/relationships/hyperlink" Target="https://luna-dr.com/subjects/abortion_page/" TargetMode="External"/><Relationship Id="rId329" Type="http://schemas.openxmlformats.org/officeDocument/2006/relationships/hyperlink" Target="https://luna-dr.com/subjects/ius-treatment/" TargetMode="External"/><Relationship Id="rId328" Type="http://schemas.openxmlformats.org/officeDocument/2006/relationships/hyperlink" Target="https://luna-dr.com/subjects/ius-treatment/" TargetMode="External"/><Relationship Id="rId561" Type="http://schemas.openxmlformats.org/officeDocument/2006/relationships/hyperlink" Target="https://luna-dr.com/subjects/abortion_page/" TargetMode="External"/><Relationship Id="rId560" Type="http://schemas.openxmlformats.org/officeDocument/2006/relationships/hyperlink" Target="https://luna-dr.com/subjects/abortion_page/" TargetMode="External"/><Relationship Id="rId323" Type="http://schemas.openxmlformats.org/officeDocument/2006/relationships/hyperlink" Target="https://luna-dr.com/subjects/ius-treatment/" TargetMode="External"/><Relationship Id="rId565" Type="http://schemas.openxmlformats.org/officeDocument/2006/relationships/hyperlink" Target="https://luna-dr.com/subjects/abortion_page/" TargetMode="External"/><Relationship Id="rId322" Type="http://schemas.openxmlformats.org/officeDocument/2006/relationships/hyperlink" Target="https://luna-dr.com/subjects/ius-treatment/" TargetMode="External"/><Relationship Id="rId564" Type="http://schemas.openxmlformats.org/officeDocument/2006/relationships/hyperlink" Target="https://luna-dr.com/subjects/abortion_page/" TargetMode="External"/><Relationship Id="rId321" Type="http://schemas.openxmlformats.org/officeDocument/2006/relationships/hyperlink" Target="https://luna-dr.com/subjects/ius-treatment/" TargetMode="External"/><Relationship Id="rId563" Type="http://schemas.openxmlformats.org/officeDocument/2006/relationships/hyperlink" Target="https://luna-dr.com/subjects/abortion_page/" TargetMode="External"/><Relationship Id="rId320" Type="http://schemas.openxmlformats.org/officeDocument/2006/relationships/hyperlink" Target="https://luna-dr.com/subjects/ius-treatment/" TargetMode="External"/><Relationship Id="rId562" Type="http://schemas.openxmlformats.org/officeDocument/2006/relationships/hyperlink" Target="https://luna-dr.com/subjects/abortion_page/" TargetMode="External"/><Relationship Id="rId316" Type="http://schemas.openxmlformats.org/officeDocument/2006/relationships/hyperlink" Target="https://luna-dr.com/subjects/ius-treatment/" TargetMode="External"/><Relationship Id="rId558" Type="http://schemas.openxmlformats.org/officeDocument/2006/relationships/hyperlink" Target="https://luna-dr.com/subjects/abortion_page/" TargetMode="External"/><Relationship Id="rId315" Type="http://schemas.openxmlformats.org/officeDocument/2006/relationships/hyperlink" Target="https://luna-dr.com/subjects/ius-treatment/" TargetMode="External"/><Relationship Id="rId557" Type="http://schemas.openxmlformats.org/officeDocument/2006/relationships/hyperlink" Target="https://luna-dr.com/subjects/abortion_page/" TargetMode="External"/><Relationship Id="rId799" Type="http://schemas.openxmlformats.org/officeDocument/2006/relationships/hyperlink" Target="https://luna-dr.notion.site/f0a26ab231534d8fa9cb069193c411a4" TargetMode="External"/><Relationship Id="rId314" Type="http://schemas.openxmlformats.org/officeDocument/2006/relationships/hyperlink" Target="https://luna-dr.com/subjects/ius-treatment/" TargetMode="External"/><Relationship Id="rId556" Type="http://schemas.openxmlformats.org/officeDocument/2006/relationships/hyperlink" Target="https://luna-dr.com/subjects/abortion_page/" TargetMode="External"/><Relationship Id="rId798" Type="http://schemas.openxmlformats.org/officeDocument/2006/relationships/hyperlink" Target="https://docs.google.com/forms/d/e/1FAIpQLSc3UbKV7RThiDP2RwV5SJUs203CQCPFY-8VJJCWJch0nVxBOQ/viewform?usp=header" TargetMode="External"/><Relationship Id="rId313" Type="http://schemas.openxmlformats.org/officeDocument/2006/relationships/hyperlink" Target="https://luna-dr.com/subjects/ius-treatment/" TargetMode="External"/><Relationship Id="rId555" Type="http://schemas.openxmlformats.org/officeDocument/2006/relationships/hyperlink" Target="https://luna-dr.com/subjects/abortion_page/" TargetMode="External"/><Relationship Id="rId797" Type="http://schemas.openxmlformats.org/officeDocument/2006/relationships/hyperlink" Target="https://cline-app.com/qr-codes/98ad6f149bfa20f4f2a9a2e91aac4187/preview" TargetMode="External"/><Relationship Id="rId319" Type="http://schemas.openxmlformats.org/officeDocument/2006/relationships/hyperlink" Target="https://luna-dr.com/subjects/ius-treatment/" TargetMode="External"/><Relationship Id="rId318" Type="http://schemas.openxmlformats.org/officeDocument/2006/relationships/hyperlink" Target="https://luna-dr.com/subjects/ius-treatment/" TargetMode="External"/><Relationship Id="rId317" Type="http://schemas.openxmlformats.org/officeDocument/2006/relationships/hyperlink" Target="https://luna-dr.com/subjects/ius-treatment/" TargetMode="External"/><Relationship Id="rId559" Type="http://schemas.openxmlformats.org/officeDocument/2006/relationships/hyperlink" Target="https://luna-dr.com/subjects/abortion_page/" TargetMode="External"/><Relationship Id="rId550" Type="http://schemas.openxmlformats.org/officeDocument/2006/relationships/hyperlink" Target="https://luna-dr.com/subjects/abortion_page/" TargetMode="External"/><Relationship Id="rId792" Type="http://schemas.openxmlformats.org/officeDocument/2006/relationships/hyperlink" Target="https://cline-app.com/qr-codes/5281ce9ad8d178106e15ddf61c996e66/previewpage?utm_customid=977137868.1765506771-1766730497" TargetMode="External"/><Relationship Id="rId791" Type="http://schemas.openxmlformats.org/officeDocument/2006/relationships/hyperlink" Target="https://cline-app.com/qr-codes/5281ce9ad8d178106e15ddf61c996e66/previewpage?utm_customid=977137868.1765506771-1766730497" TargetMode="External"/><Relationship Id="rId790" Type="http://schemas.openxmlformats.org/officeDocument/2006/relationships/hyperlink" Target="https://cline-app.com/qr-codes/5281ce9ad8d178106e15ddf61c996e66/previewpage?utm_customid=977137868.1765506771-1766730497" TargetMode="External"/><Relationship Id="rId312" Type="http://schemas.openxmlformats.org/officeDocument/2006/relationships/hyperlink" Target="https://luna-dr.com/subjects/ius-treatment/" TargetMode="External"/><Relationship Id="rId554" Type="http://schemas.openxmlformats.org/officeDocument/2006/relationships/hyperlink" Target="https://luna-dr.com/subjects/abortion_page/" TargetMode="External"/><Relationship Id="rId796" Type="http://schemas.openxmlformats.org/officeDocument/2006/relationships/hyperlink" Target="https://cline-app.com/qr-codes/98ad6f149bfa20f4f2a9a2e91aac4187/preview" TargetMode="External"/><Relationship Id="rId311" Type="http://schemas.openxmlformats.org/officeDocument/2006/relationships/hyperlink" Target="https://luna-dr.com/subjects/ius-treatment/" TargetMode="External"/><Relationship Id="rId553" Type="http://schemas.openxmlformats.org/officeDocument/2006/relationships/hyperlink" Target="https://luna-dr.com/subjects/abortion_page/" TargetMode="External"/><Relationship Id="rId795" Type="http://schemas.openxmlformats.org/officeDocument/2006/relationships/hyperlink" Target="https://cline-app.com/qr-codes/98ad6f149bfa20f4f2a9a2e91aac4187/preview" TargetMode="External"/><Relationship Id="rId310" Type="http://schemas.openxmlformats.org/officeDocument/2006/relationships/hyperlink" Target="https://luna-dr.com/subjects/ius-treatment/" TargetMode="External"/><Relationship Id="rId552" Type="http://schemas.openxmlformats.org/officeDocument/2006/relationships/hyperlink" Target="https://luna-dr.com/subjects/abortion_page/" TargetMode="External"/><Relationship Id="rId794" Type="http://schemas.openxmlformats.org/officeDocument/2006/relationships/hyperlink" Target="https://cline-app.com/qr-codes/98ad6f149bfa20f4f2a9a2e91aac4187/preview" TargetMode="External"/><Relationship Id="rId551" Type="http://schemas.openxmlformats.org/officeDocument/2006/relationships/hyperlink" Target="https://luna-dr.com/subjects/abortion_page/" TargetMode="External"/><Relationship Id="rId793" Type="http://schemas.openxmlformats.org/officeDocument/2006/relationships/hyperlink" Target="https://cline-app.com/qr-codes/5281ce9ad8d178106e15ddf61c996e66/previewpage?utm_customid=977137868.1765506771-1766730497" TargetMode="External"/><Relationship Id="rId297" Type="http://schemas.openxmlformats.org/officeDocument/2006/relationships/hyperlink" Target="https://luna-dr.com/subjects/after-pill_page/" TargetMode="External"/><Relationship Id="rId296" Type="http://schemas.openxmlformats.org/officeDocument/2006/relationships/hyperlink" Target="https://luna-dr.com/subjects/after-pill_page/" TargetMode="External"/><Relationship Id="rId295" Type="http://schemas.openxmlformats.org/officeDocument/2006/relationships/hyperlink" Target="https://luna-dr.com/subjects/after-pill_page/" TargetMode="External"/><Relationship Id="rId294" Type="http://schemas.openxmlformats.org/officeDocument/2006/relationships/hyperlink" Target="https://luna-dr.com/subjects/after-pill_page/" TargetMode="External"/><Relationship Id="rId299" Type="http://schemas.openxmlformats.org/officeDocument/2006/relationships/hyperlink" Target="https://luna-dr.com/subjects/after-pill_page/" TargetMode="External"/><Relationship Id="rId298" Type="http://schemas.openxmlformats.org/officeDocument/2006/relationships/hyperlink" Target="https://luna-dr.com/subjects/after-pill_page/" TargetMode="External"/><Relationship Id="rId271" Type="http://schemas.openxmlformats.org/officeDocument/2006/relationships/hyperlink" Target="https://luna-dr.com/subjects/after-pill_page/" TargetMode="External"/><Relationship Id="rId270" Type="http://schemas.openxmlformats.org/officeDocument/2006/relationships/hyperlink" Target="https://luna-dr.com/subjects/after-pill_page/" TargetMode="External"/><Relationship Id="rId269" Type="http://schemas.openxmlformats.org/officeDocument/2006/relationships/hyperlink" Target="https://luna-dr.com/subjects/low-dose-contraceptive/" TargetMode="External"/><Relationship Id="rId264" Type="http://schemas.openxmlformats.org/officeDocument/2006/relationships/hyperlink" Target="https://luna-dr.com/subjects/low-dose-contraceptive/" TargetMode="External"/><Relationship Id="rId263" Type="http://schemas.openxmlformats.org/officeDocument/2006/relationships/hyperlink" Target="https://luna-dr.com/subjects/low-dose-contraceptive/" TargetMode="External"/><Relationship Id="rId262" Type="http://schemas.openxmlformats.org/officeDocument/2006/relationships/hyperlink" Target="https://luna-dr.com/subjects/low-dose-contraceptive/" TargetMode="External"/><Relationship Id="rId261" Type="http://schemas.openxmlformats.org/officeDocument/2006/relationships/hyperlink" Target="https://luna-dr.com/subjects/low-dose-contraceptive/" TargetMode="External"/><Relationship Id="rId268" Type="http://schemas.openxmlformats.org/officeDocument/2006/relationships/hyperlink" Target="https://luna-dr.com/subjects/low-dose-contraceptive/" TargetMode="External"/><Relationship Id="rId267" Type="http://schemas.openxmlformats.org/officeDocument/2006/relationships/hyperlink" Target="https://luna-dr.com/subjects/low-dose-contraceptive/" TargetMode="External"/><Relationship Id="rId266" Type="http://schemas.openxmlformats.org/officeDocument/2006/relationships/hyperlink" Target="https://luna-dr.com/subjects/low-dose-contraceptive/" TargetMode="External"/><Relationship Id="rId265" Type="http://schemas.openxmlformats.org/officeDocument/2006/relationships/hyperlink" Target="https://luna-dr.com/subjects/low-dose-contraceptive/" TargetMode="External"/><Relationship Id="rId260" Type="http://schemas.openxmlformats.org/officeDocument/2006/relationships/hyperlink" Target="https://luna-dr.com/subjects/low-dose-contraceptive/" TargetMode="External"/><Relationship Id="rId259" Type="http://schemas.openxmlformats.org/officeDocument/2006/relationships/hyperlink" Target="https://luna-dr.com/subjects/low-dose-contraceptive/" TargetMode="External"/><Relationship Id="rId258" Type="http://schemas.openxmlformats.org/officeDocument/2006/relationships/hyperlink" Target="https://luna-dr.com/subjects/low-dose-contraceptive/" TargetMode="External"/><Relationship Id="rId253" Type="http://schemas.openxmlformats.org/officeDocument/2006/relationships/hyperlink" Target="https://luna-dr.com/subjects/low-dose-contraceptive/" TargetMode="External"/><Relationship Id="rId495" Type="http://schemas.openxmlformats.org/officeDocument/2006/relationships/hyperlink" Target="https://luna-dr.com/subjects/pregnancy-test/" TargetMode="External"/><Relationship Id="rId252" Type="http://schemas.openxmlformats.org/officeDocument/2006/relationships/hyperlink" Target="https://luna-dr.com/subjects/low-dose-contraceptive/" TargetMode="External"/><Relationship Id="rId494" Type="http://schemas.openxmlformats.org/officeDocument/2006/relationships/hyperlink" Target="https://luna-dr.com/subjects/pregnancy-test/" TargetMode="External"/><Relationship Id="rId251" Type="http://schemas.openxmlformats.org/officeDocument/2006/relationships/hyperlink" Target="https://luna-dr.com/subjects/low-dose-contraceptive/" TargetMode="External"/><Relationship Id="rId493" Type="http://schemas.openxmlformats.org/officeDocument/2006/relationships/hyperlink" Target="https://luna-dr.com/subjects/pregnancy-test/" TargetMode="External"/><Relationship Id="rId250" Type="http://schemas.openxmlformats.org/officeDocument/2006/relationships/hyperlink" Target="https://luna-dr.com/subjects/low-dose-contraceptive/" TargetMode="External"/><Relationship Id="rId492" Type="http://schemas.openxmlformats.org/officeDocument/2006/relationships/hyperlink" Target="https://luna-dr.com/subjects/pregnancy-test/" TargetMode="External"/><Relationship Id="rId257" Type="http://schemas.openxmlformats.org/officeDocument/2006/relationships/hyperlink" Target="https://luna-dr.com/subjects/low-dose-contraceptive/" TargetMode="External"/><Relationship Id="rId499" Type="http://schemas.openxmlformats.org/officeDocument/2006/relationships/hyperlink" Target="https://luna-dr.com/subjects/pregnancy-test/" TargetMode="External"/><Relationship Id="rId256" Type="http://schemas.openxmlformats.org/officeDocument/2006/relationships/hyperlink" Target="https://luna-dr.com/subjects/low-dose-contraceptive/" TargetMode="External"/><Relationship Id="rId498" Type="http://schemas.openxmlformats.org/officeDocument/2006/relationships/hyperlink" Target="https://luna-dr.com/subjects/pregnancy-test/" TargetMode="External"/><Relationship Id="rId255" Type="http://schemas.openxmlformats.org/officeDocument/2006/relationships/hyperlink" Target="https://luna-dr.com/subjects/low-dose-contraceptive/" TargetMode="External"/><Relationship Id="rId497" Type="http://schemas.openxmlformats.org/officeDocument/2006/relationships/hyperlink" Target="https://luna-dr.com/subjects/pregnancy-test/" TargetMode="External"/><Relationship Id="rId254" Type="http://schemas.openxmlformats.org/officeDocument/2006/relationships/hyperlink" Target="https://luna-dr.com/subjects/low-dose-contraceptive/" TargetMode="External"/><Relationship Id="rId496" Type="http://schemas.openxmlformats.org/officeDocument/2006/relationships/hyperlink" Target="https://luna-dr.com/subjects/pregnancy-test/" TargetMode="External"/><Relationship Id="rId293" Type="http://schemas.openxmlformats.org/officeDocument/2006/relationships/hyperlink" Target="https://luna-dr.com/subjects/after-pill_page/" TargetMode="External"/><Relationship Id="rId292" Type="http://schemas.openxmlformats.org/officeDocument/2006/relationships/hyperlink" Target="https://luna-dr.com/subjects/after-pill_page/" TargetMode="External"/><Relationship Id="rId291" Type="http://schemas.openxmlformats.org/officeDocument/2006/relationships/hyperlink" Target="https://luna-dr.com/subjects/after-pill_page/" TargetMode="External"/><Relationship Id="rId290" Type="http://schemas.openxmlformats.org/officeDocument/2006/relationships/hyperlink" Target="https://luna-dr.com/subjects/after-pill_page/" TargetMode="External"/><Relationship Id="rId286" Type="http://schemas.openxmlformats.org/officeDocument/2006/relationships/hyperlink" Target="https://luna-dr.com/subjects/after-pill_page/" TargetMode="External"/><Relationship Id="rId285" Type="http://schemas.openxmlformats.org/officeDocument/2006/relationships/hyperlink" Target="https://luna-dr.com/subjects/after-pill_page/" TargetMode="External"/><Relationship Id="rId284" Type="http://schemas.openxmlformats.org/officeDocument/2006/relationships/hyperlink" Target="https://luna-dr.com/subjects/after-pill_page/" TargetMode="External"/><Relationship Id="rId283" Type="http://schemas.openxmlformats.org/officeDocument/2006/relationships/hyperlink" Target="https://luna-dr.com/subjects/after-pill_page/" TargetMode="External"/><Relationship Id="rId289" Type="http://schemas.openxmlformats.org/officeDocument/2006/relationships/hyperlink" Target="https://luna-dr.com/subjects/after-pill_page/" TargetMode="External"/><Relationship Id="rId288" Type="http://schemas.openxmlformats.org/officeDocument/2006/relationships/hyperlink" Target="https://luna-dr.com/subjects/after-pill_page/" TargetMode="External"/><Relationship Id="rId287" Type="http://schemas.openxmlformats.org/officeDocument/2006/relationships/hyperlink" Target="https://luna-dr.com/subjects/after-pill_page/" TargetMode="External"/><Relationship Id="rId282" Type="http://schemas.openxmlformats.org/officeDocument/2006/relationships/hyperlink" Target="https://luna-dr.com/subjects/after-pill_page/" TargetMode="External"/><Relationship Id="rId281" Type="http://schemas.openxmlformats.org/officeDocument/2006/relationships/hyperlink" Target="https://luna-dr.com/subjects/after-pill_page/" TargetMode="External"/><Relationship Id="rId280" Type="http://schemas.openxmlformats.org/officeDocument/2006/relationships/hyperlink" Target="https://luna-dr.com/subjects/after-pill_page/" TargetMode="External"/><Relationship Id="rId275" Type="http://schemas.openxmlformats.org/officeDocument/2006/relationships/hyperlink" Target="https://luna-dr.com/subjects/after-pill_page/" TargetMode="External"/><Relationship Id="rId274" Type="http://schemas.openxmlformats.org/officeDocument/2006/relationships/hyperlink" Target="https://luna-dr.com/subjects/after-pill_page/" TargetMode="External"/><Relationship Id="rId273" Type="http://schemas.openxmlformats.org/officeDocument/2006/relationships/hyperlink" Target="https://luna-dr.com/subjects/after-pill_page/" TargetMode="External"/><Relationship Id="rId272" Type="http://schemas.openxmlformats.org/officeDocument/2006/relationships/hyperlink" Target="https://luna-dr.com/subjects/after-pill_page/" TargetMode="External"/><Relationship Id="rId279" Type="http://schemas.openxmlformats.org/officeDocument/2006/relationships/hyperlink" Target="https://luna-dr.com/subjects/after-pill_page/" TargetMode="External"/><Relationship Id="rId278" Type="http://schemas.openxmlformats.org/officeDocument/2006/relationships/hyperlink" Target="https://luna-dr.com/subjects/after-pill_page/" TargetMode="External"/><Relationship Id="rId277" Type="http://schemas.openxmlformats.org/officeDocument/2006/relationships/hyperlink" Target="https://luna-dr.com/subjects/after-pill_page/" TargetMode="External"/><Relationship Id="rId276" Type="http://schemas.openxmlformats.org/officeDocument/2006/relationships/hyperlink" Target="https://luna-dr.com/subjects/after-pill_page/" TargetMode="External"/><Relationship Id="rId629" Type="http://schemas.openxmlformats.org/officeDocument/2006/relationships/hyperlink" Target="https://luna-dr.com/subjects/medical-checkup/" TargetMode="External"/><Relationship Id="rId624" Type="http://schemas.openxmlformats.org/officeDocument/2006/relationships/hyperlink" Target="https://luna-dr.com/subjects/medical-checkup/" TargetMode="External"/><Relationship Id="rId623" Type="http://schemas.openxmlformats.org/officeDocument/2006/relationships/hyperlink" Target="https://luna-dr.com/subjects/medical-checkup/" TargetMode="External"/><Relationship Id="rId622" Type="http://schemas.openxmlformats.org/officeDocument/2006/relationships/hyperlink" Target="https://luna-dr.com/subjects/medical-checkup/" TargetMode="External"/><Relationship Id="rId621" Type="http://schemas.openxmlformats.org/officeDocument/2006/relationships/hyperlink" Target="https://luna-dr.com/subjects/medical-checkup/" TargetMode="External"/><Relationship Id="rId628" Type="http://schemas.openxmlformats.org/officeDocument/2006/relationships/hyperlink" Target="https://luna-dr.com/subjects/medical-checkup/" TargetMode="External"/><Relationship Id="rId627" Type="http://schemas.openxmlformats.org/officeDocument/2006/relationships/hyperlink" Target="https://luna-dr.com/subjects/medical-checkup/" TargetMode="External"/><Relationship Id="rId626" Type="http://schemas.openxmlformats.org/officeDocument/2006/relationships/hyperlink" Target="https://luna-dr.com/subjects/medical-checkup/" TargetMode="External"/><Relationship Id="rId625" Type="http://schemas.openxmlformats.org/officeDocument/2006/relationships/hyperlink" Target="https://luna-dr.com/subjects/medical-checkup/" TargetMode="External"/><Relationship Id="rId620" Type="http://schemas.openxmlformats.org/officeDocument/2006/relationships/hyperlink" Target="https://luna-dr.com/subjects/medical-checkup/" TargetMode="External"/><Relationship Id="rId619" Type="http://schemas.openxmlformats.org/officeDocument/2006/relationships/hyperlink" Target="https://luna-dr.com/subjects/medical-checkup/" TargetMode="External"/><Relationship Id="rId618" Type="http://schemas.openxmlformats.org/officeDocument/2006/relationships/hyperlink" Target="https://luna-dr.com/subjects/medical-checkup/" TargetMode="External"/><Relationship Id="rId613" Type="http://schemas.openxmlformats.org/officeDocument/2006/relationships/hyperlink" Target="https://luna-dr.com/subjects/medical-checkup/" TargetMode="External"/><Relationship Id="rId612" Type="http://schemas.openxmlformats.org/officeDocument/2006/relationships/hyperlink" Target="https://luna-dr.com/subjects/medical-checkup/" TargetMode="External"/><Relationship Id="rId611" Type="http://schemas.openxmlformats.org/officeDocument/2006/relationships/hyperlink" Target="https://luna-dr.com/subjects/medical-checkup/" TargetMode="External"/><Relationship Id="rId610" Type="http://schemas.openxmlformats.org/officeDocument/2006/relationships/hyperlink" Target="https://luna-dr.com/subjects/medical-checkup/" TargetMode="External"/><Relationship Id="rId617" Type="http://schemas.openxmlformats.org/officeDocument/2006/relationships/hyperlink" Target="https://luna-dr.com/subjects/medical-checkup/" TargetMode="External"/><Relationship Id="rId616" Type="http://schemas.openxmlformats.org/officeDocument/2006/relationships/hyperlink" Target="https://luna-dr.com/subjects/medical-checkup/" TargetMode="External"/><Relationship Id="rId615" Type="http://schemas.openxmlformats.org/officeDocument/2006/relationships/hyperlink" Target="https://luna-dr.com/subjects/medical-checkup/" TargetMode="External"/><Relationship Id="rId614" Type="http://schemas.openxmlformats.org/officeDocument/2006/relationships/hyperlink" Target="https://luna-dr.com/subjects/medical-checkup/" TargetMode="External"/><Relationship Id="rId409" Type="http://schemas.openxmlformats.org/officeDocument/2006/relationships/hyperlink" Target="https://luna-dr.com/subjects/irregular-genital-bleeding/" TargetMode="External"/><Relationship Id="rId404" Type="http://schemas.openxmlformats.org/officeDocument/2006/relationships/hyperlink" Target="https://luna-dr.com/subjects/irregular-genital-bleeding/" TargetMode="External"/><Relationship Id="rId646" Type="http://schemas.openxmlformats.org/officeDocument/2006/relationships/hyperlink" Target="https://luna-dr.com/subjects/medical-checkup/" TargetMode="External"/><Relationship Id="rId403" Type="http://schemas.openxmlformats.org/officeDocument/2006/relationships/hyperlink" Target="https://luna-dr.com/subjects/irregular-genital-bleeding/" TargetMode="External"/><Relationship Id="rId645" Type="http://schemas.openxmlformats.org/officeDocument/2006/relationships/hyperlink" Target="https://luna-dr.com/subjects/medical-checkup/" TargetMode="External"/><Relationship Id="rId402" Type="http://schemas.openxmlformats.org/officeDocument/2006/relationships/hyperlink" Target="https://luna-dr.com/subjects/irregular-genital-bleeding/" TargetMode="External"/><Relationship Id="rId644" Type="http://schemas.openxmlformats.org/officeDocument/2006/relationships/hyperlink" Target="https://luna-dr.com/subjects/medical-checkup/" TargetMode="External"/><Relationship Id="rId401" Type="http://schemas.openxmlformats.org/officeDocument/2006/relationships/hyperlink" Target="https://luna-dr.com/subjects/abnormal-vaginal-discharge/" TargetMode="External"/><Relationship Id="rId643" Type="http://schemas.openxmlformats.org/officeDocument/2006/relationships/hyperlink" Target="https://luna-dr.com/subjects/medical-checkup/" TargetMode="External"/><Relationship Id="rId408" Type="http://schemas.openxmlformats.org/officeDocument/2006/relationships/hyperlink" Target="https://luna-dr.com/subjects/irregular-genital-bleeding/" TargetMode="External"/><Relationship Id="rId407" Type="http://schemas.openxmlformats.org/officeDocument/2006/relationships/hyperlink" Target="https://luna-dr.com/subjects/irregular-genital-bleeding/" TargetMode="External"/><Relationship Id="rId649" Type="http://schemas.openxmlformats.org/officeDocument/2006/relationships/hyperlink" Target="https://luna-dr.com/subjects/medical-checkup/" TargetMode="External"/><Relationship Id="rId406" Type="http://schemas.openxmlformats.org/officeDocument/2006/relationships/hyperlink" Target="https://luna-dr.com/subjects/irregular-genital-bleeding/" TargetMode="External"/><Relationship Id="rId648" Type="http://schemas.openxmlformats.org/officeDocument/2006/relationships/hyperlink" Target="https://luna-dr.com/subjects/medical-checkup/" TargetMode="External"/><Relationship Id="rId405" Type="http://schemas.openxmlformats.org/officeDocument/2006/relationships/hyperlink" Target="https://luna-dr.com/subjects/irregular-genital-bleeding/" TargetMode="External"/><Relationship Id="rId647" Type="http://schemas.openxmlformats.org/officeDocument/2006/relationships/hyperlink" Target="https://luna-dr.com/subjects/medical-checkup/" TargetMode="External"/><Relationship Id="rId400" Type="http://schemas.openxmlformats.org/officeDocument/2006/relationships/hyperlink" Target="https://luna-dr.com/subjects/abnormal-vaginal-discharge/" TargetMode="External"/><Relationship Id="rId642" Type="http://schemas.openxmlformats.org/officeDocument/2006/relationships/hyperlink" Target="https://luna-dr.com/subjects/medical-checkup/" TargetMode="External"/><Relationship Id="rId641" Type="http://schemas.openxmlformats.org/officeDocument/2006/relationships/hyperlink" Target="https://luna-dr.com/subjects/medical-checkup/" TargetMode="External"/><Relationship Id="rId640" Type="http://schemas.openxmlformats.org/officeDocument/2006/relationships/hyperlink" Target="https://luna-dr.com/subjects/medical-checkup/" TargetMode="External"/><Relationship Id="rId635" Type="http://schemas.openxmlformats.org/officeDocument/2006/relationships/hyperlink" Target="https://luna-dr.com/subjects/medical-checkup/" TargetMode="External"/><Relationship Id="rId634" Type="http://schemas.openxmlformats.org/officeDocument/2006/relationships/hyperlink" Target="https://luna-dr.com/subjects/medical-checkup/" TargetMode="External"/><Relationship Id="rId633" Type="http://schemas.openxmlformats.org/officeDocument/2006/relationships/hyperlink" Target="https://luna-dr.com/subjects/medical-checkup/" TargetMode="External"/><Relationship Id="rId632" Type="http://schemas.openxmlformats.org/officeDocument/2006/relationships/hyperlink" Target="https://luna-dr.com/subjects/medical-checkup/" TargetMode="External"/><Relationship Id="rId639" Type="http://schemas.openxmlformats.org/officeDocument/2006/relationships/hyperlink" Target="https://luna-dr.com/subjects/medical-checkup/" TargetMode="External"/><Relationship Id="rId638" Type="http://schemas.openxmlformats.org/officeDocument/2006/relationships/hyperlink" Target="https://luna-dr.com/subjects/medical-checkup/" TargetMode="External"/><Relationship Id="rId637" Type="http://schemas.openxmlformats.org/officeDocument/2006/relationships/hyperlink" Target="https://luna-dr.com/subjects/medical-checkup/" TargetMode="External"/><Relationship Id="rId636" Type="http://schemas.openxmlformats.org/officeDocument/2006/relationships/hyperlink" Target="https://luna-dr.com/subjects/medical-checkup/" TargetMode="External"/><Relationship Id="rId631" Type="http://schemas.openxmlformats.org/officeDocument/2006/relationships/hyperlink" Target="https://luna-dr.com/subjects/medical-checkup/" TargetMode="External"/><Relationship Id="rId630" Type="http://schemas.openxmlformats.org/officeDocument/2006/relationships/hyperlink" Target="https://luna-dr.com/subjects/medical-checkup/" TargetMode="External"/><Relationship Id="rId816" Type="http://schemas.openxmlformats.org/officeDocument/2006/relationships/vmlDrawing" Target="../drawings/vmlDrawing1.vml"/><Relationship Id="rId811" Type="http://schemas.openxmlformats.org/officeDocument/2006/relationships/hyperlink" Target="https://luna-dr.com/telemedicine/" TargetMode="External"/><Relationship Id="rId810" Type="http://schemas.openxmlformats.org/officeDocument/2006/relationships/hyperlink" Target="https://luna-dr.com/subjects/low-dose-contraceptive/" TargetMode="External"/><Relationship Id="rId815" Type="http://schemas.openxmlformats.org/officeDocument/2006/relationships/drawing" Target="../drawings/drawing7.xml"/><Relationship Id="rId814" Type="http://schemas.openxmlformats.org/officeDocument/2006/relationships/hyperlink" Target="https://luna-dr.com/subjects/medical-checkup/" TargetMode="External"/><Relationship Id="rId813" Type="http://schemas.openxmlformats.org/officeDocument/2006/relationships/hyperlink" Target="https://shop.luna-dr.com/collections/low_dose_pill_subscription" TargetMode="External"/><Relationship Id="rId812" Type="http://schemas.openxmlformats.org/officeDocument/2006/relationships/hyperlink" Target="https://result.luna-dr.com/clinic_login" TargetMode="External"/><Relationship Id="rId609" Type="http://schemas.openxmlformats.org/officeDocument/2006/relationships/hyperlink" Target="https://luna-dr.com/subjects/medical-checkup/" TargetMode="External"/><Relationship Id="rId608" Type="http://schemas.openxmlformats.org/officeDocument/2006/relationships/hyperlink" Target="https://luna-dr.com/subjects/medical-checkup/" TargetMode="External"/><Relationship Id="rId607" Type="http://schemas.openxmlformats.org/officeDocument/2006/relationships/hyperlink" Target="https://luna-dr.com/subjects/medical-checkup/" TargetMode="External"/><Relationship Id="rId602" Type="http://schemas.openxmlformats.org/officeDocument/2006/relationships/hyperlink" Target="https://luna-dr.com/subjects/medical-checkup/" TargetMode="External"/><Relationship Id="rId601" Type="http://schemas.openxmlformats.org/officeDocument/2006/relationships/hyperlink" Target="https://luna-dr.com/subjects/medical-checkup/" TargetMode="External"/><Relationship Id="rId600" Type="http://schemas.openxmlformats.org/officeDocument/2006/relationships/hyperlink" Target="https://luna-dr.com/subjects/medical-checkup/" TargetMode="External"/><Relationship Id="rId606" Type="http://schemas.openxmlformats.org/officeDocument/2006/relationships/hyperlink" Target="https://luna-dr.com/subjects/medical-checkup/" TargetMode="External"/><Relationship Id="rId605" Type="http://schemas.openxmlformats.org/officeDocument/2006/relationships/hyperlink" Target="https://luna-dr.com/subjects/medical-checkup/" TargetMode="External"/><Relationship Id="rId604" Type="http://schemas.openxmlformats.org/officeDocument/2006/relationships/hyperlink" Target="https://luna-dr.com/subjects/medical-checkup/" TargetMode="External"/><Relationship Id="rId603" Type="http://schemas.openxmlformats.org/officeDocument/2006/relationships/hyperlink" Target="https://luna-dr.com/subjects/medical-checkup/" TargetMode="External"/><Relationship Id="rId228" Type="http://schemas.openxmlformats.org/officeDocument/2006/relationships/hyperlink" Target="https://luna-dr.com/subjects/low-dose-contraceptive/" TargetMode="External"/><Relationship Id="rId227" Type="http://schemas.openxmlformats.org/officeDocument/2006/relationships/hyperlink" Target="https://luna-dr.com/subjects/low-dose-contraceptive/" TargetMode="External"/><Relationship Id="rId469" Type="http://schemas.openxmlformats.org/officeDocument/2006/relationships/hyperlink" Target="https://luna-dr.com/subjects/std/" TargetMode="External"/><Relationship Id="rId226" Type="http://schemas.openxmlformats.org/officeDocument/2006/relationships/hyperlink" Target="https://luna-dr.com/subjects/pill-prescription/" TargetMode="External"/><Relationship Id="rId468" Type="http://schemas.openxmlformats.org/officeDocument/2006/relationships/hyperlink" Target="https://luna-dr.com/subjects/std/" TargetMode="External"/><Relationship Id="rId225" Type="http://schemas.openxmlformats.org/officeDocument/2006/relationships/hyperlink" Target="https://luna-dr.com/subjects/pill-prescription/" TargetMode="External"/><Relationship Id="rId467" Type="http://schemas.openxmlformats.org/officeDocument/2006/relationships/hyperlink" Target="https://luna-dr.com/subjects/std/" TargetMode="External"/><Relationship Id="rId229" Type="http://schemas.openxmlformats.org/officeDocument/2006/relationships/hyperlink" Target="https://luna-dr.com/subjects/low-dose-contraceptive/" TargetMode="External"/><Relationship Id="rId220" Type="http://schemas.openxmlformats.org/officeDocument/2006/relationships/hyperlink" Target="https://luna-dr.com/subjects/pill-prescription/" TargetMode="External"/><Relationship Id="rId462" Type="http://schemas.openxmlformats.org/officeDocument/2006/relationships/hyperlink" Target="https://luna-dr.com/subjects/std/" TargetMode="External"/><Relationship Id="rId461" Type="http://schemas.openxmlformats.org/officeDocument/2006/relationships/hyperlink" Target="https://luna-dr.com/subjects/std/" TargetMode="External"/><Relationship Id="rId460" Type="http://schemas.openxmlformats.org/officeDocument/2006/relationships/hyperlink" Target="https://luna-dr.com/subjects/std/" TargetMode="External"/><Relationship Id="rId224" Type="http://schemas.openxmlformats.org/officeDocument/2006/relationships/hyperlink" Target="https://luna-dr.com/subjects/pill-prescription/" TargetMode="External"/><Relationship Id="rId466" Type="http://schemas.openxmlformats.org/officeDocument/2006/relationships/hyperlink" Target="https://luna-dr.com/subjects/std/" TargetMode="External"/><Relationship Id="rId223" Type="http://schemas.openxmlformats.org/officeDocument/2006/relationships/hyperlink" Target="https://luna-dr.com/subjects/pill-prescription/" TargetMode="External"/><Relationship Id="rId465" Type="http://schemas.openxmlformats.org/officeDocument/2006/relationships/hyperlink" Target="https://luna-dr.com/subjects/std/" TargetMode="External"/><Relationship Id="rId222" Type="http://schemas.openxmlformats.org/officeDocument/2006/relationships/hyperlink" Target="https://luna-dr.com/subjects/pill-prescription/" TargetMode="External"/><Relationship Id="rId464" Type="http://schemas.openxmlformats.org/officeDocument/2006/relationships/hyperlink" Target="https://luna-dr.com/subjects/std/" TargetMode="External"/><Relationship Id="rId221" Type="http://schemas.openxmlformats.org/officeDocument/2006/relationships/hyperlink" Target="https://luna-dr.com/subjects/pill-prescription/" TargetMode="External"/><Relationship Id="rId463" Type="http://schemas.openxmlformats.org/officeDocument/2006/relationships/hyperlink" Target="https://luna-dr.com/subjects/std/" TargetMode="External"/><Relationship Id="rId217" Type="http://schemas.openxmlformats.org/officeDocument/2006/relationships/hyperlink" Target="https://luna-dr.com/subjects/pill-prescription/" TargetMode="External"/><Relationship Id="rId459" Type="http://schemas.openxmlformats.org/officeDocument/2006/relationships/hyperlink" Target="https://luna-dr.com/subjects/std/" TargetMode="External"/><Relationship Id="rId216" Type="http://schemas.openxmlformats.org/officeDocument/2006/relationships/hyperlink" Target="https://luna-dr.com/subjects/pill-prescription/" TargetMode="External"/><Relationship Id="rId458" Type="http://schemas.openxmlformats.org/officeDocument/2006/relationships/hyperlink" Target="https://luna-dr.com/subjects/std/" TargetMode="External"/><Relationship Id="rId215" Type="http://schemas.openxmlformats.org/officeDocument/2006/relationships/hyperlink" Target="https://luna-dr.com/subjects/pill-prescription/" TargetMode="External"/><Relationship Id="rId457" Type="http://schemas.openxmlformats.org/officeDocument/2006/relationships/hyperlink" Target="https://luna-dr.com/subjects/std/" TargetMode="External"/><Relationship Id="rId699" Type="http://schemas.openxmlformats.org/officeDocument/2006/relationships/hyperlink" Target="https://luna-dr.com/femcheck/about/" TargetMode="External"/><Relationship Id="rId214" Type="http://schemas.openxmlformats.org/officeDocument/2006/relationships/hyperlink" Target="https://luna-dr.com/subjects/pill-prescription/" TargetMode="External"/><Relationship Id="rId456" Type="http://schemas.openxmlformats.org/officeDocument/2006/relationships/hyperlink" Target="https://luna-dr.com/subjects/std/" TargetMode="External"/><Relationship Id="rId698" Type="http://schemas.openxmlformats.org/officeDocument/2006/relationships/hyperlink" Target="https://luna-dr.com/femcheck/about/" TargetMode="External"/><Relationship Id="rId219" Type="http://schemas.openxmlformats.org/officeDocument/2006/relationships/hyperlink" Target="https://luna-dr.com/subjects/pill-prescription/" TargetMode="External"/><Relationship Id="rId218" Type="http://schemas.openxmlformats.org/officeDocument/2006/relationships/hyperlink" Target="https://luna-dr.com/subjects/pill-prescription/" TargetMode="External"/><Relationship Id="rId451" Type="http://schemas.openxmlformats.org/officeDocument/2006/relationships/hyperlink" Target="https://luna-dr.com/subjects/std/" TargetMode="External"/><Relationship Id="rId693" Type="http://schemas.openxmlformats.org/officeDocument/2006/relationships/hyperlink" Target="https://luna-dr.com/femcheck/begginer/" TargetMode="External"/><Relationship Id="rId450" Type="http://schemas.openxmlformats.org/officeDocument/2006/relationships/hyperlink" Target="https://luna-dr.com/subjects/std/" TargetMode="External"/><Relationship Id="rId692" Type="http://schemas.openxmlformats.org/officeDocument/2006/relationships/hyperlink" Target="https://luna-dr.com/femcheck/begginer/" TargetMode="External"/><Relationship Id="rId691" Type="http://schemas.openxmlformats.org/officeDocument/2006/relationships/hyperlink" Target="https://luna-dr.com/femcheck/begginer/" TargetMode="External"/><Relationship Id="rId690" Type="http://schemas.openxmlformats.org/officeDocument/2006/relationships/hyperlink" Target="https://luna-dr.com/femcheck/begginer/" TargetMode="External"/><Relationship Id="rId213" Type="http://schemas.openxmlformats.org/officeDocument/2006/relationships/hyperlink" Target="https://luna-dr.com/subjects/pill-prescription/" TargetMode="External"/><Relationship Id="rId455" Type="http://schemas.openxmlformats.org/officeDocument/2006/relationships/hyperlink" Target="https://luna-dr.com/subjects/std/" TargetMode="External"/><Relationship Id="rId697" Type="http://schemas.openxmlformats.org/officeDocument/2006/relationships/hyperlink" Target="https://luna-dr.com/femcheck/about/" TargetMode="External"/><Relationship Id="rId212" Type="http://schemas.openxmlformats.org/officeDocument/2006/relationships/hyperlink" Target="https://luna-dr.com/subjects/pill-prescription/" TargetMode="External"/><Relationship Id="rId454" Type="http://schemas.openxmlformats.org/officeDocument/2006/relationships/hyperlink" Target="https://luna-dr.com/subjects/std/" TargetMode="External"/><Relationship Id="rId696" Type="http://schemas.openxmlformats.org/officeDocument/2006/relationships/hyperlink" Target="https://luna-dr.com/femcheck/about/" TargetMode="External"/><Relationship Id="rId211" Type="http://schemas.openxmlformats.org/officeDocument/2006/relationships/hyperlink" Target="https://luna-dr.com/subjects/pill-prescription/" TargetMode="External"/><Relationship Id="rId453" Type="http://schemas.openxmlformats.org/officeDocument/2006/relationships/hyperlink" Target="https://luna-dr.com/subjects/std/" TargetMode="External"/><Relationship Id="rId695" Type="http://schemas.openxmlformats.org/officeDocument/2006/relationships/hyperlink" Target="https://luna-dr.com/femcheck/about/" TargetMode="External"/><Relationship Id="rId210" Type="http://schemas.openxmlformats.org/officeDocument/2006/relationships/hyperlink" Target="https://luna-dr.com/subjects/pill-prescription/" TargetMode="External"/><Relationship Id="rId452" Type="http://schemas.openxmlformats.org/officeDocument/2006/relationships/hyperlink" Target="https://luna-dr.com/subjects/std/" TargetMode="External"/><Relationship Id="rId694" Type="http://schemas.openxmlformats.org/officeDocument/2006/relationships/hyperlink" Target="https://luna-dr.com/femcheck/begginer/" TargetMode="External"/><Relationship Id="rId491" Type="http://schemas.openxmlformats.org/officeDocument/2006/relationships/hyperlink" Target="https://luna-dr.com/subjects/pregnancy-test/" TargetMode="External"/><Relationship Id="rId490" Type="http://schemas.openxmlformats.org/officeDocument/2006/relationships/hyperlink" Target="https://luna-dr.com/subjects/pregnancy-test/" TargetMode="External"/><Relationship Id="rId249" Type="http://schemas.openxmlformats.org/officeDocument/2006/relationships/hyperlink" Target="https://luna-dr.com/subjects/low-dose-contraceptive/" TargetMode="External"/><Relationship Id="rId248" Type="http://schemas.openxmlformats.org/officeDocument/2006/relationships/hyperlink" Target="https://luna-dr.com/subjects/low-dose-contraceptive/" TargetMode="External"/><Relationship Id="rId247" Type="http://schemas.openxmlformats.org/officeDocument/2006/relationships/hyperlink" Target="https://luna-dr.com/subjects/low-dose-contraceptive/" TargetMode="External"/><Relationship Id="rId489" Type="http://schemas.openxmlformats.org/officeDocument/2006/relationships/hyperlink" Target="https://luna-dr.com/subjects/pregnancy-test/" TargetMode="External"/><Relationship Id="rId242" Type="http://schemas.openxmlformats.org/officeDocument/2006/relationships/hyperlink" Target="https://luna-dr.com/subjects/low-dose-contraceptive/" TargetMode="External"/><Relationship Id="rId484" Type="http://schemas.openxmlformats.org/officeDocument/2006/relationships/hyperlink" Target="https://luna-dr.com/subjects/pregnancy-test/" TargetMode="External"/><Relationship Id="rId241" Type="http://schemas.openxmlformats.org/officeDocument/2006/relationships/hyperlink" Target="https://luna-dr.com/subjects/low-dose-contraceptive/" TargetMode="External"/><Relationship Id="rId483" Type="http://schemas.openxmlformats.org/officeDocument/2006/relationships/hyperlink" Target="https://luna-dr.com/subjects/pregnancy-test/" TargetMode="External"/><Relationship Id="rId240" Type="http://schemas.openxmlformats.org/officeDocument/2006/relationships/hyperlink" Target="https://luna-dr.com/subjects/low-dose-contraceptive/" TargetMode="External"/><Relationship Id="rId482" Type="http://schemas.openxmlformats.org/officeDocument/2006/relationships/hyperlink" Target="https://luna-dr.com/subjects/pregnancy-test/" TargetMode="External"/><Relationship Id="rId481" Type="http://schemas.openxmlformats.org/officeDocument/2006/relationships/hyperlink" Target="https://luna-dr.com/subjects/std/" TargetMode="External"/><Relationship Id="rId246" Type="http://schemas.openxmlformats.org/officeDocument/2006/relationships/hyperlink" Target="https://luna-dr.com/subjects/low-dose-contraceptive/" TargetMode="External"/><Relationship Id="rId488" Type="http://schemas.openxmlformats.org/officeDocument/2006/relationships/hyperlink" Target="https://luna-dr.com/subjects/pregnancy-test/" TargetMode="External"/><Relationship Id="rId245" Type="http://schemas.openxmlformats.org/officeDocument/2006/relationships/hyperlink" Target="https://luna-dr.com/subjects/low-dose-contraceptive/" TargetMode="External"/><Relationship Id="rId487" Type="http://schemas.openxmlformats.org/officeDocument/2006/relationships/hyperlink" Target="https://luna-dr.com/subjects/pregnancy-test/" TargetMode="External"/><Relationship Id="rId244" Type="http://schemas.openxmlformats.org/officeDocument/2006/relationships/hyperlink" Target="https://luna-dr.com/subjects/low-dose-contraceptive/" TargetMode="External"/><Relationship Id="rId486" Type="http://schemas.openxmlformats.org/officeDocument/2006/relationships/hyperlink" Target="https://luna-dr.com/subjects/pregnancy-test/" TargetMode="External"/><Relationship Id="rId243" Type="http://schemas.openxmlformats.org/officeDocument/2006/relationships/hyperlink" Target="https://luna-dr.com/subjects/low-dose-contraceptive/" TargetMode="External"/><Relationship Id="rId485" Type="http://schemas.openxmlformats.org/officeDocument/2006/relationships/hyperlink" Target="https://luna-dr.com/subjects/pregnancy-test/" TargetMode="External"/><Relationship Id="rId480" Type="http://schemas.openxmlformats.org/officeDocument/2006/relationships/hyperlink" Target="https://luna-dr.com/subjects/std/" TargetMode="External"/><Relationship Id="rId239" Type="http://schemas.openxmlformats.org/officeDocument/2006/relationships/hyperlink" Target="https://luna-dr.com/subjects/low-dose-contraceptive/" TargetMode="External"/><Relationship Id="rId238" Type="http://schemas.openxmlformats.org/officeDocument/2006/relationships/hyperlink" Target="https://luna-dr.com/subjects/low-dose-contraceptive/" TargetMode="External"/><Relationship Id="rId237" Type="http://schemas.openxmlformats.org/officeDocument/2006/relationships/hyperlink" Target="https://luna-dr.com/subjects/low-dose-contraceptive/" TargetMode="External"/><Relationship Id="rId479" Type="http://schemas.openxmlformats.org/officeDocument/2006/relationships/hyperlink" Target="https://luna-dr.com/subjects/std/" TargetMode="External"/><Relationship Id="rId236" Type="http://schemas.openxmlformats.org/officeDocument/2006/relationships/hyperlink" Target="https://luna-dr.com/subjects/low-dose-contraceptive/" TargetMode="External"/><Relationship Id="rId478" Type="http://schemas.openxmlformats.org/officeDocument/2006/relationships/hyperlink" Target="https://luna-dr.com/subjects/std/" TargetMode="External"/><Relationship Id="rId231" Type="http://schemas.openxmlformats.org/officeDocument/2006/relationships/hyperlink" Target="https://luna-dr.com/subjects/low-dose-contraceptive/" TargetMode="External"/><Relationship Id="rId473" Type="http://schemas.openxmlformats.org/officeDocument/2006/relationships/hyperlink" Target="https://luna-dr.com/subjects/std/" TargetMode="External"/><Relationship Id="rId230" Type="http://schemas.openxmlformats.org/officeDocument/2006/relationships/hyperlink" Target="https://luna-dr.com/subjects/low-dose-contraceptive/" TargetMode="External"/><Relationship Id="rId472" Type="http://schemas.openxmlformats.org/officeDocument/2006/relationships/hyperlink" Target="https://luna-dr.com/subjects/std/" TargetMode="External"/><Relationship Id="rId471" Type="http://schemas.openxmlformats.org/officeDocument/2006/relationships/hyperlink" Target="https://luna-dr.com/subjects/std/" TargetMode="External"/><Relationship Id="rId470" Type="http://schemas.openxmlformats.org/officeDocument/2006/relationships/hyperlink" Target="https://luna-dr.com/subjects/std/" TargetMode="External"/><Relationship Id="rId235" Type="http://schemas.openxmlformats.org/officeDocument/2006/relationships/hyperlink" Target="https://luna-dr.com/subjects/low-dose-contraceptive/" TargetMode="External"/><Relationship Id="rId477" Type="http://schemas.openxmlformats.org/officeDocument/2006/relationships/hyperlink" Target="https://luna-dr.com/subjects/std/" TargetMode="External"/><Relationship Id="rId234" Type="http://schemas.openxmlformats.org/officeDocument/2006/relationships/hyperlink" Target="https://luna-dr.com/subjects/low-dose-contraceptive/" TargetMode="External"/><Relationship Id="rId476" Type="http://schemas.openxmlformats.org/officeDocument/2006/relationships/hyperlink" Target="https://luna-dr.com/subjects/std/" TargetMode="External"/><Relationship Id="rId233" Type="http://schemas.openxmlformats.org/officeDocument/2006/relationships/hyperlink" Target="https://luna-dr.com/subjects/low-dose-contraceptive/" TargetMode="External"/><Relationship Id="rId475" Type="http://schemas.openxmlformats.org/officeDocument/2006/relationships/hyperlink" Target="https://luna-dr.com/subjects/std/" TargetMode="External"/><Relationship Id="rId232" Type="http://schemas.openxmlformats.org/officeDocument/2006/relationships/hyperlink" Target="https://luna-dr.com/subjects/low-dose-contraceptive/" TargetMode="External"/><Relationship Id="rId474" Type="http://schemas.openxmlformats.org/officeDocument/2006/relationships/hyperlink" Target="https://luna-dr.com/subjects/std/" TargetMode="External"/><Relationship Id="rId426" Type="http://schemas.openxmlformats.org/officeDocument/2006/relationships/hyperlink" Target="https://luna-dr.com/subjects/abnormal-uterine-bleeding/" TargetMode="External"/><Relationship Id="rId668" Type="http://schemas.openxmlformats.org/officeDocument/2006/relationships/hyperlink" Target="https://luna-dr.com/subjects/hpv-vaccine/" TargetMode="External"/><Relationship Id="rId425" Type="http://schemas.openxmlformats.org/officeDocument/2006/relationships/hyperlink" Target="https://luna-dr.com/subjects/abnormal-uterine-bleeding/" TargetMode="External"/><Relationship Id="rId667" Type="http://schemas.openxmlformats.org/officeDocument/2006/relationships/hyperlink" Target="https://luna-dr.com/subjects/hpv-vaccine/" TargetMode="External"/><Relationship Id="rId424" Type="http://schemas.openxmlformats.org/officeDocument/2006/relationships/hyperlink" Target="https://luna-dr.com/subjects/abnormal-uterine-bleeding/" TargetMode="External"/><Relationship Id="rId666" Type="http://schemas.openxmlformats.org/officeDocument/2006/relationships/hyperlink" Target="https://luna-dr.com/subjects/hpv-vaccine/" TargetMode="External"/><Relationship Id="rId423" Type="http://schemas.openxmlformats.org/officeDocument/2006/relationships/hyperlink" Target="https://luna-dr.com/subjects/abnormal-uterine-bleeding/" TargetMode="External"/><Relationship Id="rId665" Type="http://schemas.openxmlformats.org/officeDocument/2006/relationships/hyperlink" Target="https://luna-dr.com/subjects/hpv-vaccine/" TargetMode="External"/><Relationship Id="rId429" Type="http://schemas.openxmlformats.org/officeDocument/2006/relationships/hyperlink" Target="https://luna-dr.com/subjects/abnormal-uterine-bleeding/" TargetMode="External"/><Relationship Id="rId428" Type="http://schemas.openxmlformats.org/officeDocument/2006/relationships/hyperlink" Target="https://luna-dr.com/subjects/abnormal-uterine-bleeding/" TargetMode="External"/><Relationship Id="rId427" Type="http://schemas.openxmlformats.org/officeDocument/2006/relationships/hyperlink" Target="https://luna-dr.com/subjects/abnormal-uterine-bleeding/" TargetMode="External"/><Relationship Id="rId669" Type="http://schemas.openxmlformats.org/officeDocument/2006/relationships/hyperlink" Target="https://luna-dr.com/subjects/hpv-vaccine/" TargetMode="External"/><Relationship Id="rId660" Type="http://schemas.openxmlformats.org/officeDocument/2006/relationships/hyperlink" Target="https://luna-dr.com/subjects/hpv-vaccine/" TargetMode="External"/><Relationship Id="rId422" Type="http://schemas.openxmlformats.org/officeDocument/2006/relationships/hyperlink" Target="https://luna-dr.com/subjects/irregular-genital-bleeding/" TargetMode="External"/><Relationship Id="rId664" Type="http://schemas.openxmlformats.org/officeDocument/2006/relationships/hyperlink" Target="https://luna-dr.com/subjects/hpv-vaccine/" TargetMode="External"/><Relationship Id="rId421" Type="http://schemas.openxmlformats.org/officeDocument/2006/relationships/hyperlink" Target="https://luna-dr.com/subjects/irregular-genital-bleeding/" TargetMode="External"/><Relationship Id="rId663" Type="http://schemas.openxmlformats.org/officeDocument/2006/relationships/hyperlink" Target="https://luna-dr.com/subjects/hpv-vaccine/" TargetMode="External"/><Relationship Id="rId420" Type="http://schemas.openxmlformats.org/officeDocument/2006/relationships/hyperlink" Target="https://luna-dr.com/subjects/irregular-genital-bleeding/" TargetMode="External"/><Relationship Id="rId662" Type="http://schemas.openxmlformats.org/officeDocument/2006/relationships/hyperlink" Target="https://luna-dr.com/subjects/hpv-vaccine/" TargetMode="External"/><Relationship Id="rId661" Type="http://schemas.openxmlformats.org/officeDocument/2006/relationships/hyperlink" Target="https://luna-dr.com/subjects/hpv-vaccine/" TargetMode="External"/><Relationship Id="rId415" Type="http://schemas.openxmlformats.org/officeDocument/2006/relationships/hyperlink" Target="https://luna-dr.com/subjects/irregular-genital-bleeding/" TargetMode="External"/><Relationship Id="rId657" Type="http://schemas.openxmlformats.org/officeDocument/2006/relationships/hyperlink" Target="https://luna-dr.com/subjects/hpv-vaccine/" TargetMode="External"/><Relationship Id="rId414" Type="http://schemas.openxmlformats.org/officeDocument/2006/relationships/hyperlink" Target="https://luna-dr.com/subjects/irregular-genital-bleeding/" TargetMode="External"/><Relationship Id="rId656" Type="http://schemas.openxmlformats.org/officeDocument/2006/relationships/hyperlink" Target="https://luna-dr.com/subjects/hpv-vaccine/" TargetMode="External"/><Relationship Id="rId413" Type="http://schemas.openxmlformats.org/officeDocument/2006/relationships/hyperlink" Target="https://luna-dr.com/subjects/irregular-genital-bleeding/" TargetMode="External"/><Relationship Id="rId655" Type="http://schemas.openxmlformats.org/officeDocument/2006/relationships/hyperlink" Target="https://luna-dr.com/subjects/hpv-vaccine/" TargetMode="External"/><Relationship Id="rId412" Type="http://schemas.openxmlformats.org/officeDocument/2006/relationships/hyperlink" Target="https://luna-dr.com/subjects/irregular-genital-bleeding/" TargetMode="External"/><Relationship Id="rId654" Type="http://schemas.openxmlformats.org/officeDocument/2006/relationships/hyperlink" Target="https://luna-dr.com/subjects/medical-checkup/" TargetMode="External"/><Relationship Id="rId419" Type="http://schemas.openxmlformats.org/officeDocument/2006/relationships/hyperlink" Target="https://luna-dr.com/subjects/irregular-genital-bleeding/" TargetMode="External"/><Relationship Id="rId418" Type="http://schemas.openxmlformats.org/officeDocument/2006/relationships/hyperlink" Target="https://luna-dr.com/subjects/irregular-genital-bleeding/" TargetMode="External"/><Relationship Id="rId417" Type="http://schemas.openxmlformats.org/officeDocument/2006/relationships/hyperlink" Target="https://luna-dr.com/subjects/irregular-genital-bleeding/" TargetMode="External"/><Relationship Id="rId659" Type="http://schemas.openxmlformats.org/officeDocument/2006/relationships/hyperlink" Target="https://luna-dr.com/subjects/hpv-vaccine/" TargetMode="External"/><Relationship Id="rId416" Type="http://schemas.openxmlformats.org/officeDocument/2006/relationships/hyperlink" Target="https://luna-dr.com/subjects/irregular-genital-bleeding/" TargetMode="External"/><Relationship Id="rId658" Type="http://schemas.openxmlformats.org/officeDocument/2006/relationships/hyperlink" Target="https://luna-dr.com/subjects/hpv-vaccine/" TargetMode="External"/><Relationship Id="rId411" Type="http://schemas.openxmlformats.org/officeDocument/2006/relationships/hyperlink" Target="https://luna-dr.com/subjects/irregular-genital-bleeding/" TargetMode="External"/><Relationship Id="rId653" Type="http://schemas.openxmlformats.org/officeDocument/2006/relationships/hyperlink" Target="https://luna-dr.com/subjects/medical-checkup/" TargetMode="External"/><Relationship Id="rId410" Type="http://schemas.openxmlformats.org/officeDocument/2006/relationships/hyperlink" Target="https://luna-dr.com/subjects/irregular-genital-bleeding/" TargetMode="External"/><Relationship Id="rId652" Type="http://schemas.openxmlformats.org/officeDocument/2006/relationships/hyperlink" Target="https://luna-dr.com/subjects/medical-checkup/" TargetMode="External"/><Relationship Id="rId651" Type="http://schemas.openxmlformats.org/officeDocument/2006/relationships/hyperlink" Target="https://luna-dr.com/subjects/medical-checkup/" TargetMode="External"/><Relationship Id="rId650" Type="http://schemas.openxmlformats.org/officeDocument/2006/relationships/hyperlink" Target="https://luna-dr.com/subjects/medical-checkup/" TargetMode="External"/><Relationship Id="rId206" Type="http://schemas.openxmlformats.org/officeDocument/2006/relationships/hyperlink" Target="https://luna-dr.com/subjects/pill-prescription/" TargetMode="External"/><Relationship Id="rId448" Type="http://schemas.openxmlformats.org/officeDocument/2006/relationships/hyperlink" Target="https://luna-dr.com/subjects/std/" TargetMode="External"/><Relationship Id="rId205" Type="http://schemas.openxmlformats.org/officeDocument/2006/relationships/hyperlink" Target="https://luna-dr.com/subjects/pill-prescription/" TargetMode="External"/><Relationship Id="rId447" Type="http://schemas.openxmlformats.org/officeDocument/2006/relationships/hyperlink" Target="https://luna-dr.com/subjects/std/" TargetMode="External"/><Relationship Id="rId689" Type="http://schemas.openxmlformats.org/officeDocument/2006/relationships/hyperlink" Target="https://luna-dr.com/femcheck/begginer/" TargetMode="External"/><Relationship Id="rId204" Type="http://schemas.openxmlformats.org/officeDocument/2006/relationships/hyperlink" Target="https://luna-dr.com/subjects/pill-prescription/" TargetMode="External"/><Relationship Id="rId446" Type="http://schemas.openxmlformats.org/officeDocument/2006/relationships/hyperlink" Target="https://luna-dr.com/subjects/std/" TargetMode="External"/><Relationship Id="rId688" Type="http://schemas.openxmlformats.org/officeDocument/2006/relationships/hyperlink" Target="https://luna-dr.com/femcheck/begginer/" TargetMode="External"/><Relationship Id="rId203" Type="http://schemas.openxmlformats.org/officeDocument/2006/relationships/hyperlink" Target="https://luna-dr.com/subjects/pill-prescription/" TargetMode="External"/><Relationship Id="rId445" Type="http://schemas.openxmlformats.org/officeDocument/2006/relationships/hyperlink" Target="https://luna-dr.com/subjects/std/" TargetMode="External"/><Relationship Id="rId687" Type="http://schemas.openxmlformats.org/officeDocument/2006/relationships/hyperlink" Target="https://luna-dr.com/femcheck/begginer/" TargetMode="External"/><Relationship Id="rId209" Type="http://schemas.openxmlformats.org/officeDocument/2006/relationships/hyperlink" Target="https://luna-dr.com/subjects/pill-prescription/" TargetMode="External"/><Relationship Id="rId208" Type="http://schemas.openxmlformats.org/officeDocument/2006/relationships/hyperlink" Target="https://luna-dr.com/subjects/pill-prescription/" TargetMode="External"/><Relationship Id="rId207" Type="http://schemas.openxmlformats.org/officeDocument/2006/relationships/hyperlink" Target="https://luna-dr.com/subjects/pill-prescription/" TargetMode="External"/><Relationship Id="rId449" Type="http://schemas.openxmlformats.org/officeDocument/2006/relationships/hyperlink" Target="https://luna-dr.com/subjects/std/" TargetMode="External"/><Relationship Id="rId440" Type="http://schemas.openxmlformats.org/officeDocument/2006/relationships/hyperlink" Target="https://luna-dr.com/subjects/abnormal-uterine-bleeding/" TargetMode="External"/><Relationship Id="rId682" Type="http://schemas.openxmlformats.org/officeDocument/2006/relationships/hyperlink" Target="https://luna-dr.com/subjects/hpv-vaccine/" TargetMode="External"/><Relationship Id="rId681" Type="http://schemas.openxmlformats.org/officeDocument/2006/relationships/hyperlink" Target="https://luna-dr.com/subjects/hpv-vaccine/" TargetMode="External"/><Relationship Id="rId680" Type="http://schemas.openxmlformats.org/officeDocument/2006/relationships/hyperlink" Target="https://luna-dr.com/subjects/hpv-vaccine/" TargetMode="External"/><Relationship Id="rId202" Type="http://schemas.openxmlformats.org/officeDocument/2006/relationships/hyperlink" Target="https://luna-dr.com/subjects/pill-prescription/" TargetMode="External"/><Relationship Id="rId444" Type="http://schemas.openxmlformats.org/officeDocument/2006/relationships/hyperlink" Target="https://luna-dr.com/subjects/std/" TargetMode="External"/><Relationship Id="rId686" Type="http://schemas.openxmlformats.org/officeDocument/2006/relationships/hyperlink" Target="https://luna-dr.com/femcheck/begginer/" TargetMode="External"/><Relationship Id="rId201" Type="http://schemas.openxmlformats.org/officeDocument/2006/relationships/hyperlink" Target="https://luna-dr.com/subjects/pill-prescription/" TargetMode="External"/><Relationship Id="rId443" Type="http://schemas.openxmlformats.org/officeDocument/2006/relationships/hyperlink" Target="https://luna-dr.com/subjects/std/" TargetMode="External"/><Relationship Id="rId685" Type="http://schemas.openxmlformats.org/officeDocument/2006/relationships/hyperlink" Target="https://luna-dr.com/femcheck/begginer/" TargetMode="External"/><Relationship Id="rId200" Type="http://schemas.openxmlformats.org/officeDocument/2006/relationships/hyperlink" Target="https://luna-dr.com/subjects/pill-prescription/" TargetMode="External"/><Relationship Id="rId442" Type="http://schemas.openxmlformats.org/officeDocument/2006/relationships/hyperlink" Target="https://luna-dr.com/subjects/std/" TargetMode="External"/><Relationship Id="rId684" Type="http://schemas.openxmlformats.org/officeDocument/2006/relationships/hyperlink" Target="https://luna-dr.com/subjects/hpv-vaccine/" TargetMode="External"/><Relationship Id="rId441" Type="http://schemas.openxmlformats.org/officeDocument/2006/relationships/hyperlink" Target="https://luna-dr.com/subjects/std/" TargetMode="External"/><Relationship Id="rId683" Type="http://schemas.openxmlformats.org/officeDocument/2006/relationships/hyperlink" Target="https://luna-dr.com/subjects/hpv-vaccine/" TargetMode="External"/><Relationship Id="rId437" Type="http://schemas.openxmlformats.org/officeDocument/2006/relationships/hyperlink" Target="https://luna-dr.com/subjects/abnormal-uterine-bleeding/" TargetMode="External"/><Relationship Id="rId679" Type="http://schemas.openxmlformats.org/officeDocument/2006/relationships/hyperlink" Target="https://luna-dr.com/subjects/hpv-vaccine/" TargetMode="External"/><Relationship Id="rId436" Type="http://schemas.openxmlformats.org/officeDocument/2006/relationships/hyperlink" Target="https://luna-dr.com/subjects/abnormal-uterine-bleeding/" TargetMode="External"/><Relationship Id="rId678" Type="http://schemas.openxmlformats.org/officeDocument/2006/relationships/hyperlink" Target="https://luna-dr.com/subjects/hpv-vaccine/" TargetMode="External"/><Relationship Id="rId435" Type="http://schemas.openxmlformats.org/officeDocument/2006/relationships/hyperlink" Target="https://luna-dr.com/subjects/abnormal-uterine-bleeding/" TargetMode="External"/><Relationship Id="rId677" Type="http://schemas.openxmlformats.org/officeDocument/2006/relationships/hyperlink" Target="https://luna-dr.com/subjects/hpv-vaccine/" TargetMode="External"/><Relationship Id="rId434" Type="http://schemas.openxmlformats.org/officeDocument/2006/relationships/hyperlink" Target="https://luna-dr.com/subjects/abnormal-uterine-bleeding/" TargetMode="External"/><Relationship Id="rId676" Type="http://schemas.openxmlformats.org/officeDocument/2006/relationships/hyperlink" Target="https://luna-dr.com/subjects/hpv-vaccine/" TargetMode="External"/><Relationship Id="rId439" Type="http://schemas.openxmlformats.org/officeDocument/2006/relationships/hyperlink" Target="https://luna-dr.com/subjects/abnormal-uterine-bleeding/" TargetMode="External"/><Relationship Id="rId438" Type="http://schemas.openxmlformats.org/officeDocument/2006/relationships/hyperlink" Target="https://luna-dr.com/subjects/abnormal-uterine-bleeding/" TargetMode="External"/><Relationship Id="rId671" Type="http://schemas.openxmlformats.org/officeDocument/2006/relationships/hyperlink" Target="https://luna-dr.com/subjects/hpv-vaccine/" TargetMode="External"/><Relationship Id="rId670" Type="http://schemas.openxmlformats.org/officeDocument/2006/relationships/hyperlink" Target="https://luna-dr.com/subjects/hpv-vaccine/" TargetMode="External"/><Relationship Id="rId433" Type="http://schemas.openxmlformats.org/officeDocument/2006/relationships/hyperlink" Target="https://luna-dr.com/subjects/abnormal-uterine-bleeding/" TargetMode="External"/><Relationship Id="rId675" Type="http://schemas.openxmlformats.org/officeDocument/2006/relationships/hyperlink" Target="https://luna-dr.com/subjects/hpv-vaccine/" TargetMode="External"/><Relationship Id="rId432" Type="http://schemas.openxmlformats.org/officeDocument/2006/relationships/hyperlink" Target="https://luna-dr.com/subjects/abnormal-uterine-bleeding/" TargetMode="External"/><Relationship Id="rId674" Type="http://schemas.openxmlformats.org/officeDocument/2006/relationships/hyperlink" Target="https://luna-dr.com/subjects/hpv-vaccine/" TargetMode="External"/><Relationship Id="rId431" Type="http://schemas.openxmlformats.org/officeDocument/2006/relationships/hyperlink" Target="https://luna-dr.com/subjects/abnormal-uterine-bleeding/" TargetMode="External"/><Relationship Id="rId673" Type="http://schemas.openxmlformats.org/officeDocument/2006/relationships/hyperlink" Target="https://luna-dr.com/subjects/hpv-vaccine/" TargetMode="External"/><Relationship Id="rId430" Type="http://schemas.openxmlformats.org/officeDocument/2006/relationships/hyperlink" Target="https://luna-dr.com/subjects/abnormal-uterine-bleeding/" TargetMode="External"/><Relationship Id="rId672" Type="http://schemas.openxmlformats.org/officeDocument/2006/relationships/hyperlink" Target="https://luna-dr.com/subjects/hpv-vaccine/" TargetMode="External"/></Relationships>
</file>

<file path=xl/worksheets/_rels/sheet8.xml.rels><?xml version="1.0" encoding="UTF-8" standalone="yes"?><Relationships xmlns="http://schemas.openxmlformats.org/package/2006/relationships"><Relationship Id="rId190" Type="http://schemas.openxmlformats.org/officeDocument/2006/relationships/hyperlink" Target="https://luna-dr.com/subjects/pill-prescription/" TargetMode="External"/><Relationship Id="rId194" Type="http://schemas.openxmlformats.org/officeDocument/2006/relationships/hyperlink" Target="https://luna-dr.com/subjects/pill-prescription/" TargetMode="External"/><Relationship Id="rId193" Type="http://schemas.openxmlformats.org/officeDocument/2006/relationships/hyperlink" Target="https://luna-dr.com/subjects/pill-prescription/" TargetMode="External"/><Relationship Id="rId192" Type="http://schemas.openxmlformats.org/officeDocument/2006/relationships/hyperlink" Target="https://luna-dr.com/subjects/pill-prescription/" TargetMode="External"/><Relationship Id="rId191" Type="http://schemas.openxmlformats.org/officeDocument/2006/relationships/hyperlink" Target="https://luna-dr.com/subjects/pill-prescription/" TargetMode="External"/><Relationship Id="rId187" Type="http://schemas.openxmlformats.org/officeDocument/2006/relationships/hyperlink" Target="https://luna-dr.com/subjects/pill-prescription/" TargetMode="External"/><Relationship Id="rId186" Type="http://schemas.openxmlformats.org/officeDocument/2006/relationships/hyperlink" Target="https://luna-dr.com/subjects/menstrual-pain/" TargetMode="External"/><Relationship Id="rId185" Type="http://schemas.openxmlformats.org/officeDocument/2006/relationships/hyperlink" Target="https://luna-dr.com/subjects/menstrual-pain/" TargetMode="External"/><Relationship Id="rId184" Type="http://schemas.openxmlformats.org/officeDocument/2006/relationships/hyperlink" Target="https://luna-dr.com/subjects/menstrual-pain/" TargetMode="External"/><Relationship Id="rId189" Type="http://schemas.openxmlformats.org/officeDocument/2006/relationships/hyperlink" Target="https://luna-dr.com/subjects/pill-prescription/" TargetMode="External"/><Relationship Id="rId188" Type="http://schemas.openxmlformats.org/officeDocument/2006/relationships/hyperlink" Target="https://luna-dr.com/subjects/pill-prescription/" TargetMode="External"/><Relationship Id="rId183" Type="http://schemas.openxmlformats.org/officeDocument/2006/relationships/hyperlink" Target="https://luna-dr.com/subjects/menstrual-pain/" TargetMode="External"/><Relationship Id="rId182" Type="http://schemas.openxmlformats.org/officeDocument/2006/relationships/hyperlink" Target="https://luna-dr.com/subjects/menstrual-pain/" TargetMode="External"/><Relationship Id="rId181" Type="http://schemas.openxmlformats.org/officeDocument/2006/relationships/hyperlink" Target="https://luna-dr.com/subjects/menstrual-pain/" TargetMode="External"/><Relationship Id="rId180" Type="http://schemas.openxmlformats.org/officeDocument/2006/relationships/hyperlink" Target="https://luna-dr.com/subjects/menstrual-pain/" TargetMode="External"/><Relationship Id="rId176" Type="http://schemas.openxmlformats.org/officeDocument/2006/relationships/hyperlink" Target="https://luna-dr.com/subjects/menstrual-pain/" TargetMode="External"/><Relationship Id="rId175" Type="http://schemas.openxmlformats.org/officeDocument/2006/relationships/hyperlink" Target="https://luna-dr.com/subjects/menstrual-pain/" TargetMode="External"/><Relationship Id="rId174" Type="http://schemas.openxmlformats.org/officeDocument/2006/relationships/hyperlink" Target="https://luna-dr.com/" TargetMode="External"/><Relationship Id="rId173" Type="http://schemas.openxmlformats.org/officeDocument/2006/relationships/hyperlink" Target="https://luna-dr.com/subjects/after-pill/" TargetMode="External"/><Relationship Id="rId179" Type="http://schemas.openxmlformats.org/officeDocument/2006/relationships/hyperlink" Target="https://luna-dr.com/subjects/menstrual-pain/" TargetMode="External"/><Relationship Id="rId178" Type="http://schemas.openxmlformats.org/officeDocument/2006/relationships/hyperlink" Target="https://luna-dr.com/subjects/menstrual-pain/" TargetMode="External"/><Relationship Id="rId177" Type="http://schemas.openxmlformats.org/officeDocument/2006/relationships/hyperlink" Target="https://luna-dr.com/subjects/menstrual-pain/" TargetMode="External"/><Relationship Id="rId198" Type="http://schemas.openxmlformats.org/officeDocument/2006/relationships/hyperlink" Target="https://luna-dr.com/subjects/pill-prescription/" TargetMode="External"/><Relationship Id="rId197" Type="http://schemas.openxmlformats.org/officeDocument/2006/relationships/hyperlink" Target="https://luna-dr.com/subjects/pill-prescription/" TargetMode="External"/><Relationship Id="rId196" Type="http://schemas.openxmlformats.org/officeDocument/2006/relationships/hyperlink" Target="https://luna-dr.com/subjects/pill-prescription/" TargetMode="External"/><Relationship Id="rId195" Type="http://schemas.openxmlformats.org/officeDocument/2006/relationships/hyperlink" Target="https://luna-dr.com/subjects/pill-prescription/" TargetMode="External"/><Relationship Id="rId199" Type="http://schemas.openxmlformats.org/officeDocument/2006/relationships/hyperlink" Target="https://luna-dr.com/subjects/pill-prescription/" TargetMode="External"/><Relationship Id="rId150" Type="http://schemas.openxmlformats.org/officeDocument/2006/relationships/hyperlink" Target="https://luna-dr.com/subjects/menstrual-irregularity/" TargetMode="External"/><Relationship Id="rId392" Type="http://schemas.openxmlformats.org/officeDocument/2006/relationships/hyperlink" Target="https://luna-dr.com/subjects/abnormal-vaginal-discharge/" TargetMode="External"/><Relationship Id="rId391" Type="http://schemas.openxmlformats.org/officeDocument/2006/relationships/hyperlink" Target="https://luna-dr.com/subjects/abnormal-vaginal-discharge/" TargetMode="External"/><Relationship Id="rId390" Type="http://schemas.openxmlformats.org/officeDocument/2006/relationships/hyperlink" Target="https://luna-dr.com/subjects/abnormal-vaginal-discharge/" TargetMode="External"/><Relationship Id="rId1" Type="http://schemas.openxmlformats.org/officeDocument/2006/relationships/hyperlink" Target="https://luna-dr.com/" TargetMode="External"/><Relationship Id="rId2" Type="http://schemas.openxmlformats.org/officeDocument/2006/relationships/hyperlink" Target="https://luna-dr.com/" TargetMode="External"/><Relationship Id="rId3" Type="http://schemas.openxmlformats.org/officeDocument/2006/relationships/hyperlink" Target="https://luna-dr.com/" TargetMode="External"/><Relationship Id="rId149" Type="http://schemas.openxmlformats.org/officeDocument/2006/relationships/hyperlink" Target="https://luna-dr.com/subjects/menstrual-irregularity/" TargetMode="External"/><Relationship Id="rId4" Type="http://schemas.openxmlformats.org/officeDocument/2006/relationships/hyperlink" Target="https://luna-dr.com/" TargetMode="External"/><Relationship Id="rId148" Type="http://schemas.openxmlformats.org/officeDocument/2006/relationships/hyperlink" Target="https://luna-dr.com/subjects/menstrual-irregularity/" TargetMode="External"/><Relationship Id="rId9" Type="http://schemas.openxmlformats.org/officeDocument/2006/relationships/hyperlink" Target="https://cline-app.com/qr-codes/98ad6f149bfa20f4f2a9a2e91aac4187/preview" TargetMode="External"/><Relationship Id="rId143" Type="http://schemas.openxmlformats.org/officeDocument/2006/relationships/hyperlink" Target="https://luna-dr.com/subjects/menstrual-irregularity/" TargetMode="External"/><Relationship Id="rId385" Type="http://schemas.openxmlformats.org/officeDocument/2006/relationships/hyperlink" Target="https://luna-dr.com/subjects/abnormal-vaginal-discharge/" TargetMode="External"/><Relationship Id="rId142" Type="http://schemas.openxmlformats.org/officeDocument/2006/relationships/hyperlink" Target="https://luna-dr.com/subjects/menstrual-irregularity/" TargetMode="External"/><Relationship Id="rId384" Type="http://schemas.openxmlformats.org/officeDocument/2006/relationships/hyperlink" Target="https://luna-dr.com/subjects/abnormal-vaginal-discharge/" TargetMode="External"/><Relationship Id="rId141" Type="http://schemas.openxmlformats.org/officeDocument/2006/relationships/hyperlink" Target="https://luna-dr.com/subjects/menstrual-irregularity/" TargetMode="External"/><Relationship Id="rId383" Type="http://schemas.openxmlformats.org/officeDocument/2006/relationships/hyperlink" Target="https://luna-dr.com/subjects/abnormal-vaginal-discharge/" TargetMode="External"/><Relationship Id="rId140" Type="http://schemas.openxmlformats.org/officeDocument/2006/relationships/hyperlink" Target="https://luna-dr.com/subjects/menstrual-irregularity/" TargetMode="External"/><Relationship Id="rId382" Type="http://schemas.openxmlformats.org/officeDocument/2006/relationships/hyperlink" Target="https://luna-dr.com/subjects/abnormal-vaginal-discharge/" TargetMode="External"/><Relationship Id="rId5" Type="http://schemas.openxmlformats.org/officeDocument/2006/relationships/hyperlink" Target="https://luna-dr.com/" TargetMode="External"/><Relationship Id="rId147" Type="http://schemas.openxmlformats.org/officeDocument/2006/relationships/hyperlink" Target="https://luna-dr.com/subjects/menstrual-irregularity/" TargetMode="External"/><Relationship Id="rId389" Type="http://schemas.openxmlformats.org/officeDocument/2006/relationships/hyperlink" Target="https://luna-dr.com/subjects/abnormal-vaginal-discharge/" TargetMode="External"/><Relationship Id="rId6" Type="http://schemas.openxmlformats.org/officeDocument/2006/relationships/hyperlink" Target="https://luna-dr.com/" TargetMode="External"/><Relationship Id="rId146" Type="http://schemas.openxmlformats.org/officeDocument/2006/relationships/hyperlink" Target="https://luna-dr.com/subjects/menstrual-irregularity/" TargetMode="External"/><Relationship Id="rId388" Type="http://schemas.openxmlformats.org/officeDocument/2006/relationships/hyperlink" Target="https://luna-dr.com/subjects/abnormal-vaginal-discharge/" TargetMode="External"/><Relationship Id="rId7" Type="http://schemas.openxmlformats.org/officeDocument/2006/relationships/hyperlink" Target="https://cline-app.com/qr-codes/98ad6f149bfa20f4f2a9a2e91aac4187/preview" TargetMode="External"/><Relationship Id="rId145" Type="http://schemas.openxmlformats.org/officeDocument/2006/relationships/hyperlink" Target="https://luna-dr.com/subjects/menstrual-irregularity/" TargetMode="External"/><Relationship Id="rId387" Type="http://schemas.openxmlformats.org/officeDocument/2006/relationships/hyperlink" Target="https://luna-dr.com/subjects/abnormal-vaginal-discharge/" TargetMode="External"/><Relationship Id="rId8" Type="http://schemas.openxmlformats.org/officeDocument/2006/relationships/hyperlink" Target="https://cline-app.com/qr-codes/98ad6f149bfa20f4f2a9a2e91aac4187/preview" TargetMode="External"/><Relationship Id="rId144" Type="http://schemas.openxmlformats.org/officeDocument/2006/relationships/hyperlink" Target="https://luna-dr.com/subjects/menstrual-irregularity/" TargetMode="External"/><Relationship Id="rId386" Type="http://schemas.openxmlformats.org/officeDocument/2006/relationships/hyperlink" Target="https://luna-dr.com/subjects/abnormal-vaginal-discharge/" TargetMode="External"/><Relationship Id="rId381" Type="http://schemas.openxmlformats.org/officeDocument/2006/relationships/hyperlink" Target="https://luna-dr.com/subjects/abnormal-vaginal-discharge/" TargetMode="External"/><Relationship Id="rId380" Type="http://schemas.openxmlformats.org/officeDocument/2006/relationships/hyperlink" Target="https://luna-dr.com/subjects/abnormal-vaginal-discharge/" TargetMode="External"/><Relationship Id="rId139" Type="http://schemas.openxmlformats.org/officeDocument/2006/relationships/hyperlink" Target="https://luna-dr.com/subjects/menstrual-irregularity/" TargetMode="External"/><Relationship Id="rId138" Type="http://schemas.openxmlformats.org/officeDocument/2006/relationships/hyperlink" Target="https://luna-dr.com/subjects/menstrual-irregularity/" TargetMode="External"/><Relationship Id="rId137" Type="http://schemas.openxmlformats.org/officeDocument/2006/relationships/hyperlink" Target="https://luna-dr.com/subjects/menstrual-irregularity/" TargetMode="External"/><Relationship Id="rId379" Type="http://schemas.openxmlformats.org/officeDocument/2006/relationships/hyperlink" Target="https://luna-dr.com/subjects/abnormal-vaginal-discharge/" TargetMode="External"/><Relationship Id="rId132" Type="http://schemas.openxmlformats.org/officeDocument/2006/relationships/hyperlink" Target="https://luna-dr.com/subjects/menstrual-irregularity/" TargetMode="External"/><Relationship Id="rId374" Type="http://schemas.openxmlformats.org/officeDocument/2006/relationships/hyperlink" Target="https://luna-dr.com/subjects/abnormal-vaginal-discharge/" TargetMode="External"/><Relationship Id="rId131" Type="http://schemas.openxmlformats.org/officeDocument/2006/relationships/hyperlink" Target="https://luna-dr.com/subjects/menstrual-irregularity/" TargetMode="External"/><Relationship Id="rId373" Type="http://schemas.openxmlformats.org/officeDocument/2006/relationships/hyperlink" Target="https://luna-dr.com/subjects/abnormal-vaginal-discharge/" TargetMode="External"/><Relationship Id="rId130" Type="http://schemas.openxmlformats.org/officeDocument/2006/relationships/hyperlink" Target="https://luna-dr.com/subjects/menstrual-irregularity/" TargetMode="External"/><Relationship Id="rId372" Type="http://schemas.openxmlformats.org/officeDocument/2006/relationships/hyperlink" Target="https://luna-dr.com/subjects/abnormal-vaginal-discharge/" TargetMode="External"/><Relationship Id="rId371" Type="http://schemas.openxmlformats.org/officeDocument/2006/relationships/hyperlink" Target="https://luna-dr.com/subjects/abnormal-vaginal-discharge/" TargetMode="External"/><Relationship Id="rId136" Type="http://schemas.openxmlformats.org/officeDocument/2006/relationships/hyperlink" Target="https://luna-dr.com/subjects/menstrual-irregularity/" TargetMode="External"/><Relationship Id="rId378" Type="http://schemas.openxmlformats.org/officeDocument/2006/relationships/hyperlink" Target="https://luna-dr.com/subjects/abnormal-vaginal-discharge/" TargetMode="External"/><Relationship Id="rId135" Type="http://schemas.openxmlformats.org/officeDocument/2006/relationships/hyperlink" Target="https://luna-dr.com/subjects/menstrual-irregularity/" TargetMode="External"/><Relationship Id="rId377" Type="http://schemas.openxmlformats.org/officeDocument/2006/relationships/hyperlink" Target="https://luna-dr.com/subjects/abnormal-vaginal-discharge/" TargetMode="External"/><Relationship Id="rId134" Type="http://schemas.openxmlformats.org/officeDocument/2006/relationships/hyperlink" Target="https://luna-dr.com/subjects/menstrual-irregularity/" TargetMode="External"/><Relationship Id="rId376" Type="http://schemas.openxmlformats.org/officeDocument/2006/relationships/hyperlink" Target="https://luna-dr.com/subjects/abnormal-vaginal-discharge/" TargetMode="External"/><Relationship Id="rId133" Type="http://schemas.openxmlformats.org/officeDocument/2006/relationships/hyperlink" Target="https://luna-dr.com/subjects/menstrual-irregularity/" TargetMode="External"/><Relationship Id="rId375" Type="http://schemas.openxmlformats.org/officeDocument/2006/relationships/hyperlink" Target="https://luna-dr.com/subjects/abnormal-vaginal-discharge/" TargetMode="External"/><Relationship Id="rId172" Type="http://schemas.openxmlformats.org/officeDocument/2006/relationships/hyperlink" Target="https://luna-dr.com/subjects/low-dose-pill/" TargetMode="External"/><Relationship Id="rId171" Type="http://schemas.openxmlformats.org/officeDocument/2006/relationships/hyperlink" Target="https://luna-dr.com/subjects/menstrual-pain/" TargetMode="External"/><Relationship Id="rId170" Type="http://schemas.openxmlformats.org/officeDocument/2006/relationships/hyperlink" Target="https://luna-dr.com/subjects/menstrual-pain/" TargetMode="External"/><Relationship Id="rId165" Type="http://schemas.openxmlformats.org/officeDocument/2006/relationships/hyperlink" Target="https://luna-dr.com/subjects/menstrual-pain/" TargetMode="External"/><Relationship Id="rId164" Type="http://schemas.openxmlformats.org/officeDocument/2006/relationships/hyperlink" Target="https://luna-dr.com/subjects/menstrual-pain/" TargetMode="External"/><Relationship Id="rId163" Type="http://schemas.openxmlformats.org/officeDocument/2006/relationships/hyperlink" Target="https://luna-dr.com/subjects/menstrual-pain/" TargetMode="External"/><Relationship Id="rId162" Type="http://schemas.openxmlformats.org/officeDocument/2006/relationships/hyperlink" Target="https://luna-dr.com/subjects/menstrual-pain/" TargetMode="External"/><Relationship Id="rId169" Type="http://schemas.openxmlformats.org/officeDocument/2006/relationships/hyperlink" Target="https://luna-dr.com/subjects/menstrual-pain/" TargetMode="External"/><Relationship Id="rId168" Type="http://schemas.openxmlformats.org/officeDocument/2006/relationships/hyperlink" Target="https://luna-dr.com/subjects/menstrual-pain/" TargetMode="External"/><Relationship Id="rId167" Type="http://schemas.openxmlformats.org/officeDocument/2006/relationships/hyperlink" Target="https://luna-dr.com/subjects/menstrual-pain/" TargetMode="External"/><Relationship Id="rId166" Type="http://schemas.openxmlformats.org/officeDocument/2006/relationships/hyperlink" Target="https://luna-dr.com/subjects/menstrual-pain/" TargetMode="External"/><Relationship Id="rId161" Type="http://schemas.openxmlformats.org/officeDocument/2006/relationships/hyperlink" Target="https://luna-dr.com/subjects/menstrual-pain/" TargetMode="External"/><Relationship Id="rId160" Type="http://schemas.openxmlformats.org/officeDocument/2006/relationships/hyperlink" Target="https://luna-dr.com/subjects/menstrual-pain/" TargetMode="External"/><Relationship Id="rId159" Type="http://schemas.openxmlformats.org/officeDocument/2006/relationships/hyperlink" Target="https://luna-dr.com/subjects/menstrual-pain/" TargetMode="External"/><Relationship Id="rId154" Type="http://schemas.openxmlformats.org/officeDocument/2006/relationships/hyperlink" Target="https://luna-dr.com/subjects/menstrual-pain/" TargetMode="External"/><Relationship Id="rId396" Type="http://schemas.openxmlformats.org/officeDocument/2006/relationships/hyperlink" Target="https://luna-dr.com/subjects/abnormal-vaginal-discharge/" TargetMode="External"/><Relationship Id="rId153" Type="http://schemas.openxmlformats.org/officeDocument/2006/relationships/hyperlink" Target="https://luna-dr.com/subjects/menstrual-irregularity/" TargetMode="External"/><Relationship Id="rId395" Type="http://schemas.openxmlformats.org/officeDocument/2006/relationships/hyperlink" Target="https://luna-dr.com/subjects/abnormal-vaginal-discharge/" TargetMode="External"/><Relationship Id="rId152" Type="http://schemas.openxmlformats.org/officeDocument/2006/relationships/hyperlink" Target="https://luna-dr.com/subjects/menstrual-irregularity/" TargetMode="External"/><Relationship Id="rId394" Type="http://schemas.openxmlformats.org/officeDocument/2006/relationships/hyperlink" Target="https://luna-dr.com/subjects/abnormal-vaginal-discharge/" TargetMode="External"/><Relationship Id="rId151" Type="http://schemas.openxmlformats.org/officeDocument/2006/relationships/hyperlink" Target="https://luna-dr.com/subjects/menstrual-irregularity/" TargetMode="External"/><Relationship Id="rId393" Type="http://schemas.openxmlformats.org/officeDocument/2006/relationships/hyperlink" Target="https://luna-dr.com/subjects/abnormal-vaginal-discharge/" TargetMode="External"/><Relationship Id="rId158" Type="http://schemas.openxmlformats.org/officeDocument/2006/relationships/hyperlink" Target="https://luna-dr.com/subjects/menstrual-pain/" TargetMode="External"/><Relationship Id="rId157" Type="http://schemas.openxmlformats.org/officeDocument/2006/relationships/hyperlink" Target="https://luna-dr.com/subjects/menstrual-pain/" TargetMode="External"/><Relationship Id="rId399" Type="http://schemas.openxmlformats.org/officeDocument/2006/relationships/hyperlink" Target="https://luna-dr.com/subjects/irregular-genital-bleeding/" TargetMode="External"/><Relationship Id="rId156" Type="http://schemas.openxmlformats.org/officeDocument/2006/relationships/hyperlink" Target="https://luna-dr.com/subjects/menstrual-pain/" TargetMode="External"/><Relationship Id="rId398" Type="http://schemas.openxmlformats.org/officeDocument/2006/relationships/hyperlink" Target="https://luna-dr.com/subjects/abnormal-vaginal-discharge/" TargetMode="External"/><Relationship Id="rId155" Type="http://schemas.openxmlformats.org/officeDocument/2006/relationships/hyperlink" Target="https://luna-dr.com/subjects/menstrual-pain/" TargetMode="External"/><Relationship Id="rId397" Type="http://schemas.openxmlformats.org/officeDocument/2006/relationships/hyperlink" Target="https://luna-dr.com/subjects/abnormal-vaginal-discharge/" TargetMode="External"/><Relationship Id="rId808" Type="http://schemas.openxmlformats.org/officeDocument/2006/relationships/hyperlink" Target="https://luna-dr.com/machida/" TargetMode="External"/><Relationship Id="rId807" Type="http://schemas.openxmlformats.org/officeDocument/2006/relationships/hyperlink" Target="https://luna-dr.com/machida/" TargetMode="External"/><Relationship Id="rId806" Type="http://schemas.openxmlformats.org/officeDocument/2006/relationships/hyperlink" Target="https://luna-dr.com/machida/" TargetMode="External"/><Relationship Id="rId805" Type="http://schemas.openxmlformats.org/officeDocument/2006/relationships/hyperlink" Target="https://luna-dr.com/machida/" TargetMode="External"/><Relationship Id="rId809" Type="http://schemas.openxmlformats.org/officeDocument/2006/relationships/hyperlink" Target="https://luna-dr.com/machida/" TargetMode="External"/><Relationship Id="rId800" Type="http://schemas.openxmlformats.org/officeDocument/2006/relationships/hyperlink" Target="https://luna-dr.com/subjects/low-dose-contraceptive/" TargetMode="External"/><Relationship Id="rId804" Type="http://schemas.openxmlformats.org/officeDocument/2006/relationships/hyperlink" Target="https://luna-dr.com/subjects/medical-checkup/" TargetMode="External"/><Relationship Id="rId803" Type="http://schemas.openxmlformats.org/officeDocument/2006/relationships/hyperlink" Target="https://result.luna-dr.com/clinic_login" TargetMode="External"/><Relationship Id="rId802" Type="http://schemas.openxmlformats.org/officeDocument/2006/relationships/hyperlink" Target="https://luna-dr.com/telemedicine/" TargetMode="External"/><Relationship Id="rId801" Type="http://schemas.openxmlformats.org/officeDocument/2006/relationships/hyperlink" Target="https://luna-dr.com/subjects/low-dose-contraceptive/" TargetMode="External"/><Relationship Id="rId40" Type="http://schemas.openxmlformats.org/officeDocument/2006/relationships/hyperlink" Target="https://luna-dr.com/question/" TargetMode="External"/><Relationship Id="rId42" Type="http://schemas.openxmlformats.org/officeDocument/2006/relationships/hyperlink" Target="https://luna-dr.com/question/" TargetMode="External"/><Relationship Id="rId41" Type="http://schemas.openxmlformats.org/officeDocument/2006/relationships/hyperlink" Target="https://luna-dr.com/question/" TargetMode="External"/><Relationship Id="rId44" Type="http://schemas.openxmlformats.org/officeDocument/2006/relationships/hyperlink" Target="https://luna-dr.com/question/" TargetMode="External"/><Relationship Id="rId43" Type="http://schemas.openxmlformats.org/officeDocument/2006/relationships/hyperlink" Target="https://luna-dr.com/question/" TargetMode="External"/><Relationship Id="rId46" Type="http://schemas.openxmlformats.org/officeDocument/2006/relationships/hyperlink" Target="https://luna-dr.com/question/" TargetMode="External"/><Relationship Id="rId45" Type="http://schemas.openxmlformats.org/officeDocument/2006/relationships/hyperlink" Target="https://luna-dr.com/question/" TargetMode="External"/><Relationship Id="rId509" Type="http://schemas.openxmlformats.org/officeDocument/2006/relationships/hyperlink" Target="https://luna-dr.com/subjects/abortion_page/" TargetMode="External"/><Relationship Id="rId508" Type="http://schemas.openxmlformats.org/officeDocument/2006/relationships/hyperlink" Target="https://luna-dr.com/subjects/abortion_page/" TargetMode="External"/><Relationship Id="rId503" Type="http://schemas.openxmlformats.org/officeDocument/2006/relationships/hyperlink" Target="https://luna-dr.com/subjects/pregnancy-test/" TargetMode="External"/><Relationship Id="rId745" Type="http://schemas.openxmlformats.org/officeDocument/2006/relationships/hyperlink" Target="https://luna-dr.com/femcheck/faq/" TargetMode="External"/><Relationship Id="rId502" Type="http://schemas.openxmlformats.org/officeDocument/2006/relationships/hyperlink" Target="https://luna-dr.com/subjects/pregnancy-test/" TargetMode="External"/><Relationship Id="rId744" Type="http://schemas.openxmlformats.org/officeDocument/2006/relationships/hyperlink" Target="https://luna-dr.com/femcheck/faq/" TargetMode="External"/><Relationship Id="rId501" Type="http://schemas.openxmlformats.org/officeDocument/2006/relationships/hyperlink" Target="https://luna-dr.com/subjects/pregnancy-test/" TargetMode="External"/><Relationship Id="rId743" Type="http://schemas.openxmlformats.org/officeDocument/2006/relationships/hyperlink" Target="https://luna-dr.com/femcheck/faq/" TargetMode="External"/><Relationship Id="rId500" Type="http://schemas.openxmlformats.org/officeDocument/2006/relationships/hyperlink" Target="https://luna-dr.com/subjects/pregnancy-test/" TargetMode="External"/><Relationship Id="rId742" Type="http://schemas.openxmlformats.org/officeDocument/2006/relationships/hyperlink" Target="https://luna-dr.com/femcheck/faq/" TargetMode="External"/><Relationship Id="rId507" Type="http://schemas.openxmlformats.org/officeDocument/2006/relationships/hyperlink" Target="https://luna-dr.com/subjects/abortion_page/" TargetMode="External"/><Relationship Id="rId749" Type="http://schemas.openxmlformats.org/officeDocument/2006/relationships/hyperlink" Target="https://luna-dr.com/femcheck/faq/" TargetMode="External"/><Relationship Id="rId506" Type="http://schemas.openxmlformats.org/officeDocument/2006/relationships/hyperlink" Target="https://luna-dr.com/subjects/abortion_page/" TargetMode="External"/><Relationship Id="rId748" Type="http://schemas.openxmlformats.org/officeDocument/2006/relationships/hyperlink" Target="https://luna-dr.com/femcheck/faq/" TargetMode="External"/><Relationship Id="rId505" Type="http://schemas.openxmlformats.org/officeDocument/2006/relationships/hyperlink" Target="https://luna-dr.com/subjects/pregnancy-test/" TargetMode="External"/><Relationship Id="rId747" Type="http://schemas.openxmlformats.org/officeDocument/2006/relationships/hyperlink" Target="https://luna-dr.com/femcheck/faq/" TargetMode="External"/><Relationship Id="rId504" Type="http://schemas.openxmlformats.org/officeDocument/2006/relationships/hyperlink" Target="https://luna-dr.com/subjects/pregnancy-test/" TargetMode="External"/><Relationship Id="rId746" Type="http://schemas.openxmlformats.org/officeDocument/2006/relationships/hyperlink" Target="https://luna-dr.com/femcheck/faq/" TargetMode="External"/><Relationship Id="rId48" Type="http://schemas.openxmlformats.org/officeDocument/2006/relationships/hyperlink" Target="https://luna-dr.com/question/" TargetMode="External"/><Relationship Id="rId47" Type="http://schemas.openxmlformats.org/officeDocument/2006/relationships/hyperlink" Target="https://luna-dr.com/question/" TargetMode="External"/><Relationship Id="rId49" Type="http://schemas.openxmlformats.org/officeDocument/2006/relationships/hyperlink" Target="https://luna-dr.com/question/" TargetMode="External"/><Relationship Id="rId741" Type="http://schemas.openxmlformats.org/officeDocument/2006/relationships/hyperlink" Target="https://luna-dr.com/femcheck/faq/" TargetMode="External"/><Relationship Id="rId740" Type="http://schemas.openxmlformats.org/officeDocument/2006/relationships/hyperlink" Target="https://luna-dr.com/femcheck/faq/" TargetMode="External"/><Relationship Id="rId31" Type="http://schemas.openxmlformats.org/officeDocument/2006/relationships/hyperlink" Target="https://luna-dr.com/" TargetMode="External"/><Relationship Id="rId30" Type="http://schemas.openxmlformats.org/officeDocument/2006/relationships/hyperlink" Target="https://luna-dr.com/subjects/hpv-vaccine/" TargetMode="External"/><Relationship Id="rId33" Type="http://schemas.openxmlformats.org/officeDocument/2006/relationships/hyperlink" Target="https://luna-dr.com/" TargetMode="External"/><Relationship Id="rId32" Type="http://schemas.openxmlformats.org/officeDocument/2006/relationships/hyperlink" Target="https://luna-dr.com/" TargetMode="External"/><Relationship Id="rId35" Type="http://schemas.openxmlformats.org/officeDocument/2006/relationships/hyperlink" Target="https://luna-dr.com/question/" TargetMode="External"/><Relationship Id="rId34" Type="http://schemas.openxmlformats.org/officeDocument/2006/relationships/hyperlink" Target="https://luna-dr.com/question/" TargetMode="External"/><Relationship Id="rId739" Type="http://schemas.openxmlformats.org/officeDocument/2006/relationships/hyperlink" Target="https://luna-dr.com/femcheck/deliver/" TargetMode="External"/><Relationship Id="rId734" Type="http://schemas.openxmlformats.org/officeDocument/2006/relationships/hyperlink" Target="https://luna-dr.com/femcheck/deliver/" TargetMode="External"/><Relationship Id="rId733" Type="http://schemas.openxmlformats.org/officeDocument/2006/relationships/hyperlink" Target="https://luna-dr.com/femcheck/deliver/" TargetMode="External"/><Relationship Id="rId732" Type="http://schemas.openxmlformats.org/officeDocument/2006/relationships/hyperlink" Target="https://luna-dr.com/femcheck/about/" TargetMode="External"/><Relationship Id="rId731" Type="http://schemas.openxmlformats.org/officeDocument/2006/relationships/hyperlink" Target="https://luna-dr.com/femcheck/about/" TargetMode="External"/><Relationship Id="rId738" Type="http://schemas.openxmlformats.org/officeDocument/2006/relationships/hyperlink" Target="https://luna-dr.com/femcheck/deliver/" TargetMode="External"/><Relationship Id="rId737" Type="http://schemas.openxmlformats.org/officeDocument/2006/relationships/hyperlink" Target="https://luna-dr.com/femcheck/deliver/" TargetMode="External"/><Relationship Id="rId736" Type="http://schemas.openxmlformats.org/officeDocument/2006/relationships/hyperlink" Target="https://luna-dr.com/femcheck/deliver/" TargetMode="External"/><Relationship Id="rId735" Type="http://schemas.openxmlformats.org/officeDocument/2006/relationships/hyperlink" Target="https://luna-dr.com/femcheck/deliver/" TargetMode="External"/><Relationship Id="rId37" Type="http://schemas.openxmlformats.org/officeDocument/2006/relationships/hyperlink" Target="https://luna-dr.com/question/" TargetMode="External"/><Relationship Id="rId36" Type="http://schemas.openxmlformats.org/officeDocument/2006/relationships/hyperlink" Target="https://luna-dr.com/question/" TargetMode="External"/><Relationship Id="rId39" Type="http://schemas.openxmlformats.org/officeDocument/2006/relationships/hyperlink" Target="https://luna-dr.com/question/" TargetMode="External"/><Relationship Id="rId38" Type="http://schemas.openxmlformats.org/officeDocument/2006/relationships/hyperlink" Target="https://luna-dr.com/question/" TargetMode="External"/><Relationship Id="rId730" Type="http://schemas.openxmlformats.org/officeDocument/2006/relationships/hyperlink" Target="https://luna-dr.com/femcheck/about/" TargetMode="External"/><Relationship Id="rId20" Type="http://schemas.openxmlformats.org/officeDocument/2006/relationships/hyperlink" Target="https://luna-dr.com/subjects/pill-prescription/" TargetMode="External"/><Relationship Id="rId22" Type="http://schemas.openxmlformats.org/officeDocument/2006/relationships/hyperlink" Target="https://luna-dr.com/subjects/abnormal-vaginal-discharge/" TargetMode="External"/><Relationship Id="rId21" Type="http://schemas.openxmlformats.org/officeDocument/2006/relationships/hyperlink" Target="https://luna-dr.com/subjects/menstrual-manipulation/" TargetMode="External"/><Relationship Id="rId24" Type="http://schemas.openxmlformats.org/officeDocument/2006/relationships/hyperlink" Target="https://luna-dr.com/subjects/std/" TargetMode="External"/><Relationship Id="rId23" Type="http://schemas.openxmlformats.org/officeDocument/2006/relationships/hyperlink" Target="https://luna-dr.com/subjects/bridal-check/" TargetMode="External"/><Relationship Id="rId525" Type="http://schemas.openxmlformats.org/officeDocument/2006/relationships/hyperlink" Target="https://luna-dr.com/subjects/abortion_page/" TargetMode="External"/><Relationship Id="rId767" Type="http://schemas.openxmlformats.org/officeDocument/2006/relationships/hyperlink" Target="https://shop.luna-dr.com/collections/low_dose_pill_subscription" TargetMode="External"/><Relationship Id="rId524" Type="http://schemas.openxmlformats.org/officeDocument/2006/relationships/hyperlink" Target="https://luna-dr.com/subjects/abortion_page/" TargetMode="External"/><Relationship Id="rId766" Type="http://schemas.openxmlformats.org/officeDocument/2006/relationships/hyperlink" Target="https://docs.google.com/forms/d/e/1FAIpQLSe41t1VsvN-rfcwsRSkalz89S2yqQc4zpWrbdcrwPo95Iif-Q/viewform" TargetMode="External"/><Relationship Id="rId523" Type="http://schemas.openxmlformats.org/officeDocument/2006/relationships/hyperlink" Target="https://luna-dr.com/subjects/abortion_page/" TargetMode="External"/><Relationship Id="rId765" Type="http://schemas.openxmlformats.org/officeDocument/2006/relationships/hyperlink" Target="https://docs.google.com/forms/d/e/1FAIpQLSe41t1VsvN-rfcwsRSkalz89S2yqQc4zpWrbdcrwPo95Iif-Q/viewform" TargetMode="External"/><Relationship Id="rId522" Type="http://schemas.openxmlformats.org/officeDocument/2006/relationships/hyperlink" Target="https://luna-dr.com/subjects/abortion_page/" TargetMode="External"/><Relationship Id="rId764" Type="http://schemas.openxmlformats.org/officeDocument/2006/relationships/hyperlink" Target="https://docs.google.com/forms/d/e/1FAIpQLSe41t1VsvN-rfcwsRSkalz89S2yqQc4zpWrbdcrwPo95Iif-Q/viewform" TargetMode="External"/><Relationship Id="rId529" Type="http://schemas.openxmlformats.org/officeDocument/2006/relationships/hyperlink" Target="https://luna-dr.com/subjects/abortion_page/" TargetMode="External"/><Relationship Id="rId528" Type="http://schemas.openxmlformats.org/officeDocument/2006/relationships/hyperlink" Target="https://luna-dr.com/subjects/abortion_page/" TargetMode="External"/><Relationship Id="rId527" Type="http://schemas.openxmlformats.org/officeDocument/2006/relationships/hyperlink" Target="https://luna-dr.com/subjects/abortion_page/" TargetMode="External"/><Relationship Id="rId769" Type="http://schemas.openxmlformats.org/officeDocument/2006/relationships/hyperlink" Target="https://shop.luna-dr.com/collections/low_dose_pill_subscription" TargetMode="External"/><Relationship Id="rId526" Type="http://schemas.openxmlformats.org/officeDocument/2006/relationships/hyperlink" Target="https://luna-dr.com/subjects/abortion_page/" TargetMode="External"/><Relationship Id="rId768" Type="http://schemas.openxmlformats.org/officeDocument/2006/relationships/hyperlink" Target="https://docs.google.com/forms/d/e/1FAIpQLSe41t1VsvN-rfcwsRSkalz89S2yqQc4zpWrbdcrwPo95Iif-Q/viewform" TargetMode="External"/><Relationship Id="rId26" Type="http://schemas.openxmlformats.org/officeDocument/2006/relationships/hyperlink" Target="https://luna-dr.com/subjects/pregnancy-test/" TargetMode="External"/><Relationship Id="rId25" Type="http://schemas.openxmlformats.org/officeDocument/2006/relationships/hyperlink" Target="https://luna-dr.com/subjects/pregnancy-test/,https://luna-dr.com/subjects/abortion_page/" TargetMode="External"/><Relationship Id="rId28" Type="http://schemas.openxmlformats.org/officeDocument/2006/relationships/hyperlink" Target="https://luna-dr.com/subjects/medical-checkup/" TargetMode="External"/><Relationship Id="rId27" Type="http://schemas.openxmlformats.org/officeDocument/2006/relationships/hyperlink" Target="https://luna-dr.com/subjects/irregular-genital-bleeding/" TargetMode="External"/><Relationship Id="rId521" Type="http://schemas.openxmlformats.org/officeDocument/2006/relationships/hyperlink" Target="https://luna-dr.com/subjects/abortion_page/" TargetMode="External"/><Relationship Id="rId763" Type="http://schemas.openxmlformats.org/officeDocument/2006/relationships/hyperlink" Target="https://docs.google.com/forms/d/e/1FAIpQLSe41t1VsvN-rfcwsRSkalz89S2yqQc4zpWrbdcrwPo95Iif-Q/viewform" TargetMode="External"/><Relationship Id="rId29" Type="http://schemas.openxmlformats.org/officeDocument/2006/relationships/hyperlink" Target="https://luna-dr.com/subjects/ius-treatment/" TargetMode="External"/><Relationship Id="rId520" Type="http://schemas.openxmlformats.org/officeDocument/2006/relationships/hyperlink" Target="https://luna-dr.com/subjects/abortion_page/" TargetMode="External"/><Relationship Id="rId762" Type="http://schemas.openxmlformats.org/officeDocument/2006/relationships/hyperlink" Target="https://docs.google.com/forms/d/e/1FAIpQLSe41t1VsvN-rfcwsRSkalz89S2yqQc4zpWrbdcrwPo95Iif-Q/viewform" TargetMode="External"/><Relationship Id="rId761" Type="http://schemas.openxmlformats.org/officeDocument/2006/relationships/hyperlink" Target="https://docs.google.com/forms/d/e/1FAIpQLSe41t1VsvN-rfcwsRSkalz89S2yqQc4zpWrbdcrwPo95Iif-Q/viewform" TargetMode="External"/><Relationship Id="rId760" Type="http://schemas.openxmlformats.org/officeDocument/2006/relationships/hyperlink" Target="https://shop.luna-dr.com/products/lactobacillus" TargetMode="External"/><Relationship Id="rId11" Type="http://schemas.openxmlformats.org/officeDocument/2006/relationships/hyperlink" Target="https://luna-dr.com/" TargetMode="External"/><Relationship Id="rId10" Type="http://schemas.openxmlformats.org/officeDocument/2006/relationships/hyperlink" Target="https://luna-dr.com/" TargetMode="External"/><Relationship Id="rId13" Type="http://schemas.openxmlformats.org/officeDocument/2006/relationships/hyperlink" Target="https://luna-dr.com/subjects/menstrual-pain/" TargetMode="External"/><Relationship Id="rId12" Type="http://schemas.openxmlformats.org/officeDocument/2006/relationships/hyperlink" Target="https://luna-dr.com/" TargetMode="External"/><Relationship Id="rId519" Type="http://schemas.openxmlformats.org/officeDocument/2006/relationships/hyperlink" Target="https://luna-dr.com/subjects/abortion_page/" TargetMode="External"/><Relationship Id="rId514" Type="http://schemas.openxmlformats.org/officeDocument/2006/relationships/hyperlink" Target="https://luna-dr.com/subjects/abortion_page/" TargetMode="External"/><Relationship Id="rId756" Type="http://schemas.openxmlformats.org/officeDocument/2006/relationships/hyperlink" Target="https://shop.luna-dr.com/collections/low_dose_pill_subscription" TargetMode="External"/><Relationship Id="rId513" Type="http://schemas.openxmlformats.org/officeDocument/2006/relationships/hyperlink" Target="https://luna-dr.com/subjects/abortion_page/" TargetMode="External"/><Relationship Id="rId755" Type="http://schemas.openxmlformats.org/officeDocument/2006/relationships/hyperlink" Target="https://luna-dr.com/" TargetMode="External"/><Relationship Id="rId512" Type="http://schemas.openxmlformats.org/officeDocument/2006/relationships/hyperlink" Target="https://luna-dr.com/subjects/abortion_page/" TargetMode="External"/><Relationship Id="rId754" Type="http://schemas.openxmlformats.org/officeDocument/2006/relationships/hyperlink" Target="https://luna-dr.com/femcheck/faq/" TargetMode="External"/><Relationship Id="rId511" Type="http://schemas.openxmlformats.org/officeDocument/2006/relationships/hyperlink" Target="https://luna-dr.com/subjects/abortion_page/" TargetMode="External"/><Relationship Id="rId753" Type="http://schemas.openxmlformats.org/officeDocument/2006/relationships/hyperlink" Target="https://luna-dr.com/femcheck/faq/" TargetMode="External"/><Relationship Id="rId518" Type="http://schemas.openxmlformats.org/officeDocument/2006/relationships/hyperlink" Target="https://luna-dr.com/subjects/abortion_page/" TargetMode="External"/><Relationship Id="rId517" Type="http://schemas.openxmlformats.org/officeDocument/2006/relationships/hyperlink" Target="https://luna-dr.com/subjects/abortion_page/" TargetMode="External"/><Relationship Id="rId759" Type="http://schemas.openxmlformats.org/officeDocument/2006/relationships/hyperlink" Target="https://shop.luna-dr.com/" TargetMode="External"/><Relationship Id="rId516" Type="http://schemas.openxmlformats.org/officeDocument/2006/relationships/hyperlink" Target="https://luna-dr.com/subjects/abortion_page/" TargetMode="External"/><Relationship Id="rId758" Type="http://schemas.openxmlformats.org/officeDocument/2006/relationships/hyperlink" Target="https://shop.luna-dr.com/collections/low_dose_pill_subscription" TargetMode="External"/><Relationship Id="rId515" Type="http://schemas.openxmlformats.org/officeDocument/2006/relationships/hyperlink" Target="https://luna-dr.com/subjects/abortion_page/" TargetMode="External"/><Relationship Id="rId757" Type="http://schemas.openxmlformats.org/officeDocument/2006/relationships/hyperlink" Target="https://shop.luna-dr.com/collections/low_dose_pill_subscription" TargetMode="External"/><Relationship Id="rId15" Type="http://schemas.openxmlformats.org/officeDocument/2006/relationships/hyperlink" Target="https://luna-dr.com/subjects/menstrual-pain/" TargetMode="External"/><Relationship Id="rId14" Type="http://schemas.openxmlformats.org/officeDocument/2006/relationships/hyperlink" Target="https://luna-dr.com/subjects/menstrual-irregularity/" TargetMode="External"/><Relationship Id="rId17" Type="http://schemas.openxmlformats.org/officeDocument/2006/relationships/hyperlink" Target="https://luna-dr.com/subjects/pill-prescription/" TargetMode="External"/><Relationship Id="rId16" Type="http://schemas.openxmlformats.org/officeDocument/2006/relationships/hyperlink" Target="https://luna-dr.com/subjects/abortion_page/" TargetMode="External"/><Relationship Id="rId19" Type="http://schemas.openxmlformats.org/officeDocument/2006/relationships/hyperlink" Target="https://luna-dr.com/subjects/low-dose-contraceptive/" TargetMode="External"/><Relationship Id="rId510" Type="http://schemas.openxmlformats.org/officeDocument/2006/relationships/hyperlink" Target="https://luna-dr.com/subjects/abortion_page/" TargetMode="External"/><Relationship Id="rId752" Type="http://schemas.openxmlformats.org/officeDocument/2006/relationships/hyperlink" Target="https://luna-dr.com/femcheck/faq/" TargetMode="External"/><Relationship Id="rId18" Type="http://schemas.openxmlformats.org/officeDocument/2006/relationships/hyperlink" Target="https://luna-dr.com/subjects/after-pill_page/" TargetMode="External"/><Relationship Id="rId751" Type="http://schemas.openxmlformats.org/officeDocument/2006/relationships/hyperlink" Target="https://luna-dr.com/femcheck/faq/" TargetMode="External"/><Relationship Id="rId750" Type="http://schemas.openxmlformats.org/officeDocument/2006/relationships/hyperlink" Target="https://luna-dr.com/femcheck/faq/" TargetMode="External"/><Relationship Id="rId84" Type="http://schemas.openxmlformats.org/officeDocument/2006/relationships/hyperlink" Target="https://luna-dr.com/subjects/menstrual-manipulation/" TargetMode="External"/><Relationship Id="rId83" Type="http://schemas.openxmlformats.org/officeDocument/2006/relationships/hyperlink" Target="https://luna-dr.com/subjects/menstrual-manipulation/" TargetMode="External"/><Relationship Id="rId86" Type="http://schemas.openxmlformats.org/officeDocument/2006/relationships/hyperlink" Target="https://luna-dr.com/subjects/menstrual-manipulation/" TargetMode="External"/><Relationship Id="rId85" Type="http://schemas.openxmlformats.org/officeDocument/2006/relationships/hyperlink" Target="https://luna-dr.com/subjects/menstrual-manipulation/" TargetMode="External"/><Relationship Id="rId88" Type="http://schemas.openxmlformats.org/officeDocument/2006/relationships/hyperlink" Target="https://luna-dr.com/subjects/menstrual-manipulation/" TargetMode="External"/><Relationship Id="rId87" Type="http://schemas.openxmlformats.org/officeDocument/2006/relationships/hyperlink" Target="https://luna-dr.com/subjects/menstrual-manipulation/" TargetMode="External"/><Relationship Id="rId89" Type="http://schemas.openxmlformats.org/officeDocument/2006/relationships/hyperlink" Target="https://luna-dr.com/subjects/menstrual-manipulation/" TargetMode="External"/><Relationship Id="rId709" Type="http://schemas.openxmlformats.org/officeDocument/2006/relationships/hyperlink" Target="https://luna-dr.com/femcheck/about/" TargetMode="External"/><Relationship Id="rId708" Type="http://schemas.openxmlformats.org/officeDocument/2006/relationships/hyperlink" Target="https://luna-dr.com/femcheck/about/" TargetMode="External"/><Relationship Id="rId707" Type="http://schemas.openxmlformats.org/officeDocument/2006/relationships/hyperlink" Target="https://luna-dr.com/femcheck/about/" TargetMode="External"/><Relationship Id="rId706" Type="http://schemas.openxmlformats.org/officeDocument/2006/relationships/hyperlink" Target="https://luna-dr.com/femcheck/about/" TargetMode="External"/><Relationship Id="rId80" Type="http://schemas.openxmlformats.org/officeDocument/2006/relationships/hyperlink" Target="https://luna-dr.com/subjects/menstrual-manipulation/" TargetMode="External"/><Relationship Id="rId82" Type="http://schemas.openxmlformats.org/officeDocument/2006/relationships/hyperlink" Target="https://luna-dr.com/subjects/menstrual-manipulation/" TargetMode="External"/><Relationship Id="rId81" Type="http://schemas.openxmlformats.org/officeDocument/2006/relationships/hyperlink" Target="https://luna-dr.com/subjects/menstrual-manipulation/" TargetMode="External"/><Relationship Id="rId701" Type="http://schemas.openxmlformats.org/officeDocument/2006/relationships/hyperlink" Target="https://luna-dr.com/femcheck/about/" TargetMode="External"/><Relationship Id="rId700" Type="http://schemas.openxmlformats.org/officeDocument/2006/relationships/hyperlink" Target="https://luna-dr.com/femcheck/about/" TargetMode="External"/><Relationship Id="rId705" Type="http://schemas.openxmlformats.org/officeDocument/2006/relationships/hyperlink" Target="https://luna-dr.com/femcheck/about/" TargetMode="External"/><Relationship Id="rId704" Type="http://schemas.openxmlformats.org/officeDocument/2006/relationships/hyperlink" Target="https://luna-dr.com/femcheck/about/" TargetMode="External"/><Relationship Id="rId703" Type="http://schemas.openxmlformats.org/officeDocument/2006/relationships/hyperlink" Target="https://luna-dr.com/femcheck/about/" TargetMode="External"/><Relationship Id="rId702" Type="http://schemas.openxmlformats.org/officeDocument/2006/relationships/hyperlink" Target="https://luna-dr.com/femcheck/about/" TargetMode="External"/><Relationship Id="rId73" Type="http://schemas.openxmlformats.org/officeDocument/2006/relationships/hyperlink" Target="https://luna-dr.com/" TargetMode="External"/><Relationship Id="rId72" Type="http://schemas.openxmlformats.org/officeDocument/2006/relationships/hyperlink" Target="https://luna-dr.com/" TargetMode="External"/><Relationship Id="rId75" Type="http://schemas.openxmlformats.org/officeDocument/2006/relationships/hyperlink" Target="https://luna-dr.com/" TargetMode="External"/><Relationship Id="rId74" Type="http://schemas.openxmlformats.org/officeDocument/2006/relationships/hyperlink" Target="https://luna-dr.com/" TargetMode="External"/><Relationship Id="rId77" Type="http://schemas.openxmlformats.org/officeDocument/2006/relationships/hyperlink" Target="https://luna-dr.com/" TargetMode="External"/><Relationship Id="rId76" Type="http://schemas.openxmlformats.org/officeDocument/2006/relationships/hyperlink" Target="https://luna-dr.com/" TargetMode="External"/><Relationship Id="rId79" Type="http://schemas.openxmlformats.org/officeDocument/2006/relationships/hyperlink" Target="https://luna-dr.com/subjects/menstrual-manipulation/" TargetMode="External"/><Relationship Id="rId78" Type="http://schemas.openxmlformats.org/officeDocument/2006/relationships/hyperlink" Target="https://luna-dr.com/subjects/menstrual-manipulation/" TargetMode="External"/><Relationship Id="rId71" Type="http://schemas.openxmlformats.org/officeDocument/2006/relationships/hyperlink" Target="https://luna-dr.com/" TargetMode="External"/><Relationship Id="rId70" Type="http://schemas.openxmlformats.org/officeDocument/2006/relationships/hyperlink" Target="https://luna-dr.com/" TargetMode="External"/><Relationship Id="rId62" Type="http://schemas.openxmlformats.org/officeDocument/2006/relationships/hyperlink" Target="https://luna-dr.com/telemedicine/" TargetMode="External"/><Relationship Id="rId61" Type="http://schemas.openxmlformats.org/officeDocument/2006/relationships/hyperlink" Target="https://luna-dr.com/telemedicine/" TargetMode="External"/><Relationship Id="rId64" Type="http://schemas.openxmlformats.org/officeDocument/2006/relationships/hyperlink" Target="https://luna-dr.com/" TargetMode="External"/><Relationship Id="rId63" Type="http://schemas.openxmlformats.org/officeDocument/2006/relationships/hyperlink" Target="https://luna-dr.com/telemedicine/" TargetMode="External"/><Relationship Id="rId66" Type="http://schemas.openxmlformats.org/officeDocument/2006/relationships/hyperlink" Target="https://luna-dr.com/" TargetMode="External"/><Relationship Id="rId65" Type="http://schemas.openxmlformats.org/officeDocument/2006/relationships/hyperlink" Target="https://luna-dr.com/" TargetMode="External"/><Relationship Id="rId68" Type="http://schemas.openxmlformats.org/officeDocument/2006/relationships/hyperlink" Target="https://luna-dr.com/" TargetMode="External"/><Relationship Id="rId67" Type="http://schemas.openxmlformats.org/officeDocument/2006/relationships/hyperlink" Target="https://luna-dr.com/" TargetMode="External"/><Relationship Id="rId729" Type="http://schemas.openxmlformats.org/officeDocument/2006/relationships/hyperlink" Target="https://luna-dr.com/femcheck/about/" TargetMode="External"/><Relationship Id="rId728" Type="http://schemas.openxmlformats.org/officeDocument/2006/relationships/hyperlink" Target="https://luna-dr.com/femcheck/about/" TargetMode="External"/><Relationship Id="rId60" Type="http://schemas.openxmlformats.org/officeDocument/2006/relationships/hyperlink" Target="https://luna-dr.com/telemedicine/" TargetMode="External"/><Relationship Id="rId723" Type="http://schemas.openxmlformats.org/officeDocument/2006/relationships/hyperlink" Target="https://luna-dr.com/femcheck/about/" TargetMode="External"/><Relationship Id="rId722" Type="http://schemas.openxmlformats.org/officeDocument/2006/relationships/hyperlink" Target="https://luna-dr.com/femcheck/about/" TargetMode="External"/><Relationship Id="rId721" Type="http://schemas.openxmlformats.org/officeDocument/2006/relationships/hyperlink" Target="https://luna-dr.com/femcheck/about/" TargetMode="External"/><Relationship Id="rId720" Type="http://schemas.openxmlformats.org/officeDocument/2006/relationships/hyperlink" Target="https://luna-dr.com/femcheck/about/" TargetMode="External"/><Relationship Id="rId727" Type="http://schemas.openxmlformats.org/officeDocument/2006/relationships/hyperlink" Target="https://luna-dr.com/femcheck/about/" TargetMode="External"/><Relationship Id="rId726" Type="http://schemas.openxmlformats.org/officeDocument/2006/relationships/hyperlink" Target="https://luna-dr.com/femcheck/about/" TargetMode="External"/><Relationship Id="rId725" Type="http://schemas.openxmlformats.org/officeDocument/2006/relationships/hyperlink" Target="https://luna-dr.com/femcheck/about/" TargetMode="External"/><Relationship Id="rId724" Type="http://schemas.openxmlformats.org/officeDocument/2006/relationships/hyperlink" Target="https://luna-dr.com/femcheck/about/" TargetMode="External"/><Relationship Id="rId69" Type="http://schemas.openxmlformats.org/officeDocument/2006/relationships/hyperlink" Target="https://luna-dr.com/" TargetMode="External"/><Relationship Id="rId51" Type="http://schemas.openxmlformats.org/officeDocument/2006/relationships/hyperlink" Target="https://luna-dr.com/telemedicine/" TargetMode="External"/><Relationship Id="rId50" Type="http://schemas.openxmlformats.org/officeDocument/2006/relationships/hyperlink" Target="https://luna-dr.com/telemedicine/" TargetMode="External"/><Relationship Id="rId53" Type="http://schemas.openxmlformats.org/officeDocument/2006/relationships/hyperlink" Target="https://luna-dr.com/telemedicine/" TargetMode="External"/><Relationship Id="rId52" Type="http://schemas.openxmlformats.org/officeDocument/2006/relationships/hyperlink" Target="https://luna-dr.com/telemedicine/" TargetMode="External"/><Relationship Id="rId55" Type="http://schemas.openxmlformats.org/officeDocument/2006/relationships/hyperlink" Target="https://luna-dr.com/telemedicine/" TargetMode="External"/><Relationship Id="rId54" Type="http://schemas.openxmlformats.org/officeDocument/2006/relationships/hyperlink" Target="https://luna-dr.com/telemedicine/" TargetMode="External"/><Relationship Id="rId57" Type="http://schemas.openxmlformats.org/officeDocument/2006/relationships/hyperlink" Target="https://luna-dr.com/telemedicine/" TargetMode="External"/><Relationship Id="rId56" Type="http://schemas.openxmlformats.org/officeDocument/2006/relationships/hyperlink" Target="https://luna-dr.com/telemedicine/" TargetMode="External"/><Relationship Id="rId719" Type="http://schemas.openxmlformats.org/officeDocument/2006/relationships/hyperlink" Target="https://luna-dr.com/femcheck/about/" TargetMode="External"/><Relationship Id="rId718" Type="http://schemas.openxmlformats.org/officeDocument/2006/relationships/hyperlink" Target="https://luna-dr.com/femcheck/about/" TargetMode="External"/><Relationship Id="rId717" Type="http://schemas.openxmlformats.org/officeDocument/2006/relationships/hyperlink" Target="https://luna-dr.com/femcheck/about/" TargetMode="External"/><Relationship Id="rId712" Type="http://schemas.openxmlformats.org/officeDocument/2006/relationships/hyperlink" Target="https://luna-dr.com/femcheck/about/" TargetMode="External"/><Relationship Id="rId711" Type="http://schemas.openxmlformats.org/officeDocument/2006/relationships/hyperlink" Target="https://luna-dr.com/femcheck/about/" TargetMode="External"/><Relationship Id="rId710" Type="http://schemas.openxmlformats.org/officeDocument/2006/relationships/hyperlink" Target="https://luna-dr.com/femcheck/about/" TargetMode="External"/><Relationship Id="rId716" Type="http://schemas.openxmlformats.org/officeDocument/2006/relationships/hyperlink" Target="https://luna-dr.com/femcheck/about/" TargetMode="External"/><Relationship Id="rId715" Type="http://schemas.openxmlformats.org/officeDocument/2006/relationships/hyperlink" Target="https://luna-dr.com/femcheck/about/" TargetMode="External"/><Relationship Id="rId714" Type="http://schemas.openxmlformats.org/officeDocument/2006/relationships/hyperlink" Target="https://luna-dr.com/femcheck/about/" TargetMode="External"/><Relationship Id="rId713" Type="http://schemas.openxmlformats.org/officeDocument/2006/relationships/hyperlink" Target="https://luna-dr.com/femcheck/about/" TargetMode="External"/><Relationship Id="rId59" Type="http://schemas.openxmlformats.org/officeDocument/2006/relationships/hyperlink" Target="https://luna-dr.com/telemedicine/" TargetMode="External"/><Relationship Id="rId58" Type="http://schemas.openxmlformats.org/officeDocument/2006/relationships/hyperlink" Target="https://luna-dr.com/telemedicine/" TargetMode="External"/><Relationship Id="rId590" Type="http://schemas.openxmlformats.org/officeDocument/2006/relationships/hyperlink" Target="https://luna-dr.com/subjects/bridal-check/" TargetMode="External"/><Relationship Id="rId107" Type="http://schemas.openxmlformats.org/officeDocument/2006/relationships/hyperlink" Target="https://luna-dr.com/subjects/menstrual-manipulation/" TargetMode="External"/><Relationship Id="rId349" Type="http://schemas.openxmlformats.org/officeDocument/2006/relationships/hyperlink" Target="https://luna-dr.com/subjects/abnormal-vaginal-discharge/" TargetMode="External"/><Relationship Id="rId106" Type="http://schemas.openxmlformats.org/officeDocument/2006/relationships/hyperlink" Target="https://luna-dr.com/subjects/menstrual-manipulation/" TargetMode="External"/><Relationship Id="rId348" Type="http://schemas.openxmlformats.org/officeDocument/2006/relationships/hyperlink" Target="https://luna-dr.com/subjects/abnormal-vaginal-discharge/" TargetMode="External"/><Relationship Id="rId105" Type="http://schemas.openxmlformats.org/officeDocument/2006/relationships/hyperlink" Target="https://luna-dr.com/subjects/menstrual-manipulation/" TargetMode="External"/><Relationship Id="rId347" Type="http://schemas.openxmlformats.org/officeDocument/2006/relationships/hyperlink" Target="https://luna-dr.com/subjects/abnormal-vaginal-discharge/" TargetMode="External"/><Relationship Id="rId589" Type="http://schemas.openxmlformats.org/officeDocument/2006/relationships/hyperlink" Target="https://luna-dr.com/subjects/bridal-check/" TargetMode="External"/><Relationship Id="rId104" Type="http://schemas.openxmlformats.org/officeDocument/2006/relationships/hyperlink" Target="https://luna-dr.com/subjects/menstrual-manipulation/" TargetMode="External"/><Relationship Id="rId346" Type="http://schemas.openxmlformats.org/officeDocument/2006/relationships/hyperlink" Target="https://luna-dr.com/subjects/abnormal-vaginal-discharge/" TargetMode="External"/><Relationship Id="rId588" Type="http://schemas.openxmlformats.org/officeDocument/2006/relationships/hyperlink" Target="https://luna-dr.com/subjects/bridal-check/" TargetMode="External"/><Relationship Id="rId109" Type="http://schemas.openxmlformats.org/officeDocument/2006/relationships/hyperlink" Target="https://luna-dr.com/subjects/menstrual-manipulation/" TargetMode="External"/><Relationship Id="rId108" Type="http://schemas.openxmlformats.org/officeDocument/2006/relationships/hyperlink" Target="https://luna-dr.com/subjects/menstrual-manipulation/" TargetMode="External"/><Relationship Id="rId341" Type="http://schemas.openxmlformats.org/officeDocument/2006/relationships/hyperlink" Target="https://luna-dr.com/subjects/ius-treatment/" TargetMode="External"/><Relationship Id="rId583" Type="http://schemas.openxmlformats.org/officeDocument/2006/relationships/hyperlink" Target="https://luna-dr.com/subjects/bridal-check/" TargetMode="External"/><Relationship Id="rId340" Type="http://schemas.openxmlformats.org/officeDocument/2006/relationships/hyperlink" Target="https://luna-dr.com/subjects/ius-treatment/" TargetMode="External"/><Relationship Id="rId582" Type="http://schemas.openxmlformats.org/officeDocument/2006/relationships/hyperlink" Target="https://luna-dr.com/subjects/bridal-check/" TargetMode="External"/><Relationship Id="rId581" Type="http://schemas.openxmlformats.org/officeDocument/2006/relationships/hyperlink" Target="https://luna-dr.com/subjects/bridal-check/" TargetMode="External"/><Relationship Id="rId580" Type="http://schemas.openxmlformats.org/officeDocument/2006/relationships/hyperlink" Target="https://luna-dr.com/subjects/bridal-check/" TargetMode="External"/><Relationship Id="rId103" Type="http://schemas.openxmlformats.org/officeDocument/2006/relationships/hyperlink" Target="https://luna-dr.com/subjects/menstrual-manipulation/" TargetMode="External"/><Relationship Id="rId345" Type="http://schemas.openxmlformats.org/officeDocument/2006/relationships/hyperlink" Target="https://luna-dr.com/subjects/abnormal-vaginal-discharge/" TargetMode="External"/><Relationship Id="rId587" Type="http://schemas.openxmlformats.org/officeDocument/2006/relationships/hyperlink" Target="https://luna-dr.com/subjects/bridal-check/" TargetMode="External"/><Relationship Id="rId102" Type="http://schemas.openxmlformats.org/officeDocument/2006/relationships/hyperlink" Target="https://luna-dr.com/subjects/menstrual-manipulation/" TargetMode="External"/><Relationship Id="rId344" Type="http://schemas.openxmlformats.org/officeDocument/2006/relationships/hyperlink" Target="https://luna-dr.com/subjects/abnormal-vaginal-discharge/" TargetMode="External"/><Relationship Id="rId586" Type="http://schemas.openxmlformats.org/officeDocument/2006/relationships/hyperlink" Target="https://luna-dr.com/subjects/bridal-check/" TargetMode="External"/><Relationship Id="rId101" Type="http://schemas.openxmlformats.org/officeDocument/2006/relationships/hyperlink" Target="https://luna-dr.com/subjects/menstrual-manipulation/" TargetMode="External"/><Relationship Id="rId343" Type="http://schemas.openxmlformats.org/officeDocument/2006/relationships/hyperlink" Target="https://luna-dr.com/subjects/abnormal-vaginal-discharge/" TargetMode="External"/><Relationship Id="rId585" Type="http://schemas.openxmlformats.org/officeDocument/2006/relationships/hyperlink" Target="https://luna-dr.com/subjects/bridal-check/" TargetMode="External"/><Relationship Id="rId100" Type="http://schemas.openxmlformats.org/officeDocument/2006/relationships/hyperlink" Target="https://luna-dr.com/subjects/menstrual-manipulation/" TargetMode="External"/><Relationship Id="rId342" Type="http://schemas.openxmlformats.org/officeDocument/2006/relationships/hyperlink" Target="https://luna-dr.com/subjects/abnormal-vaginal-discharge/" TargetMode="External"/><Relationship Id="rId584" Type="http://schemas.openxmlformats.org/officeDocument/2006/relationships/hyperlink" Target="https://luna-dr.com/subjects/bridal-check/" TargetMode="External"/><Relationship Id="rId338" Type="http://schemas.openxmlformats.org/officeDocument/2006/relationships/hyperlink" Target="https://luna-dr.com/subjects/ius-treatment/" TargetMode="External"/><Relationship Id="rId337" Type="http://schemas.openxmlformats.org/officeDocument/2006/relationships/hyperlink" Target="https://luna-dr.com/subjects/ius-treatment/" TargetMode="External"/><Relationship Id="rId579" Type="http://schemas.openxmlformats.org/officeDocument/2006/relationships/hyperlink" Target="https://luna-dr.com/subjects/bridal-check/" TargetMode="External"/><Relationship Id="rId336" Type="http://schemas.openxmlformats.org/officeDocument/2006/relationships/hyperlink" Target="https://luna-dr.com/subjects/ius-treatment/" TargetMode="External"/><Relationship Id="rId578" Type="http://schemas.openxmlformats.org/officeDocument/2006/relationships/hyperlink" Target="https://luna-dr.com/subjects/bridal-check/" TargetMode="External"/><Relationship Id="rId335" Type="http://schemas.openxmlformats.org/officeDocument/2006/relationships/hyperlink" Target="https://luna-dr.com/subjects/ius-treatment/" TargetMode="External"/><Relationship Id="rId577" Type="http://schemas.openxmlformats.org/officeDocument/2006/relationships/hyperlink" Target="https://luna-dr.com/subjects/bridal-check/" TargetMode="External"/><Relationship Id="rId339" Type="http://schemas.openxmlformats.org/officeDocument/2006/relationships/hyperlink" Target="https://luna-dr.com/subjects/ius-treatment/" TargetMode="External"/><Relationship Id="rId330" Type="http://schemas.openxmlformats.org/officeDocument/2006/relationships/hyperlink" Target="https://luna-dr.com/subjects/ius-treatment/" TargetMode="External"/><Relationship Id="rId572" Type="http://schemas.openxmlformats.org/officeDocument/2006/relationships/hyperlink" Target="https://luna-dr.com/subjects/bridal-check/" TargetMode="External"/><Relationship Id="rId571" Type="http://schemas.openxmlformats.org/officeDocument/2006/relationships/hyperlink" Target="https://luna-dr.com/subjects/bridal-check/" TargetMode="External"/><Relationship Id="rId570" Type="http://schemas.openxmlformats.org/officeDocument/2006/relationships/hyperlink" Target="https://luna-dr.com/subjects/abortion_page/" TargetMode="External"/><Relationship Id="rId334" Type="http://schemas.openxmlformats.org/officeDocument/2006/relationships/hyperlink" Target="https://luna-dr.com/subjects/ius-treatment/" TargetMode="External"/><Relationship Id="rId576" Type="http://schemas.openxmlformats.org/officeDocument/2006/relationships/hyperlink" Target="https://luna-dr.com/subjects/bridal-check/" TargetMode="External"/><Relationship Id="rId333" Type="http://schemas.openxmlformats.org/officeDocument/2006/relationships/hyperlink" Target="https://luna-dr.com/subjects/ius-treatment/" TargetMode="External"/><Relationship Id="rId575" Type="http://schemas.openxmlformats.org/officeDocument/2006/relationships/hyperlink" Target="https://luna-dr.com/subjects/bridal-check/" TargetMode="External"/><Relationship Id="rId332" Type="http://schemas.openxmlformats.org/officeDocument/2006/relationships/hyperlink" Target="https://luna-dr.com/subjects/ius-treatment/" TargetMode="External"/><Relationship Id="rId574" Type="http://schemas.openxmlformats.org/officeDocument/2006/relationships/hyperlink" Target="https://luna-dr.com/subjects/bridal-check/" TargetMode="External"/><Relationship Id="rId331" Type="http://schemas.openxmlformats.org/officeDocument/2006/relationships/hyperlink" Target="https://luna-dr.com/subjects/ius-treatment/" TargetMode="External"/><Relationship Id="rId573" Type="http://schemas.openxmlformats.org/officeDocument/2006/relationships/hyperlink" Target="https://luna-dr.com/subjects/bridal-check/" TargetMode="External"/><Relationship Id="rId370" Type="http://schemas.openxmlformats.org/officeDocument/2006/relationships/hyperlink" Target="https://luna-dr.com/subjects/abnormal-vaginal-discharge/" TargetMode="External"/><Relationship Id="rId129" Type="http://schemas.openxmlformats.org/officeDocument/2006/relationships/hyperlink" Target="https://luna-dr.com/subjects/menstrual-irregularity/" TargetMode="External"/><Relationship Id="rId128" Type="http://schemas.openxmlformats.org/officeDocument/2006/relationships/hyperlink" Target="https://luna-dr.com/subjects/menstrual-irregularity/" TargetMode="External"/><Relationship Id="rId127" Type="http://schemas.openxmlformats.org/officeDocument/2006/relationships/hyperlink" Target="https://luna-dr.com/subjects/menstrual-irregularity/" TargetMode="External"/><Relationship Id="rId369" Type="http://schemas.openxmlformats.org/officeDocument/2006/relationships/hyperlink" Target="https://luna-dr.com/subjects/abnormal-vaginal-discharge/" TargetMode="External"/><Relationship Id="rId126" Type="http://schemas.openxmlformats.org/officeDocument/2006/relationships/hyperlink" Target="https://luna-dr.com/" TargetMode="External"/><Relationship Id="rId368" Type="http://schemas.openxmlformats.org/officeDocument/2006/relationships/hyperlink" Target="https://luna-dr.com/subjects/abnormal-vaginal-discharge/" TargetMode="External"/><Relationship Id="rId121" Type="http://schemas.openxmlformats.org/officeDocument/2006/relationships/hyperlink" Target="https://luna-dr.com/" TargetMode="External"/><Relationship Id="rId363" Type="http://schemas.openxmlformats.org/officeDocument/2006/relationships/hyperlink" Target="https://luna-dr.com/subjects/abnormal-vaginal-discharge/" TargetMode="External"/><Relationship Id="rId120" Type="http://schemas.openxmlformats.org/officeDocument/2006/relationships/hyperlink" Target="https://luna-dr.com/subjects/menstrual-irregularity/" TargetMode="External"/><Relationship Id="rId362" Type="http://schemas.openxmlformats.org/officeDocument/2006/relationships/hyperlink" Target="https://luna-dr.com/subjects/abnormal-vaginal-discharge/" TargetMode="External"/><Relationship Id="rId361" Type="http://schemas.openxmlformats.org/officeDocument/2006/relationships/hyperlink" Target="https://luna-dr.com/subjects/abnormal-vaginal-discharge/" TargetMode="External"/><Relationship Id="rId360" Type="http://schemas.openxmlformats.org/officeDocument/2006/relationships/hyperlink" Target="https://luna-dr.com/subjects/abnormal-vaginal-discharge/" TargetMode="External"/><Relationship Id="rId125" Type="http://schemas.openxmlformats.org/officeDocument/2006/relationships/hyperlink" Target="https://luna-dr.com/" TargetMode="External"/><Relationship Id="rId367" Type="http://schemas.openxmlformats.org/officeDocument/2006/relationships/hyperlink" Target="https://luna-dr.com/subjects/abnormal-vaginal-discharge/" TargetMode="External"/><Relationship Id="rId124" Type="http://schemas.openxmlformats.org/officeDocument/2006/relationships/hyperlink" Target="https://luna-dr.com/" TargetMode="External"/><Relationship Id="rId366" Type="http://schemas.openxmlformats.org/officeDocument/2006/relationships/hyperlink" Target="https://luna-dr.com/subjects/abnormal-vaginal-discharge/" TargetMode="External"/><Relationship Id="rId123" Type="http://schemas.openxmlformats.org/officeDocument/2006/relationships/hyperlink" Target="https://luna-dr.com/" TargetMode="External"/><Relationship Id="rId365" Type="http://schemas.openxmlformats.org/officeDocument/2006/relationships/hyperlink" Target="https://luna-dr.com/subjects/abnormal-vaginal-discharge/" TargetMode="External"/><Relationship Id="rId122" Type="http://schemas.openxmlformats.org/officeDocument/2006/relationships/hyperlink" Target="https://luna-dr.com/" TargetMode="External"/><Relationship Id="rId364" Type="http://schemas.openxmlformats.org/officeDocument/2006/relationships/hyperlink" Target="https://luna-dr.com/subjects/abnormal-vaginal-discharge/" TargetMode="External"/><Relationship Id="rId95" Type="http://schemas.openxmlformats.org/officeDocument/2006/relationships/hyperlink" Target="https://luna-dr.com/subjects/menstrual-manipulation/" TargetMode="External"/><Relationship Id="rId94" Type="http://schemas.openxmlformats.org/officeDocument/2006/relationships/hyperlink" Target="https://luna-dr.com/subjects/menstrual-manipulation/" TargetMode="External"/><Relationship Id="rId97" Type="http://schemas.openxmlformats.org/officeDocument/2006/relationships/hyperlink" Target="https://luna-dr.com/subjects/menstrual-manipulation/" TargetMode="External"/><Relationship Id="rId96" Type="http://schemas.openxmlformats.org/officeDocument/2006/relationships/hyperlink" Target="https://luna-dr.com/subjects/menstrual-manipulation/" TargetMode="External"/><Relationship Id="rId99" Type="http://schemas.openxmlformats.org/officeDocument/2006/relationships/hyperlink" Target="https://luna-dr.com/subjects/menstrual-manipulation/" TargetMode="External"/><Relationship Id="rId98" Type="http://schemas.openxmlformats.org/officeDocument/2006/relationships/hyperlink" Target="https://luna-dr.com/subjects/menstrual-manipulation/" TargetMode="External"/><Relationship Id="rId91" Type="http://schemas.openxmlformats.org/officeDocument/2006/relationships/hyperlink" Target="https://luna-dr.com/subjects/menstrual-manipulation/" TargetMode="External"/><Relationship Id="rId90" Type="http://schemas.openxmlformats.org/officeDocument/2006/relationships/hyperlink" Target="https://luna-dr.com/subjects/menstrual-manipulation/" TargetMode="External"/><Relationship Id="rId93" Type="http://schemas.openxmlformats.org/officeDocument/2006/relationships/hyperlink" Target="https://luna-dr.com/subjects/menstrual-manipulation/" TargetMode="External"/><Relationship Id="rId92" Type="http://schemas.openxmlformats.org/officeDocument/2006/relationships/hyperlink" Target="https://luna-dr.com/subjects/menstrual-manipulation/" TargetMode="External"/><Relationship Id="rId118" Type="http://schemas.openxmlformats.org/officeDocument/2006/relationships/hyperlink" Target="https://luna-dr.com/subjects/menstrual-manipulation/" TargetMode="External"/><Relationship Id="rId117" Type="http://schemas.openxmlformats.org/officeDocument/2006/relationships/hyperlink" Target="https://luna-dr.com/subjects/menstrual-manipulation/" TargetMode="External"/><Relationship Id="rId359" Type="http://schemas.openxmlformats.org/officeDocument/2006/relationships/hyperlink" Target="https://luna-dr.com/subjects/abnormal-vaginal-discharge/" TargetMode="External"/><Relationship Id="rId116" Type="http://schemas.openxmlformats.org/officeDocument/2006/relationships/hyperlink" Target="https://luna-dr.com/subjects/menstrual-manipulation/" TargetMode="External"/><Relationship Id="rId358" Type="http://schemas.openxmlformats.org/officeDocument/2006/relationships/hyperlink" Target="https://luna-dr.com/subjects/abnormal-vaginal-discharge/" TargetMode="External"/><Relationship Id="rId115" Type="http://schemas.openxmlformats.org/officeDocument/2006/relationships/hyperlink" Target="https://luna-dr.com/subjects/menstrual-manipulation/" TargetMode="External"/><Relationship Id="rId357" Type="http://schemas.openxmlformats.org/officeDocument/2006/relationships/hyperlink" Target="https://luna-dr.com/subjects/abnormal-vaginal-discharge/" TargetMode="External"/><Relationship Id="rId599" Type="http://schemas.openxmlformats.org/officeDocument/2006/relationships/hyperlink" Target="https://luna-dr.com/subjects/medical-checkup/" TargetMode="External"/><Relationship Id="rId119" Type="http://schemas.openxmlformats.org/officeDocument/2006/relationships/hyperlink" Target="https://luna-dr.com/subjects/menstrual-irregularity/" TargetMode="External"/><Relationship Id="rId110" Type="http://schemas.openxmlformats.org/officeDocument/2006/relationships/hyperlink" Target="https://luna-dr.com/subjects/menstrual-manipulation/" TargetMode="External"/><Relationship Id="rId352" Type="http://schemas.openxmlformats.org/officeDocument/2006/relationships/hyperlink" Target="https://luna-dr.com/subjects/abnormal-vaginal-discharge/" TargetMode="External"/><Relationship Id="rId594" Type="http://schemas.openxmlformats.org/officeDocument/2006/relationships/hyperlink" Target="https://luna-dr.com/subjects/bridal-check/" TargetMode="External"/><Relationship Id="rId351" Type="http://schemas.openxmlformats.org/officeDocument/2006/relationships/hyperlink" Target="https://luna-dr.com/subjects/abnormal-vaginal-discharge/" TargetMode="External"/><Relationship Id="rId593" Type="http://schemas.openxmlformats.org/officeDocument/2006/relationships/hyperlink" Target="https://luna-dr.com/subjects/bridal-check/" TargetMode="External"/><Relationship Id="rId350" Type="http://schemas.openxmlformats.org/officeDocument/2006/relationships/hyperlink" Target="https://luna-dr.com/subjects/abnormal-vaginal-discharge/" TargetMode="External"/><Relationship Id="rId592" Type="http://schemas.openxmlformats.org/officeDocument/2006/relationships/hyperlink" Target="https://luna-dr.com/subjects/bridal-check/" TargetMode="External"/><Relationship Id="rId591" Type="http://schemas.openxmlformats.org/officeDocument/2006/relationships/hyperlink" Target="https://luna-dr.com/subjects/bridal-check/" TargetMode="External"/><Relationship Id="rId114" Type="http://schemas.openxmlformats.org/officeDocument/2006/relationships/hyperlink" Target="https://luna-dr.com/subjects/menstrual-manipulation/" TargetMode="External"/><Relationship Id="rId356" Type="http://schemas.openxmlformats.org/officeDocument/2006/relationships/hyperlink" Target="https://luna-dr.com/subjects/abnormal-vaginal-discharge/" TargetMode="External"/><Relationship Id="rId598" Type="http://schemas.openxmlformats.org/officeDocument/2006/relationships/hyperlink" Target="https://luna-dr.com/subjects/medical-checkup/" TargetMode="External"/><Relationship Id="rId113" Type="http://schemas.openxmlformats.org/officeDocument/2006/relationships/hyperlink" Target="https://luna-dr.com/subjects/menstrual-manipulation/" TargetMode="External"/><Relationship Id="rId355" Type="http://schemas.openxmlformats.org/officeDocument/2006/relationships/hyperlink" Target="https://luna-dr.com/subjects/abnormal-vaginal-discharge/" TargetMode="External"/><Relationship Id="rId597" Type="http://schemas.openxmlformats.org/officeDocument/2006/relationships/hyperlink" Target="https://luna-dr.com/subjects/medical-checkup/" TargetMode="External"/><Relationship Id="rId112" Type="http://schemas.openxmlformats.org/officeDocument/2006/relationships/hyperlink" Target="https://luna-dr.com/subjects/menstrual-manipulation/" TargetMode="External"/><Relationship Id="rId354" Type="http://schemas.openxmlformats.org/officeDocument/2006/relationships/hyperlink" Target="https://luna-dr.com/subjects/abnormal-vaginal-discharge/" TargetMode="External"/><Relationship Id="rId596" Type="http://schemas.openxmlformats.org/officeDocument/2006/relationships/hyperlink" Target="https://luna-dr.com/subjects/bridal-check/" TargetMode="External"/><Relationship Id="rId111" Type="http://schemas.openxmlformats.org/officeDocument/2006/relationships/hyperlink" Target="https://luna-dr.com/subjects/menstrual-manipulation/" TargetMode="External"/><Relationship Id="rId353" Type="http://schemas.openxmlformats.org/officeDocument/2006/relationships/hyperlink" Target="https://luna-dr.com/subjects/abnormal-vaginal-discharge/" TargetMode="External"/><Relationship Id="rId595" Type="http://schemas.openxmlformats.org/officeDocument/2006/relationships/hyperlink" Target="https://luna-dr.com/subjects/bridal-check/" TargetMode="External"/><Relationship Id="rId305" Type="http://schemas.openxmlformats.org/officeDocument/2006/relationships/hyperlink" Target="https://luna-dr.com/subjects/after-pill_page/" TargetMode="External"/><Relationship Id="rId547" Type="http://schemas.openxmlformats.org/officeDocument/2006/relationships/hyperlink" Target="https://luna-dr.com/subjects/abortion_page/" TargetMode="External"/><Relationship Id="rId789" Type="http://schemas.openxmlformats.org/officeDocument/2006/relationships/hyperlink" Target="https://docs.google.com/forms/d/e/1FAIpQLSc3UbKV7RThiDP2RwV5SJUs203CQCPFY-8VJJCWJch0nVxBOQ/viewform?usp=header" TargetMode="External"/><Relationship Id="rId304" Type="http://schemas.openxmlformats.org/officeDocument/2006/relationships/hyperlink" Target="https://luna-dr.com/subjects/after-pill_page/" TargetMode="External"/><Relationship Id="rId546" Type="http://schemas.openxmlformats.org/officeDocument/2006/relationships/hyperlink" Target="https://luna-dr.com/subjects/abortion_page/" TargetMode="External"/><Relationship Id="rId788" Type="http://schemas.openxmlformats.org/officeDocument/2006/relationships/hyperlink" Target="https://cline-app.com/qr-codes/98ad6f149bfa20f4f2a9a2e91aac4187/preview" TargetMode="External"/><Relationship Id="rId303" Type="http://schemas.openxmlformats.org/officeDocument/2006/relationships/hyperlink" Target="https://luna-dr.com/subjects/after-pill_page/" TargetMode="External"/><Relationship Id="rId545" Type="http://schemas.openxmlformats.org/officeDocument/2006/relationships/hyperlink" Target="https://luna-dr.com/subjects/abortion_page/" TargetMode="External"/><Relationship Id="rId787" Type="http://schemas.openxmlformats.org/officeDocument/2006/relationships/hyperlink" Target="https://cline-app.com/qr-codes/98ad6f149bfa20f4f2a9a2e91aac4187/preview" TargetMode="External"/><Relationship Id="rId302" Type="http://schemas.openxmlformats.org/officeDocument/2006/relationships/hyperlink" Target="https://luna-dr.com/subjects/after-pill_page/" TargetMode="External"/><Relationship Id="rId544" Type="http://schemas.openxmlformats.org/officeDocument/2006/relationships/hyperlink" Target="https://luna-dr.com/subjects/abortion_page/" TargetMode="External"/><Relationship Id="rId786" Type="http://schemas.openxmlformats.org/officeDocument/2006/relationships/hyperlink" Target="https://cline-app.com/qr-codes/98ad6f149bfa20f4f2a9a2e91aac4187/preview" TargetMode="External"/><Relationship Id="rId309" Type="http://schemas.openxmlformats.org/officeDocument/2006/relationships/hyperlink" Target="https://luna-dr.com/subjects/ius-treatment/" TargetMode="External"/><Relationship Id="rId308" Type="http://schemas.openxmlformats.org/officeDocument/2006/relationships/hyperlink" Target="https://luna-dr.com/subjects/ius-treatment/" TargetMode="External"/><Relationship Id="rId307" Type="http://schemas.openxmlformats.org/officeDocument/2006/relationships/hyperlink" Target="https://luna-dr.com/subjects/ius-treatment/" TargetMode="External"/><Relationship Id="rId549" Type="http://schemas.openxmlformats.org/officeDocument/2006/relationships/hyperlink" Target="https://luna-dr.com/subjects/abortion_page/" TargetMode="External"/><Relationship Id="rId306" Type="http://schemas.openxmlformats.org/officeDocument/2006/relationships/hyperlink" Target="https://luna-dr.com/subjects/after-pill_page/" TargetMode="External"/><Relationship Id="rId548" Type="http://schemas.openxmlformats.org/officeDocument/2006/relationships/hyperlink" Target="https://luna-dr.com/subjects/abortion_page/" TargetMode="External"/><Relationship Id="rId781" Type="http://schemas.openxmlformats.org/officeDocument/2006/relationships/hyperlink" Target="https://cline-app.com/qr-codes/98ad6f149bfa20f4f2a9a2e91aac4187/preview" TargetMode="External"/><Relationship Id="rId780" Type="http://schemas.openxmlformats.org/officeDocument/2006/relationships/hyperlink" Target="https://cline-app.com/qr-codes/98ad6f149bfa20f4f2a9a2e91aac4187/preview" TargetMode="External"/><Relationship Id="rId301" Type="http://schemas.openxmlformats.org/officeDocument/2006/relationships/hyperlink" Target="https://luna-dr.com/subjects/after-pill_page/" TargetMode="External"/><Relationship Id="rId543" Type="http://schemas.openxmlformats.org/officeDocument/2006/relationships/hyperlink" Target="https://luna-dr.com/subjects/pregnancy-test/" TargetMode="External"/><Relationship Id="rId785" Type="http://schemas.openxmlformats.org/officeDocument/2006/relationships/hyperlink" Target="https://cline-app.com/qr-codes/98ad6f149bfa20f4f2a9a2e91aac4187/preview" TargetMode="External"/><Relationship Id="rId300" Type="http://schemas.openxmlformats.org/officeDocument/2006/relationships/hyperlink" Target="https://luna-dr.com/subjects/after-pill_page/" TargetMode="External"/><Relationship Id="rId542" Type="http://schemas.openxmlformats.org/officeDocument/2006/relationships/hyperlink" Target="https://luna-dr.com/subjects/pregnancy-test/" TargetMode="External"/><Relationship Id="rId784" Type="http://schemas.openxmlformats.org/officeDocument/2006/relationships/hyperlink" Target="https://cline-app.com/qr-codes/98ad6f149bfa20f4f2a9a2e91aac4187/preview" TargetMode="External"/><Relationship Id="rId541" Type="http://schemas.openxmlformats.org/officeDocument/2006/relationships/hyperlink" Target="https://luna-dr.com/subjects/pregnancy-test/" TargetMode="External"/><Relationship Id="rId783" Type="http://schemas.openxmlformats.org/officeDocument/2006/relationships/hyperlink" Target="https://cline-app.com/qr-codes/98ad6f149bfa20f4f2a9a2e91aac4187/preview" TargetMode="External"/><Relationship Id="rId540" Type="http://schemas.openxmlformats.org/officeDocument/2006/relationships/hyperlink" Target="https://luna-dr.com/subjects/pregnancy-test/" TargetMode="External"/><Relationship Id="rId782" Type="http://schemas.openxmlformats.org/officeDocument/2006/relationships/hyperlink" Target="https://cline-app.com/qr-codes/98ad6f149bfa20f4f2a9a2e91aac4187/preview" TargetMode="External"/><Relationship Id="rId536" Type="http://schemas.openxmlformats.org/officeDocument/2006/relationships/hyperlink" Target="https://luna-dr.com/subjects/abortion_page/" TargetMode="External"/><Relationship Id="rId778" Type="http://schemas.openxmlformats.org/officeDocument/2006/relationships/hyperlink" Target="https://cline-app.com/qr-codes/98ad6f149bfa20f4f2a9a2e91aac4187/preview" TargetMode="External"/><Relationship Id="rId535" Type="http://schemas.openxmlformats.org/officeDocument/2006/relationships/hyperlink" Target="https://luna-dr.com/subjects/abortion_page/" TargetMode="External"/><Relationship Id="rId777" Type="http://schemas.openxmlformats.org/officeDocument/2006/relationships/hyperlink" Target="https://cline-app.com/qr-codes/98ad6f149bfa20f4f2a9a2e91aac4187/preview" TargetMode="External"/><Relationship Id="rId534" Type="http://schemas.openxmlformats.org/officeDocument/2006/relationships/hyperlink" Target="https://luna-dr.com/subjects/abortion_page/" TargetMode="External"/><Relationship Id="rId776" Type="http://schemas.openxmlformats.org/officeDocument/2006/relationships/hyperlink" Target="https://shop.luna-dr.com/products/lactobacillus" TargetMode="External"/><Relationship Id="rId533" Type="http://schemas.openxmlformats.org/officeDocument/2006/relationships/hyperlink" Target="https://luna-dr.com/subjects/abortion_page/" TargetMode="External"/><Relationship Id="rId775" Type="http://schemas.openxmlformats.org/officeDocument/2006/relationships/hyperlink" Target="https://luna-dr.notion.site/f0a26ab231534d8fa9cb069193c411a4" TargetMode="External"/><Relationship Id="rId539" Type="http://schemas.openxmlformats.org/officeDocument/2006/relationships/hyperlink" Target="https://luna-dr.com/subjects/pregnancy-test/" TargetMode="External"/><Relationship Id="rId538" Type="http://schemas.openxmlformats.org/officeDocument/2006/relationships/hyperlink" Target="https://luna-dr.com/subjects/pregnancy-test/" TargetMode="External"/><Relationship Id="rId537" Type="http://schemas.openxmlformats.org/officeDocument/2006/relationships/hyperlink" Target="https://luna-dr.com/subjects/pregnancy-test/" TargetMode="External"/><Relationship Id="rId779" Type="http://schemas.openxmlformats.org/officeDocument/2006/relationships/hyperlink" Target="https://cline-app.com/qr-codes/98ad6f149bfa20f4f2a9a2e91aac4187/preview" TargetMode="External"/><Relationship Id="rId770" Type="http://schemas.openxmlformats.org/officeDocument/2006/relationships/hyperlink" Target="https://shop.luna-dr.com/collections/low_dose_pill_subscription" TargetMode="External"/><Relationship Id="rId532" Type="http://schemas.openxmlformats.org/officeDocument/2006/relationships/hyperlink" Target="https://luna-dr.com/subjects/abortion_page/" TargetMode="External"/><Relationship Id="rId774" Type="http://schemas.openxmlformats.org/officeDocument/2006/relationships/hyperlink" Target="https://luna-dr.com/" TargetMode="External"/><Relationship Id="rId531" Type="http://schemas.openxmlformats.org/officeDocument/2006/relationships/hyperlink" Target="https://luna-dr.com/subjects/abortion_page/" TargetMode="External"/><Relationship Id="rId773" Type="http://schemas.openxmlformats.org/officeDocument/2006/relationships/hyperlink" Target="https://luna-dr.com/" TargetMode="External"/><Relationship Id="rId530" Type="http://schemas.openxmlformats.org/officeDocument/2006/relationships/hyperlink" Target="https://luna-dr.com/subjects/abortion_page/" TargetMode="External"/><Relationship Id="rId772" Type="http://schemas.openxmlformats.org/officeDocument/2006/relationships/hyperlink" Target="https://luna-dr.com/" TargetMode="External"/><Relationship Id="rId771" Type="http://schemas.openxmlformats.org/officeDocument/2006/relationships/hyperlink" Target="https://luna-dr.notion.site/1962f1eed8ff817497d6e727d9c32c73" TargetMode="External"/><Relationship Id="rId327" Type="http://schemas.openxmlformats.org/officeDocument/2006/relationships/hyperlink" Target="https://luna-dr.com/subjects/ius-treatment/" TargetMode="External"/><Relationship Id="rId569" Type="http://schemas.openxmlformats.org/officeDocument/2006/relationships/hyperlink" Target="https://luna-dr.com/subjects/abortion_page/" TargetMode="External"/><Relationship Id="rId326" Type="http://schemas.openxmlformats.org/officeDocument/2006/relationships/hyperlink" Target="https://luna-dr.com/subjects/ius-treatment/" TargetMode="External"/><Relationship Id="rId568" Type="http://schemas.openxmlformats.org/officeDocument/2006/relationships/hyperlink" Target="https://luna-dr.com/subjects/abortion_page/" TargetMode="External"/><Relationship Id="rId325" Type="http://schemas.openxmlformats.org/officeDocument/2006/relationships/hyperlink" Target="https://luna-dr.com/subjects/ius-treatment/" TargetMode="External"/><Relationship Id="rId567" Type="http://schemas.openxmlformats.org/officeDocument/2006/relationships/hyperlink" Target="https://luna-dr.com/subjects/abortion_page/" TargetMode="External"/><Relationship Id="rId324" Type="http://schemas.openxmlformats.org/officeDocument/2006/relationships/hyperlink" Target="https://luna-dr.com/subjects/ius-treatment/" TargetMode="External"/><Relationship Id="rId566" Type="http://schemas.openxmlformats.org/officeDocument/2006/relationships/hyperlink" Target="https://luna-dr.com/subjects/abortion_page/" TargetMode="External"/><Relationship Id="rId329" Type="http://schemas.openxmlformats.org/officeDocument/2006/relationships/hyperlink" Target="https://luna-dr.com/subjects/ius-treatment/" TargetMode="External"/><Relationship Id="rId328" Type="http://schemas.openxmlformats.org/officeDocument/2006/relationships/hyperlink" Target="https://luna-dr.com/subjects/ius-treatment/" TargetMode="External"/><Relationship Id="rId561" Type="http://schemas.openxmlformats.org/officeDocument/2006/relationships/hyperlink" Target="https://luna-dr.com/subjects/abortion_page/" TargetMode="External"/><Relationship Id="rId560" Type="http://schemas.openxmlformats.org/officeDocument/2006/relationships/hyperlink" Target="https://luna-dr.com/subjects/abortion_page/" TargetMode="External"/><Relationship Id="rId323" Type="http://schemas.openxmlformats.org/officeDocument/2006/relationships/hyperlink" Target="https://luna-dr.com/subjects/ius-treatment/" TargetMode="External"/><Relationship Id="rId565" Type="http://schemas.openxmlformats.org/officeDocument/2006/relationships/hyperlink" Target="https://luna-dr.com/subjects/abortion_page/" TargetMode="External"/><Relationship Id="rId322" Type="http://schemas.openxmlformats.org/officeDocument/2006/relationships/hyperlink" Target="https://luna-dr.com/subjects/ius-treatment/" TargetMode="External"/><Relationship Id="rId564" Type="http://schemas.openxmlformats.org/officeDocument/2006/relationships/hyperlink" Target="https://luna-dr.com/subjects/abortion_page/" TargetMode="External"/><Relationship Id="rId321" Type="http://schemas.openxmlformats.org/officeDocument/2006/relationships/hyperlink" Target="https://luna-dr.com/subjects/ius-treatment/" TargetMode="External"/><Relationship Id="rId563" Type="http://schemas.openxmlformats.org/officeDocument/2006/relationships/hyperlink" Target="https://luna-dr.com/subjects/abortion_page/" TargetMode="External"/><Relationship Id="rId320" Type="http://schemas.openxmlformats.org/officeDocument/2006/relationships/hyperlink" Target="https://luna-dr.com/subjects/ius-treatment/" TargetMode="External"/><Relationship Id="rId562" Type="http://schemas.openxmlformats.org/officeDocument/2006/relationships/hyperlink" Target="https://luna-dr.com/subjects/abortion_page/" TargetMode="External"/><Relationship Id="rId316" Type="http://schemas.openxmlformats.org/officeDocument/2006/relationships/hyperlink" Target="https://luna-dr.com/subjects/ius-treatment/" TargetMode="External"/><Relationship Id="rId558" Type="http://schemas.openxmlformats.org/officeDocument/2006/relationships/hyperlink" Target="https://luna-dr.com/subjects/abortion_page/" TargetMode="External"/><Relationship Id="rId315" Type="http://schemas.openxmlformats.org/officeDocument/2006/relationships/hyperlink" Target="https://luna-dr.com/subjects/ius-treatment/" TargetMode="External"/><Relationship Id="rId557" Type="http://schemas.openxmlformats.org/officeDocument/2006/relationships/hyperlink" Target="https://luna-dr.com/subjects/abortion_page/" TargetMode="External"/><Relationship Id="rId799" Type="http://schemas.openxmlformats.org/officeDocument/2006/relationships/hyperlink" Target="https://luna-dr.com/subjects/media/2794/" TargetMode="External"/><Relationship Id="rId314" Type="http://schemas.openxmlformats.org/officeDocument/2006/relationships/hyperlink" Target="https://luna-dr.com/subjects/ius-treatment/" TargetMode="External"/><Relationship Id="rId556" Type="http://schemas.openxmlformats.org/officeDocument/2006/relationships/hyperlink" Target="https://luna-dr.com/subjects/abortion_page/" TargetMode="External"/><Relationship Id="rId798" Type="http://schemas.openxmlformats.org/officeDocument/2006/relationships/hyperlink" Target="https://luna-dr.com/subjects/media/2794/" TargetMode="External"/><Relationship Id="rId313" Type="http://schemas.openxmlformats.org/officeDocument/2006/relationships/hyperlink" Target="https://luna-dr.com/subjects/ius-treatment/" TargetMode="External"/><Relationship Id="rId555" Type="http://schemas.openxmlformats.org/officeDocument/2006/relationships/hyperlink" Target="https://luna-dr.com/subjects/abortion_page/" TargetMode="External"/><Relationship Id="rId797" Type="http://schemas.openxmlformats.org/officeDocument/2006/relationships/hyperlink" Target="https://luna-dr.com/subjects/media/2794/" TargetMode="External"/><Relationship Id="rId319" Type="http://schemas.openxmlformats.org/officeDocument/2006/relationships/hyperlink" Target="https://luna-dr.com/subjects/ius-treatment/" TargetMode="External"/><Relationship Id="rId318" Type="http://schemas.openxmlformats.org/officeDocument/2006/relationships/hyperlink" Target="https://luna-dr.com/subjects/ius-treatment/" TargetMode="External"/><Relationship Id="rId317" Type="http://schemas.openxmlformats.org/officeDocument/2006/relationships/hyperlink" Target="https://luna-dr.com/subjects/ius-treatment/" TargetMode="External"/><Relationship Id="rId559" Type="http://schemas.openxmlformats.org/officeDocument/2006/relationships/hyperlink" Target="https://luna-dr.com/subjects/abortion_page/" TargetMode="External"/><Relationship Id="rId550" Type="http://schemas.openxmlformats.org/officeDocument/2006/relationships/hyperlink" Target="https://luna-dr.com/subjects/abortion_page/" TargetMode="External"/><Relationship Id="rId792" Type="http://schemas.openxmlformats.org/officeDocument/2006/relationships/hyperlink" Target="https://shop.luna-dr.com/collections/low_dose_pill_subscription" TargetMode="External"/><Relationship Id="rId791" Type="http://schemas.openxmlformats.org/officeDocument/2006/relationships/hyperlink" Target="https://luna-dr.com/" TargetMode="External"/><Relationship Id="rId790" Type="http://schemas.openxmlformats.org/officeDocument/2006/relationships/hyperlink" Target="https://luna-dr.notion.site/f0a26ab231534d8fa9cb069193c411a4" TargetMode="External"/><Relationship Id="rId312" Type="http://schemas.openxmlformats.org/officeDocument/2006/relationships/hyperlink" Target="https://luna-dr.com/subjects/ius-treatment/" TargetMode="External"/><Relationship Id="rId554" Type="http://schemas.openxmlformats.org/officeDocument/2006/relationships/hyperlink" Target="https://luna-dr.com/subjects/abortion_page/" TargetMode="External"/><Relationship Id="rId796" Type="http://schemas.openxmlformats.org/officeDocument/2006/relationships/hyperlink" Target="https://luna-dr.com/subjects/media/2794/" TargetMode="External"/><Relationship Id="rId311" Type="http://schemas.openxmlformats.org/officeDocument/2006/relationships/hyperlink" Target="https://luna-dr.com/subjects/ius-treatment/" TargetMode="External"/><Relationship Id="rId553" Type="http://schemas.openxmlformats.org/officeDocument/2006/relationships/hyperlink" Target="https://luna-dr.com/subjects/abortion_page/" TargetMode="External"/><Relationship Id="rId795" Type="http://schemas.openxmlformats.org/officeDocument/2006/relationships/hyperlink" Target="https://luna-dr.com/subjects/media/2794/" TargetMode="External"/><Relationship Id="rId310" Type="http://schemas.openxmlformats.org/officeDocument/2006/relationships/hyperlink" Target="https://luna-dr.com/subjects/ius-treatment/" TargetMode="External"/><Relationship Id="rId552" Type="http://schemas.openxmlformats.org/officeDocument/2006/relationships/hyperlink" Target="https://luna-dr.com/subjects/abortion_page/" TargetMode="External"/><Relationship Id="rId794" Type="http://schemas.openxmlformats.org/officeDocument/2006/relationships/hyperlink" Target="https://luna-dr.com/subjects/media/2794/" TargetMode="External"/><Relationship Id="rId551" Type="http://schemas.openxmlformats.org/officeDocument/2006/relationships/hyperlink" Target="https://luna-dr.com/subjects/abortion_page/" TargetMode="External"/><Relationship Id="rId793" Type="http://schemas.openxmlformats.org/officeDocument/2006/relationships/hyperlink" Target="https://luna-dr.com/subjects/pill-prescription/" TargetMode="External"/><Relationship Id="rId297" Type="http://schemas.openxmlformats.org/officeDocument/2006/relationships/hyperlink" Target="https://luna-dr.com/subjects/after-pill_page/" TargetMode="External"/><Relationship Id="rId296" Type="http://schemas.openxmlformats.org/officeDocument/2006/relationships/hyperlink" Target="https://luna-dr.com/subjects/after-pill_page/" TargetMode="External"/><Relationship Id="rId295" Type="http://schemas.openxmlformats.org/officeDocument/2006/relationships/hyperlink" Target="https://luna-dr.com/subjects/after-pill_page/" TargetMode="External"/><Relationship Id="rId294" Type="http://schemas.openxmlformats.org/officeDocument/2006/relationships/hyperlink" Target="https://luna-dr.com/subjects/after-pill_page/" TargetMode="External"/><Relationship Id="rId299" Type="http://schemas.openxmlformats.org/officeDocument/2006/relationships/hyperlink" Target="https://luna-dr.com/subjects/after-pill_page/" TargetMode="External"/><Relationship Id="rId298" Type="http://schemas.openxmlformats.org/officeDocument/2006/relationships/hyperlink" Target="https://luna-dr.com/subjects/after-pill_page/" TargetMode="External"/><Relationship Id="rId271" Type="http://schemas.openxmlformats.org/officeDocument/2006/relationships/hyperlink" Target="https://luna-dr.com/subjects/after-pill_page/" TargetMode="External"/><Relationship Id="rId270" Type="http://schemas.openxmlformats.org/officeDocument/2006/relationships/hyperlink" Target="https://luna-dr.com/subjects/after-pill_page/" TargetMode="External"/><Relationship Id="rId269" Type="http://schemas.openxmlformats.org/officeDocument/2006/relationships/hyperlink" Target="https://luna-dr.com/subjects/after-pill_page/" TargetMode="External"/><Relationship Id="rId264" Type="http://schemas.openxmlformats.org/officeDocument/2006/relationships/hyperlink" Target="https://luna-dr.com/subjects/low-dose-contraceptive/" TargetMode="External"/><Relationship Id="rId263" Type="http://schemas.openxmlformats.org/officeDocument/2006/relationships/hyperlink" Target="https://luna-dr.com/subjects/low-dose-contraceptive/" TargetMode="External"/><Relationship Id="rId262" Type="http://schemas.openxmlformats.org/officeDocument/2006/relationships/hyperlink" Target="https://luna-dr.com/subjects/low-dose-contraceptive/" TargetMode="External"/><Relationship Id="rId261" Type="http://schemas.openxmlformats.org/officeDocument/2006/relationships/hyperlink" Target="https://luna-dr.com/subjects/low-dose-contraceptive/" TargetMode="External"/><Relationship Id="rId268" Type="http://schemas.openxmlformats.org/officeDocument/2006/relationships/hyperlink" Target="https://luna-dr.com/subjects/after-pill_page/" TargetMode="External"/><Relationship Id="rId267" Type="http://schemas.openxmlformats.org/officeDocument/2006/relationships/hyperlink" Target="https://luna-dr.com/subjects/after-pill_page/" TargetMode="External"/><Relationship Id="rId266" Type="http://schemas.openxmlformats.org/officeDocument/2006/relationships/hyperlink" Target="https://luna-dr.com/subjects/low-dose-contraceptive/" TargetMode="External"/><Relationship Id="rId265" Type="http://schemas.openxmlformats.org/officeDocument/2006/relationships/hyperlink" Target="https://luna-dr.com/subjects/low-dose-contraceptive/" TargetMode="External"/><Relationship Id="rId260" Type="http://schemas.openxmlformats.org/officeDocument/2006/relationships/hyperlink" Target="https://luna-dr.com/subjects/low-dose-contraceptive/" TargetMode="External"/><Relationship Id="rId259" Type="http://schemas.openxmlformats.org/officeDocument/2006/relationships/hyperlink" Target="https://luna-dr.com/subjects/low-dose-contraceptive/" TargetMode="External"/><Relationship Id="rId258" Type="http://schemas.openxmlformats.org/officeDocument/2006/relationships/hyperlink" Target="https://luna-dr.com/subjects/low-dose-contraceptive/" TargetMode="External"/><Relationship Id="rId253" Type="http://schemas.openxmlformats.org/officeDocument/2006/relationships/hyperlink" Target="https://luna-dr.com/subjects/low-dose-contraceptive/" TargetMode="External"/><Relationship Id="rId495" Type="http://schemas.openxmlformats.org/officeDocument/2006/relationships/hyperlink" Target="https://luna-dr.com/subjects/pregnancy-test/" TargetMode="External"/><Relationship Id="rId252" Type="http://schemas.openxmlformats.org/officeDocument/2006/relationships/hyperlink" Target="https://luna-dr.com/subjects/low-dose-contraceptive/" TargetMode="External"/><Relationship Id="rId494" Type="http://schemas.openxmlformats.org/officeDocument/2006/relationships/hyperlink" Target="https://luna-dr.com/subjects/pregnancy-test/" TargetMode="External"/><Relationship Id="rId251" Type="http://schemas.openxmlformats.org/officeDocument/2006/relationships/hyperlink" Target="https://luna-dr.com/subjects/low-dose-contraceptive/" TargetMode="External"/><Relationship Id="rId493" Type="http://schemas.openxmlformats.org/officeDocument/2006/relationships/hyperlink" Target="https://luna-dr.com/subjects/pregnancy-test/" TargetMode="External"/><Relationship Id="rId250" Type="http://schemas.openxmlformats.org/officeDocument/2006/relationships/hyperlink" Target="https://luna-dr.com/subjects/low-dose-contraceptive/" TargetMode="External"/><Relationship Id="rId492" Type="http://schemas.openxmlformats.org/officeDocument/2006/relationships/hyperlink" Target="https://luna-dr.com/subjects/pregnancy-test/" TargetMode="External"/><Relationship Id="rId257" Type="http://schemas.openxmlformats.org/officeDocument/2006/relationships/hyperlink" Target="https://luna-dr.com/subjects/low-dose-contraceptive/" TargetMode="External"/><Relationship Id="rId499" Type="http://schemas.openxmlformats.org/officeDocument/2006/relationships/hyperlink" Target="https://luna-dr.com/subjects/pregnancy-test/" TargetMode="External"/><Relationship Id="rId256" Type="http://schemas.openxmlformats.org/officeDocument/2006/relationships/hyperlink" Target="https://luna-dr.com/subjects/low-dose-contraceptive/" TargetMode="External"/><Relationship Id="rId498" Type="http://schemas.openxmlformats.org/officeDocument/2006/relationships/hyperlink" Target="https://luna-dr.com/subjects/pregnancy-test/" TargetMode="External"/><Relationship Id="rId255" Type="http://schemas.openxmlformats.org/officeDocument/2006/relationships/hyperlink" Target="https://luna-dr.com/subjects/low-dose-contraceptive/" TargetMode="External"/><Relationship Id="rId497" Type="http://schemas.openxmlformats.org/officeDocument/2006/relationships/hyperlink" Target="https://luna-dr.com/subjects/pregnancy-test/" TargetMode="External"/><Relationship Id="rId254" Type="http://schemas.openxmlformats.org/officeDocument/2006/relationships/hyperlink" Target="https://luna-dr.com/subjects/low-dose-contraceptive/" TargetMode="External"/><Relationship Id="rId496" Type="http://schemas.openxmlformats.org/officeDocument/2006/relationships/hyperlink" Target="https://luna-dr.com/subjects/pregnancy-test/" TargetMode="External"/><Relationship Id="rId293" Type="http://schemas.openxmlformats.org/officeDocument/2006/relationships/hyperlink" Target="https://luna-dr.com/subjects/after-pill_page/" TargetMode="External"/><Relationship Id="rId292" Type="http://schemas.openxmlformats.org/officeDocument/2006/relationships/hyperlink" Target="https://luna-dr.com/subjects/after-pill_page/" TargetMode="External"/><Relationship Id="rId291" Type="http://schemas.openxmlformats.org/officeDocument/2006/relationships/hyperlink" Target="https://luna-dr.com/subjects/after-pill_page/" TargetMode="External"/><Relationship Id="rId290" Type="http://schemas.openxmlformats.org/officeDocument/2006/relationships/hyperlink" Target="https://luna-dr.com/subjects/after-pill_page/" TargetMode="External"/><Relationship Id="rId286" Type="http://schemas.openxmlformats.org/officeDocument/2006/relationships/hyperlink" Target="https://luna-dr.com/subjects/after-pill_page/" TargetMode="External"/><Relationship Id="rId285" Type="http://schemas.openxmlformats.org/officeDocument/2006/relationships/hyperlink" Target="https://luna-dr.com/subjects/after-pill_page/" TargetMode="External"/><Relationship Id="rId284" Type="http://schemas.openxmlformats.org/officeDocument/2006/relationships/hyperlink" Target="https://luna-dr.com/subjects/after-pill_page/" TargetMode="External"/><Relationship Id="rId283" Type="http://schemas.openxmlformats.org/officeDocument/2006/relationships/hyperlink" Target="https://luna-dr.com/subjects/after-pill_page/" TargetMode="External"/><Relationship Id="rId289" Type="http://schemas.openxmlformats.org/officeDocument/2006/relationships/hyperlink" Target="https://luna-dr.com/subjects/after-pill_page/" TargetMode="External"/><Relationship Id="rId288" Type="http://schemas.openxmlformats.org/officeDocument/2006/relationships/hyperlink" Target="https://luna-dr.com/subjects/after-pill_page/" TargetMode="External"/><Relationship Id="rId287" Type="http://schemas.openxmlformats.org/officeDocument/2006/relationships/hyperlink" Target="https://luna-dr.com/subjects/after-pill_page/" TargetMode="External"/><Relationship Id="rId282" Type="http://schemas.openxmlformats.org/officeDocument/2006/relationships/hyperlink" Target="https://luna-dr.com/subjects/after-pill_page/" TargetMode="External"/><Relationship Id="rId281" Type="http://schemas.openxmlformats.org/officeDocument/2006/relationships/hyperlink" Target="https://luna-dr.com/subjects/after-pill_page/" TargetMode="External"/><Relationship Id="rId280" Type="http://schemas.openxmlformats.org/officeDocument/2006/relationships/hyperlink" Target="https://luna-dr.com/subjects/after-pill_page/" TargetMode="External"/><Relationship Id="rId275" Type="http://schemas.openxmlformats.org/officeDocument/2006/relationships/hyperlink" Target="https://luna-dr.com/subjects/after-pill_page/" TargetMode="External"/><Relationship Id="rId274" Type="http://schemas.openxmlformats.org/officeDocument/2006/relationships/hyperlink" Target="https://luna-dr.com/subjects/after-pill_page/" TargetMode="External"/><Relationship Id="rId273" Type="http://schemas.openxmlformats.org/officeDocument/2006/relationships/hyperlink" Target="https://luna-dr.com/subjects/after-pill_page/" TargetMode="External"/><Relationship Id="rId272" Type="http://schemas.openxmlformats.org/officeDocument/2006/relationships/hyperlink" Target="https://luna-dr.com/subjects/after-pill_page/" TargetMode="External"/><Relationship Id="rId279" Type="http://schemas.openxmlformats.org/officeDocument/2006/relationships/hyperlink" Target="https://luna-dr.com/subjects/after-pill_page/" TargetMode="External"/><Relationship Id="rId278" Type="http://schemas.openxmlformats.org/officeDocument/2006/relationships/hyperlink" Target="https://luna-dr.com/subjects/after-pill_page/" TargetMode="External"/><Relationship Id="rId277" Type="http://schemas.openxmlformats.org/officeDocument/2006/relationships/hyperlink" Target="https://luna-dr.com/subjects/after-pill_page/" TargetMode="External"/><Relationship Id="rId276" Type="http://schemas.openxmlformats.org/officeDocument/2006/relationships/hyperlink" Target="https://luna-dr.com/subjects/after-pill_page/" TargetMode="External"/><Relationship Id="rId629" Type="http://schemas.openxmlformats.org/officeDocument/2006/relationships/hyperlink" Target="https://luna-dr.com/subjects/medical-checkup/" TargetMode="External"/><Relationship Id="rId624" Type="http://schemas.openxmlformats.org/officeDocument/2006/relationships/hyperlink" Target="https://luna-dr.com/subjects/medical-checkup/" TargetMode="External"/><Relationship Id="rId866" Type="http://schemas.openxmlformats.org/officeDocument/2006/relationships/hyperlink" Target="https://luna-dr.com/machida/price/" TargetMode="External"/><Relationship Id="rId623" Type="http://schemas.openxmlformats.org/officeDocument/2006/relationships/hyperlink" Target="https://luna-dr.com/subjects/medical-checkup/" TargetMode="External"/><Relationship Id="rId865" Type="http://schemas.openxmlformats.org/officeDocument/2006/relationships/hyperlink" Target="https://luna-dr.com/machida/price/" TargetMode="External"/><Relationship Id="rId622" Type="http://schemas.openxmlformats.org/officeDocument/2006/relationships/hyperlink" Target="https://luna-dr.com/subjects/medical-checkup/" TargetMode="External"/><Relationship Id="rId864" Type="http://schemas.openxmlformats.org/officeDocument/2006/relationships/hyperlink" Target="https://luna-dr.com/machida/price/" TargetMode="External"/><Relationship Id="rId621" Type="http://schemas.openxmlformats.org/officeDocument/2006/relationships/hyperlink" Target="https://luna-dr.com/subjects/medical-checkup/" TargetMode="External"/><Relationship Id="rId863" Type="http://schemas.openxmlformats.org/officeDocument/2006/relationships/hyperlink" Target="https://luna-dr.com/machida/price/" TargetMode="External"/><Relationship Id="rId628" Type="http://schemas.openxmlformats.org/officeDocument/2006/relationships/hyperlink" Target="https://luna-dr.com/subjects/medical-checkup/" TargetMode="External"/><Relationship Id="rId627" Type="http://schemas.openxmlformats.org/officeDocument/2006/relationships/hyperlink" Target="https://luna-dr.com/subjects/medical-checkup/" TargetMode="External"/><Relationship Id="rId869" Type="http://schemas.openxmlformats.org/officeDocument/2006/relationships/hyperlink" Target="https://luna-dr.com/machida/price/" TargetMode="External"/><Relationship Id="rId626" Type="http://schemas.openxmlformats.org/officeDocument/2006/relationships/hyperlink" Target="https://luna-dr.com/subjects/medical-checkup/" TargetMode="External"/><Relationship Id="rId868" Type="http://schemas.openxmlformats.org/officeDocument/2006/relationships/hyperlink" Target="https://luna-dr.com/machida/price/" TargetMode="External"/><Relationship Id="rId625" Type="http://schemas.openxmlformats.org/officeDocument/2006/relationships/hyperlink" Target="https://luna-dr.com/subjects/medical-checkup/" TargetMode="External"/><Relationship Id="rId867" Type="http://schemas.openxmlformats.org/officeDocument/2006/relationships/hyperlink" Target="https://luna-dr.com/machida/price/" TargetMode="External"/><Relationship Id="rId620" Type="http://schemas.openxmlformats.org/officeDocument/2006/relationships/hyperlink" Target="https://luna-dr.com/subjects/medical-checkup/" TargetMode="External"/><Relationship Id="rId862" Type="http://schemas.openxmlformats.org/officeDocument/2006/relationships/hyperlink" Target="https://luna-dr.com/machida/price/" TargetMode="External"/><Relationship Id="rId861" Type="http://schemas.openxmlformats.org/officeDocument/2006/relationships/hyperlink" Target="https://luna-dr.com/machida/price/" TargetMode="External"/><Relationship Id="rId860" Type="http://schemas.openxmlformats.org/officeDocument/2006/relationships/hyperlink" Target="https://luna-dr.com/machida/price/" TargetMode="External"/><Relationship Id="rId619" Type="http://schemas.openxmlformats.org/officeDocument/2006/relationships/hyperlink" Target="https://luna-dr.com/subjects/medical-checkup/" TargetMode="External"/><Relationship Id="rId618" Type="http://schemas.openxmlformats.org/officeDocument/2006/relationships/hyperlink" Target="https://luna-dr.com/subjects/medical-checkup/" TargetMode="External"/><Relationship Id="rId613" Type="http://schemas.openxmlformats.org/officeDocument/2006/relationships/hyperlink" Target="https://luna-dr.com/subjects/medical-checkup/" TargetMode="External"/><Relationship Id="rId855" Type="http://schemas.openxmlformats.org/officeDocument/2006/relationships/hyperlink" Target="https://luna-dr.com/machida/price/" TargetMode="External"/><Relationship Id="rId612" Type="http://schemas.openxmlformats.org/officeDocument/2006/relationships/hyperlink" Target="https://luna-dr.com/subjects/medical-checkup/" TargetMode="External"/><Relationship Id="rId854" Type="http://schemas.openxmlformats.org/officeDocument/2006/relationships/hyperlink" Target="https://luna-dr.com/machida/price/" TargetMode="External"/><Relationship Id="rId611" Type="http://schemas.openxmlformats.org/officeDocument/2006/relationships/hyperlink" Target="https://luna-dr.com/subjects/medical-checkup/" TargetMode="External"/><Relationship Id="rId853" Type="http://schemas.openxmlformats.org/officeDocument/2006/relationships/hyperlink" Target="https://luna-dr.com/machida/price/" TargetMode="External"/><Relationship Id="rId610" Type="http://schemas.openxmlformats.org/officeDocument/2006/relationships/hyperlink" Target="https://luna-dr.com/subjects/medical-checkup/" TargetMode="External"/><Relationship Id="rId852" Type="http://schemas.openxmlformats.org/officeDocument/2006/relationships/hyperlink" Target="https://luna-dr.com/machida/price/" TargetMode="External"/><Relationship Id="rId617" Type="http://schemas.openxmlformats.org/officeDocument/2006/relationships/hyperlink" Target="https://luna-dr.com/subjects/medical-checkup/" TargetMode="External"/><Relationship Id="rId859" Type="http://schemas.openxmlformats.org/officeDocument/2006/relationships/hyperlink" Target="https://luna-dr.com/machida/price/" TargetMode="External"/><Relationship Id="rId616" Type="http://schemas.openxmlformats.org/officeDocument/2006/relationships/hyperlink" Target="https://luna-dr.com/subjects/medical-checkup/" TargetMode="External"/><Relationship Id="rId858" Type="http://schemas.openxmlformats.org/officeDocument/2006/relationships/hyperlink" Target="https://luna-dr.com/machida/price/" TargetMode="External"/><Relationship Id="rId615" Type="http://schemas.openxmlformats.org/officeDocument/2006/relationships/hyperlink" Target="https://luna-dr.com/subjects/medical-checkup/" TargetMode="External"/><Relationship Id="rId857" Type="http://schemas.openxmlformats.org/officeDocument/2006/relationships/hyperlink" Target="https://luna-dr.com/machida/price/" TargetMode="External"/><Relationship Id="rId614" Type="http://schemas.openxmlformats.org/officeDocument/2006/relationships/hyperlink" Target="https://luna-dr.com/subjects/medical-checkup/" TargetMode="External"/><Relationship Id="rId856" Type="http://schemas.openxmlformats.org/officeDocument/2006/relationships/hyperlink" Target="https://luna-dr.com/machida/price/" TargetMode="External"/><Relationship Id="rId851" Type="http://schemas.openxmlformats.org/officeDocument/2006/relationships/hyperlink" Target="https://luna-dr.com/machida/price/" TargetMode="External"/><Relationship Id="rId850" Type="http://schemas.openxmlformats.org/officeDocument/2006/relationships/hyperlink" Target="https://luna-dr.com/machida/price/" TargetMode="External"/><Relationship Id="rId409" Type="http://schemas.openxmlformats.org/officeDocument/2006/relationships/hyperlink" Target="https://luna-dr.com/subjects/irregular-genital-bleeding/" TargetMode="External"/><Relationship Id="rId404" Type="http://schemas.openxmlformats.org/officeDocument/2006/relationships/hyperlink" Target="https://luna-dr.com/subjects/irregular-genital-bleeding/" TargetMode="External"/><Relationship Id="rId646" Type="http://schemas.openxmlformats.org/officeDocument/2006/relationships/hyperlink" Target="https://luna-dr.com/subjects/medical-checkup/" TargetMode="External"/><Relationship Id="rId888" Type="http://schemas.openxmlformats.org/officeDocument/2006/relationships/hyperlink" Target="https://luna-dr.com/machida/price/" TargetMode="External"/><Relationship Id="rId403" Type="http://schemas.openxmlformats.org/officeDocument/2006/relationships/hyperlink" Target="https://luna-dr.com/subjects/irregular-genital-bleeding/" TargetMode="External"/><Relationship Id="rId645" Type="http://schemas.openxmlformats.org/officeDocument/2006/relationships/hyperlink" Target="https://luna-dr.com/subjects/medical-checkup/" TargetMode="External"/><Relationship Id="rId887" Type="http://schemas.openxmlformats.org/officeDocument/2006/relationships/hyperlink" Target="https://luna-dr.com/machida/price/" TargetMode="External"/><Relationship Id="rId402" Type="http://schemas.openxmlformats.org/officeDocument/2006/relationships/hyperlink" Target="https://luna-dr.com/subjects/irregular-genital-bleeding/" TargetMode="External"/><Relationship Id="rId644" Type="http://schemas.openxmlformats.org/officeDocument/2006/relationships/hyperlink" Target="https://luna-dr.com/subjects/medical-checkup/" TargetMode="External"/><Relationship Id="rId886" Type="http://schemas.openxmlformats.org/officeDocument/2006/relationships/hyperlink" Target="https://luna-dr.com/machida/price/" TargetMode="External"/><Relationship Id="rId401" Type="http://schemas.openxmlformats.org/officeDocument/2006/relationships/hyperlink" Target="https://luna-dr.com/subjects/irregular-genital-bleeding/" TargetMode="External"/><Relationship Id="rId643" Type="http://schemas.openxmlformats.org/officeDocument/2006/relationships/hyperlink" Target="https://luna-dr.com/subjects/medical-checkup/" TargetMode="External"/><Relationship Id="rId885" Type="http://schemas.openxmlformats.org/officeDocument/2006/relationships/hyperlink" Target="https://luna-dr.com/machida/price/" TargetMode="External"/><Relationship Id="rId408" Type="http://schemas.openxmlformats.org/officeDocument/2006/relationships/hyperlink" Target="https://luna-dr.com/subjects/irregular-genital-bleeding/" TargetMode="External"/><Relationship Id="rId407" Type="http://schemas.openxmlformats.org/officeDocument/2006/relationships/hyperlink" Target="https://luna-dr.com/subjects/irregular-genital-bleeding/" TargetMode="External"/><Relationship Id="rId649" Type="http://schemas.openxmlformats.org/officeDocument/2006/relationships/hyperlink" Target="https://luna-dr.com/subjects/medical-checkup/" TargetMode="External"/><Relationship Id="rId406" Type="http://schemas.openxmlformats.org/officeDocument/2006/relationships/hyperlink" Target="https://luna-dr.com/subjects/irregular-genital-bleeding/" TargetMode="External"/><Relationship Id="rId648" Type="http://schemas.openxmlformats.org/officeDocument/2006/relationships/hyperlink" Target="https://luna-dr.com/subjects/medical-checkup/" TargetMode="External"/><Relationship Id="rId405" Type="http://schemas.openxmlformats.org/officeDocument/2006/relationships/hyperlink" Target="https://luna-dr.com/subjects/irregular-genital-bleeding/" TargetMode="External"/><Relationship Id="rId647" Type="http://schemas.openxmlformats.org/officeDocument/2006/relationships/hyperlink" Target="https://luna-dr.com/subjects/medical-checkup/" TargetMode="External"/><Relationship Id="rId889" Type="http://schemas.openxmlformats.org/officeDocument/2006/relationships/hyperlink" Target="https://luna-dr.com/machida/price/" TargetMode="External"/><Relationship Id="rId880" Type="http://schemas.openxmlformats.org/officeDocument/2006/relationships/hyperlink" Target="https://luna-dr.com/machida/price/" TargetMode="External"/><Relationship Id="rId400" Type="http://schemas.openxmlformats.org/officeDocument/2006/relationships/hyperlink" Target="https://luna-dr.com/subjects/irregular-genital-bleeding/" TargetMode="External"/><Relationship Id="rId642" Type="http://schemas.openxmlformats.org/officeDocument/2006/relationships/hyperlink" Target="https://luna-dr.com/subjects/medical-checkup/" TargetMode="External"/><Relationship Id="rId884" Type="http://schemas.openxmlformats.org/officeDocument/2006/relationships/hyperlink" Target="https://luna-dr.com/machida/price/" TargetMode="External"/><Relationship Id="rId641" Type="http://schemas.openxmlformats.org/officeDocument/2006/relationships/hyperlink" Target="https://luna-dr.com/subjects/medical-checkup/" TargetMode="External"/><Relationship Id="rId883" Type="http://schemas.openxmlformats.org/officeDocument/2006/relationships/hyperlink" Target="https://luna-dr.com/machida/price/" TargetMode="External"/><Relationship Id="rId640" Type="http://schemas.openxmlformats.org/officeDocument/2006/relationships/hyperlink" Target="https://luna-dr.com/subjects/medical-checkup/" TargetMode="External"/><Relationship Id="rId882" Type="http://schemas.openxmlformats.org/officeDocument/2006/relationships/hyperlink" Target="https://luna-dr.com/machida/price/" TargetMode="External"/><Relationship Id="rId881" Type="http://schemas.openxmlformats.org/officeDocument/2006/relationships/hyperlink" Target="https://luna-dr.com/machida/price/" TargetMode="External"/><Relationship Id="rId635" Type="http://schemas.openxmlformats.org/officeDocument/2006/relationships/hyperlink" Target="https://luna-dr.com/subjects/medical-checkup/" TargetMode="External"/><Relationship Id="rId877" Type="http://schemas.openxmlformats.org/officeDocument/2006/relationships/hyperlink" Target="https://luna-dr.com/machida/price/" TargetMode="External"/><Relationship Id="rId634" Type="http://schemas.openxmlformats.org/officeDocument/2006/relationships/hyperlink" Target="https://luna-dr.com/subjects/medical-checkup/" TargetMode="External"/><Relationship Id="rId876" Type="http://schemas.openxmlformats.org/officeDocument/2006/relationships/hyperlink" Target="https://luna-dr.com/machida/price/" TargetMode="External"/><Relationship Id="rId633" Type="http://schemas.openxmlformats.org/officeDocument/2006/relationships/hyperlink" Target="https://luna-dr.com/subjects/medical-checkup/" TargetMode="External"/><Relationship Id="rId875" Type="http://schemas.openxmlformats.org/officeDocument/2006/relationships/hyperlink" Target="https://luna-dr.com/machida/price/" TargetMode="External"/><Relationship Id="rId632" Type="http://schemas.openxmlformats.org/officeDocument/2006/relationships/hyperlink" Target="https://luna-dr.com/subjects/medical-checkup/" TargetMode="External"/><Relationship Id="rId874" Type="http://schemas.openxmlformats.org/officeDocument/2006/relationships/hyperlink" Target="https://luna-dr.com/machida/price/" TargetMode="External"/><Relationship Id="rId639" Type="http://schemas.openxmlformats.org/officeDocument/2006/relationships/hyperlink" Target="https://luna-dr.com/subjects/medical-checkup/" TargetMode="External"/><Relationship Id="rId638" Type="http://schemas.openxmlformats.org/officeDocument/2006/relationships/hyperlink" Target="https://luna-dr.com/subjects/medical-checkup/" TargetMode="External"/><Relationship Id="rId637" Type="http://schemas.openxmlformats.org/officeDocument/2006/relationships/hyperlink" Target="https://luna-dr.com/subjects/medical-checkup/" TargetMode="External"/><Relationship Id="rId879" Type="http://schemas.openxmlformats.org/officeDocument/2006/relationships/hyperlink" Target="https://luna-dr.com/machida/price/" TargetMode="External"/><Relationship Id="rId636" Type="http://schemas.openxmlformats.org/officeDocument/2006/relationships/hyperlink" Target="https://luna-dr.com/subjects/medical-checkup/" TargetMode="External"/><Relationship Id="rId878" Type="http://schemas.openxmlformats.org/officeDocument/2006/relationships/hyperlink" Target="https://luna-dr.com/machida/price/" TargetMode="External"/><Relationship Id="rId631" Type="http://schemas.openxmlformats.org/officeDocument/2006/relationships/hyperlink" Target="https://luna-dr.com/subjects/medical-checkup/" TargetMode="External"/><Relationship Id="rId873" Type="http://schemas.openxmlformats.org/officeDocument/2006/relationships/hyperlink" Target="https://luna-dr.com/machida/price/" TargetMode="External"/><Relationship Id="rId630" Type="http://schemas.openxmlformats.org/officeDocument/2006/relationships/hyperlink" Target="https://luna-dr.com/subjects/medical-checkup/" TargetMode="External"/><Relationship Id="rId872" Type="http://schemas.openxmlformats.org/officeDocument/2006/relationships/hyperlink" Target="https://luna-dr.com/machida/price/" TargetMode="External"/><Relationship Id="rId871" Type="http://schemas.openxmlformats.org/officeDocument/2006/relationships/hyperlink" Target="https://luna-dr.com/machida/price/" TargetMode="External"/><Relationship Id="rId870" Type="http://schemas.openxmlformats.org/officeDocument/2006/relationships/hyperlink" Target="https://luna-dr.com/machida/price/" TargetMode="External"/><Relationship Id="rId829" Type="http://schemas.openxmlformats.org/officeDocument/2006/relationships/hyperlink" Target="https://luna-dr.com/machida/price/" TargetMode="External"/><Relationship Id="rId828" Type="http://schemas.openxmlformats.org/officeDocument/2006/relationships/hyperlink" Target="https://luna-dr.com/machida/doctors/" TargetMode="External"/><Relationship Id="rId827" Type="http://schemas.openxmlformats.org/officeDocument/2006/relationships/hyperlink" Target="https://luna-dr.com/machida/doctors/" TargetMode="External"/><Relationship Id="rId822" Type="http://schemas.openxmlformats.org/officeDocument/2006/relationships/hyperlink" Target="https://luna-dr.com/machida/consultation-hours/" TargetMode="External"/><Relationship Id="rId821" Type="http://schemas.openxmlformats.org/officeDocument/2006/relationships/hyperlink" Target="https://luna-dr.com/machida/consultation-hours/" TargetMode="External"/><Relationship Id="rId820" Type="http://schemas.openxmlformats.org/officeDocument/2006/relationships/hyperlink" Target="https://luna-dr.com/machida/access/" TargetMode="External"/><Relationship Id="rId826" Type="http://schemas.openxmlformats.org/officeDocument/2006/relationships/hyperlink" Target="https://luna-dr.com/machida/doctors/" TargetMode="External"/><Relationship Id="rId825" Type="http://schemas.openxmlformats.org/officeDocument/2006/relationships/hyperlink" Target="https://luna-dr.com/machida/doctors/" TargetMode="External"/><Relationship Id="rId824" Type="http://schemas.openxmlformats.org/officeDocument/2006/relationships/hyperlink" Target="https://luna-dr.com/machida/doctors/" TargetMode="External"/><Relationship Id="rId823" Type="http://schemas.openxmlformats.org/officeDocument/2006/relationships/hyperlink" Target="https://luna-dr.com/machida/consultation-hours/" TargetMode="External"/><Relationship Id="rId819" Type="http://schemas.openxmlformats.org/officeDocument/2006/relationships/hyperlink" Target="https://luna-dr.com/machida/access/" TargetMode="External"/><Relationship Id="rId818" Type="http://schemas.openxmlformats.org/officeDocument/2006/relationships/hyperlink" Target="https://luna-dr.com/" TargetMode="External"/><Relationship Id="rId817" Type="http://schemas.openxmlformats.org/officeDocument/2006/relationships/hyperlink" Target="https://luna-dr.com/" TargetMode="External"/><Relationship Id="rId816" Type="http://schemas.openxmlformats.org/officeDocument/2006/relationships/hyperlink" Target="https://luna-dr.com/" TargetMode="External"/><Relationship Id="rId811" Type="http://schemas.openxmlformats.org/officeDocument/2006/relationships/hyperlink" Target="https://luna-dr.com/machida/" TargetMode="External"/><Relationship Id="rId810" Type="http://schemas.openxmlformats.org/officeDocument/2006/relationships/hyperlink" Target="https://luna-dr.com/machida/" TargetMode="External"/><Relationship Id="rId815" Type="http://schemas.openxmlformats.org/officeDocument/2006/relationships/hyperlink" Target="https://luna-dr.com/machida/" TargetMode="External"/><Relationship Id="rId814" Type="http://schemas.openxmlformats.org/officeDocument/2006/relationships/hyperlink" Target="https://luna-dr.com/machida/" TargetMode="External"/><Relationship Id="rId813" Type="http://schemas.openxmlformats.org/officeDocument/2006/relationships/hyperlink" Target="https://luna-dr.com/machida/" TargetMode="External"/><Relationship Id="rId812" Type="http://schemas.openxmlformats.org/officeDocument/2006/relationships/hyperlink" Target="https://luna-dr.com/machida/" TargetMode="External"/><Relationship Id="rId609" Type="http://schemas.openxmlformats.org/officeDocument/2006/relationships/hyperlink" Target="https://luna-dr.com/subjects/medical-checkup/" TargetMode="External"/><Relationship Id="rId608" Type="http://schemas.openxmlformats.org/officeDocument/2006/relationships/hyperlink" Target="https://luna-dr.com/subjects/medical-checkup/" TargetMode="External"/><Relationship Id="rId607" Type="http://schemas.openxmlformats.org/officeDocument/2006/relationships/hyperlink" Target="https://luna-dr.com/subjects/medical-checkup/" TargetMode="External"/><Relationship Id="rId849" Type="http://schemas.openxmlformats.org/officeDocument/2006/relationships/hyperlink" Target="https://luna-dr.com/machida/price/" TargetMode="External"/><Relationship Id="rId602" Type="http://schemas.openxmlformats.org/officeDocument/2006/relationships/hyperlink" Target="https://luna-dr.com/subjects/medical-checkup/" TargetMode="External"/><Relationship Id="rId844" Type="http://schemas.openxmlformats.org/officeDocument/2006/relationships/hyperlink" Target="https://luna-dr.com/machida/price/" TargetMode="External"/><Relationship Id="rId601" Type="http://schemas.openxmlformats.org/officeDocument/2006/relationships/hyperlink" Target="https://luna-dr.com/subjects/medical-checkup/" TargetMode="External"/><Relationship Id="rId843" Type="http://schemas.openxmlformats.org/officeDocument/2006/relationships/hyperlink" Target="https://luna-dr.com/machida/price/" TargetMode="External"/><Relationship Id="rId600" Type="http://schemas.openxmlformats.org/officeDocument/2006/relationships/hyperlink" Target="https://luna-dr.com/subjects/medical-checkup/" TargetMode="External"/><Relationship Id="rId842" Type="http://schemas.openxmlformats.org/officeDocument/2006/relationships/hyperlink" Target="https://luna-dr.com/machida/price/" TargetMode="External"/><Relationship Id="rId841" Type="http://schemas.openxmlformats.org/officeDocument/2006/relationships/hyperlink" Target="https://luna-dr.com/machida/price/" TargetMode="External"/><Relationship Id="rId606" Type="http://schemas.openxmlformats.org/officeDocument/2006/relationships/hyperlink" Target="https://luna-dr.com/subjects/medical-checkup/" TargetMode="External"/><Relationship Id="rId848" Type="http://schemas.openxmlformats.org/officeDocument/2006/relationships/hyperlink" Target="https://luna-dr.com/machida/price/" TargetMode="External"/><Relationship Id="rId605" Type="http://schemas.openxmlformats.org/officeDocument/2006/relationships/hyperlink" Target="https://luna-dr.com/subjects/medical-checkup/" TargetMode="External"/><Relationship Id="rId847" Type="http://schemas.openxmlformats.org/officeDocument/2006/relationships/hyperlink" Target="https://luna-dr.com/machida/price/" TargetMode="External"/><Relationship Id="rId604" Type="http://schemas.openxmlformats.org/officeDocument/2006/relationships/hyperlink" Target="https://luna-dr.com/subjects/medical-checkup/" TargetMode="External"/><Relationship Id="rId846" Type="http://schemas.openxmlformats.org/officeDocument/2006/relationships/hyperlink" Target="https://luna-dr.com/machida/price/" TargetMode="External"/><Relationship Id="rId603" Type="http://schemas.openxmlformats.org/officeDocument/2006/relationships/hyperlink" Target="https://luna-dr.com/subjects/medical-checkup/" TargetMode="External"/><Relationship Id="rId845" Type="http://schemas.openxmlformats.org/officeDocument/2006/relationships/hyperlink" Target="https://luna-dr.com/machida/price/" TargetMode="External"/><Relationship Id="rId840" Type="http://schemas.openxmlformats.org/officeDocument/2006/relationships/hyperlink" Target="https://luna-dr.com/machida/price/" TargetMode="External"/><Relationship Id="rId839" Type="http://schemas.openxmlformats.org/officeDocument/2006/relationships/hyperlink" Target="https://luna-dr.com/machida/price/" TargetMode="External"/><Relationship Id="rId838" Type="http://schemas.openxmlformats.org/officeDocument/2006/relationships/hyperlink" Target="https://luna-dr.com/machida/price/" TargetMode="External"/><Relationship Id="rId833" Type="http://schemas.openxmlformats.org/officeDocument/2006/relationships/hyperlink" Target="https://luna-dr.com/machida/price/" TargetMode="External"/><Relationship Id="rId832" Type="http://schemas.openxmlformats.org/officeDocument/2006/relationships/hyperlink" Target="https://luna-dr.com/machida/price/" TargetMode="External"/><Relationship Id="rId831" Type="http://schemas.openxmlformats.org/officeDocument/2006/relationships/hyperlink" Target="https://luna-dr.com/machida/price/" TargetMode="External"/><Relationship Id="rId830" Type="http://schemas.openxmlformats.org/officeDocument/2006/relationships/hyperlink" Target="https://luna-dr.com/machida/price/" TargetMode="External"/><Relationship Id="rId837" Type="http://schemas.openxmlformats.org/officeDocument/2006/relationships/hyperlink" Target="https://luna-dr.com/machida/price/" TargetMode="External"/><Relationship Id="rId836" Type="http://schemas.openxmlformats.org/officeDocument/2006/relationships/hyperlink" Target="https://luna-dr.com/machida/price/" TargetMode="External"/><Relationship Id="rId835" Type="http://schemas.openxmlformats.org/officeDocument/2006/relationships/hyperlink" Target="https://luna-dr.com/machida/price/" TargetMode="External"/><Relationship Id="rId834" Type="http://schemas.openxmlformats.org/officeDocument/2006/relationships/hyperlink" Target="https://luna-dr.com/machida/price/" TargetMode="External"/><Relationship Id="rId228" Type="http://schemas.openxmlformats.org/officeDocument/2006/relationships/hyperlink" Target="https://luna-dr.com/subjects/low-dose-contraceptive/" TargetMode="External"/><Relationship Id="rId227" Type="http://schemas.openxmlformats.org/officeDocument/2006/relationships/hyperlink" Target="https://luna-dr.com/subjects/low-dose-contraceptive/" TargetMode="External"/><Relationship Id="rId469" Type="http://schemas.openxmlformats.org/officeDocument/2006/relationships/hyperlink" Target="https://luna-dr.com/subjects/std/" TargetMode="External"/><Relationship Id="rId226" Type="http://schemas.openxmlformats.org/officeDocument/2006/relationships/hyperlink" Target="https://luna-dr.com/subjects/low-dose-contraceptive/" TargetMode="External"/><Relationship Id="rId468" Type="http://schemas.openxmlformats.org/officeDocument/2006/relationships/hyperlink" Target="https://luna-dr.com/subjects/std/" TargetMode="External"/><Relationship Id="rId225" Type="http://schemas.openxmlformats.org/officeDocument/2006/relationships/hyperlink" Target="https://luna-dr.com/subjects/low-dose-contraceptive/" TargetMode="External"/><Relationship Id="rId467" Type="http://schemas.openxmlformats.org/officeDocument/2006/relationships/hyperlink" Target="https://luna-dr.com/subjects/std/" TargetMode="External"/><Relationship Id="rId229" Type="http://schemas.openxmlformats.org/officeDocument/2006/relationships/hyperlink" Target="https://luna-dr.com/subjects/low-dose-contraceptive/" TargetMode="External"/><Relationship Id="rId220" Type="http://schemas.openxmlformats.org/officeDocument/2006/relationships/hyperlink" Target="https://luna-dr.com/subjects/pill-prescription/" TargetMode="External"/><Relationship Id="rId462" Type="http://schemas.openxmlformats.org/officeDocument/2006/relationships/hyperlink" Target="https://luna-dr.com/subjects/std/" TargetMode="External"/><Relationship Id="rId461" Type="http://schemas.openxmlformats.org/officeDocument/2006/relationships/hyperlink" Target="https://luna-dr.com/subjects/std/" TargetMode="External"/><Relationship Id="rId460" Type="http://schemas.openxmlformats.org/officeDocument/2006/relationships/hyperlink" Target="https://luna-dr.com/subjects/std/" TargetMode="External"/><Relationship Id="rId224" Type="http://schemas.openxmlformats.org/officeDocument/2006/relationships/hyperlink" Target="https://luna-dr.com/subjects/low-dose-contraceptive/" TargetMode="External"/><Relationship Id="rId466" Type="http://schemas.openxmlformats.org/officeDocument/2006/relationships/hyperlink" Target="https://luna-dr.com/subjects/std/" TargetMode="External"/><Relationship Id="rId223" Type="http://schemas.openxmlformats.org/officeDocument/2006/relationships/hyperlink" Target="https://luna-dr.com/subjects/pill-prescription/" TargetMode="External"/><Relationship Id="rId465" Type="http://schemas.openxmlformats.org/officeDocument/2006/relationships/hyperlink" Target="https://luna-dr.com/subjects/std/" TargetMode="External"/><Relationship Id="rId222" Type="http://schemas.openxmlformats.org/officeDocument/2006/relationships/hyperlink" Target="https://luna-dr.com/subjects/pill-prescription/" TargetMode="External"/><Relationship Id="rId464" Type="http://schemas.openxmlformats.org/officeDocument/2006/relationships/hyperlink" Target="https://luna-dr.com/subjects/std/" TargetMode="External"/><Relationship Id="rId221" Type="http://schemas.openxmlformats.org/officeDocument/2006/relationships/hyperlink" Target="https://luna-dr.com/subjects/pill-prescription/" TargetMode="External"/><Relationship Id="rId463" Type="http://schemas.openxmlformats.org/officeDocument/2006/relationships/hyperlink" Target="https://luna-dr.com/subjects/std/" TargetMode="External"/><Relationship Id="rId217" Type="http://schemas.openxmlformats.org/officeDocument/2006/relationships/hyperlink" Target="https://luna-dr.com/subjects/pill-prescription/" TargetMode="External"/><Relationship Id="rId459" Type="http://schemas.openxmlformats.org/officeDocument/2006/relationships/hyperlink" Target="https://luna-dr.com/subjects/std/" TargetMode="External"/><Relationship Id="rId216" Type="http://schemas.openxmlformats.org/officeDocument/2006/relationships/hyperlink" Target="https://luna-dr.com/subjects/pill-prescription/" TargetMode="External"/><Relationship Id="rId458" Type="http://schemas.openxmlformats.org/officeDocument/2006/relationships/hyperlink" Target="https://luna-dr.com/subjects/std/" TargetMode="External"/><Relationship Id="rId215" Type="http://schemas.openxmlformats.org/officeDocument/2006/relationships/hyperlink" Target="https://luna-dr.com/subjects/pill-prescription/" TargetMode="External"/><Relationship Id="rId457" Type="http://schemas.openxmlformats.org/officeDocument/2006/relationships/hyperlink" Target="https://luna-dr.com/subjects/std/" TargetMode="External"/><Relationship Id="rId699" Type="http://schemas.openxmlformats.org/officeDocument/2006/relationships/hyperlink" Target="https://luna-dr.com/femcheck/about/" TargetMode="External"/><Relationship Id="rId214" Type="http://schemas.openxmlformats.org/officeDocument/2006/relationships/hyperlink" Target="https://luna-dr.com/subjects/pill-prescription/" TargetMode="External"/><Relationship Id="rId456" Type="http://schemas.openxmlformats.org/officeDocument/2006/relationships/hyperlink" Target="https://luna-dr.com/subjects/std/" TargetMode="External"/><Relationship Id="rId698" Type="http://schemas.openxmlformats.org/officeDocument/2006/relationships/hyperlink" Target="https://luna-dr.com/femcheck/about/" TargetMode="External"/><Relationship Id="rId219" Type="http://schemas.openxmlformats.org/officeDocument/2006/relationships/hyperlink" Target="https://luna-dr.com/subjects/pill-prescription/" TargetMode="External"/><Relationship Id="rId218" Type="http://schemas.openxmlformats.org/officeDocument/2006/relationships/hyperlink" Target="https://luna-dr.com/subjects/pill-prescription/" TargetMode="External"/><Relationship Id="rId451" Type="http://schemas.openxmlformats.org/officeDocument/2006/relationships/hyperlink" Target="https://luna-dr.com/subjects/std/" TargetMode="External"/><Relationship Id="rId693" Type="http://schemas.openxmlformats.org/officeDocument/2006/relationships/hyperlink" Target="https://luna-dr.com/femcheck/about/" TargetMode="External"/><Relationship Id="rId450" Type="http://schemas.openxmlformats.org/officeDocument/2006/relationships/hyperlink" Target="https://luna-dr.com/subjects/std/" TargetMode="External"/><Relationship Id="rId692" Type="http://schemas.openxmlformats.org/officeDocument/2006/relationships/hyperlink" Target="https://luna-dr.com/femcheck/about/" TargetMode="External"/><Relationship Id="rId691" Type="http://schemas.openxmlformats.org/officeDocument/2006/relationships/hyperlink" Target="https://luna-dr.com/femcheck/begginer/" TargetMode="External"/><Relationship Id="rId690" Type="http://schemas.openxmlformats.org/officeDocument/2006/relationships/hyperlink" Target="https://luna-dr.com/femcheck/begginer/" TargetMode="External"/><Relationship Id="rId213" Type="http://schemas.openxmlformats.org/officeDocument/2006/relationships/hyperlink" Target="https://luna-dr.com/subjects/pill-prescription/" TargetMode="External"/><Relationship Id="rId455" Type="http://schemas.openxmlformats.org/officeDocument/2006/relationships/hyperlink" Target="https://luna-dr.com/subjects/std/" TargetMode="External"/><Relationship Id="rId697" Type="http://schemas.openxmlformats.org/officeDocument/2006/relationships/hyperlink" Target="https://luna-dr.com/femcheck/about/" TargetMode="External"/><Relationship Id="rId212" Type="http://schemas.openxmlformats.org/officeDocument/2006/relationships/hyperlink" Target="https://luna-dr.com/subjects/pill-prescription/" TargetMode="External"/><Relationship Id="rId454" Type="http://schemas.openxmlformats.org/officeDocument/2006/relationships/hyperlink" Target="https://luna-dr.com/subjects/std/" TargetMode="External"/><Relationship Id="rId696" Type="http://schemas.openxmlformats.org/officeDocument/2006/relationships/hyperlink" Target="https://luna-dr.com/femcheck/about/" TargetMode="External"/><Relationship Id="rId211" Type="http://schemas.openxmlformats.org/officeDocument/2006/relationships/hyperlink" Target="https://luna-dr.com/subjects/pill-prescription/" TargetMode="External"/><Relationship Id="rId453" Type="http://schemas.openxmlformats.org/officeDocument/2006/relationships/hyperlink" Target="https://luna-dr.com/subjects/std/" TargetMode="External"/><Relationship Id="rId695" Type="http://schemas.openxmlformats.org/officeDocument/2006/relationships/hyperlink" Target="https://luna-dr.com/femcheck/about/" TargetMode="External"/><Relationship Id="rId210" Type="http://schemas.openxmlformats.org/officeDocument/2006/relationships/hyperlink" Target="https://luna-dr.com/subjects/pill-prescription/" TargetMode="External"/><Relationship Id="rId452" Type="http://schemas.openxmlformats.org/officeDocument/2006/relationships/hyperlink" Target="https://luna-dr.com/subjects/std/" TargetMode="External"/><Relationship Id="rId694" Type="http://schemas.openxmlformats.org/officeDocument/2006/relationships/hyperlink" Target="https://luna-dr.com/femcheck/about/" TargetMode="External"/><Relationship Id="rId491" Type="http://schemas.openxmlformats.org/officeDocument/2006/relationships/hyperlink" Target="https://luna-dr.com/subjects/pregnancy-test/" TargetMode="External"/><Relationship Id="rId490" Type="http://schemas.openxmlformats.org/officeDocument/2006/relationships/hyperlink" Target="https://luna-dr.com/subjects/pregnancy-test/" TargetMode="External"/><Relationship Id="rId249" Type="http://schemas.openxmlformats.org/officeDocument/2006/relationships/hyperlink" Target="https://luna-dr.com/subjects/low-dose-contraceptive/" TargetMode="External"/><Relationship Id="rId248" Type="http://schemas.openxmlformats.org/officeDocument/2006/relationships/hyperlink" Target="https://luna-dr.com/subjects/low-dose-contraceptive/" TargetMode="External"/><Relationship Id="rId247" Type="http://schemas.openxmlformats.org/officeDocument/2006/relationships/hyperlink" Target="https://luna-dr.com/subjects/low-dose-contraceptive/" TargetMode="External"/><Relationship Id="rId489" Type="http://schemas.openxmlformats.org/officeDocument/2006/relationships/hyperlink" Target="https://luna-dr.com/subjects/pregnancy-test/" TargetMode="External"/><Relationship Id="rId242" Type="http://schemas.openxmlformats.org/officeDocument/2006/relationships/hyperlink" Target="https://luna-dr.com/subjects/low-dose-contraceptive/" TargetMode="External"/><Relationship Id="rId484" Type="http://schemas.openxmlformats.org/officeDocument/2006/relationships/hyperlink" Target="https://luna-dr.com/subjects/pregnancy-test/" TargetMode="External"/><Relationship Id="rId241" Type="http://schemas.openxmlformats.org/officeDocument/2006/relationships/hyperlink" Target="https://luna-dr.com/subjects/low-dose-contraceptive/" TargetMode="External"/><Relationship Id="rId483" Type="http://schemas.openxmlformats.org/officeDocument/2006/relationships/hyperlink" Target="https://luna-dr.com/subjects/pregnancy-test/" TargetMode="External"/><Relationship Id="rId240" Type="http://schemas.openxmlformats.org/officeDocument/2006/relationships/hyperlink" Target="https://luna-dr.com/subjects/low-dose-contraceptive/" TargetMode="External"/><Relationship Id="rId482" Type="http://schemas.openxmlformats.org/officeDocument/2006/relationships/hyperlink" Target="https://luna-dr.com/subjects/pregnancy-test/" TargetMode="External"/><Relationship Id="rId481" Type="http://schemas.openxmlformats.org/officeDocument/2006/relationships/hyperlink" Target="https://luna-dr.com/subjects/pregnancy-test/" TargetMode="External"/><Relationship Id="rId246" Type="http://schemas.openxmlformats.org/officeDocument/2006/relationships/hyperlink" Target="https://luna-dr.com/subjects/low-dose-contraceptive/" TargetMode="External"/><Relationship Id="rId488" Type="http://schemas.openxmlformats.org/officeDocument/2006/relationships/hyperlink" Target="https://luna-dr.com/subjects/pregnancy-test/" TargetMode="External"/><Relationship Id="rId245" Type="http://schemas.openxmlformats.org/officeDocument/2006/relationships/hyperlink" Target="https://luna-dr.com/subjects/low-dose-contraceptive/" TargetMode="External"/><Relationship Id="rId487" Type="http://schemas.openxmlformats.org/officeDocument/2006/relationships/hyperlink" Target="https://luna-dr.com/subjects/pregnancy-test/" TargetMode="External"/><Relationship Id="rId244" Type="http://schemas.openxmlformats.org/officeDocument/2006/relationships/hyperlink" Target="https://luna-dr.com/subjects/low-dose-contraceptive/" TargetMode="External"/><Relationship Id="rId486" Type="http://schemas.openxmlformats.org/officeDocument/2006/relationships/hyperlink" Target="https://luna-dr.com/subjects/pregnancy-test/" TargetMode="External"/><Relationship Id="rId243" Type="http://schemas.openxmlformats.org/officeDocument/2006/relationships/hyperlink" Target="https://luna-dr.com/subjects/low-dose-contraceptive/" TargetMode="External"/><Relationship Id="rId485" Type="http://schemas.openxmlformats.org/officeDocument/2006/relationships/hyperlink" Target="https://luna-dr.com/subjects/pregnancy-test/" TargetMode="External"/><Relationship Id="rId480" Type="http://schemas.openxmlformats.org/officeDocument/2006/relationships/hyperlink" Target="https://luna-dr.com/subjects/pregnancy-test/" TargetMode="External"/><Relationship Id="rId239" Type="http://schemas.openxmlformats.org/officeDocument/2006/relationships/hyperlink" Target="https://luna-dr.com/subjects/low-dose-contraceptive/" TargetMode="External"/><Relationship Id="rId238" Type="http://schemas.openxmlformats.org/officeDocument/2006/relationships/hyperlink" Target="https://luna-dr.com/subjects/low-dose-contraceptive/" TargetMode="External"/><Relationship Id="rId237" Type="http://schemas.openxmlformats.org/officeDocument/2006/relationships/hyperlink" Target="https://luna-dr.com/subjects/low-dose-contraceptive/" TargetMode="External"/><Relationship Id="rId479" Type="http://schemas.openxmlformats.org/officeDocument/2006/relationships/hyperlink" Target="https://luna-dr.com/subjects/pregnancy-test/" TargetMode="External"/><Relationship Id="rId236" Type="http://schemas.openxmlformats.org/officeDocument/2006/relationships/hyperlink" Target="https://luna-dr.com/subjects/low-dose-contraceptive/" TargetMode="External"/><Relationship Id="rId478" Type="http://schemas.openxmlformats.org/officeDocument/2006/relationships/hyperlink" Target="https://luna-dr.com/subjects/std/" TargetMode="External"/><Relationship Id="rId231" Type="http://schemas.openxmlformats.org/officeDocument/2006/relationships/hyperlink" Target="https://luna-dr.com/subjects/low-dose-contraceptive/" TargetMode="External"/><Relationship Id="rId473" Type="http://schemas.openxmlformats.org/officeDocument/2006/relationships/hyperlink" Target="https://luna-dr.com/subjects/std/" TargetMode="External"/><Relationship Id="rId230" Type="http://schemas.openxmlformats.org/officeDocument/2006/relationships/hyperlink" Target="https://luna-dr.com/subjects/low-dose-contraceptive/" TargetMode="External"/><Relationship Id="rId472" Type="http://schemas.openxmlformats.org/officeDocument/2006/relationships/hyperlink" Target="https://luna-dr.com/subjects/std/" TargetMode="External"/><Relationship Id="rId471" Type="http://schemas.openxmlformats.org/officeDocument/2006/relationships/hyperlink" Target="https://luna-dr.com/subjects/std/" TargetMode="External"/><Relationship Id="rId470" Type="http://schemas.openxmlformats.org/officeDocument/2006/relationships/hyperlink" Target="https://luna-dr.com/subjects/std/" TargetMode="External"/><Relationship Id="rId235" Type="http://schemas.openxmlformats.org/officeDocument/2006/relationships/hyperlink" Target="https://luna-dr.com/subjects/low-dose-contraceptive/" TargetMode="External"/><Relationship Id="rId477" Type="http://schemas.openxmlformats.org/officeDocument/2006/relationships/hyperlink" Target="https://luna-dr.com/subjects/std/" TargetMode="External"/><Relationship Id="rId234" Type="http://schemas.openxmlformats.org/officeDocument/2006/relationships/hyperlink" Target="https://luna-dr.com/subjects/low-dose-contraceptive/" TargetMode="External"/><Relationship Id="rId476" Type="http://schemas.openxmlformats.org/officeDocument/2006/relationships/hyperlink" Target="https://luna-dr.com/subjects/std/" TargetMode="External"/><Relationship Id="rId233" Type="http://schemas.openxmlformats.org/officeDocument/2006/relationships/hyperlink" Target="https://luna-dr.com/subjects/low-dose-contraceptive/" TargetMode="External"/><Relationship Id="rId475" Type="http://schemas.openxmlformats.org/officeDocument/2006/relationships/hyperlink" Target="https://luna-dr.com/subjects/std/" TargetMode="External"/><Relationship Id="rId232" Type="http://schemas.openxmlformats.org/officeDocument/2006/relationships/hyperlink" Target="https://luna-dr.com/subjects/low-dose-contraceptive/" TargetMode="External"/><Relationship Id="rId474" Type="http://schemas.openxmlformats.org/officeDocument/2006/relationships/hyperlink" Target="https://luna-dr.com/subjects/std/" TargetMode="External"/><Relationship Id="rId426" Type="http://schemas.openxmlformats.org/officeDocument/2006/relationships/hyperlink" Target="https://luna-dr.com/subjects/abnormal-uterine-bleeding/" TargetMode="External"/><Relationship Id="rId668" Type="http://schemas.openxmlformats.org/officeDocument/2006/relationships/hyperlink" Target="https://luna-dr.com/subjects/hpv-vaccine/" TargetMode="External"/><Relationship Id="rId425" Type="http://schemas.openxmlformats.org/officeDocument/2006/relationships/hyperlink" Target="https://luna-dr.com/subjects/abnormal-uterine-bleeding/" TargetMode="External"/><Relationship Id="rId667" Type="http://schemas.openxmlformats.org/officeDocument/2006/relationships/hyperlink" Target="https://luna-dr.com/subjects/hpv-vaccine/" TargetMode="External"/><Relationship Id="rId424" Type="http://schemas.openxmlformats.org/officeDocument/2006/relationships/hyperlink" Target="https://luna-dr.com/subjects/abnormal-uterine-bleeding/" TargetMode="External"/><Relationship Id="rId666" Type="http://schemas.openxmlformats.org/officeDocument/2006/relationships/hyperlink" Target="https://luna-dr.com/subjects/hpv-vaccine/" TargetMode="External"/><Relationship Id="rId423" Type="http://schemas.openxmlformats.org/officeDocument/2006/relationships/hyperlink" Target="https://luna-dr.com/subjects/abnormal-uterine-bleeding/" TargetMode="External"/><Relationship Id="rId665" Type="http://schemas.openxmlformats.org/officeDocument/2006/relationships/hyperlink" Target="https://luna-dr.com/subjects/hpv-vaccine/" TargetMode="External"/><Relationship Id="rId429" Type="http://schemas.openxmlformats.org/officeDocument/2006/relationships/hyperlink" Target="https://luna-dr.com/subjects/abnormal-uterine-bleeding/" TargetMode="External"/><Relationship Id="rId428" Type="http://schemas.openxmlformats.org/officeDocument/2006/relationships/hyperlink" Target="https://luna-dr.com/subjects/abnormal-uterine-bleeding/" TargetMode="External"/><Relationship Id="rId427" Type="http://schemas.openxmlformats.org/officeDocument/2006/relationships/hyperlink" Target="https://luna-dr.com/subjects/abnormal-uterine-bleeding/" TargetMode="External"/><Relationship Id="rId669" Type="http://schemas.openxmlformats.org/officeDocument/2006/relationships/hyperlink" Target="https://luna-dr.com/subjects/hpv-vaccine/" TargetMode="External"/><Relationship Id="rId660" Type="http://schemas.openxmlformats.org/officeDocument/2006/relationships/hyperlink" Target="https://luna-dr.com/subjects/hpv-vaccine/" TargetMode="External"/><Relationship Id="rId422" Type="http://schemas.openxmlformats.org/officeDocument/2006/relationships/hyperlink" Target="https://luna-dr.com/subjects/abnormal-uterine-bleeding/" TargetMode="External"/><Relationship Id="rId664" Type="http://schemas.openxmlformats.org/officeDocument/2006/relationships/hyperlink" Target="https://luna-dr.com/subjects/hpv-vaccine/" TargetMode="External"/><Relationship Id="rId421" Type="http://schemas.openxmlformats.org/officeDocument/2006/relationships/hyperlink" Target="https://luna-dr.com/subjects/abnormal-uterine-bleeding/" TargetMode="External"/><Relationship Id="rId663" Type="http://schemas.openxmlformats.org/officeDocument/2006/relationships/hyperlink" Target="https://luna-dr.com/subjects/hpv-vaccine/" TargetMode="External"/><Relationship Id="rId420" Type="http://schemas.openxmlformats.org/officeDocument/2006/relationships/hyperlink" Target="https://luna-dr.com/subjects/abnormal-uterine-bleeding/" TargetMode="External"/><Relationship Id="rId662" Type="http://schemas.openxmlformats.org/officeDocument/2006/relationships/hyperlink" Target="https://luna-dr.com/subjects/hpv-vaccine/" TargetMode="External"/><Relationship Id="rId661" Type="http://schemas.openxmlformats.org/officeDocument/2006/relationships/hyperlink" Target="https://luna-dr.com/subjects/hpv-vaccine/" TargetMode="External"/><Relationship Id="rId415" Type="http://schemas.openxmlformats.org/officeDocument/2006/relationships/hyperlink" Target="https://luna-dr.com/subjects/irregular-genital-bleeding/" TargetMode="External"/><Relationship Id="rId657" Type="http://schemas.openxmlformats.org/officeDocument/2006/relationships/hyperlink" Target="https://luna-dr.com/subjects/hpv-vaccine/" TargetMode="External"/><Relationship Id="rId899" Type="http://schemas.openxmlformats.org/officeDocument/2006/relationships/drawing" Target="../drawings/drawing8.xml"/><Relationship Id="rId414" Type="http://schemas.openxmlformats.org/officeDocument/2006/relationships/hyperlink" Target="https://luna-dr.com/subjects/irregular-genital-bleeding/" TargetMode="External"/><Relationship Id="rId656" Type="http://schemas.openxmlformats.org/officeDocument/2006/relationships/hyperlink" Target="https://luna-dr.com/subjects/hpv-vaccine/" TargetMode="External"/><Relationship Id="rId898" Type="http://schemas.openxmlformats.org/officeDocument/2006/relationships/hyperlink" Target="https://luna-dr.com/machida/about_result/" TargetMode="External"/><Relationship Id="rId413" Type="http://schemas.openxmlformats.org/officeDocument/2006/relationships/hyperlink" Target="https://luna-dr.com/subjects/irregular-genital-bleeding/" TargetMode="External"/><Relationship Id="rId655" Type="http://schemas.openxmlformats.org/officeDocument/2006/relationships/hyperlink" Target="https://luna-dr.com/subjects/hpv-vaccine/" TargetMode="External"/><Relationship Id="rId897" Type="http://schemas.openxmlformats.org/officeDocument/2006/relationships/hyperlink" Target="https://luna-dr.com/machida/about_result/" TargetMode="External"/><Relationship Id="rId412" Type="http://schemas.openxmlformats.org/officeDocument/2006/relationships/hyperlink" Target="https://luna-dr.com/subjects/irregular-genital-bleeding/" TargetMode="External"/><Relationship Id="rId654" Type="http://schemas.openxmlformats.org/officeDocument/2006/relationships/hyperlink" Target="https://luna-dr.com/subjects/hpv-vaccine/" TargetMode="External"/><Relationship Id="rId896" Type="http://schemas.openxmlformats.org/officeDocument/2006/relationships/hyperlink" Target="https://luna-dr.com/machida/about_result/" TargetMode="External"/><Relationship Id="rId419" Type="http://schemas.openxmlformats.org/officeDocument/2006/relationships/hyperlink" Target="https://luna-dr.com/subjects/irregular-genital-bleeding/" TargetMode="External"/><Relationship Id="rId418" Type="http://schemas.openxmlformats.org/officeDocument/2006/relationships/hyperlink" Target="https://luna-dr.com/subjects/irregular-genital-bleeding/" TargetMode="External"/><Relationship Id="rId417" Type="http://schemas.openxmlformats.org/officeDocument/2006/relationships/hyperlink" Target="https://luna-dr.com/subjects/irregular-genital-bleeding/" TargetMode="External"/><Relationship Id="rId659" Type="http://schemas.openxmlformats.org/officeDocument/2006/relationships/hyperlink" Target="https://luna-dr.com/subjects/hpv-vaccine/" TargetMode="External"/><Relationship Id="rId416" Type="http://schemas.openxmlformats.org/officeDocument/2006/relationships/hyperlink" Target="https://luna-dr.com/subjects/irregular-genital-bleeding/" TargetMode="External"/><Relationship Id="rId658" Type="http://schemas.openxmlformats.org/officeDocument/2006/relationships/hyperlink" Target="https://luna-dr.com/subjects/hpv-vaccine/" TargetMode="External"/><Relationship Id="rId891" Type="http://schemas.openxmlformats.org/officeDocument/2006/relationships/hyperlink" Target="https://luna-dr.com/machida/price/" TargetMode="External"/><Relationship Id="rId890" Type="http://schemas.openxmlformats.org/officeDocument/2006/relationships/hyperlink" Target="https://luna-dr.com/machida/price/" TargetMode="External"/><Relationship Id="rId411" Type="http://schemas.openxmlformats.org/officeDocument/2006/relationships/hyperlink" Target="https://luna-dr.com/subjects/irregular-genital-bleeding/" TargetMode="External"/><Relationship Id="rId653" Type="http://schemas.openxmlformats.org/officeDocument/2006/relationships/hyperlink" Target="https://luna-dr.com/subjects/hpv-vaccine/" TargetMode="External"/><Relationship Id="rId895" Type="http://schemas.openxmlformats.org/officeDocument/2006/relationships/hyperlink" Target="https://luna-dr.com/machida/about_result/" TargetMode="External"/><Relationship Id="rId410" Type="http://schemas.openxmlformats.org/officeDocument/2006/relationships/hyperlink" Target="https://luna-dr.com/subjects/irregular-genital-bleeding/" TargetMode="External"/><Relationship Id="rId652" Type="http://schemas.openxmlformats.org/officeDocument/2006/relationships/hyperlink" Target="https://luna-dr.com/subjects/hpv-vaccine/" TargetMode="External"/><Relationship Id="rId894" Type="http://schemas.openxmlformats.org/officeDocument/2006/relationships/hyperlink" Target="https://luna-dr.com/machida/price/" TargetMode="External"/><Relationship Id="rId651" Type="http://schemas.openxmlformats.org/officeDocument/2006/relationships/hyperlink" Target="https://luna-dr.com/subjects/medical-checkup/" TargetMode="External"/><Relationship Id="rId893" Type="http://schemas.openxmlformats.org/officeDocument/2006/relationships/hyperlink" Target="https://luna-dr.com/machida/price/" TargetMode="External"/><Relationship Id="rId650" Type="http://schemas.openxmlformats.org/officeDocument/2006/relationships/hyperlink" Target="https://luna-dr.com/subjects/medical-checkup/" TargetMode="External"/><Relationship Id="rId892" Type="http://schemas.openxmlformats.org/officeDocument/2006/relationships/hyperlink" Target="https://luna-dr.com/machida/price/" TargetMode="External"/><Relationship Id="rId206" Type="http://schemas.openxmlformats.org/officeDocument/2006/relationships/hyperlink" Target="https://luna-dr.com/subjects/pill-prescription/" TargetMode="External"/><Relationship Id="rId448" Type="http://schemas.openxmlformats.org/officeDocument/2006/relationships/hyperlink" Target="https://luna-dr.com/subjects/std/" TargetMode="External"/><Relationship Id="rId205" Type="http://schemas.openxmlformats.org/officeDocument/2006/relationships/hyperlink" Target="https://luna-dr.com/subjects/pill-prescription/" TargetMode="External"/><Relationship Id="rId447" Type="http://schemas.openxmlformats.org/officeDocument/2006/relationships/hyperlink" Target="https://luna-dr.com/subjects/std/" TargetMode="External"/><Relationship Id="rId689" Type="http://schemas.openxmlformats.org/officeDocument/2006/relationships/hyperlink" Target="https://luna-dr.com/femcheck/begginer/" TargetMode="External"/><Relationship Id="rId204" Type="http://schemas.openxmlformats.org/officeDocument/2006/relationships/hyperlink" Target="https://luna-dr.com/subjects/pill-prescription/" TargetMode="External"/><Relationship Id="rId446" Type="http://schemas.openxmlformats.org/officeDocument/2006/relationships/hyperlink" Target="https://luna-dr.com/subjects/std/" TargetMode="External"/><Relationship Id="rId688" Type="http://schemas.openxmlformats.org/officeDocument/2006/relationships/hyperlink" Target="https://luna-dr.com/femcheck/begginer/" TargetMode="External"/><Relationship Id="rId203" Type="http://schemas.openxmlformats.org/officeDocument/2006/relationships/hyperlink" Target="https://luna-dr.com/subjects/pill-prescription/" TargetMode="External"/><Relationship Id="rId445" Type="http://schemas.openxmlformats.org/officeDocument/2006/relationships/hyperlink" Target="https://luna-dr.com/subjects/std/" TargetMode="External"/><Relationship Id="rId687" Type="http://schemas.openxmlformats.org/officeDocument/2006/relationships/hyperlink" Target="https://luna-dr.com/femcheck/begginer/" TargetMode="External"/><Relationship Id="rId209" Type="http://schemas.openxmlformats.org/officeDocument/2006/relationships/hyperlink" Target="https://luna-dr.com/subjects/pill-prescription/" TargetMode="External"/><Relationship Id="rId208" Type="http://schemas.openxmlformats.org/officeDocument/2006/relationships/hyperlink" Target="https://luna-dr.com/subjects/pill-prescription/" TargetMode="External"/><Relationship Id="rId207" Type="http://schemas.openxmlformats.org/officeDocument/2006/relationships/hyperlink" Target="https://luna-dr.com/subjects/pill-prescription/" TargetMode="External"/><Relationship Id="rId449" Type="http://schemas.openxmlformats.org/officeDocument/2006/relationships/hyperlink" Target="https://luna-dr.com/subjects/std/" TargetMode="External"/><Relationship Id="rId440" Type="http://schemas.openxmlformats.org/officeDocument/2006/relationships/hyperlink" Target="https://luna-dr.com/subjects/std/" TargetMode="External"/><Relationship Id="rId682" Type="http://schemas.openxmlformats.org/officeDocument/2006/relationships/hyperlink" Target="https://luna-dr.com/femcheck/begginer/" TargetMode="External"/><Relationship Id="rId681" Type="http://schemas.openxmlformats.org/officeDocument/2006/relationships/hyperlink" Target="https://luna-dr.com/subjects/hpv-vaccine/" TargetMode="External"/><Relationship Id="rId680" Type="http://schemas.openxmlformats.org/officeDocument/2006/relationships/hyperlink" Target="https://luna-dr.com/subjects/hpv-vaccine/" TargetMode="External"/><Relationship Id="rId202" Type="http://schemas.openxmlformats.org/officeDocument/2006/relationships/hyperlink" Target="https://luna-dr.com/subjects/pill-prescription/" TargetMode="External"/><Relationship Id="rId444" Type="http://schemas.openxmlformats.org/officeDocument/2006/relationships/hyperlink" Target="https://luna-dr.com/subjects/std/" TargetMode="External"/><Relationship Id="rId686" Type="http://schemas.openxmlformats.org/officeDocument/2006/relationships/hyperlink" Target="https://luna-dr.com/femcheck/begginer/" TargetMode="External"/><Relationship Id="rId201" Type="http://schemas.openxmlformats.org/officeDocument/2006/relationships/hyperlink" Target="https://luna-dr.com/subjects/pill-prescription/" TargetMode="External"/><Relationship Id="rId443" Type="http://schemas.openxmlformats.org/officeDocument/2006/relationships/hyperlink" Target="https://luna-dr.com/subjects/std/" TargetMode="External"/><Relationship Id="rId685" Type="http://schemas.openxmlformats.org/officeDocument/2006/relationships/hyperlink" Target="https://luna-dr.com/femcheck/begginer/" TargetMode="External"/><Relationship Id="rId200" Type="http://schemas.openxmlformats.org/officeDocument/2006/relationships/hyperlink" Target="https://luna-dr.com/subjects/pill-prescription/" TargetMode="External"/><Relationship Id="rId442" Type="http://schemas.openxmlformats.org/officeDocument/2006/relationships/hyperlink" Target="https://luna-dr.com/subjects/std/" TargetMode="External"/><Relationship Id="rId684" Type="http://schemas.openxmlformats.org/officeDocument/2006/relationships/hyperlink" Target="https://luna-dr.com/femcheck/begginer/" TargetMode="External"/><Relationship Id="rId441" Type="http://schemas.openxmlformats.org/officeDocument/2006/relationships/hyperlink" Target="https://luna-dr.com/subjects/std/" TargetMode="External"/><Relationship Id="rId683" Type="http://schemas.openxmlformats.org/officeDocument/2006/relationships/hyperlink" Target="https://luna-dr.com/femcheck/begginer/" TargetMode="External"/><Relationship Id="rId437" Type="http://schemas.openxmlformats.org/officeDocument/2006/relationships/hyperlink" Target="https://luna-dr.com/subjects/abnormal-uterine-bleeding/" TargetMode="External"/><Relationship Id="rId679" Type="http://schemas.openxmlformats.org/officeDocument/2006/relationships/hyperlink" Target="https://luna-dr.com/subjects/hpv-vaccine/" TargetMode="External"/><Relationship Id="rId436" Type="http://schemas.openxmlformats.org/officeDocument/2006/relationships/hyperlink" Target="https://luna-dr.com/subjects/abnormal-uterine-bleeding/" TargetMode="External"/><Relationship Id="rId678" Type="http://schemas.openxmlformats.org/officeDocument/2006/relationships/hyperlink" Target="https://luna-dr.com/subjects/hpv-vaccine/" TargetMode="External"/><Relationship Id="rId435" Type="http://schemas.openxmlformats.org/officeDocument/2006/relationships/hyperlink" Target="https://luna-dr.com/subjects/abnormal-uterine-bleeding/" TargetMode="External"/><Relationship Id="rId677" Type="http://schemas.openxmlformats.org/officeDocument/2006/relationships/hyperlink" Target="https://luna-dr.com/subjects/hpv-vaccine/" TargetMode="External"/><Relationship Id="rId434" Type="http://schemas.openxmlformats.org/officeDocument/2006/relationships/hyperlink" Target="https://luna-dr.com/subjects/abnormal-uterine-bleeding/" TargetMode="External"/><Relationship Id="rId676" Type="http://schemas.openxmlformats.org/officeDocument/2006/relationships/hyperlink" Target="https://luna-dr.com/subjects/hpv-vaccine/" TargetMode="External"/><Relationship Id="rId439" Type="http://schemas.openxmlformats.org/officeDocument/2006/relationships/hyperlink" Target="https://luna-dr.com/subjects/std/" TargetMode="External"/><Relationship Id="rId438" Type="http://schemas.openxmlformats.org/officeDocument/2006/relationships/hyperlink" Target="https://luna-dr.com/subjects/std/" TargetMode="External"/><Relationship Id="rId671" Type="http://schemas.openxmlformats.org/officeDocument/2006/relationships/hyperlink" Target="https://luna-dr.com/subjects/hpv-vaccine/" TargetMode="External"/><Relationship Id="rId670" Type="http://schemas.openxmlformats.org/officeDocument/2006/relationships/hyperlink" Target="https://luna-dr.com/subjects/hpv-vaccine/" TargetMode="External"/><Relationship Id="rId433" Type="http://schemas.openxmlformats.org/officeDocument/2006/relationships/hyperlink" Target="https://luna-dr.com/subjects/abnormal-uterine-bleeding/" TargetMode="External"/><Relationship Id="rId675" Type="http://schemas.openxmlformats.org/officeDocument/2006/relationships/hyperlink" Target="https://luna-dr.com/subjects/hpv-vaccine/" TargetMode="External"/><Relationship Id="rId432" Type="http://schemas.openxmlformats.org/officeDocument/2006/relationships/hyperlink" Target="https://luna-dr.com/subjects/abnormal-uterine-bleeding/" TargetMode="External"/><Relationship Id="rId674" Type="http://schemas.openxmlformats.org/officeDocument/2006/relationships/hyperlink" Target="https://luna-dr.com/subjects/hpv-vaccine/" TargetMode="External"/><Relationship Id="rId431" Type="http://schemas.openxmlformats.org/officeDocument/2006/relationships/hyperlink" Target="https://luna-dr.com/subjects/abnormal-uterine-bleeding/" TargetMode="External"/><Relationship Id="rId673" Type="http://schemas.openxmlformats.org/officeDocument/2006/relationships/hyperlink" Target="https://luna-dr.com/subjects/hpv-vaccine/" TargetMode="External"/><Relationship Id="rId430" Type="http://schemas.openxmlformats.org/officeDocument/2006/relationships/hyperlink" Target="https://luna-dr.com/subjects/abnormal-uterine-bleeding/" TargetMode="External"/><Relationship Id="rId672" Type="http://schemas.openxmlformats.org/officeDocument/2006/relationships/hyperlink" Target="https://luna-dr.com/subjects/hpv-vaccine/" TargetMode="External"/></Relationships>
</file>

<file path=xl/worksheets/_rels/sheet9.xml.rels><?xml version="1.0" encoding="UTF-8" standalone="yes"?><Relationships xmlns="http://schemas.openxmlformats.org/package/2006/relationships"><Relationship Id="rId190" Type="http://schemas.openxmlformats.org/officeDocument/2006/relationships/hyperlink" Target="https://luna-dr.com/subjects/pill-prescription/" TargetMode="External"/><Relationship Id="rId194" Type="http://schemas.openxmlformats.org/officeDocument/2006/relationships/hyperlink" Target="https://luna-dr.com/subjects/pill-prescription/" TargetMode="External"/><Relationship Id="rId193" Type="http://schemas.openxmlformats.org/officeDocument/2006/relationships/hyperlink" Target="https://luna-dr.com/subjects/pill-prescription/" TargetMode="External"/><Relationship Id="rId192" Type="http://schemas.openxmlformats.org/officeDocument/2006/relationships/hyperlink" Target="https://luna-dr.com/subjects/pill-prescription/" TargetMode="External"/><Relationship Id="rId191" Type="http://schemas.openxmlformats.org/officeDocument/2006/relationships/hyperlink" Target="https://luna-dr.com/subjects/pill-prescription/" TargetMode="External"/><Relationship Id="rId187" Type="http://schemas.openxmlformats.org/officeDocument/2006/relationships/hyperlink" Target="https://luna-dr.com/subjects/pill-prescription/" TargetMode="External"/><Relationship Id="rId186" Type="http://schemas.openxmlformats.org/officeDocument/2006/relationships/hyperlink" Target="https://luna-dr.com/subjects/menstrual-pain/" TargetMode="External"/><Relationship Id="rId185" Type="http://schemas.openxmlformats.org/officeDocument/2006/relationships/hyperlink" Target="https://luna-dr.com/subjects/menstrual-pain/" TargetMode="External"/><Relationship Id="rId184" Type="http://schemas.openxmlformats.org/officeDocument/2006/relationships/hyperlink" Target="https://luna-dr.com/subjects/menstrual-pain/" TargetMode="External"/><Relationship Id="rId189" Type="http://schemas.openxmlformats.org/officeDocument/2006/relationships/hyperlink" Target="https://luna-dr.com/subjects/pill-prescription/" TargetMode="External"/><Relationship Id="rId188" Type="http://schemas.openxmlformats.org/officeDocument/2006/relationships/hyperlink" Target="https://luna-dr.com/subjects/pill-prescription/" TargetMode="External"/><Relationship Id="rId183" Type="http://schemas.openxmlformats.org/officeDocument/2006/relationships/hyperlink" Target="https://luna-dr.com/subjects/menstrual-pain/" TargetMode="External"/><Relationship Id="rId182" Type="http://schemas.openxmlformats.org/officeDocument/2006/relationships/hyperlink" Target="https://luna-dr.com/subjects/menstrual-pain/" TargetMode="External"/><Relationship Id="rId181" Type="http://schemas.openxmlformats.org/officeDocument/2006/relationships/hyperlink" Target="https://luna-dr.com/subjects/menstrual-pain/" TargetMode="External"/><Relationship Id="rId180" Type="http://schemas.openxmlformats.org/officeDocument/2006/relationships/hyperlink" Target="https://luna-dr.com/subjects/menstrual-pain/" TargetMode="External"/><Relationship Id="rId176" Type="http://schemas.openxmlformats.org/officeDocument/2006/relationships/hyperlink" Target="https://luna-dr.com/subjects/menstrual-pain/" TargetMode="External"/><Relationship Id="rId175" Type="http://schemas.openxmlformats.org/officeDocument/2006/relationships/hyperlink" Target="https://luna-dr.com/subjects/menstrual-pain/" TargetMode="External"/><Relationship Id="rId174" Type="http://schemas.openxmlformats.org/officeDocument/2006/relationships/hyperlink" Target="https://luna-dr.com/" TargetMode="External"/><Relationship Id="rId173" Type="http://schemas.openxmlformats.org/officeDocument/2006/relationships/hyperlink" Target="https://luna-dr.com/subjects/after-pill/" TargetMode="External"/><Relationship Id="rId179" Type="http://schemas.openxmlformats.org/officeDocument/2006/relationships/hyperlink" Target="https://luna-dr.com/subjects/menstrual-pain/" TargetMode="External"/><Relationship Id="rId178" Type="http://schemas.openxmlformats.org/officeDocument/2006/relationships/hyperlink" Target="https://luna-dr.com/subjects/menstrual-pain/" TargetMode="External"/><Relationship Id="rId177" Type="http://schemas.openxmlformats.org/officeDocument/2006/relationships/hyperlink" Target="https://luna-dr.com/subjects/menstrual-pain/" TargetMode="External"/><Relationship Id="rId198" Type="http://schemas.openxmlformats.org/officeDocument/2006/relationships/hyperlink" Target="https://luna-dr.com/subjects/pill-prescription/" TargetMode="External"/><Relationship Id="rId197" Type="http://schemas.openxmlformats.org/officeDocument/2006/relationships/hyperlink" Target="https://luna-dr.com/subjects/pill-prescription/" TargetMode="External"/><Relationship Id="rId196" Type="http://schemas.openxmlformats.org/officeDocument/2006/relationships/hyperlink" Target="https://luna-dr.com/subjects/pill-prescription/" TargetMode="External"/><Relationship Id="rId195" Type="http://schemas.openxmlformats.org/officeDocument/2006/relationships/hyperlink" Target="https://luna-dr.com/subjects/pill-prescription/" TargetMode="External"/><Relationship Id="rId199" Type="http://schemas.openxmlformats.org/officeDocument/2006/relationships/hyperlink" Target="https://luna-dr.com/subjects/pill-prescription/" TargetMode="External"/><Relationship Id="rId150" Type="http://schemas.openxmlformats.org/officeDocument/2006/relationships/hyperlink" Target="https://luna-dr.com/subjects/menstrual-irregularity/" TargetMode="External"/><Relationship Id="rId392" Type="http://schemas.openxmlformats.org/officeDocument/2006/relationships/hyperlink" Target="https://luna-dr.com/subjects/abnormal-vaginal-discharge/" TargetMode="External"/><Relationship Id="rId391" Type="http://schemas.openxmlformats.org/officeDocument/2006/relationships/hyperlink" Target="https://luna-dr.com/subjects/abnormal-vaginal-discharge/" TargetMode="External"/><Relationship Id="rId390" Type="http://schemas.openxmlformats.org/officeDocument/2006/relationships/hyperlink" Target="https://luna-dr.com/subjects/abnormal-vaginal-discharge/" TargetMode="External"/><Relationship Id="rId1" Type="http://schemas.openxmlformats.org/officeDocument/2006/relationships/hyperlink" Target="https://luna-dr.com/" TargetMode="External"/><Relationship Id="rId2" Type="http://schemas.openxmlformats.org/officeDocument/2006/relationships/hyperlink" Target="https://luna-dr.com/" TargetMode="External"/><Relationship Id="rId3" Type="http://schemas.openxmlformats.org/officeDocument/2006/relationships/hyperlink" Target="https://luna-dr.com/" TargetMode="External"/><Relationship Id="rId149" Type="http://schemas.openxmlformats.org/officeDocument/2006/relationships/hyperlink" Target="https://luna-dr.com/subjects/menstrual-irregularity/" TargetMode="External"/><Relationship Id="rId4" Type="http://schemas.openxmlformats.org/officeDocument/2006/relationships/hyperlink" Target="https://luna-dr.com/" TargetMode="External"/><Relationship Id="rId148" Type="http://schemas.openxmlformats.org/officeDocument/2006/relationships/hyperlink" Target="https://luna-dr.com/subjects/menstrual-irregularity/" TargetMode="External"/><Relationship Id="rId9" Type="http://schemas.openxmlformats.org/officeDocument/2006/relationships/hyperlink" Target="https://cline-app.com/qr-codes/98ad6f149bfa20f4f2a9a2e91aac4187/preview" TargetMode="External"/><Relationship Id="rId143" Type="http://schemas.openxmlformats.org/officeDocument/2006/relationships/hyperlink" Target="https://luna-dr.com/subjects/menstrual-irregularity/" TargetMode="External"/><Relationship Id="rId385" Type="http://schemas.openxmlformats.org/officeDocument/2006/relationships/hyperlink" Target="https://luna-dr.com/subjects/abnormal-vaginal-discharge/" TargetMode="External"/><Relationship Id="rId142" Type="http://schemas.openxmlformats.org/officeDocument/2006/relationships/hyperlink" Target="https://luna-dr.com/subjects/menstrual-irregularity/" TargetMode="External"/><Relationship Id="rId384" Type="http://schemas.openxmlformats.org/officeDocument/2006/relationships/hyperlink" Target="https://luna-dr.com/subjects/abnormal-vaginal-discharge/" TargetMode="External"/><Relationship Id="rId141" Type="http://schemas.openxmlformats.org/officeDocument/2006/relationships/hyperlink" Target="https://luna-dr.com/subjects/menstrual-irregularity/" TargetMode="External"/><Relationship Id="rId383" Type="http://schemas.openxmlformats.org/officeDocument/2006/relationships/hyperlink" Target="https://luna-dr.com/subjects/abnormal-vaginal-discharge/" TargetMode="External"/><Relationship Id="rId140" Type="http://schemas.openxmlformats.org/officeDocument/2006/relationships/hyperlink" Target="https://luna-dr.com/subjects/menstrual-irregularity/" TargetMode="External"/><Relationship Id="rId382" Type="http://schemas.openxmlformats.org/officeDocument/2006/relationships/hyperlink" Target="https://luna-dr.com/subjects/abnormal-vaginal-discharge/" TargetMode="External"/><Relationship Id="rId5" Type="http://schemas.openxmlformats.org/officeDocument/2006/relationships/hyperlink" Target="https://luna-dr.com/" TargetMode="External"/><Relationship Id="rId147" Type="http://schemas.openxmlformats.org/officeDocument/2006/relationships/hyperlink" Target="https://luna-dr.com/subjects/menstrual-irregularity/" TargetMode="External"/><Relationship Id="rId389" Type="http://schemas.openxmlformats.org/officeDocument/2006/relationships/hyperlink" Target="https://luna-dr.com/subjects/abnormal-vaginal-discharge/" TargetMode="External"/><Relationship Id="rId6" Type="http://schemas.openxmlformats.org/officeDocument/2006/relationships/hyperlink" Target="https://luna-dr.com/" TargetMode="External"/><Relationship Id="rId146" Type="http://schemas.openxmlformats.org/officeDocument/2006/relationships/hyperlink" Target="https://luna-dr.com/subjects/menstrual-irregularity/" TargetMode="External"/><Relationship Id="rId388" Type="http://schemas.openxmlformats.org/officeDocument/2006/relationships/hyperlink" Target="https://luna-dr.com/subjects/abnormal-vaginal-discharge/" TargetMode="External"/><Relationship Id="rId7" Type="http://schemas.openxmlformats.org/officeDocument/2006/relationships/hyperlink" Target="https://cline-app.com/qr-codes/98ad6f149bfa20f4f2a9a2e91aac4187/preview" TargetMode="External"/><Relationship Id="rId145" Type="http://schemas.openxmlformats.org/officeDocument/2006/relationships/hyperlink" Target="https://luna-dr.com/subjects/menstrual-irregularity/" TargetMode="External"/><Relationship Id="rId387" Type="http://schemas.openxmlformats.org/officeDocument/2006/relationships/hyperlink" Target="https://luna-dr.com/subjects/abnormal-vaginal-discharge/" TargetMode="External"/><Relationship Id="rId8" Type="http://schemas.openxmlformats.org/officeDocument/2006/relationships/hyperlink" Target="https://cline-app.com/qr-codes/98ad6f149bfa20f4f2a9a2e91aac4187/preview" TargetMode="External"/><Relationship Id="rId144" Type="http://schemas.openxmlformats.org/officeDocument/2006/relationships/hyperlink" Target="https://luna-dr.com/subjects/menstrual-irregularity/" TargetMode="External"/><Relationship Id="rId386" Type="http://schemas.openxmlformats.org/officeDocument/2006/relationships/hyperlink" Target="https://luna-dr.com/subjects/abnormal-vaginal-discharge/" TargetMode="External"/><Relationship Id="rId381" Type="http://schemas.openxmlformats.org/officeDocument/2006/relationships/hyperlink" Target="https://luna-dr.com/subjects/abnormal-vaginal-discharge/" TargetMode="External"/><Relationship Id="rId380" Type="http://schemas.openxmlformats.org/officeDocument/2006/relationships/hyperlink" Target="https://luna-dr.com/subjects/abnormal-vaginal-discharge/" TargetMode="External"/><Relationship Id="rId139" Type="http://schemas.openxmlformats.org/officeDocument/2006/relationships/hyperlink" Target="https://luna-dr.com/subjects/menstrual-irregularity/" TargetMode="External"/><Relationship Id="rId138" Type="http://schemas.openxmlformats.org/officeDocument/2006/relationships/hyperlink" Target="https://luna-dr.com/subjects/menstrual-irregularity/" TargetMode="External"/><Relationship Id="rId137" Type="http://schemas.openxmlformats.org/officeDocument/2006/relationships/hyperlink" Target="https://luna-dr.com/subjects/menstrual-irregularity/" TargetMode="External"/><Relationship Id="rId379" Type="http://schemas.openxmlformats.org/officeDocument/2006/relationships/hyperlink" Target="https://luna-dr.com/subjects/abnormal-vaginal-discharge/" TargetMode="External"/><Relationship Id="rId132" Type="http://schemas.openxmlformats.org/officeDocument/2006/relationships/hyperlink" Target="https://luna-dr.com/subjects/menstrual-irregularity/" TargetMode="External"/><Relationship Id="rId374" Type="http://schemas.openxmlformats.org/officeDocument/2006/relationships/hyperlink" Target="https://luna-dr.com/subjects/abnormal-vaginal-discharge/" TargetMode="External"/><Relationship Id="rId131" Type="http://schemas.openxmlformats.org/officeDocument/2006/relationships/hyperlink" Target="https://luna-dr.com/subjects/menstrual-irregularity/" TargetMode="External"/><Relationship Id="rId373" Type="http://schemas.openxmlformats.org/officeDocument/2006/relationships/hyperlink" Target="https://luna-dr.com/subjects/abnormal-vaginal-discharge/" TargetMode="External"/><Relationship Id="rId130" Type="http://schemas.openxmlformats.org/officeDocument/2006/relationships/hyperlink" Target="https://luna-dr.com/subjects/menstrual-irregularity/" TargetMode="External"/><Relationship Id="rId372" Type="http://schemas.openxmlformats.org/officeDocument/2006/relationships/hyperlink" Target="https://luna-dr.com/subjects/abnormal-vaginal-discharge/" TargetMode="External"/><Relationship Id="rId371" Type="http://schemas.openxmlformats.org/officeDocument/2006/relationships/hyperlink" Target="https://luna-dr.com/subjects/abnormal-vaginal-discharge/" TargetMode="External"/><Relationship Id="rId136" Type="http://schemas.openxmlformats.org/officeDocument/2006/relationships/hyperlink" Target="https://luna-dr.com/subjects/menstrual-irregularity/" TargetMode="External"/><Relationship Id="rId378" Type="http://schemas.openxmlformats.org/officeDocument/2006/relationships/hyperlink" Target="https://luna-dr.com/subjects/abnormal-vaginal-discharge/" TargetMode="External"/><Relationship Id="rId135" Type="http://schemas.openxmlformats.org/officeDocument/2006/relationships/hyperlink" Target="https://luna-dr.com/subjects/menstrual-irregularity/" TargetMode="External"/><Relationship Id="rId377" Type="http://schemas.openxmlformats.org/officeDocument/2006/relationships/hyperlink" Target="https://luna-dr.com/subjects/abnormal-vaginal-discharge/" TargetMode="External"/><Relationship Id="rId134" Type="http://schemas.openxmlformats.org/officeDocument/2006/relationships/hyperlink" Target="https://luna-dr.com/subjects/menstrual-irregularity/" TargetMode="External"/><Relationship Id="rId376" Type="http://schemas.openxmlformats.org/officeDocument/2006/relationships/hyperlink" Target="https://luna-dr.com/subjects/abnormal-vaginal-discharge/" TargetMode="External"/><Relationship Id="rId133" Type="http://schemas.openxmlformats.org/officeDocument/2006/relationships/hyperlink" Target="https://luna-dr.com/subjects/menstrual-irregularity/" TargetMode="External"/><Relationship Id="rId375" Type="http://schemas.openxmlformats.org/officeDocument/2006/relationships/hyperlink" Target="https://luna-dr.com/subjects/abnormal-vaginal-discharge/" TargetMode="External"/><Relationship Id="rId172" Type="http://schemas.openxmlformats.org/officeDocument/2006/relationships/hyperlink" Target="https://luna-dr.com/subjects/low-dose-pill/" TargetMode="External"/><Relationship Id="rId171" Type="http://schemas.openxmlformats.org/officeDocument/2006/relationships/hyperlink" Target="https://luna-dr.com/subjects/menstrual-pain/" TargetMode="External"/><Relationship Id="rId170" Type="http://schemas.openxmlformats.org/officeDocument/2006/relationships/hyperlink" Target="https://luna-dr.com/subjects/menstrual-pain/" TargetMode="External"/><Relationship Id="rId165" Type="http://schemas.openxmlformats.org/officeDocument/2006/relationships/hyperlink" Target="https://luna-dr.com/subjects/menstrual-pain/" TargetMode="External"/><Relationship Id="rId164" Type="http://schemas.openxmlformats.org/officeDocument/2006/relationships/hyperlink" Target="https://luna-dr.com/subjects/menstrual-pain/" TargetMode="External"/><Relationship Id="rId163" Type="http://schemas.openxmlformats.org/officeDocument/2006/relationships/hyperlink" Target="https://luna-dr.com/subjects/menstrual-pain/" TargetMode="External"/><Relationship Id="rId162" Type="http://schemas.openxmlformats.org/officeDocument/2006/relationships/hyperlink" Target="https://luna-dr.com/subjects/menstrual-pain/" TargetMode="External"/><Relationship Id="rId169" Type="http://schemas.openxmlformats.org/officeDocument/2006/relationships/hyperlink" Target="https://luna-dr.com/subjects/menstrual-pain/" TargetMode="External"/><Relationship Id="rId168" Type="http://schemas.openxmlformats.org/officeDocument/2006/relationships/hyperlink" Target="https://luna-dr.com/subjects/menstrual-pain/" TargetMode="External"/><Relationship Id="rId167" Type="http://schemas.openxmlformats.org/officeDocument/2006/relationships/hyperlink" Target="https://luna-dr.com/subjects/menstrual-pain/" TargetMode="External"/><Relationship Id="rId166" Type="http://schemas.openxmlformats.org/officeDocument/2006/relationships/hyperlink" Target="https://luna-dr.com/subjects/menstrual-pain/" TargetMode="External"/><Relationship Id="rId161" Type="http://schemas.openxmlformats.org/officeDocument/2006/relationships/hyperlink" Target="https://luna-dr.com/subjects/menstrual-pain/" TargetMode="External"/><Relationship Id="rId160" Type="http://schemas.openxmlformats.org/officeDocument/2006/relationships/hyperlink" Target="https://luna-dr.com/subjects/menstrual-pain/" TargetMode="External"/><Relationship Id="rId159" Type="http://schemas.openxmlformats.org/officeDocument/2006/relationships/hyperlink" Target="https://luna-dr.com/subjects/menstrual-pain/" TargetMode="External"/><Relationship Id="rId154" Type="http://schemas.openxmlformats.org/officeDocument/2006/relationships/hyperlink" Target="https://luna-dr.com/subjects/menstrual-pain/" TargetMode="External"/><Relationship Id="rId396" Type="http://schemas.openxmlformats.org/officeDocument/2006/relationships/hyperlink" Target="https://luna-dr.com/subjects/abnormal-vaginal-discharge/" TargetMode="External"/><Relationship Id="rId153" Type="http://schemas.openxmlformats.org/officeDocument/2006/relationships/hyperlink" Target="https://luna-dr.com/subjects/menstrual-irregularity/" TargetMode="External"/><Relationship Id="rId395" Type="http://schemas.openxmlformats.org/officeDocument/2006/relationships/hyperlink" Target="https://luna-dr.com/subjects/abnormal-vaginal-discharge/" TargetMode="External"/><Relationship Id="rId152" Type="http://schemas.openxmlformats.org/officeDocument/2006/relationships/hyperlink" Target="https://luna-dr.com/subjects/menstrual-irregularity/" TargetMode="External"/><Relationship Id="rId394" Type="http://schemas.openxmlformats.org/officeDocument/2006/relationships/hyperlink" Target="https://luna-dr.com/subjects/abnormal-vaginal-discharge/" TargetMode="External"/><Relationship Id="rId151" Type="http://schemas.openxmlformats.org/officeDocument/2006/relationships/hyperlink" Target="https://luna-dr.com/subjects/menstrual-irregularity/" TargetMode="External"/><Relationship Id="rId393" Type="http://schemas.openxmlformats.org/officeDocument/2006/relationships/hyperlink" Target="https://luna-dr.com/subjects/abnormal-vaginal-discharge/" TargetMode="External"/><Relationship Id="rId158" Type="http://schemas.openxmlformats.org/officeDocument/2006/relationships/hyperlink" Target="https://luna-dr.com/subjects/menstrual-pain/" TargetMode="External"/><Relationship Id="rId157" Type="http://schemas.openxmlformats.org/officeDocument/2006/relationships/hyperlink" Target="https://luna-dr.com/subjects/menstrual-pain/" TargetMode="External"/><Relationship Id="rId399" Type="http://schemas.openxmlformats.org/officeDocument/2006/relationships/hyperlink" Target="https://luna-dr.com/subjects/irregular-genital-bleeding/" TargetMode="External"/><Relationship Id="rId156" Type="http://schemas.openxmlformats.org/officeDocument/2006/relationships/hyperlink" Target="https://luna-dr.com/subjects/menstrual-pain/" TargetMode="External"/><Relationship Id="rId398" Type="http://schemas.openxmlformats.org/officeDocument/2006/relationships/hyperlink" Target="https://luna-dr.com/subjects/abnormal-vaginal-discharge/" TargetMode="External"/><Relationship Id="rId155" Type="http://schemas.openxmlformats.org/officeDocument/2006/relationships/hyperlink" Target="https://luna-dr.com/subjects/menstrual-pain/" TargetMode="External"/><Relationship Id="rId397" Type="http://schemas.openxmlformats.org/officeDocument/2006/relationships/hyperlink" Target="https://luna-dr.com/subjects/abnormal-vaginal-discharge/" TargetMode="External"/><Relationship Id="rId808" Type="http://schemas.openxmlformats.org/officeDocument/2006/relationships/hyperlink" Target="https://luna-dr.com/kawasaki/" TargetMode="External"/><Relationship Id="rId807" Type="http://schemas.openxmlformats.org/officeDocument/2006/relationships/hyperlink" Target="https://luna-dr.com/kawasaki/" TargetMode="External"/><Relationship Id="rId806" Type="http://schemas.openxmlformats.org/officeDocument/2006/relationships/hyperlink" Target="https://luna-dr.com/kawasaki/" TargetMode="External"/><Relationship Id="rId805" Type="http://schemas.openxmlformats.org/officeDocument/2006/relationships/hyperlink" Target="https://luna-dr.com/kawasaki/" TargetMode="External"/><Relationship Id="rId809" Type="http://schemas.openxmlformats.org/officeDocument/2006/relationships/hyperlink" Target="https://luna-dr.com/kawasaki/" TargetMode="External"/><Relationship Id="rId800" Type="http://schemas.openxmlformats.org/officeDocument/2006/relationships/hyperlink" Target="https://luna-dr.com/subjects/low-dose-contraceptive/" TargetMode="External"/><Relationship Id="rId804" Type="http://schemas.openxmlformats.org/officeDocument/2006/relationships/hyperlink" Target="https://luna-dr.com/subjects/medical-checkup/" TargetMode="External"/><Relationship Id="rId803" Type="http://schemas.openxmlformats.org/officeDocument/2006/relationships/hyperlink" Target="https://result.luna-dr.com/clinic_login" TargetMode="External"/><Relationship Id="rId802" Type="http://schemas.openxmlformats.org/officeDocument/2006/relationships/hyperlink" Target="https://luna-dr.com/telemedicine/" TargetMode="External"/><Relationship Id="rId801" Type="http://schemas.openxmlformats.org/officeDocument/2006/relationships/hyperlink" Target="https://luna-dr.com/subjects/low-dose-contraceptive/" TargetMode="External"/><Relationship Id="rId40" Type="http://schemas.openxmlformats.org/officeDocument/2006/relationships/hyperlink" Target="https://luna-dr.com/question/" TargetMode="External"/><Relationship Id="rId42" Type="http://schemas.openxmlformats.org/officeDocument/2006/relationships/hyperlink" Target="https://luna-dr.com/question/" TargetMode="External"/><Relationship Id="rId41" Type="http://schemas.openxmlformats.org/officeDocument/2006/relationships/hyperlink" Target="https://luna-dr.com/question/" TargetMode="External"/><Relationship Id="rId44" Type="http://schemas.openxmlformats.org/officeDocument/2006/relationships/hyperlink" Target="https://luna-dr.com/question/" TargetMode="External"/><Relationship Id="rId43" Type="http://schemas.openxmlformats.org/officeDocument/2006/relationships/hyperlink" Target="https://luna-dr.com/question/" TargetMode="External"/><Relationship Id="rId46" Type="http://schemas.openxmlformats.org/officeDocument/2006/relationships/hyperlink" Target="https://luna-dr.com/question/" TargetMode="External"/><Relationship Id="rId45" Type="http://schemas.openxmlformats.org/officeDocument/2006/relationships/hyperlink" Target="https://luna-dr.com/question/" TargetMode="External"/><Relationship Id="rId509" Type="http://schemas.openxmlformats.org/officeDocument/2006/relationships/hyperlink" Target="https://luna-dr.com/subjects/abortion_page/" TargetMode="External"/><Relationship Id="rId508" Type="http://schemas.openxmlformats.org/officeDocument/2006/relationships/hyperlink" Target="https://luna-dr.com/subjects/abortion_page/" TargetMode="External"/><Relationship Id="rId503" Type="http://schemas.openxmlformats.org/officeDocument/2006/relationships/hyperlink" Target="https://luna-dr.com/subjects/pregnancy-test/" TargetMode="External"/><Relationship Id="rId745" Type="http://schemas.openxmlformats.org/officeDocument/2006/relationships/hyperlink" Target="https://luna-dr.com/femcheck/faq/" TargetMode="External"/><Relationship Id="rId502" Type="http://schemas.openxmlformats.org/officeDocument/2006/relationships/hyperlink" Target="https://luna-dr.com/subjects/pregnancy-test/" TargetMode="External"/><Relationship Id="rId744" Type="http://schemas.openxmlformats.org/officeDocument/2006/relationships/hyperlink" Target="https://luna-dr.com/femcheck/faq/" TargetMode="External"/><Relationship Id="rId501" Type="http://schemas.openxmlformats.org/officeDocument/2006/relationships/hyperlink" Target="https://luna-dr.com/subjects/pregnancy-test/" TargetMode="External"/><Relationship Id="rId743" Type="http://schemas.openxmlformats.org/officeDocument/2006/relationships/hyperlink" Target="https://luna-dr.com/femcheck/faq/" TargetMode="External"/><Relationship Id="rId500" Type="http://schemas.openxmlformats.org/officeDocument/2006/relationships/hyperlink" Target="https://luna-dr.com/subjects/pregnancy-test/" TargetMode="External"/><Relationship Id="rId742" Type="http://schemas.openxmlformats.org/officeDocument/2006/relationships/hyperlink" Target="https://luna-dr.com/femcheck/faq/" TargetMode="External"/><Relationship Id="rId507" Type="http://schemas.openxmlformats.org/officeDocument/2006/relationships/hyperlink" Target="https://luna-dr.com/subjects/abortion_page/" TargetMode="External"/><Relationship Id="rId749" Type="http://schemas.openxmlformats.org/officeDocument/2006/relationships/hyperlink" Target="https://luna-dr.com/femcheck/faq/" TargetMode="External"/><Relationship Id="rId506" Type="http://schemas.openxmlformats.org/officeDocument/2006/relationships/hyperlink" Target="https://luna-dr.com/subjects/abortion_page/" TargetMode="External"/><Relationship Id="rId748" Type="http://schemas.openxmlformats.org/officeDocument/2006/relationships/hyperlink" Target="https://luna-dr.com/femcheck/faq/" TargetMode="External"/><Relationship Id="rId505" Type="http://schemas.openxmlformats.org/officeDocument/2006/relationships/hyperlink" Target="https://luna-dr.com/subjects/pregnancy-test/" TargetMode="External"/><Relationship Id="rId747" Type="http://schemas.openxmlformats.org/officeDocument/2006/relationships/hyperlink" Target="https://luna-dr.com/femcheck/faq/" TargetMode="External"/><Relationship Id="rId504" Type="http://schemas.openxmlformats.org/officeDocument/2006/relationships/hyperlink" Target="https://luna-dr.com/subjects/pregnancy-test/" TargetMode="External"/><Relationship Id="rId746" Type="http://schemas.openxmlformats.org/officeDocument/2006/relationships/hyperlink" Target="https://luna-dr.com/femcheck/faq/" TargetMode="External"/><Relationship Id="rId48" Type="http://schemas.openxmlformats.org/officeDocument/2006/relationships/hyperlink" Target="https://luna-dr.com/question/" TargetMode="External"/><Relationship Id="rId47" Type="http://schemas.openxmlformats.org/officeDocument/2006/relationships/hyperlink" Target="https://luna-dr.com/question/" TargetMode="External"/><Relationship Id="rId49" Type="http://schemas.openxmlformats.org/officeDocument/2006/relationships/hyperlink" Target="https://luna-dr.com/question/" TargetMode="External"/><Relationship Id="rId741" Type="http://schemas.openxmlformats.org/officeDocument/2006/relationships/hyperlink" Target="https://luna-dr.com/femcheck/faq/" TargetMode="External"/><Relationship Id="rId740" Type="http://schemas.openxmlformats.org/officeDocument/2006/relationships/hyperlink" Target="https://luna-dr.com/femcheck/faq/" TargetMode="External"/><Relationship Id="rId31" Type="http://schemas.openxmlformats.org/officeDocument/2006/relationships/hyperlink" Target="https://luna-dr.com/" TargetMode="External"/><Relationship Id="rId30" Type="http://schemas.openxmlformats.org/officeDocument/2006/relationships/hyperlink" Target="https://luna-dr.com/subjects/hpv-vaccine/" TargetMode="External"/><Relationship Id="rId33" Type="http://schemas.openxmlformats.org/officeDocument/2006/relationships/hyperlink" Target="https://luna-dr.com/" TargetMode="External"/><Relationship Id="rId32" Type="http://schemas.openxmlformats.org/officeDocument/2006/relationships/hyperlink" Target="https://luna-dr.com/" TargetMode="External"/><Relationship Id="rId35" Type="http://schemas.openxmlformats.org/officeDocument/2006/relationships/hyperlink" Target="https://luna-dr.com/question/" TargetMode="External"/><Relationship Id="rId34" Type="http://schemas.openxmlformats.org/officeDocument/2006/relationships/hyperlink" Target="https://luna-dr.com/question/" TargetMode="External"/><Relationship Id="rId739" Type="http://schemas.openxmlformats.org/officeDocument/2006/relationships/hyperlink" Target="https://luna-dr.com/femcheck/deliver/" TargetMode="External"/><Relationship Id="rId734" Type="http://schemas.openxmlformats.org/officeDocument/2006/relationships/hyperlink" Target="https://luna-dr.com/femcheck/deliver/" TargetMode="External"/><Relationship Id="rId733" Type="http://schemas.openxmlformats.org/officeDocument/2006/relationships/hyperlink" Target="https://luna-dr.com/femcheck/deliver/" TargetMode="External"/><Relationship Id="rId732" Type="http://schemas.openxmlformats.org/officeDocument/2006/relationships/hyperlink" Target="https://luna-dr.com/femcheck/about/" TargetMode="External"/><Relationship Id="rId731" Type="http://schemas.openxmlformats.org/officeDocument/2006/relationships/hyperlink" Target="https://luna-dr.com/femcheck/about/" TargetMode="External"/><Relationship Id="rId738" Type="http://schemas.openxmlformats.org/officeDocument/2006/relationships/hyperlink" Target="https://luna-dr.com/femcheck/deliver/" TargetMode="External"/><Relationship Id="rId737" Type="http://schemas.openxmlformats.org/officeDocument/2006/relationships/hyperlink" Target="https://luna-dr.com/femcheck/deliver/" TargetMode="External"/><Relationship Id="rId736" Type="http://schemas.openxmlformats.org/officeDocument/2006/relationships/hyperlink" Target="https://luna-dr.com/femcheck/deliver/" TargetMode="External"/><Relationship Id="rId735" Type="http://schemas.openxmlformats.org/officeDocument/2006/relationships/hyperlink" Target="https://luna-dr.com/femcheck/deliver/" TargetMode="External"/><Relationship Id="rId37" Type="http://schemas.openxmlformats.org/officeDocument/2006/relationships/hyperlink" Target="https://luna-dr.com/question/" TargetMode="External"/><Relationship Id="rId36" Type="http://schemas.openxmlformats.org/officeDocument/2006/relationships/hyperlink" Target="https://luna-dr.com/question/" TargetMode="External"/><Relationship Id="rId39" Type="http://schemas.openxmlformats.org/officeDocument/2006/relationships/hyperlink" Target="https://luna-dr.com/question/" TargetMode="External"/><Relationship Id="rId38" Type="http://schemas.openxmlformats.org/officeDocument/2006/relationships/hyperlink" Target="https://luna-dr.com/question/" TargetMode="External"/><Relationship Id="rId730" Type="http://schemas.openxmlformats.org/officeDocument/2006/relationships/hyperlink" Target="https://luna-dr.com/femcheck/about/" TargetMode="External"/><Relationship Id="rId20" Type="http://schemas.openxmlformats.org/officeDocument/2006/relationships/hyperlink" Target="https://luna-dr.com/subjects/pill-prescription/" TargetMode="External"/><Relationship Id="rId22" Type="http://schemas.openxmlformats.org/officeDocument/2006/relationships/hyperlink" Target="https://luna-dr.com/subjects/abnormal-vaginal-discharge/" TargetMode="External"/><Relationship Id="rId21" Type="http://schemas.openxmlformats.org/officeDocument/2006/relationships/hyperlink" Target="https://luna-dr.com/subjects/menstrual-manipulation/" TargetMode="External"/><Relationship Id="rId24" Type="http://schemas.openxmlformats.org/officeDocument/2006/relationships/hyperlink" Target="https://luna-dr.com/subjects/std/" TargetMode="External"/><Relationship Id="rId23" Type="http://schemas.openxmlformats.org/officeDocument/2006/relationships/hyperlink" Target="https://luna-dr.com/subjects/bridal-check/" TargetMode="External"/><Relationship Id="rId525" Type="http://schemas.openxmlformats.org/officeDocument/2006/relationships/hyperlink" Target="https://luna-dr.com/subjects/abortion_page/" TargetMode="External"/><Relationship Id="rId767" Type="http://schemas.openxmlformats.org/officeDocument/2006/relationships/hyperlink" Target="https://shop.luna-dr.com/collections/low_dose_pill_subscription" TargetMode="External"/><Relationship Id="rId524" Type="http://schemas.openxmlformats.org/officeDocument/2006/relationships/hyperlink" Target="https://luna-dr.com/subjects/abortion_page/" TargetMode="External"/><Relationship Id="rId766" Type="http://schemas.openxmlformats.org/officeDocument/2006/relationships/hyperlink" Target="https://docs.google.com/forms/d/e/1FAIpQLSe41t1VsvN-rfcwsRSkalz89S2yqQc4zpWrbdcrwPo95Iif-Q/viewform" TargetMode="External"/><Relationship Id="rId523" Type="http://schemas.openxmlformats.org/officeDocument/2006/relationships/hyperlink" Target="https://luna-dr.com/subjects/abortion_page/" TargetMode="External"/><Relationship Id="rId765" Type="http://schemas.openxmlformats.org/officeDocument/2006/relationships/hyperlink" Target="https://docs.google.com/forms/d/e/1FAIpQLSe41t1VsvN-rfcwsRSkalz89S2yqQc4zpWrbdcrwPo95Iif-Q/viewform" TargetMode="External"/><Relationship Id="rId522" Type="http://schemas.openxmlformats.org/officeDocument/2006/relationships/hyperlink" Target="https://luna-dr.com/subjects/abortion_page/" TargetMode="External"/><Relationship Id="rId764" Type="http://schemas.openxmlformats.org/officeDocument/2006/relationships/hyperlink" Target="https://docs.google.com/forms/d/e/1FAIpQLSe41t1VsvN-rfcwsRSkalz89S2yqQc4zpWrbdcrwPo95Iif-Q/viewform" TargetMode="External"/><Relationship Id="rId529" Type="http://schemas.openxmlformats.org/officeDocument/2006/relationships/hyperlink" Target="https://luna-dr.com/subjects/abortion_page/" TargetMode="External"/><Relationship Id="rId528" Type="http://schemas.openxmlformats.org/officeDocument/2006/relationships/hyperlink" Target="https://luna-dr.com/subjects/abortion_page/" TargetMode="External"/><Relationship Id="rId527" Type="http://schemas.openxmlformats.org/officeDocument/2006/relationships/hyperlink" Target="https://luna-dr.com/subjects/abortion_page/" TargetMode="External"/><Relationship Id="rId769" Type="http://schemas.openxmlformats.org/officeDocument/2006/relationships/hyperlink" Target="https://shop.luna-dr.com/collections/low_dose_pill_subscription" TargetMode="External"/><Relationship Id="rId526" Type="http://schemas.openxmlformats.org/officeDocument/2006/relationships/hyperlink" Target="https://luna-dr.com/subjects/abortion_page/" TargetMode="External"/><Relationship Id="rId768" Type="http://schemas.openxmlformats.org/officeDocument/2006/relationships/hyperlink" Target="https://docs.google.com/forms/d/e/1FAIpQLSe41t1VsvN-rfcwsRSkalz89S2yqQc4zpWrbdcrwPo95Iif-Q/viewform" TargetMode="External"/><Relationship Id="rId26" Type="http://schemas.openxmlformats.org/officeDocument/2006/relationships/hyperlink" Target="https://luna-dr.com/subjects/pregnancy-test/" TargetMode="External"/><Relationship Id="rId25" Type="http://schemas.openxmlformats.org/officeDocument/2006/relationships/hyperlink" Target="https://luna-dr.com/subjects/pregnancy-test/,https://luna-dr.com/subjects/abortion_page/" TargetMode="External"/><Relationship Id="rId28" Type="http://schemas.openxmlformats.org/officeDocument/2006/relationships/hyperlink" Target="https://luna-dr.com/subjects/medical-checkup/" TargetMode="External"/><Relationship Id="rId27" Type="http://schemas.openxmlformats.org/officeDocument/2006/relationships/hyperlink" Target="https://luna-dr.com/subjects/irregular-genital-bleeding/" TargetMode="External"/><Relationship Id="rId521" Type="http://schemas.openxmlformats.org/officeDocument/2006/relationships/hyperlink" Target="https://luna-dr.com/subjects/abortion_page/" TargetMode="External"/><Relationship Id="rId763" Type="http://schemas.openxmlformats.org/officeDocument/2006/relationships/hyperlink" Target="https://docs.google.com/forms/d/e/1FAIpQLSe41t1VsvN-rfcwsRSkalz89S2yqQc4zpWrbdcrwPo95Iif-Q/viewform" TargetMode="External"/><Relationship Id="rId29" Type="http://schemas.openxmlformats.org/officeDocument/2006/relationships/hyperlink" Target="https://luna-dr.com/subjects/ius-treatment/" TargetMode="External"/><Relationship Id="rId520" Type="http://schemas.openxmlformats.org/officeDocument/2006/relationships/hyperlink" Target="https://luna-dr.com/subjects/abortion_page/" TargetMode="External"/><Relationship Id="rId762" Type="http://schemas.openxmlformats.org/officeDocument/2006/relationships/hyperlink" Target="https://docs.google.com/forms/d/e/1FAIpQLSe41t1VsvN-rfcwsRSkalz89S2yqQc4zpWrbdcrwPo95Iif-Q/viewform" TargetMode="External"/><Relationship Id="rId761" Type="http://schemas.openxmlformats.org/officeDocument/2006/relationships/hyperlink" Target="https://docs.google.com/forms/d/e/1FAIpQLSe41t1VsvN-rfcwsRSkalz89S2yqQc4zpWrbdcrwPo95Iif-Q/viewform" TargetMode="External"/><Relationship Id="rId760" Type="http://schemas.openxmlformats.org/officeDocument/2006/relationships/hyperlink" Target="https://shop.luna-dr.com/products/lactobacillus" TargetMode="External"/><Relationship Id="rId11" Type="http://schemas.openxmlformats.org/officeDocument/2006/relationships/hyperlink" Target="https://luna-dr.com/" TargetMode="External"/><Relationship Id="rId10" Type="http://schemas.openxmlformats.org/officeDocument/2006/relationships/hyperlink" Target="https://luna-dr.com/" TargetMode="External"/><Relationship Id="rId13" Type="http://schemas.openxmlformats.org/officeDocument/2006/relationships/hyperlink" Target="https://luna-dr.com/subjects/menstrual-pain/" TargetMode="External"/><Relationship Id="rId12" Type="http://schemas.openxmlformats.org/officeDocument/2006/relationships/hyperlink" Target="https://luna-dr.com/" TargetMode="External"/><Relationship Id="rId519" Type="http://schemas.openxmlformats.org/officeDocument/2006/relationships/hyperlink" Target="https://luna-dr.com/subjects/abortion_page/" TargetMode="External"/><Relationship Id="rId514" Type="http://schemas.openxmlformats.org/officeDocument/2006/relationships/hyperlink" Target="https://luna-dr.com/subjects/abortion_page/" TargetMode="External"/><Relationship Id="rId756" Type="http://schemas.openxmlformats.org/officeDocument/2006/relationships/hyperlink" Target="https://shop.luna-dr.com/collections/low_dose_pill_subscription" TargetMode="External"/><Relationship Id="rId513" Type="http://schemas.openxmlformats.org/officeDocument/2006/relationships/hyperlink" Target="https://luna-dr.com/subjects/abortion_page/" TargetMode="External"/><Relationship Id="rId755" Type="http://schemas.openxmlformats.org/officeDocument/2006/relationships/hyperlink" Target="https://luna-dr.com/" TargetMode="External"/><Relationship Id="rId512" Type="http://schemas.openxmlformats.org/officeDocument/2006/relationships/hyperlink" Target="https://luna-dr.com/subjects/abortion_page/" TargetMode="External"/><Relationship Id="rId754" Type="http://schemas.openxmlformats.org/officeDocument/2006/relationships/hyperlink" Target="https://luna-dr.com/femcheck/faq/" TargetMode="External"/><Relationship Id="rId511" Type="http://schemas.openxmlformats.org/officeDocument/2006/relationships/hyperlink" Target="https://luna-dr.com/subjects/abortion_page/" TargetMode="External"/><Relationship Id="rId753" Type="http://schemas.openxmlformats.org/officeDocument/2006/relationships/hyperlink" Target="https://luna-dr.com/femcheck/faq/" TargetMode="External"/><Relationship Id="rId518" Type="http://schemas.openxmlformats.org/officeDocument/2006/relationships/hyperlink" Target="https://luna-dr.com/subjects/abortion_page/" TargetMode="External"/><Relationship Id="rId517" Type="http://schemas.openxmlformats.org/officeDocument/2006/relationships/hyperlink" Target="https://luna-dr.com/subjects/abortion_page/" TargetMode="External"/><Relationship Id="rId759" Type="http://schemas.openxmlformats.org/officeDocument/2006/relationships/hyperlink" Target="https://shop.luna-dr.com/" TargetMode="External"/><Relationship Id="rId516" Type="http://schemas.openxmlformats.org/officeDocument/2006/relationships/hyperlink" Target="https://luna-dr.com/subjects/abortion_page/" TargetMode="External"/><Relationship Id="rId758" Type="http://schemas.openxmlformats.org/officeDocument/2006/relationships/hyperlink" Target="https://shop.luna-dr.com/collections/low_dose_pill_subscription" TargetMode="External"/><Relationship Id="rId515" Type="http://schemas.openxmlformats.org/officeDocument/2006/relationships/hyperlink" Target="https://luna-dr.com/subjects/abortion_page/" TargetMode="External"/><Relationship Id="rId757" Type="http://schemas.openxmlformats.org/officeDocument/2006/relationships/hyperlink" Target="https://shop.luna-dr.com/collections/low_dose_pill_subscription" TargetMode="External"/><Relationship Id="rId15" Type="http://schemas.openxmlformats.org/officeDocument/2006/relationships/hyperlink" Target="https://luna-dr.com/subjects/menstrual-pain/" TargetMode="External"/><Relationship Id="rId14" Type="http://schemas.openxmlformats.org/officeDocument/2006/relationships/hyperlink" Target="https://luna-dr.com/subjects/menstrual-irregularity/" TargetMode="External"/><Relationship Id="rId17" Type="http://schemas.openxmlformats.org/officeDocument/2006/relationships/hyperlink" Target="https://luna-dr.com/subjects/pill-prescription/" TargetMode="External"/><Relationship Id="rId16" Type="http://schemas.openxmlformats.org/officeDocument/2006/relationships/hyperlink" Target="https://luna-dr.com/subjects/abortion_page/" TargetMode="External"/><Relationship Id="rId19" Type="http://schemas.openxmlformats.org/officeDocument/2006/relationships/hyperlink" Target="https://luna-dr.com/subjects/low-dose-contraceptive/" TargetMode="External"/><Relationship Id="rId510" Type="http://schemas.openxmlformats.org/officeDocument/2006/relationships/hyperlink" Target="https://luna-dr.com/subjects/abortion_page/" TargetMode="External"/><Relationship Id="rId752" Type="http://schemas.openxmlformats.org/officeDocument/2006/relationships/hyperlink" Target="https://luna-dr.com/femcheck/faq/" TargetMode="External"/><Relationship Id="rId18" Type="http://schemas.openxmlformats.org/officeDocument/2006/relationships/hyperlink" Target="https://luna-dr.com/subjects/after-pill_page/" TargetMode="External"/><Relationship Id="rId751" Type="http://schemas.openxmlformats.org/officeDocument/2006/relationships/hyperlink" Target="https://luna-dr.com/femcheck/faq/" TargetMode="External"/><Relationship Id="rId750" Type="http://schemas.openxmlformats.org/officeDocument/2006/relationships/hyperlink" Target="https://luna-dr.com/femcheck/faq/" TargetMode="External"/><Relationship Id="rId84" Type="http://schemas.openxmlformats.org/officeDocument/2006/relationships/hyperlink" Target="https://luna-dr.com/subjects/menstrual-manipulation/" TargetMode="External"/><Relationship Id="rId83" Type="http://schemas.openxmlformats.org/officeDocument/2006/relationships/hyperlink" Target="https://luna-dr.com/subjects/menstrual-manipulation/" TargetMode="External"/><Relationship Id="rId86" Type="http://schemas.openxmlformats.org/officeDocument/2006/relationships/hyperlink" Target="https://luna-dr.com/subjects/menstrual-manipulation/" TargetMode="External"/><Relationship Id="rId85" Type="http://schemas.openxmlformats.org/officeDocument/2006/relationships/hyperlink" Target="https://luna-dr.com/subjects/menstrual-manipulation/" TargetMode="External"/><Relationship Id="rId88" Type="http://schemas.openxmlformats.org/officeDocument/2006/relationships/hyperlink" Target="https://luna-dr.com/subjects/menstrual-manipulation/" TargetMode="External"/><Relationship Id="rId87" Type="http://schemas.openxmlformats.org/officeDocument/2006/relationships/hyperlink" Target="https://luna-dr.com/subjects/menstrual-manipulation/" TargetMode="External"/><Relationship Id="rId89" Type="http://schemas.openxmlformats.org/officeDocument/2006/relationships/hyperlink" Target="https://luna-dr.com/subjects/menstrual-manipulation/" TargetMode="External"/><Relationship Id="rId709" Type="http://schemas.openxmlformats.org/officeDocument/2006/relationships/hyperlink" Target="https://luna-dr.com/femcheck/about/" TargetMode="External"/><Relationship Id="rId708" Type="http://schemas.openxmlformats.org/officeDocument/2006/relationships/hyperlink" Target="https://luna-dr.com/femcheck/about/" TargetMode="External"/><Relationship Id="rId707" Type="http://schemas.openxmlformats.org/officeDocument/2006/relationships/hyperlink" Target="https://luna-dr.com/femcheck/about/" TargetMode="External"/><Relationship Id="rId706" Type="http://schemas.openxmlformats.org/officeDocument/2006/relationships/hyperlink" Target="https://luna-dr.com/femcheck/about/" TargetMode="External"/><Relationship Id="rId80" Type="http://schemas.openxmlformats.org/officeDocument/2006/relationships/hyperlink" Target="https://luna-dr.com/subjects/menstrual-manipulation/" TargetMode="External"/><Relationship Id="rId82" Type="http://schemas.openxmlformats.org/officeDocument/2006/relationships/hyperlink" Target="https://luna-dr.com/subjects/menstrual-manipulation/" TargetMode="External"/><Relationship Id="rId81" Type="http://schemas.openxmlformats.org/officeDocument/2006/relationships/hyperlink" Target="https://luna-dr.com/subjects/menstrual-manipulation/" TargetMode="External"/><Relationship Id="rId701" Type="http://schemas.openxmlformats.org/officeDocument/2006/relationships/hyperlink" Target="https://luna-dr.com/femcheck/about/" TargetMode="External"/><Relationship Id="rId700" Type="http://schemas.openxmlformats.org/officeDocument/2006/relationships/hyperlink" Target="https://luna-dr.com/femcheck/about/" TargetMode="External"/><Relationship Id="rId705" Type="http://schemas.openxmlformats.org/officeDocument/2006/relationships/hyperlink" Target="https://luna-dr.com/femcheck/about/" TargetMode="External"/><Relationship Id="rId704" Type="http://schemas.openxmlformats.org/officeDocument/2006/relationships/hyperlink" Target="https://luna-dr.com/femcheck/about/" TargetMode="External"/><Relationship Id="rId703" Type="http://schemas.openxmlformats.org/officeDocument/2006/relationships/hyperlink" Target="https://luna-dr.com/femcheck/about/" TargetMode="External"/><Relationship Id="rId702" Type="http://schemas.openxmlformats.org/officeDocument/2006/relationships/hyperlink" Target="https://luna-dr.com/femcheck/about/" TargetMode="External"/><Relationship Id="rId73" Type="http://schemas.openxmlformats.org/officeDocument/2006/relationships/hyperlink" Target="https://luna-dr.com/" TargetMode="External"/><Relationship Id="rId72" Type="http://schemas.openxmlformats.org/officeDocument/2006/relationships/hyperlink" Target="https://luna-dr.com/" TargetMode="External"/><Relationship Id="rId75" Type="http://schemas.openxmlformats.org/officeDocument/2006/relationships/hyperlink" Target="https://luna-dr.com/" TargetMode="External"/><Relationship Id="rId74" Type="http://schemas.openxmlformats.org/officeDocument/2006/relationships/hyperlink" Target="https://luna-dr.com/" TargetMode="External"/><Relationship Id="rId77" Type="http://schemas.openxmlformats.org/officeDocument/2006/relationships/hyperlink" Target="https://luna-dr.com/" TargetMode="External"/><Relationship Id="rId76" Type="http://schemas.openxmlformats.org/officeDocument/2006/relationships/hyperlink" Target="https://luna-dr.com/" TargetMode="External"/><Relationship Id="rId79" Type="http://schemas.openxmlformats.org/officeDocument/2006/relationships/hyperlink" Target="https://luna-dr.com/subjects/menstrual-manipulation/" TargetMode="External"/><Relationship Id="rId78" Type="http://schemas.openxmlformats.org/officeDocument/2006/relationships/hyperlink" Target="https://luna-dr.com/subjects/menstrual-manipulation/" TargetMode="External"/><Relationship Id="rId71" Type="http://schemas.openxmlformats.org/officeDocument/2006/relationships/hyperlink" Target="https://luna-dr.com/" TargetMode="External"/><Relationship Id="rId70" Type="http://schemas.openxmlformats.org/officeDocument/2006/relationships/hyperlink" Target="https://luna-dr.com/" TargetMode="External"/><Relationship Id="rId62" Type="http://schemas.openxmlformats.org/officeDocument/2006/relationships/hyperlink" Target="https://luna-dr.com/telemedicine/" TargetMode="External"/><Relationship Id="rId61" Type="http://schemas.openxmlformats.org/officeDocument/2006/relationships/hyperlink" Target="https://luna-dr.com/telemedicine/" TargetMode="External"/><Relationship Id="rId64" Type="http://schemas.openxmlformats.org/officeDocument/2006/relationships/hyperlink" Target="https://luna-dr.com/" TargetMode="External"/><Relationship Id="rId63" Type="http://schemas.openxmlformats.org/officeDocument/2006/relationships/hyperlink" Target="https://luna-dr.com/telemedicine/" TargetMode="External"/><Relationship Id="rId66" Type="http://schemas.openxmlformats.org/officeDocument/2006/relationships/hyperlink" Target="https://luna-dr.com/" TargetMode="External"/><Relationship Id="rId65" Type="http://schemas.openxmlformats.org/officeDocument/2006/relationships/hyperlink" Target="https://luna-dr.com/" TargetMode="External"/><Relationship Id="rId68" Type="http://schemas.openxmlformats.org/officeDocument/2006/relationships/hyperlink" Target="https://luna-dr.com/" TargetMode="External"/><Relationship Id="rId67" Type="http://schemas.openxmlformats.org/officeDocument/2006/relationships/hyperlink" Target="https://luna-dr.com/" TargetMode="External"/><Relationship Id="rId729" Type="http://schemas.openxmlformats.org/officeDocument/2006/relationships/hyperlink" Target="https://luna-dr.com/femcheck/about/" TargetMode="External"/><Relationship Id="rId728" Type="http://schemas.openxmlformats.org/officeDocument/2006/relationships/hyperlink" Target="https://luna-dr.com/femcheck/about/" TargetMode="External"/><Relationship Id="rId60" Type="http://schemas.openxmlformats.org/officeDocument/2006/relationships/hyperlink" Target="https://luna-dr.com/telemedicine/" TargetMode="External"/><Relationship Id="rId723" Type="http://schemas.openxmlformats.org/officeDocument/2006/relationships/hyperlink" Target="https://luna-dr.com/femcheck/about/" TargetMode="External"/><Relationship Id="rId722" Type="http://schemas.openxmlformats.org/officeDocument/2006/relationships/hyperlink" Target="https://luna-dr.com/femcheck/about/" TargetMode="External"/><Relationship Id="rId721" Type="http://schemas.openxmlformats.org/officeDocument/2006/relationships/hyperlink" Target="https://luna-dr.com/femcheck/about/" TargetMode="External"/><Relationship Id="rId720" Type="http://schemas.openxmlformats.org/officeDocument/2006/relationships/hyperlink" Target="https://luna-dr.com/femcheck/about/" TargetMode="External"/><Relationship Id="rId727" Type="http://schemas.openxmlformats.org/officeDocument/2006/relationships/hyperlink" Target="https://luna-dr.com/femcheck/about/" TargetMode="External"/><Relationship Id="rId726" Type="http://schemas.openxmlformats.org/officeDocument/2006/relationships/hyperlink" Target="https://luna-dr.com/femcheck/about/" TargetMode="External"/><Relationship Id="rId725" Type="http://schemas.openxmlformats.org/officeDocument/2006/relationships/hyperlink" Target="https://luna-dr.com/femcheck/about/" TargetMode="External"/><Relationship Id="rId724" Type="http://schemas.openxmlformats.org/officeDocument/2006/relationships/hyperlink" Target="https://luna-dr.com/femcheck/about/" TargetMode="External"/><Relationship Id="rId69" Type="http://schemas.openxmlformats.org/officeDocument/2006/relationships/hyperlink" Target="https://luna-dr.com/" TargetMode="External"/><Relationship Id="rId51" Type="http://schemas.openxmlformats.org/officeDocument/2006/relationships/hyperlink" Target="https://luna-dr.com/telemedicine/" TargetMode="External"/><Relationship Id="rId50" Type="http://schemas.openxmlformats.org/officeDocument/2006/relationships/hyperlink" Target="https://luna-dr.com/telemedicine/" TargetMode="External"/><Relationship Id="rId53" Type="http://schemas.openxmlformats.org/officeDocument/2006/relationships/hyperlink" Target="https://luna-dr.com/telemedicine/" TargetMode="External"/><Relationship Id="rId52" Type="http://schemas.openxmlformats.org/officeDocument/2006/relationships/hyperlink" Target="https://luna-dr.com/telemedicine/" TargetMode="External"/><Relationship Id="rId55" Type="http://schemas.openxmlformats.org/officeDocument/2006/relationships/hyperlink" Target="https://luna-dr.com/telemedicine/" TargetMode="External"/><Relationship Id="rId54" Type="http://schemas.openxmlformats.org/officeDocument/2006/relationships/hyperlink" Target="https://luna-dr.com/telemedicine/" TargetMode="External"/><Relationship Id="rId57" Type="http://schemas.openxmlformats.org/officeDocument/2006/relationships/hyperlink" Target="https://luna-dr.com/telemedicine/" TargetMode="External"/><Relationship Id="rId56" Type="http://schemas.openxmlformats.org/officeDocument/2006/relationships/hyperlink" Target="https://luna-dr.com/telemedicine/" TargetMode="External"/><Relationship Id="rId719" Type="http://schemas.openxmlformats.org/officeDocument/2006/relationships/hyperlink" Target="https://luna-dr.com/femcheck/about/" TargetMode="External"/><Relationship Id="rId718" Type="http://schemas.openxmlformats.org/officeDocument/2006/relationships/hyperlink" Target="https://luna-dr.com/femcheck/about/" TargetMode="External"/><Relationship Id="rId717" Type="http://schemas.openxmlformats.org/officeDocument/2006/relationships/hyperlink" Target="https://luna-dr.com/femcheck/about/" TargetMode="External"/><Relationship Id="rId712" Type="http://schemas.openxmlformats.org/officeDocument/2006/relationships/hyperlink" Target="https://luna-dr.com/femcheck/about/" TargetMode="External"/><Relationship Id="rId711" Type="http://schemas.openxmlformats.org/officeDocument/2006/relationships/hyperlink" Target="https://luna-dr.com/femcheck/about/" TargetMode="External"/><Relationship Id="rId710" Type="http://schemas.openxmlformats.org/officeDocument/2006/relationships/hyperlink" Target="https://luna-dr.com/femcheck/about/" TargetMode="External"/><Relationship Id="rId716" Type="http://schemas.openxmlformats.org/officeDocument/2006/relationships/hyperlink" Target="https://luna-dr.com/femcheck/about/" TargetMode="External"/><Relationship Id="rId715" Type="http://schemas.openxmlformats.org/officeDocument/2006/relationships/hyperlink" Target="https://luna-dr.com/femcheck/about/" TargetMode="External"/><Relationship Id="rId714" Type="http://schemas.openxmlformats.org/officeDocument/2006/relationships/hyperlink" Target="https://luna-dr.com/femcheck/about/" TargetMode="External"/><Relationship Id="rId713" Type="http://schemas.openxmlformats.org/officeDocument/2006/relationships/hyperlink" Target="https://luna-dr.com/femcheck/about/" TargetMode="External"/><Relationship Id="rId59" Type="http://schemas.openxmlformats.org/officeDocument/2006/relationships/hyperlink" Target="https://luna-dr.com/telemedicine/" TargetMode="External"/><Relationship Id="rId58" Type="http://schemas.openxmlformats.org/officeDocument/2006/relationships/hyperlink" Target="https://luna-dr.com/telemedicine/" TargetMode="External"/><Relationship Id="rId590" Type="http://schemas.openxmlformats.org/officeDocument/2006/relationships/hyperlink" Target="https://luna-dr.com/subjects/bridal-check/" TargetMode="External"/><Relationship Id="rId107" Type="http://schemas.openxmlformats.org/officeDocument/2006/relationships/hyperlink" Target="https://luna-dr.com/subjects/menstrual-manipulation/" TargetMode="External"/><Relationship Id="rId349" Type="http://schemas.openxmlformats.org/officeDocument/2006/relationships/hyperlink" Target="https://luna-dr.com/subjects/abnormal-vaginal-discharge/" TargetMode="External"/><Relationship Id="rId106" Type="http://schemas.openxmlformats.org/officeDocument/2006/relationships/hyperlink" Target="https://luna-dr.com/subjects/menstrual-manipulation/" TargetMode="External"/><Relationship Id="rId348" Type="http://schemas.openxmlformats.org/officeDocument/2006/relationships/hyperlink" Target="https://luna-dr.com/subjects/abnormal-vaginal-discharge/" TargetMode="External"/><Relationship Id="rId105" Type="http://schemas.openxmlformats.org/officeDocument/2006/relationships/hyperlink" Target="https://luna-dr.com/subjects/menstrual-manipulation/" TargetMode="External"/><Relationship Id="rId347" Type="http://schemas.openxmlformats.org/officeDocument/2006/relationships/hyperlink" Target="https://luna-dr.com/subjects/abnormal-vaginal-discharge/" TargetMode="External"/><Relationship Id="rId589" Type="http://schemas.openxmlformats.org/officeDocument/2006/relationships/hyperlink" Target="https://luna-dr.com/subjects/bridal-check/" TargetMode="External"/><Relationship Id="rId104" Type="http://schemas.openxmlformats.org/officeDocument/2006/relationships/hyperlink" Target="https://luna-dr.com/subjects/menstrual-manipulation/" TargetMode="External"/><Relationship Id="rId346" Type="http://schemas.openxmlformats.org/officeDocument/2006/relationships/hyperlink" Target="https://luna-dr.com/subjects/abnormal-vaginal-discharge/" TargetMode="External"/><Relationship Id="rId588" Type="http://schemas.openxmlformats.org/officeDocument/2006/relationships/hyperlink" Target="https://luna-dr.com/subjects/bridal-check/" TargetMode="External"/><Relationship Id="rId109" Type="http://schemas.openxmlformats.org/officeDocument/2006/relationships/hyperlink" Target="https://luna-dr.com/subjects/menstrual-manipulation/" TargetMode="External"/><Relationship Id="rId108" Type="http://schemas.openxmlformats.org/officeDocument/2006/relationships/hyperlink" Target="https://luna-dr.com/subjects/menstrual-manipulation/" TargetMode="External"/><Relationship Id="rId341" Type="http://schemas.openxmlformats.org/officeDocument/2006/relationships/hyperlink" Target="https://luna-dr.com/subjects/ius-treatment/" TargetMode="External"/><Relationship Id="rId583" Type="http://schemas.openxmlformats.org/officeDocument/2006/relationships/hyperlink" Target="https://luna-dr.com/subjects/bridal-check/" TargetMode="External"/><Relationship Id="rId340" Type="http://schemas.openxmlformats.org/officeDocument/2006/relationships/hyperlink" Target="https://luna-dr.com/subjects/ius-treatment/" TargetMode="External"/><Relationship Id="rId582" Type="http://schemas.openxmlformats.org/officeDocument/2006/relationships/hyperlink" Target="https://luna-dr.com/subjects/bridal-check/" TargetMode="External"/><Relationship Id="rId581" Type="http://schemas.openxmlformats.org/officeDocument/2006/relationships/hyperlink" Target="https://luna-dr.com/subjects/bridal-check/" TargetMode="External"/><Relationship Id="rId580" Type="http://schemas.openxmlformats.org/officeDocument/2006/relationships/hyperlink" Target="https://luna-dr.com/subjects/bridal-check/" TargetMode="External"/><Relationship Id="rId103" Type="http://schemas.openxmlformats.org/officeDocument/2006/relationships/hyperlink" Target="https://luna-dr.com/subjects/menstrual-manipulation/" TargetMode="External"/><Relationship Id="rId345" Type="http://schemas.openxmlformats.org/officeDocument/2006/relationships/hyperlink" Target="https://luna-dr.com/subjects/abnormal-vaginal-discharge/" TargetMode="External"/><Relationship Id="rId587" Type="http://schemas.openxmlformats.org/officeDocument/2006/relationships/hyperlink" Target="https://luna-dr.com/subjects/bridal-check/" TargetMode="External"/><Relationship Id="rId102" Type="http://schemas.openxmlformats.org/officeDocument/2006/relationships/hyperlink" Target="https://luna-dr.com/subjects/menstrual-manipulation/" TargetMode="External"/><Relationship Id="rId344" Type="http://schemas.openxmlformats.org/officeDocument/2006/relationships/hyperlink" Target="https://luna-dr.com/subjects/abnormal-vaginal-discharge/" TargetMode="External"/><Relationship Id="rId586" Type="http://schemas.openxmlformats.org/officeDocument/2006/relationships/hyperlink" Target="https://luna-dr.com/subjects/bridal-check/" TargetMode="External"/><Relationship Id="rId101" Type="http://schemas.openxmlformats.org/officeDocument/2006/relationships/hyperlink" Target="https://luna-dr.com/subjects/menstrual-manipulation/" TargetMode="External"/><Relationship Id="rId343" Type="http://schemas.openxmlformats.org/officeDocument/2006/relationships/hyperlink" Target="https://luna-dr.com/subjects/abnormal-vaginal-discharge/" TargetMode="External"/><Relationship Id="rId585" Type="http://schemas.openxmlformats.org/officeDocument/2006/relationships/hyperlink" Target="https://luna-dr.com/subjects/bridal-check/" TargetMode="External"/><Relationship Id="rId100" Type="http://schemas.openxmlformats.org/officeDocument/2006/relationships/hyperlink" Target="https://luna-dr.com/subjects/menstrual-manipulation/" TargetMode="External"/><Relationship Id="rId342" Type="http://schemas.openxmlformats.org/officeDocument/2006/relationships/hyperlink" Target="https://luna-dr.com/subjects/abnormal-vaginal-discharge/" TargetMode="External"/><Relationship Id="rId584" Type="http://schemas.openxmlformats.org/officeDocument/2006/relationships/hyperlink" Target="https://luna-dr.com/subjects/bridal-check/" TargetMode="External"/><Relationship Id="rId338" Type="http://schemas.openxmlformats.org/officeDocument/2006/relationships/hyperlink" Target="https://luna-dr.com/subjects/ius-treatment/" TargetMode="External"/><Relationship Id="rId337" Type="http://schemas.openxmlformats.org/officeDocument/2006/relationships/hyperlink" Target="https://luna-dr.com/subjects/ius-treatment/" TargetMode="External"/><Relationship Id="rId579" Type="http://schemas.openxmlformats.org/officeDocument/2006/relationships/hyperlink" Target="https://luna-dr.com/subjects/bridal-check/" TargetMode="External"/><Relationship Id="rId336" Type="http://schemas.openxmlformats.org/officeDocument/2006/relationships/hyperlink" Target="https://luna-dr.com/subjects/ius-treatment/" TargetMode="External"/><Relationship Id="rId578" Type="http://schemas.openxmlformats.org/officeDocument/2006/relationships/hyperlink" Target="https://luna-dr.com/subjects/bridal-check/" TargetMode="External"/><Relationship Id="rId335" Type="http://schemas.openxmlformats.org/officeDocument/2006/relationships/hyperlink" Target="https://luna-dr.com/subjects/ius-treatment/" TargetMode="External"/><Relationship Id="rId577" Type="http://schemas.openxmlformats.org/officeDocument/2006/relationships/hyperlink" Target="https://luna-dr.com/subjects/bridal-check/" TargetMode="External"/><Relationship Id="rId339" Type="http://schemas.openxmlformats.org/officeDocument/2006/relationships/hyperlink" Target="https://luna-dr.com/subjects/ius-treatment/" TargetMode="External"/><Relationship Id="rId330" Type="http://schemas.openxmlformats.org/officeDocument/2006/relationships/hyperlink" Target="https://luna-dr.com/subjects/ius-treatment/" TargetMode="External"/><Relationship Id="rId572" Type="http://schemas.openxmlformats.org/officeDocument/2006/relationships/hyperlink" Target="https://luna-dr.com/subjects/bridal-check/" TargetMode="External"/><Relationship Id="rId571" Type="http://schemas.openxmlformats.org/officeDocument/2006/relationships/hyperlink" Target="https://luna-dr.com/subjects/bridal-check/" TargetMode="External"/><Relationship Id="rId570" Type="http://schemas.openxmlformats.org/officeDocument/2006/relationships/hyperlink" Target="https://luna-dr.com/subjects/abortion_page/" TargetMode="External"/><Relationship Id="rId334" Type="http://schemas.openxmlformats.org/officeDocument/2006/relationships/hyperlink" Target="https://luna-dr.com/subjects/ius-treatment/" TargetMode="External"/><Relationship Id="rId576" Type="http://schemas.openxmlformats.org/officeDocument/2006/relationships/hyperlink" Target="https://luna-dr.com/subjects/bridal-check/" TargetMode="External"/><Relationship Id="rId333" Type="http://schemas.openxmlformats.org/officeDocument/2006/relationships/hyperlink" Target="https://luna-dr.com/subjects/ius-treatment/" TargetMode="External"/><Relationship Id="rId575" Type="http://schemas.openxmlformats.org/officeDocument/2006/relationships/hyperlink" Target="https://luna-dr.com/subjects/bridal-check/" TargetMode="External"/><Relationship Id="rId332" Type="http://schemas.openxmlformats.org/officeDocument/2006/relationships/hyperlink" Target="https://luna-dr.com/subjects/ius-treatment/" TargetMode="External"/><Relationship Id="rId574" Type="http://schemas.openxmlformats.org/officeDocument/2006/relationships/hyperlink" Target="https://luna-dr.com/subjects/bridal-check/" TargetMode="External"/><Relationship Id="rId331" Type="http://schemas.openxmlformats.org/officeDocument/2006/relationships/hyperlink" Target="https://luna-dr.com/subjects/ius-treatment/" TargetMode="External"/><Relationship Id="rId573" Type="http://schemas.openxmlformats.org/officeDocument/2006/relationships/hyperlink" Target="https://luna-dr.com/subjects/bridal-check/" TargetMode="External"/><Relationship Id="rId370" Type="http://schemas.openxmlformats.org/officeDocument/2006/relationships/hyperlink" Target="https://luna-dr.com/subjects/abnormal-vaginal-discharge/" TargetMode="External"/><Relationship Id="rId129" Type="http://schemas.openxmlformats.org/officeDocument/2006/relationships/hyperlink" Target="https://luna-dr.com/subjects/menstrual-irregularity/" TargetMode="External"/><Relationship Id="rId128" Type="http://schemas.openxmlformats.org/officeDocument/2006/relationships/hyperlink" Target="https://luna-dr.com/subjects/menstrual-irregularity/" TargetMode="External"/><Relationship Id="rId127" Type="http://schemas.openxmlformats.org/officeDocument/2006/relationships/hyperlink" Target="https://luna-dr.com/subjects/menstrual-irregularity/" TargetMode="External"/><Relationship Id="rId369" Type="http://schemas.openxmlformats.org/officeDocument/2006/relationships/hyperlink" Target="https://luna-dr.com/subjects/abnormal-vaginal-discharge/" TargetMode="External"/><Relationship Id="rId126" Type="http://schemas.openxmlformats.org/officeDocument/2006/relationships/hyperlink" Target="https://luna-dr.com/" TargetMode="External"/><Relationship Id="rId368" Type="http://schemas.openxmlformats.org/officeDocument/2006/relationships/hyperlink" Target="https://luna-dr.com/subjects/abnormal-vaginal-discharge/" TargetMode="External"/><Relationship Id="rId121" Type="http://schemas.openxmlformats.org/officeDocument/2006/relationships/hyperlink" Target="https://luna-dr.com/" TargetMode="External"/><Relationship Id="rId363" Type="http://schemas.openxmlformats.org/officeDocument/2006/relationships/hyperlink" Target="https://luna-dr.com/subjects/abnormal-vaginal-discharge/" TargetMode="External"/><Relationship Id="rId120" Type="http://schemas.openxmlformats.org/officeDocument/2006/relationships/hyperlink" Target="https://luna-dr.com/subjects/menstrual-irregularity/" TargetMode="External"/><Relationship Id="rId362" Type="http://schemas.openxmlformats.org/officeDocument/2006/relationships/hyperlink" Target="https://luna-dr.com/subjects/abnormal-vaginal-discharge/" TargetMode="External"/><Relationship Id="rId361" Type="http://schemas.openxmlformats.org/officeDocument/2006/relationships/hyperlink" Target="https://luna-dr.com/subjects/abnormal-vaginal-discharge/" TargetMode="External"/><Relationship Id="rId360" Type="http://schemas.openxmlformats.org/officeDocument/2006/relationships/hyperlink" Target="https://luna-dr.com/subjects/abnormal-vaginal-discharge/" TargetMode="External"/><Relationship Id="rId125" Type="http://schemas.openxmlformats.org/officeDocument/2006/relationships/hyperlink" Target="https://luna-dr.com/" TargetMode="External"/><Relationship Id="rId367" Type="http://schemas.openxmlformats.org/officeDocument/2006/relationships/hyperlink" Target="https://luna-dr.com/subjects/abnormal-vaginal-discharge/" TargetMode="External"/><Relationship Id="rId124" Type="http://schemas.openxmlformats.org/officeDocument/2006/relationships/hyperlink" Target="https://luna-dr.com/" TargetMode="External"/><Relationship Id="rId366" Type="http://schemas.openxmlformats.org/officeDocument/2006/relationships/hyperlink" Target="https://luna-dr.com/subjects/abnormal-vaginal-discharge/" TargetMode="External"/><Relationship Id="rId123" Type="http://schemas.openxmlformats.org/officeDocument/2006/relationships/hyperlink" Target="https://luna-dr.com/" TargetMode="External"/><Relationship Id="rId365" Type="http://schemas.openxmlformats.org/officeDocument/2006/relationships/hyperlink" Target="https://luna-dr.com/subjects/abnormal-vaginal-discharge/" TargetMode="External"/><Relationship Id="rId122" Type="http://schemas.openxmlformats.org/officeDocument/2006/relationships/hyperlink" Target="https://luna-dr.com/" TargetMode="External"/><Relationship Id="rId364" Type="http://schemas.openxmlformats.org/officeDocument/2006/relationships/hyperlink" Target="https://luna-dr.com/subjects/abnormal-vaginal-discharge/" TargetMode="External"/><Relationship Id="rId95" Type="http://schemas.openxmlformats.org/officeDocument/2006/relationships/hyperlink" Target="https://luna-dr.com/subjects/menstrual-manipulation/" TargetMode="External"/><Relationship Id="rId94" Type="http://schemas.openxmlformats.org/officeDocument/2006/relationships/hyperlink" Target="https://luna-dr.com/subjects/menstrual-manipulation/" TargetMode="External"/><Relationship Id="rId97" Type="http://schemas.openxmlformats.org/officeDocument/2006/relationships/hyperlink" Target="https://luna-dr.com/subjects/menstrual-manipulation/" TargetMode="External"/><Relationship Id="rId96" Type="http://schemas.openxmlformats.org/officeDocument/2006/relationships/hyperlink" Target="https://luna-dr.com/subjects/menstrual-manipulation/" TargetMode="External"/><Relationship Id="rId99" Type="http://schemas.openxmlformats.org/officeDocument/2006/relationships/hyperlink" Target="https://luna-dr.com/subjects/menstrual-manipulation/" TargetMode="External"/><Relationship Id="rId98" Type="http://schemas.openxmlformats.org/officeDocument/2006/relationships/hyperlink" Target="https://luna-dr.com/subjects/menstrual-manipulation/" TargetMode="External"/><Relationship Id="rId91" Type="http://schemas.openxmlformats.org/officeDocument/2006/relationships/hyperlink" Target="https://luna-dr.com/subjects/menstrual-manipulation/" TargetMode="External"/><Relationship Id="rId90" Type="http://schemas.openxmlformats.org/officeDocument/2006/relationships/hyperlink" Target="https://luna-dr.com/subjects/menstrual-manipulation/" TargetMode="External"/><Relationship Id="rId93" Type="http://schemas.openxmlformats.org/officeDocument/2006/relationships/hyperlink" Target="https://luna-dr.com/subjects/menstrual-manipulation/" TargetMode="External"/><Relationship Id="rId92" Type="http://schemas.openxmlformats.org/officeDocument/2006/relationships/hyperlink" Target="https://luna-dr.com/subjects/menstrual-manipulation/" TargetMode="External"/><Relationship Id="rId118" Type="http://schemas.openxmlformats.org/officeDocument/2006/relationships/hyperlink" Target="https://luna-dr.com/subjects/menstrual-manipulation/" TargetMode="External"/><Relationship Id="rId117" Type="http://schemas.openxmlformats.org/officeDocument/2006/relationships/hyperlink" Target="https://luna-dr.com/subjects/menstrual-manipulation/" TargetMode="External"/><Relationship Id="rId359" Type="http://schemas.openxmlformats.org/officeDocument/2006/relationships/hyperlink" Target="https://luna-dr.com/subjects/abnormal-vaginal-discharge/" TargetMode="External"/><Relationship Id="rId116" Type="http://schemas.openxmlformats.org/officeDocument/2006/relationships/hyperlink" Target="https://luna-dr.com/subjects/menstrual-manipulation/" TargetMode="External"/><Relationship Id="rId358" Type="http://schemas.openxmlformats.org/officeDocument/2006/relationships/hyperlink" Target="https://luna-dr.com/subjects/abnormal-vaginal-discharge/" TargetMode="External"/><Relationship Id="rId115" Type="http://schemas.openxmlformats.org/officeDocument/2006/relationships/hyperlink" Target="https://luna-dr.com/subjects/menstrual-manipulation/" TargetMode="External"/><Relationship Id="rId357" Type="http://schemas.openxmlformats.org/officeDocument/2006/relationships/hyperlink" Target="https://luna-dr.com/subjects/abnormal-vaginal-discharge/" TargetMode="External"/><Relationship Id="rId599" Type="http://schemas.openxmlformats.org/officeDocument/2006/relationships/hyperlink" Target="https://luna-dr.com/subjects/medical-checkup/" TargetMode="External"/><Relationship Id="rId119" Type="http://schemas.openxmlformats.org/officeDocument/2006/relationships/hyperlink" Target="https://luna-dr.com/subjects/menstrual-irregularity/" TargetMode="External"/><Relationship Id="rId110" Type="http://schemas.openxmlformats.org/officeDocument/2006/relationships/hyperlink" Target="https://luna-dr.com/subjects/menstrual-manipulation/" TargetMode="External"/><Relationship Id="rId352" Type="http://schemas.openxmlformats.org/officeDocument/2006/relationships/hyperlink" Target="https://luna-dr.com/subjects/abnormal-vaginal-discharge/" TargetMode="External"/><Relationship Id="rId594" Type="http://schemas.openxmlformats.org/officeDocument/2006/relationships/hyperlink" Target="https://luna-dr.com/subjects/bridal-check/" TargetMode="External"/><Relationship Id="rId351" Type="http://schemas.openxmlformats.org/officeDocument/2006/relationships/hyperlink" Target="https://luna-dr.com/subjects/abnormal-vaginal-discharge/" TargetMode="External"/><Relationship Id="rId593" Type="http://schemas.openxmlformats.org/officeDocument/2006/relationships/hyperlink" Target="https://luna-dr.com/subjects/bridal-check/" TargetMode="External"/><Relationship Id="rId350" Type="http://schemas.openxmlformats.org/officeDocument/2006/relationships/hyperlink" Target="https://luna-dr.com/subjects/abnormal-vaginal-discharge/" TargetMode="External"/><Relationship Id="rId592" Type="http://schemas.openxmlformats.org/officeDocument/2006/relationships/hyperlink" Target="https://luna-dr.com/subjects/bridal-check/" TargetMode="External"/><Relationship Id="rId591" Type="http://schemas.openxmlformats.org/officeDocument/2006/relationships/hyperlink" Target="https://luna-dr.com/subjects/bridal-check/" TargetMode="External"/><Relationship Id="rId114" Type="http://schemas.openxmlformats.org/officeDocument/2006/relationships/hyperlink" Target="https://luna-dr.com/subjects/menstrual-manipulation/" TargetMode="External"/><Relationship Id="rId356" Type="http://schemas.openxmlformats.org/officeDocument/2006/relationships/hyperlink" Target="https://luna-dr.com/subjects/abnormal-vaginal-discharge/" TargetMode="External"/><Relationship Id="rId598" Type="http://schemas.openxmlformats.org/officeDocument/2006/relationships/hyperlink" Target="https://luna-dr.com/subjects/medical-checkup/" TargetMode="External"/><Relationship Id="rId113" Type="http://schemas.openxmlformats.org/officeDocument/2006/relationships/hyperlink" Target="https://luna-dr.com/subjects/menstrual-manipulation/" TargetMode="External"/><Relationship Id="rId355" Type="http://schemas.openxmlformats.org/officeDocument/2006/relationships/hyperlink" Target="https://luna-dr.com/subjects/abnormal-vaginal-discharge/" TargetMode="External"/><Relationship Id="rId597" Type="http://schemas.openxmlformats.org/officeDocument/2006/relationships/hyperlink" Target="https://luna-dr.com/subjects/medical-checkup/" TargetMode="External"/><Relationship Id="rId112" Type="http://schemas.openxmlformats.org/officeDocument/2006/relationships/hyperlink" Target="https://luna-dr.com/subjects/menstrual-manipulation/" TargetMode="External"/><Relationship Id="rId354" Type="http://schemas.openxmlformats.org/officeDocument/2006/relationships/hyperlink" Target="https://luna-dr.com/subjects/abnormal-vaginal-discharge/" TargetMode="External"/><Relationship Id="rId596" Type="http://schemas.openxmlformats.org/officeDocument/2006/relationships/hyperlink" Target="https://luna-dr.com/subjects/bridal-check/" TargetMode="External"/><Relationship Id="rId111" Type="http://schemas.openxmlformats.org/officeDocument/2006/relationships/hyperlink" Target="https://luna-dr.com/subjects/menstrual-manipulation/" TargetMode="External"/><Relationship Id="rId353" Type="http://schemas.openxmlformats.org/officeDocument/2006/relationships/hyperlink" Target="https://luna-dr.com/subjects/abnormal-vaginal-discharge/" TargetMode="External"/><Relationship Id="rId595" Type="http://schemas.openxmlformats.org/officeDocument/2006/relationships/hyperlink" Target="https://luna-dr.com/subjects/bridal-check/" TargetMode="External"/><Relationship Id="rId305" Type="http://schemas.openxmlformats.org/officeDocument/2006/relationships/hyperlink" Target="https://luna-dr.com/subjects/after-pill_page/" TargetMode="External"/><Relationship Id="rId547" Type="http://schemas.openxmlformats.org/officeDocument/2006/relationships/hyperlink" Target="https://luna-dr.com/subjects/abortion_page/" TargetMode="External"/><Relationship Id="rId789" Type="http://schemas.openxmlformats.org/officeDocument/2006/relationships/hyperlink" Target="https://docs.google.com/forms/d/e/1FAIpQLSc3UbKV7RThiDP2RwV5SJUs203CQCPFY-8VJJCWJch0nVxBOQ/viewform?usp=header" TargetMode="External"/><Relationship Id="rId304" Type="http://schemas.openxmlformats.org/officeDocument/2006/relationships/hyperlink" Target="https://luna-dr.com/subjects/after-pill_page/" TargetMode="External"/><Relationship Id="rId546" Type="http://schemas.openxmlformats.org/officeDocument/2006/relationships/hyperlink" Target="https://luna-dr.com/subjects/abortion_page/" TargetMode="External"/><Relationship Id="rId788" Type="http://schemas.openxmlformats.org/officeDocument/2006/relationships/hyperlink" Target="https://cline-app.com/qr-codes/98ad6f149bfa20f4f2a9a2e91aac4187/preview" TargetMode="External"/><Relationship Id="rId303" Type="http://schemas.openxmlformats.org/officeDocument/2006/relationships/hyperlink" Target="https://luna-dr.com/subjects/after-pill_page/" TargetMode="External"/><Relationship Id="rId545" Type="http://schemas.openxmlformats.org/officeDocument/2006/relationships/hyperlink" Target="https://luna-dr.com/subjects/abortion_page/" TargetMode="External"/><Relationship Id="rId787" Type="http://schemas.openxmlformats.org/officeDocument/2006/relationships/hyperlink" Target="https://cline-app.com/qr-codes/98ad6f149bfa20f4f2a9a2e91aac4187/preview" TargetMode="External"/><Relationship Id="rId302" Type="http://schemas.openxmlformats.org/officeDocument/2006/relationships/hyperlink" Target="https://luna-dr.com/subjects/after-pill_page/" TargetMode="External"/><Relationship Id="rId544" Type="http://schemas.openxmlformats.org/officeDocument/2006/relationships/hyperlink" Target="https://luna-dr.com/subjects/abortion_page/" TargetMode="External"/><Relationship Id="rId786" Type="http://schemas.openxmlformats.org/officeDocument/2006/relationships/hyperlink" Target="https://cline-app.com/qr-codes/98ad6f149bfa20f4f2a9a2e91aac4187/preview" TargetMode="External"/><Relationship Id="rId309" Type="http://schemas.openxmlformats.org/officeDocument/2006/relationships/hyperlink" Target="https://luna-dr.com/subjects/ius-treatment/" TargetMode="External"/><Relationship Id="rId308" Type="http://schemas.openxmlformats.org/officeDocument/2006/relationships/hyperlink" Target="https://luna-dr.com/subjects/ius-treatment/" TargetMode="External"/><Relationship Id="rId307" Type="http://schemas.openxmlformats.org/officeDocument/2006/relationships/hyperlink" Target="https://luna-dr.com/subjects/ius-treatment/" TargetMode="External"/><Relationship Id="rId549" Type="http://schemas.openxmlformats.org/officeDocument/2006/relationships/hyperlink" Target="https://luna-dr.com/subjects/abortion_page/" TargetMode="External"/><Relationship Id="rId306" Type="http://schemas.openxmlformats.org/officeDocument/2006/relationships/hyperlink" Target="https://luna-dr.com/subjects/after-pill_page/" TargetMode="External"/><Relationship Id="rId548" Type="http://schemas.openxmlformats.org/officeDocument/2006/relationships/hyperlink" Target="https://luna-dr.com/subjects/abortion_page/" TargetMode="External"/><Relationship Id="rId781" Type="http://schemas.openxmlformats.org/officeDocument/2006/relationships/hyperlink" Target="https://cline-app.com/qr-codes/98ad6f149bfa20f4f2a9a2e91aac4187/preview" TargetMode="External"/><Relationship Id="rId780" Type="http://schemas.openxmlformats.org/officeDocument/2006/relationships/hyperlink" Target="https://cline-app.com/qr-codes/98ad6f149bfa20f4f2a9a2e91aac4187/preview" TargetMode="External"/><Relationship Id="rId301" Type="http://schemas.openxmlformats.org/officeDocument/2006/relationships/hyperlink" Target="https://luna-dr.com/subjects/after-pill_page/" TargetMode="External"/><Relationship Id="rId543" Type="http://schemas.openxmlformats.org/officeDocument/2006/relationships/hyperlink" Target="https://luna-dr.com/subjects/pregnancy-test/" TargetMode="External"/><Relationship Id="rId785" Type="http://schemas.openxmlformats.org/officeDocument/2006/relationships/hyperlink" Target="https://cline-app.com/qr-codes/98ad6f149bfa20f4f2a9a2e91aac4187/preview" TargetMode="External"/><Relationship Id="rId300" Type="http://schemas.openxmlformats.org/officeDocument/2006/relationships/hyperlink" Target="https://luna-dr.com/subjects/after-pill_page/" TargetMode="External"/><Relationship Id="rId542" Type="http://schemas.openxmlformats.org/officeDocument/2006/relationships/hyperlink" Target="https://luna-dr.com/subjects/pregnancy-test/" TargetMode="External"/><Relationship Id="rId784" Type="http://schemas.openxmlformats.org/officeDocument/2006/relationships/hyperlink" Target="https://cline-app.com/qr-codes/98ad6f149bfa20f4f2a9a2e91aac4187/preview" TargetMode="External"/><Relationship Id="rId541" Type="http://schemas.openxmlformats.org/officeDocument/2006/relationships/hyperlink" Target="https://luna-dr.com/subjects/pregnancy-test/" TargetMode="External"/><Relationship Id="rId783" Type="http://schemas.openxmlformats.org/officeDocument/2006/relationships/hyperlink" Target="https://cline-app.com/qr-codes/98ad6f149bfa20f4f2a9a2e91aac4187/preview" TargetMode="External"/><Relationship Id="rId540" Type="http://schemas.openxmlformats.org/officeDocument/2006/relationships/hyperlink" Target="https://luna-dr.com/subjects/pregnancy-test/" TargetMode="External"/><Relationship Id="rId782" Type="http://schemas.openxmlformats.org/officeDocument/2006/relationships/hyperlink" Target="https://cline-app.com/qr-codes/98ad6f149bfa20f4f2a9a2e91aac4187/preview" TargetMode="External"/><Relationship Id="rId536" Type="http://schemas.openxmlformats.org/officeDocument/2006/relationships/hyperlink" Target="https://luna-dr.com/subjects/abortion_page/" TargetMode="External"/><Relationship Id="rId778" Type="http://schemas.openxmlformats.org/officeDocument/2006/relationships/hyperlink" Target="https://cline-app.com/qr-codes/98ad6f149bfa20f4f2a9a2e91aac4187/preview" TargetMode="External"/><Relationship Id="rId535" Type="http://schemas.openxmlformats.org/officeDocument/2006/relationships/hyperlink" Target="https://luna-dr.com/subjects/abortion_page/" TargetMode="External"/><Relationship Id="rId777" Type="http://schemas.openxmlformats.org/officeDocument/2006/relationships/hyperlink" Target="https://cline-app.com/qr-codes/98ad6f149bfa20f4f2a9a2e91aac4187/preview" TargetMode="External"/><Relationship Id="rId534" Type="http://schemas.openxmlformats.org/officeDocument/2006/relationships/hyperlink" Target="https://luna-dr.com/subjects/abortion_page/" TargetMode="External"/><Relationship Id="rId776" Type="http://schemas.openxmlformats.org/officeDocument/2006/relationships/hyperlink" Target="https://shop.luna-dr.com/products/lactobacillus" TargetMode="External"/><Relationship Id="rId533" Type="http://schemas.openxmlformats.org/officeDocument/2006/relationships/hyperlink" Target="https://luna-dr.com/subjects/abortion_page/" TargetMode="External"/><Relationship Id="rId775" Type="http://schemas.openxmlformats.org/officeDocument/2006/relationships/hyperlink" Target="https://luna-dr.notion.site/f0a26ab231534d8fa9cb069193c411a4" TargetMode="External"/><Relationship Id="rId539" Type="http://schemas.openxmlformats.org/officeDocument/2006/relationships/hyperlink" Target="https://luna-dr.com/subjects/pregnancy-test/" TargetMode="External"/><Relationship Id="rId538" Type="http://schemas.openxmlformats.org/officeDocument/2006/relationships/hyperlink" Target="https://luna-dr.com/subjects/pregnancy-test/" TargetMode="External"/><Relationship Id="rId537" Type="http://schemas.openxmlformats.org/officeDocument/2006/relationships/hyperlink" Target="https://luna-dr.com/subjects/pregnancy-test/" TargetMode="External"/><Relationship Id="rId779" Type="http://schemas.openxmlformats.org/officeDocument/2006/relationships/hyperlink" Target="https://cline-app.com/qr-codes/98ad6f149bfa20f4f2a9a2e91aac4187/preview" TargetMode="External"/><Relationship Id="rId770" Type="http://schemas.openxmlformats.org/officeDocument/2006/relationships/hyperlink" Target="https://shop.luna-dr.com/collections/low_dose_pill_subscription" TargetMode="External"/><Relationship Id="rId532" Type="http://schemas.openxmlformats.org/officeDocument/2006/relationships/hyperlink" Target="https://luna-dr.com/subjects/abortion_page/" TargetMode="External"/><Relationship Id="rId774" Type="http://schemas.openxmlformats.org/officeDocument/2006/relationships/hyperlink" Target="https://luna-dr.com/" TargetMode="External"/><Relationship Id="rId531" Type="http://schemas.openxmlformats.org/officeDocument/2006/relationships/hyperlink" Target="https://luna-dr.com/subjects/abortion_page/" TargetMode="External"/><Relationship Id="rId773" Type="http://schemas.openxmlformats.org/officeDocument/2006/relationships/hyperlink" Target="https://luna-dr.com/" TargetMode="External"/><Relationship Id="rId530" Type="http://schemas.openxmlformats.org/officeDocument/2006/relationships/hyperlink" Target="https://luna-dr.com/subjects/abortion_page/" TargetMode="External"/><Relationship Id="rId772" Type="http://schemas.openxmlformats.org/officeDocument/2006/relationships/hyperlink" Target="https://luna-dr.com/" TargetMode="External"/><Relationship Id="rId771" Type="http://schemas.openxmlformats.org/officeDocument/2006/relationships/hyperlink" Target="https://luna-dr.notion.site/1962f1eed8ff817497d6e727d9c32c73" TargetMode="External"/><Relationship Id="rId327" Type="http://schemas.openxmlformats.org/officeDocument/2006/relationships/hyperlink" Target="https://luna-dr.com/subjects/ius-treatment/" TargetMode="External"/><Relationship Id="rId569" Type="http://schemas.openxmlformats.org/officeDocument/2006/relationships/hyperlink" Target="https://luna-dr.com/subjects/abortion_page/" TargetMode="External"/><Relationship Id="rId326" Type="http://schemas.openxmlformats.org/officeDocument/2006/relationships/hyperlink" Target="https://luna-dr.com/subjects/ius-treatment/" TargetMode="External"/><Relationship Id="rId568" Type="http://schemas.openxmlformats.org/officeDocument/2006/relationships/hyperlink" Target="https://luna-dr.com/subjects/abortion_page/" TargetMode="External"/><Relationship Id="rId325" Type="http://schemas.openxmlformats.org/officeDocument/2006/relationships/hyperlink" Target="https://luna-dr.com/subjects/ius-treatment/" TargetMode="External"/><Relationship Id="rId567" Type="http://schemas.openxmlformats.org/officeDocument/2006/relationships/hyperlink" Target="https://luna-dr.com/subjects/abortion_page/" TargetMode="External"/><Relationship Id="rId324" Type="http://schemas.openxmlformats.org/officeDocument/2006/relationships/hyperlink" Target="https://luna-dr.com/subjects/ius-treatment/" TargetMode="External"/><Relationship Id="rId566" Type="http://schemas.openxmlformats.org/officeDocument/2006/relationships/hyperlink" Target="https://luna-dr.com/subjects/abortion_page/" TargetMode="External"/><Relationship Id="rId329" Type="http://schemas.openxmlformats.org/officeDocument/2006/relationships/hyperlink" Target="https://luna-dr.com/subjects/ius-treatment/" TargetMode="External"/><Relationship Id="rId328" Type="http://schemas.openxmlformats.org/officeDocument/2006/relationships/hyperlink" Target="https://luna-dr.com/subjects/ius-treatment/" TargetMode="External"/><Relationship Id="rId561" Type="http://schemas.openxmlformats.org/officeDocument/2006/relationships/hyperlink" Target="https://luna-dr.com/subjects/abortion_page/" TargetMode="External"/><Relationship Id="rId560" Type="http://schemas.openxmlformats.org/officeDocument/2006/relationships/hyperlink" Target="https://luna-dr.com/subjects/abortion_page/" TargetMode="External"/><Relationship Id="rId323" Type="http://schemas.openxmlformats.org/officeDocument/2006/relationships/hyperlink" Target="https://luna-dr.com/subjects/ius-treatment/" TargetMode="External"/><Relationship Id="rId565" Type="http://schemas.openxmlformats.org/officeDocument/2006/relationships/hyperlink" Target="https://luna-dr.com/subjects/abortion_page/" TargetMode="External"/><Relationship Id="rId322" Type="http://schemas.openxmlformats.org/officeDocument/2006/relationships/hyperlink" Target="https://luna-dr.com/subjects/ius-treatment/" TargetMode="External"/><Relationship Id="rId564" Type="http://schemas.openxmlformats.org/officeDocument/2006/relationships/hyperlink" Target="https://luna-dr.com/subjects/abortion_page/" TargetMode="External"/><Relationship Id="rId321" Type="http://schemas.openxmlformats.org/officeDocument/2006/relationships/hyperlink" Target="https://luna-dr.com/subjects/ius-treatment/" TargetMode="External"/><Relationship Id="rId563" Type="http://schemas.openxmlformats.org/officeDocument/2006/relationships/hyperlink" Target="https://luna-dr.com/subjects/abortion_page/" TargetMode="External"/><Relationship Id="rId320" Type="http://schemas.openxmlformats.org/officeDocument/2006/relationships/hyperlink" Target="https://luna-dr.com/subjects/ius-treatment/" TargetMode="External"/><Relationship Id="rId562" Type="http://schemas.openxmlformats.org/officeDocument/2006/relationships/hyperlink" Target="https://luna-dr.com/subjects/abortion_page/" TargetMode="External"/><Relationship Id="rId316" Type="http://schemas.openxmlformats.org/officeDocument/2006/relationships/hyperlink" Target="https://luna-dr.com/subjects/ius-treatment/" TargetMode="External"/><Relationship Id="rId558" Type="http://schemas.openxmlformats.org/officeDocument/2006/relationships/hyperlink" Target="https://luna-dr.com/subjects/abortion_page/" TargetMode="External"/><Relationship Id="rId315" Type="http://schemas.openxmlformats.org/officeDocument/2006/relationships/hyperlink" Target="https://luna-dr.com/subjects/ius-treatment/" TargetMode="External"/><Relationship Id="rId557" Type="http://schemas.openxmlformats.org/officeDocument/2006/relationships/hyperlink" Target="https://luna-dr.com/subjects/abortion_page/" TargetMode="External"/><Relationship Id="rId799" Type="http://schemas.openxmlformats.org/officeDocument/2006/relationships/hyperlink" Target="https://luna-dr.com/subjects/media/2794/" TargetMode="External"/><Relationship Id="rId314" Type="http://schemas.openxmlformats.org/officeDocument/2006/relationships/hyperlink" Target="https://luna-dr.com/subjects/ius-treatment/" TargetMode="External"/><Relationship Id="rId556" Type="http://schemas.openxmlformats.org/officeDocument/2006/relationships/hyperlink" Target="https://luna-dr.com/subjects/abortion_page/" TargetMode="External"/><Relationship Id="rId798" Type="http://schemas.openxmlformats.org/officeDocument/2006/relationships/hyperlink" Target="https://luna-dr.com/subjects/media/2794/" TargetMode="External"/><Relationship Id="rId313" Type="http://schemas.openxmlformats.org/officeDocument/2006/relationships/hyperlink" Target="https://luna-dr.com/subjects/ius-treatment/" TargetMode="External"/><Relationship Id="rId555" Type="http://schemas.openxmlformats.org/officeDocument/2006/relationships/hyperlink" Target="https://luna-dr.com/subjects/abortion_page/" TargetMode="External"/><Relationship Id="rId797" Type="http://schemas.openxmlformats.org/officeDocument/2006/relationships/hyperlink" Target="https://luna-dr.com/subjects/media/2794/" TargetMode="External"/><Relationship Id="rId319" Type="http://schemas.openxmlformats.org/officeDocument/2006/relationships/hyperlink" Target="https://luna-dr.com/subjects/ius-treatment/" TargetMode="External"/><Relationship Id="rId318" Type="http://schemas.openxmlformats.org/officeDocument/2006/relationships/hyperlink" Target="https://luna-dr.com/subjects/ius-treatment/" TargetMode="External"/><Relationship Id="rId317" Type="http://schemas.openxmlformats.org/officeDocument/2006/relationships/hyperlink" Target="https://luna-dr.com/subjects/ius-treatment/" TargetMode="External"/><Relationship Id="rId559" Type="http://schemas.openxmlformats.org/officeDocument/2006/relationships/hyperlink" Target="https://luna-dr.com/subjects/abortion_page/" TargetMode="External"/><Relationship Id="rId550" Type="http://schemas.openxmlformats.org/officeDocument/2006/relationships/hyperlink" Target="https://luna-dr.com/subjects/abortion_page/" TargetMode="External"/><Relationship Id="rId792" Type="http://schemas.openxmlformats.org/officeDocument/2006/relationships/hyperlink" Target="https://shop.luna-dr.com/collections/low_dose_pill_subscription" TargetMode="External"/><Relationship Id="rId791" Type="http://schemas.openxmlformats.org/officeDocument/2006/relationships/hyperlink" Target="https://luna-dr.com/" TargetMode="External"/><Relationship Id="rId790" Type="http://schemas.openxmlformats.org/officeDocument/2006/relationships/hyperlink" Target="https://luna-dr.notion.site/f0a26ab231534d8fa9cb069193c411a4" TargetMode="External"/><Relationship Id="rId312" Type="http://schemas.openxmlformats.org/officeDocument/2006/relationships/hyperlink" Target="https://luna-dr.com/subjects/ius-treatment/" TargetMode="External"/><Relationship Id="rId554" Type="http://schemas.openxmlformats.org/officeDocument/2006/relationships/hyperlink" Target="https://luna-dr.com/subjects/abortion_page/" TargetMode="External"/><Relationship Id="rId796" Type="http://schemas.openxmlformats.org/officeDocument/2006/relationships/hyperlink" Target="https://luna-dr.com/subjects/media/2794/" TargetMode="External"/><Relationship Id="rId311" Type="http://schemas.openxmlformats.org/officeDocument/2006/relationships/hyperlink" Target="https://luna-dr.com/subjects/ius-treatment/" TargetMode="External"/><Relationship Id="rId553" Type="http://schemas.openxmlformats.org/officeDocument/2006/relationships/hyperlink" Target="https://luna-dr.com/subjects/abortion_page/" TargetMode="External"/><Relationship Id="rId795" Type="http://schemas.openxmlformats.org/officeDocument/2006/relationships/hyperlink" Target="https://luna-dr.com/subjects/media/2794/" TargetMode="External"/><Relationship Id="rId310" Type="http://schemas.openxmlformats.org/officeDocument/2006/relationships/hyperlink" Target="https://luna-dr.com/subjects/ius-treatment/" TargetMode="External"/><Relationship Id="rId552" Type="http://schemas.openxmlformats.org/officeDocument/2006/relationships/hyperlink" Target="https://luna-dr.com/subjects/abortion_page/" TargetMode="External"/><Relationship Id="rId794" Type="http://schemas.openxmlformats.org/officeDocument/2006/relationships/hyperlink" Target="https://luna-dr.com/subjects/media/2794/" TargetMode="External"/><Relationship Id="rId551" Type="http://schemas.openxmlformats.org/officeDocument/2006/relationships/hyperlink" Target="https://luna-dr.com/subjects/abortion_page/" TargetMode="External"/><Relationship Id="rId793" Type="http://schemas.openxmlformats.org/officeDocument/2006/relationships/hyperlink" Target="https://luna-dr.com/subjects/pill-prescription/" TargetMode="External"/><Relationship Id="rId297" Type="http://schemas.openxmlformats.org/officeDocument/2006/relationships/hyperlink" Target="https://luna-dr.com/subjects/after-pill_page/" TargetMode="External"/><Relationship Id="rId296" Type="http://schemas.openxmlformats.org/officeDocument/2006/relationships/hyperlink" Target="https://luna-dr.com/subjects/after-pill_page/" TargetMode="External"/><Relationship Id="rId295" Type="http://schemas.openxmlformats.org/officeDocument/2006/relationships/hyperlink" Target="https://luna-dr.com/subjects/after-pill_page/" TargetMode="External"/><Relationship Id="rId294" Type="http://schemas.openxmlformats.org/officeDocument/2006/relationships/hyperlink" Target="https://luna-dr.com/subjects/after-pill_page/" TargetMode="External"/><Relationship Id="rId299" Type="http://schemas.openxmlformats.org/officeDocument/2006/relationships/hyperlink" Target="https://luna-dr.com/subjects/after-pill_page/" TargetMode="External"/><Relationship Id="rId298" Type="http://schemas.openxmlformats.org/officeDocument/2006/relationships/hyperlink" Target="https://luna-dr.com/subjects/after-pill_page/" TargetMode="External"/><Relationship Id="rId271" Type="http://schemas.openxmlformats.org/officeDocument/2006/relationships/hyperlink" Target="https://luna-dr.com/subjects/after-pill_page/" TargetMode="External"/><Relationship Id="rId270" Type="http://schemas.openxmlformats.org/officeDocument/2006/relationships/hyperlink" Target="https://luna-dr.com/subjects/after-pill_page/" TargetMode="External"/><Relationship Id="rId269" Type="http://schemas.openxmlformats.org/officeDocument/2006/relationships/hyperlink" Target="https://luna-dr.com/subjects/after-pill_page/" TargetMode="External"/><Relationship Id="rId264" Type="http://schemas.openxmlformats.org/officeDocument/2006/relationships/hyperlink" Target="https://luna-dr.com/subjects/low-dose-contraceptive/" TargetMode="External"/><Relationship Id="rId263" Type="http://schemas.openxmlformats.org/officeDocument/2006/relationships/hyperlink" Target="https://luna-dr.com/subjects/low-dose-contraceptive/" TargetMode="External"/><Relationship Id="rId262" Type="http://schemas.openxmlformats.org/officeDocument/2006/relationships/hyperlink" Target="https://luna-dr.com/subjects/low-dose-contraceptive/" TargetMode="External"/><Relationship Id="rId261" Type="http://schemas.openxmlformats.org/officeDocument/2006/relationships/hyperlink" Target="https://luna-dr.com/subjects/low-dose-contraceptive/" TargetMode="External"/><Relationship Id="rId268" Type="http://schemas.openxmlformats.org/officeDocument/2006/relationships/hyperlink" Target="https://luna-dr.com/subjects/after-pill_page/" TargetMode="External"/><Relationship Id="rId267" Type="http://schemas.openxmlformats.org/officeDocument/2006/relationships/hyperlink" Target="https://luna-dr.com/subjects/after-pill_page/" TargetMode="External"/><Relationship Id="rId266" Type="http://schemas.openxmlformats.org/officeDocument/2006/relationships/hyperlink" Target="https://luna-dr.com/subjects/low-dose-contraceptive/" TargetMode="External"/><Relationship Id="rId265" Type="http://schemas.openxmlformats.org/officeDocument/2006/relationships/hyperlink" Target="https://luna-dr.com/subjects/low-dose-contraceptive/" TargetMode="External"/><Relationship Id="rId260" Type="http://schemas.openxmlformats.org/officeDocument/2006/relationships/hyperlink" Target="https://luna-dr.com/subjects/low-dose-contraceptive/" TargetMode="External"/><Relationship Id="rId259" Type="http://schemas.openxmlformats.org/officeDocument/2006/relationships/hyperlink" Target="https://luna-dr.com/subjects/low-dose-contraceptive/" TargetMode="External"/><Relationship Id="rId258" Type="http://schemas.openxmlformats.org/officeDocument/2006/relationships/hyperlink" Target="https://luna-dr.com/subjects/low-dose-contraceptive/" TargetMode="External"/><Relationship Id="rId253" Type="http://schemas.openxmlformats.org/officeDocument/2006/relationships/hyperlink" Target="https://luna-dr.com/subjects/low-dose-contraceptive/" TargetMode="External"/><Relationship Id="rId495" Type="http://schemas.openxmlformats.org/officeDocument/2006/relationships/hyperlink" Target="https://luna-dr.com/subjects/pregnancy-test/" TargetMode="External"/><Relationship Id="rId252" Type="http://schemas.openxmlformats.org/officeDocument/2006/relationships/hyperlink" Target="https://luna-dr.com/subjects/low-dose-contraceptive/" TargetMode="External"/><Relationship Id="rId494" Type="http://schemas.openxmlformats.org/officeDocument/2006/relationships/hyperlink" Target="https://luna-dr.com/subjects/pregnancy-test/" TargetMode="External"/><Relationship Id="rId251" Type="http://schemas.openxmlformats.org/officeDocument/2006/relationships/hyperlink" Target="https://luna-dr.com/subjects/low-dose-contraceptive/" TargetMode="External"/><Relationship Id="rId493" Type="http://schemas.openxmlformats.org/officeDocument/2006/relationships/hyperlink" Target="https://luna-dr.com/subjects/pregnancy-test/" TargetMode="External"/><Relationship Id="rId250" Type="http://schemas.openxmlformats.org/officeDocument/2006/relationships/hyperlink" Target="https://luna-dr.com/subjects/low-dose-contraceptive/" TargetMode="External"/><Relationship Id="rId492" Type="http://schemas.openxmlformats.org/officeDocument/2006/relationships/hyperlink" Target="https://luna-dr.com/subjects/pregnancy-test/" TargetMode="External"/><Relationship Id="rId257" Type="http://schemas.openxmlformats.org/officeDocument/2006/relationships/hyperlink" Target="https://luna-dr.com/subjects/low-dose-contraceptive/" TargetMode="External"/><Relationship Id="rId499" Type="http://schemas.openxmlformats.org/officeDocument/2006/relationships/hyperlink" Target="https://luna-dr.com/subjects/pregnancy-test/" TargetMode="External"/><Relationship Id="rId256" Type="http://schemas.openxmlformats.org/officeDocument/2006/relationships/hyperlink" Target="https://luna-dr.com/subjects/low-dose-contraceptive/" TargetMode="External"/><Relationship Id="rId498" Type="http://schemas.openxmlformats.org/officeDocument/2006/relationships/hyperlink" Target="https://luna-dr.com/subjects/pregnancy-test/" TargetMode="External"/><Relationship Id="rId255" Type="http://schemas.openxmlformats.org/officeDocument/2006/relationships/hyperlink" Target="https://luna-dr.com/subjects/low-dose-contraceptive/" TargetMode="External"/><Relationship Id="rId497" Type="http://schemas.openxmlformats.org/officeDocument/2006/relationships/hyperlink" Target="https://luna-dr.com/subjects/pregnancy-test/" TargetMode="External"/><Relationship Id="rId254" Type="http://schemas.openxmlformats.org/officeDocument/2006/relationships/hyperlink" Target="https://luna-dr.com/subjects/low-dose-contraceptive/" TargetMode="External"/><Relationship Id="rId496" Type="http://schemas.openxmlformats.org/officeDocument/2006/relationships/hyperlink" Target="https://luna-dr.com/subjects/pregnancy-test/" TargetMode="External"/><Relationship Id="rId293" Type="http://schemas.openxmlformats.org/officeDocument/2006/relationships/hyperlink" Target="https://luna-dr.com/subjects/after-pill_page/" TargetMode="External"/><Relationship Id="rId292" Type="http://schemas.openxmlformats.org/officeDocument/2006/relationships/hyperlink" Target="https://luna-dr.com/subjects/after-pill_page/" TargetMode="External"/><Relationship Id="rId291" Type="http://schemas.openxmlformats.org/officeDocument/2006/relationships/hyperlink" Target="https://luna-dr.com/subjects/after-pill_page/" TargetMode="External"/><Relationship Id="rId290" Type="http://schemas.openxmlformats.org/officeDocument/2006/relationships/hyperlink" Target="https://luna-dr.com/subjects/after-pill_page/" TargetMode="External"/><Relationship Id="rId286" Type="http://schemas.openxmlformats.org/officeDocument/2006/relationships/hyperlink" Target="https://luna-dr.com/subjects/after-pill_page/" TargetMode="External"/><Relationship Id="rId285" Type="http://schemas.openxmlformats.org/officeDocument/2006/relationships/hyperlink" Target="https://luna-dr.com/subjects/after-pill_page/" TargetMode="External"/><Relationship Id="rId284" Type="http://schemas.openxmlformats.org/officeDocument/2006/relationships/hyperlink" Target="https://luna-dr.com/subjects/after-pill_page/" TargetMode="External"/><Relationship Id="rId283" Type="http://schemas.openxmlformats.org/officeDocument/2006/relationships/hyperlink" Target="https://luna-dr.com/subjects/after-pill_page/" TargetMode="External"/><Relationship Id="rId289" Type="http://schemas.openxmlformats.org/officeDocument/2006/relationships/hyperlink" Target="https://luna-dr.com/subjects/after-pill_page/" TargetMode="External"/><Relationship Id="rId288" Type="http://schemas.openxmlformats.org/officeDocument/2006/relationships/hyperlink" Target="https://luna-dr.com/subjects/after-pill_page/" TargetMode="External"/><Relationship Id="rId287" Type="http://schemas.openxmlformats.org/officeDocument/2006/relationships/hyperlink" Target="https://luna-dr.com/subjects/after-pill_page/" TargetMode="External"/><Relationship Id="rId282" Type="http://schemas.openxmlformats.org/officeDocument/2006/relationships/hyperlink" Target="https://luna-dr.com/subjects/after-pill_page/" TargetMode="External"/><Relationship Id="rId281" Type="http://schemas.openxmlformats.org/officeDocument/2006/relationships/hyperlink" Target="https://luna-dr.com/subjects/after-pill_page/" TargetMode="External"/><Relationship Id="rId280" Type="http://schemas.openxmlformats.org/officeDocument/2006/relationships/hyperlink" Target="https://luna-dr.com/subjects/after-pill_page/" TargetMode="External"/><Relationship Id="rId275" Type="http://schemas.openxmlformats.org/officeDocument/2006/relationships/hyperlink" Target="https://luna-dr.com/subjects/after-pill_page/" TargetMode="External"/><Relationship Id="rId274" Type="http://schemas.openxmlformats.org/officeDocument/2006/relationships/hyperlink" Target="https://luna-dr.com/subjects/after-pill_page/" TargetMode="External"/><Relationship Id="rId273" Type="http://schemas.openxmlformats.org/officeDocument/2006/relationships/hyperlink" Target="https://luna-dr.com/subjects/after-pill_page/" TargetMode="External"/><Relationship Id="rId272" Type="http://schemas.openxmlformats.org/officeDocument/2006/relationships/hyperlink" Target="https://luna-dr.com/subjects/after-pill_page/" TargetMode="External"/><Relationship Id="rId279" Type="http://schemas.openxmlformats.org/officeDocument/2006/relationships/hyperlink" Target="https://luna-dr.com/subjects/after-pill_page/" TargetMode="External"/><Relationship Id="rId278" Type="http://schemas.openxmlformats.org/officeDocument/2006/relationships/hyperlink" Target="https://luna-dr.com/subjects/after-pill_page/" TargetMode="External"/><Relationship Id="rId277" Type="http://schemas.openxmlformats.org/officeDocument/2006/relationships/hyperlink" Target="https://luna-dr.com/subjects/after-pill_page/" TargetMode="External"/><Relationship Id="rId276" Type="http://schemas.openxmlformats.org/officeDocument/2006/relationships/hyperlink" Target="https://luna-dr.com/subjects/after-pill_page/" TargetMode="External"/><Relationship Id="rId629" Type="http://schemas.openxmlformats.org/officeDocument/2006/relationships/hyperlink" Target="https://luna-dr.com/subjects/medical-checkup/" TargetMode="External"/><Relationship Id="rId624" Type="http://schemas.openxmlformats.org/officeDocument/2006/relationships/hyperlink" Target="https://luna-dr.com/subjects/medical-checkup/" TargetMode="External"/><Relationship Id="rId866" Type="http://schemas.openxmlformats.org/officeDocument/2006/relationships/hyperlink" Target="https://luna-dr.com/kawasaki/price/" TargetMode="External"/><Relationship Id="rId623" Type="http://schemas.openxmlformats.org/officeDocument/2006/relationships/hyperlink" Target="https://luna-dr.com/subjects/medical-checkup/" TargetMode="External"/><Relationship Id="rId865" Type="http://schemas.openxmlformats.org/officeDocument/2006/relationships/hyperlink" Target="https://luna-dr.com/kawasaki/price/" TargetMode="External"/><Relationship Id="rId622" Type="http://schemas.openxmlformats.org/officeDocument/2006/relationships/hyperlink" Target="https://luna-dr.com/subjects/medical-checkup/" TargetMode="External"/><Relationship Id="rId864" Type="http://schemas.openxmlformats.org/officeDocument/2006/relationships/hyperlink" Target="https://luna-dr.com/kawasaki/price/" TargetMode="External"/><Relationship Id="rId621" Type="http://schemas.openxmlformats.org/officeDocument/2006/relationships/hyperlink" Target="https://luna-dr.com/subjects/medical-checkup/" TargetMode="External"/><Relationship Id="rId863" Type="http://schemas.openxmlformats.org/officeDocument/2006/relationships/hyperlink" Target="https://luna-dr.com/kawasaki/price/" TargetMode="External"/><Relationship Id="rId628" Type="http://schemas.openxmlformats.org/officeDocument/2006/relationships/hyperlink" Target="https://luna-dr.com/subjects/medical-checkup/" TargetMode="External"/><Relationship Id="rId627" Type="http://schemas.openxmlformats.org/officeDocument/2006/relationships/hyperlink" Target="https://luna-dr.com/subjects/medical-checkup/" TargetMode="External"/><Relationship Id="rId869" Type="http://schemas.openxmlformats.org/officeDocument/2006/relationships/hyperlink" Target="https://luna-dr.com/kawasaki/price/" TargetMode="External"/><Relationship Id="rId626" Type="http://schemas.openxmlformats.org/officeDocument/2006/relationships/hyperlink" Target="https://luna-dr.com/subjects/medical-checkup/" TargetMode="External"/><Relationship Id="rId868" Type="http://schemas.openxmlformats.org/officeDocument/2006/relationships/hyperlink" Target="https://luna-dr.com/kawasaki/price/" TargetMode="External"/><Relationship Id="rId625" Type="http://schemas.openxmlformats.org/officeDocument/2006/relationships/hyperlink" Target="https://luna-dr.com/subjects/medical-checkup/" TargetMode="External"/><Relationship Id="rId867" Type="http://schemas.openxmlformats.org/officeDocument/2006/relationships/hyperlink" Target="https://luna-dr.com/kawasaki/price/" TargetMode="External"/><Relationship Id="rId620" Type="http://schemas.openxmlformats.org/officeDocument/2006/relationships/hyperlink" Target="https://luna-dr.com/subjects/medical-checkup/" TargetMode="External"/><Relationship Id="rId862" Type="http://schemas.openxmlformats.org/officeDocument/2006/relationships/hyperlink" Target="https://luna-dr.com/kawasaki/price/" TargetMode="External"/><Relationship Id="rId861" Type="http://schemas.openxmlformats.org/officeDocument/2006/relationships/hyperlink" Target="https://luna-dr.com/kawasaki/price/" TargetMode="External"/><Relationship Id="rId860" Type="http://schemas.openxmlformats.org/officeDocument/2006/relationships/hyperlink" Target="https://luna-dr.com/kawasaki/price/" TargetMode="External"/><Relationship Id="rId619" Type="http://schemas.openxmlformats.org/officeDocument/2006/relationships/hyperlink" Target="https://luna-dr.com/subjects/medical-checkup/" TargetMode="External"/><Relationship Id="rId618" Type="http://schemas.openxmlformats.org/officeDocument/2006/relationships/hyperlink" Target="https://luna-dr.com/subjects/medical-checkup/" TargetMode="External"/><Relationship Id="rId613" Type="http://schemas.openxmlformats.org/officeDocument/2006/relationships/hyperlink" Target="https://luna-dr.com/subjects/medical-checkup/" TargetMode="External"/><Relationship Id="rId855" Type="http://schemas.openxmlformats.org/officeDocument/2006/relationships/hyperlink" Target="https://luna-dr.com/kawasaki/price/" TargetMode="External"/><Relationship Id="rId612" Type="http://schemas.openxmlformats.org/officeDocument/2006/relationships/hyperlink" Target="https://luna-dr.com/subjects/medical-checkup/" TargetMode="External"/><Relationship Id="rId854" Type="http://schemas.openxmlformats.org/officeDocument/2006/relationships/hyperlink" Target="https://luna-dr.com/kawasaki/price/" TargetMode="External"/><Relationship Id="rId611" Type="http://schemas.openxmlformats.org/officeDocument/2006/relationships/hyperlink" Target="https://luna-dr.com/subjects/medical-checkup/" TargetMode="External"/><Relationship Id="rId853" Type="http://schemas.openxmlformats.org/officeDocument/2006/relationships/hyperlink" Target="https://luna-dr.com/kawasaki/price/" TargetMode="External"/><Relationship Id="rId610" Type="http://schemas.openxmlformats.org/officeDocument/2006/relationships/hyperlink" Target="https://luna-dr.com/subjects/medical-checkup/" TargetMode="External"/><Relationship Id="rId852" Type="http://schemas.openxmlformats.org/officeDocument/2006/relationships/hyperlink" Target="https://luna-dr.com/kawasaki/price/" TargetMode="External"/><Relationship Id="rId617" Type="http://schemas.openxmlformats.org/officeDocument/2006/relationships/hyperlink" Target="https://luna-dr.com/subjects/medical-checkup/" TargetMode="External"/><Relationship Id="rId859" Type="http://schemas.openxmlformats.org/officeDocument/2006/relationships/hyperlink" Target="https://luna-dr.com/kawasaki/price/" TargetMode="External"/><Relationship Id="rId616" Type="http://schemas.openxmlformats.org/officeDocument/2006/relationships/hyperlink" Target="https://luna-dr.com/subjects/medical-checkup/" TargetMode="External"/><Relationship Id="rId858" Type="http://schemas.openxmlformats.org/officeDocument/2006/relationships/hyperlink" Target="https://luna-dr.com/kawasaki/price/" TargetMode="External"/><Relationship Id="rId615" Type="http://schemas.openxmlformats.org/officeDocument/2006/relationships/hyperlink" Target="https://luna-dr.com/subjects/medical-checkup/" TargetMode="External"/><Relationship Id="rId857" Type="http://schemas.openxmlformats.org/officeDocument/2006/relationships/hyperlink" Target="https://luna-dr.com/kawasaki/price/" TargetMode="External"/><Relationship Id="rId614" Type="http://schemas.openxmlformats.org/officeDocument/2006/relationships/hyperlink" Target="https://luna-dr.com/subjects/medical-checkup/" TargetMode="External"/><Relationship Id="rId856" Type="http://schemas.openxmlformats.org/officeDocument/2006/relationships/hyperlink" Target="https://luna-dr.com/kawasaki/price/" TargetMode="External"/><Relationship Id="rId851" Type="http://schemas.openxmlformats.org/officeDocument/2006/relationships/hyperlink" Target="https://luna-dr.com/kawasaki/price/" TargetMode="External"/><Relationship Id="rId850" Type="http://schemas.openxmlformats.org/officeDocument/2006/relationships/hyperlink" Target="https://luna-dr.com/kawasaki/price/" TargetMode="External"/><Relationship Id="rId409" Type="http://schemas.openxmlformats.org/officeDocument/2006/relationships/hyperlink" Target="https://luna-dr.com/subjects/irregular-genital-bleeding/" TargetMode="External"/><Relationship Id="rId404" Type="http://schemas.openxmlformats.org/officeDocument/2006/relationships/hyperlink" Target="https://luna-dr.com/subjects/irregular-genital-bleeding/" TargetMode="External"/><Relationship Id="rId646" Type="http://schemas.openxmlformats.org/officeDocument/2006/relationships/hyperlink" Target="https://luna-dr.com/subjects/medical-checkup/" TargetMode="External"/><Relationship Id="rId888" Type="http://schemas.openxmlformats.org/officeDocument/2006/relationships/hyperlink" Target="https://luna-dr.com/kawasaki/price/" TargetMode="External"/><Relationship Id="rId403" Type="http://schemas.openxmlformats.org/officeDocument/2006/relationships/hyperlink" Target="https://luna-dr.com/subjects/irregular-genital-bleeding/" TargetMode="External"/><Relationship Id="rId645" Type="http://schemas.openxmlformats.org/officeDocument/2006/relationships/hyperlink" Target="https://luna-dr.com/subjects/medical-checkup/" TargetMode="External"/><Relationship Id="rId887" Type="http://schemas.openxmlformats.org/officeDocument/2006/relationships/hyperlink" Target="https://luna-dr.com/kawasaki/price/" TargetMode="External"/><Relationship Id="rId402" Type="http://schemas.openxmlformats.org/officeDocument/2006/relationships/hyperlink" Target="https://luna-dr.com/subjects/irregular-genital-bleeding/" TargetMode="External"/><Relationship Id="rId644" Type="http://schemas.openxmlformats.org/officeDocument/2006/relationships/hyperlink" Target="https://luna-dr.com/subjects/medical-checkup/" TargetMode="External"/><Relationship Id="rId886" Type="http://schemas.openxmlformats.org/officeDocument/2006/relationships/hyperlink" Target="https://luna-dr.com/kawasaki/price/" TargetMode="External"/><Relationship Id="rId401" Type="http://schemas.openxmlformats.org/officeDocument/2006/relationships/hyperlink" Target="https://luna-dr.com/subjects/irregular-genital-bleeding/" TargetMode="External"/><Relationship Id="rId643" Type="http://schemas.openxmlformats.org/officeDocument/2006/relationships/hyperlink" Target="https://luna-dr.com/subjects/medical-checkup/" TargetMode="External"/><Relationship Id="rId885" Type="http://schemas.openxmlformats.org/officeDocument/2006/relationships/hyperlink" Target="https://luna-dr.com/kawasaki/price/" TargetMode="External"/><Relationship Id="rId408" Type="http://schemas.openxmlformats.org/officeDocument/2006/relationships/hyperlink" Target="https://luna-dr.com/subjects/irregular-genital-bleeding/" TargetMode="External"/><Relationship Id="rId407" Type="http://schemas.openxmlformats.org/officeDocument/2006/relationships/hyperlink" Target="https://luna-dr.com/subjects/irregular-genital-bleeding/" TargetMode="External"/><Relationship Id="rId649" Type="http://schemas.openxmlformats.org/officeDocument/2006/relationships/hyperlink" Target="https://luna-dr.com/subjects/medical-checkup/" TargetMode="External"/><Relationship Id="rId406" Type="http://schemas.openxmlformats.org/officeDocument/2006/relationships/hyperlink" Target="https://luna-dr.com/subjects/irregular-genital-bleeding/" TargetMode="External"/><Relationship Id="rId648" Type="http://schemas.openxmlformats.org/officeDocument/2006/relationships/hyperlink" Target="https://luna-dr.com/subjects/medical-checkup/" TargetMode="External"/><Relationship Id="rId405" Type="http://schemas.openxmlformats.org/officeDocument/2006/relationships/hyperlink" Target="https://luna-dr.com/subjects/irregular-genital-bleeding/" TargetMode="External"/><Relationship Id="rId647" Type="http://schemas.openxmlformats.org/officeDocument/2006/relationships/hyperlink" Target="https://luna-dr.com/subjects/medical-checkup/" TargetMode="External"/><Relationship Id="rId889" Type="http://schemas.openxmlformats.org/officeDocument/2006/relationships/hyperlink" Target="https://luna-dr.com/kawasaki/price/" TargetMode="External"/><Relationship Id="rId880" Type="http://schemas.openxmlformats.org/officeDocument/2006/relationships/hyperlink" Target="https://luna-dr.com/kawasaki/price/" TargetMode="External"/><Relationship Id="rId400" Type="http://schemas.openxmlformats.org/officeDocument/2006/relationships/hyperlink" Target="https://luna-dr.com/subjects/irregular-genital-bleeding/" TargetMode="External"/><Relationship Id="rId642" Type="http://schemas.openxmlformats.org/officeDocument/2006/relationships/hyperlink" Target="https://luna-dr.com/subjects/medical-checkup/" TargetMode="External"/><Relationship Id="rId884" Type="http://schemas.openxmlformats.org/officeDocument/2006/relationships/hyperlink" Target="https://luna-dr.com/kawasaki/price/" TargetMode="External"/><Relationship Id="rId641" Type="http://schemas.openxmlformats.org/officeDocument/2006/relationships/hyperlink" Target="https://luna-dr.com/subjects/medical-checkup/" TargetMode="External"/><Relationship Id="rId883" Type="http://schemas.openxmlformats.org/officeDocument/2006/relationships/hyperlink" Target="https://luna-dr.com/kawasaki/price/" TargetMode="External"/><Relationship Id="rId640" Type="http://schemas.openxmlformats.org/officeDocument/2006/relationships/hyperlink" Target="https://luna-dr.com/subjects/medical-checkup/" TargetMode="External"/><Relationship Id="rId882" Type="http://schemas.openxmlformats.org/officeDocument/2006/relationships/hyperlink" Target="https://luna-dr.com/kawasaki/price/" TargetMode="External"/><Relationship Id="rId881" Type="http://schemas.openxmlformats.org/officeDocument/2006/relationships/hyperlink" Target="https://luna-dr.com/kawasaki/price/" TargetMode="External"/><Relationship Id="rId635" Type="http://schemas.openxmlformats.org/officeDocument/2006/relationships/hyperlink" Target="https://luna-dr.com/subjects/medical-checkup/" TargetMode="External"/><Relationship Id="rId877" Type="http://schemas.openxmlformats.org/officeDocument/2006/relationships/hyperlink" Target="https://luna-dr.com/kawasaki/price/" TargetMode="External"/><Relationship Id="rId634" Type="http://schemas.openxmlformats.org/officeDocument/2006/relationships/hyperlink" Target="https://luna-dr.com/subjects/medical-checkup/" TargetMode="External"/><Relationship Id="rId876" Type="http://schemas.openxmlformats.org/officeDocument/2006/relationships/hyperlink" Target="https://luna-dr.com/kawasaki/price/" TargetMode="External"/><Relationship Id="rId633" Type="http://schemas.openxmlformats.org/officeDocument/2006/relationships/hyperlink" Target="https://luna-dr.com/subjects/medical-checkup/" TargetMode="External"/><Relationship Id="rId875" Type="http://schemas.openxmlformats.org/officeDocument/2006/relationships/hyperlink" Target="https://luna-dr.com/kawasaki/price/" TargetMode="External"/><Relationship Id="rId632" Type="http://schemas.openxmlformats.org/officeDocument/2006/relationships/hyperlink" Target="https://luna-dr.com/subjects/medical-checkup/" TargetMode="External"/><Relationship Id="rId874" Type="http://schemas.openxmlformats.org/officeDocument/2006/relationships/hyperlink" Target="https://luna-dr.com/kawasaki/price/" TargetMode="External"/><Relationship Id="rId639" Type="http://schemas.openxmlformats.org/officeDocument/2006/relationships/hyperlink" Target="https://luna-dr.com/subjects/medical-checkup/" TargetMode="External"/><Relationship Id="rId638" Type="http://schemas.openxmlformats.org/officeDocument/2006/relationships/hyperlink" Target="https://luna-dr.com/subjects/medical-checkup/" TargetMode="External"/><Relationship Id="rId637" Type="http://schemas.openxmlformats.org/officeDocument/2006/relationships/hyperlink" Target="https://luna-dr.com/subjects/medical-checkup/" TargetMode="External"/><Relationship Id="rId879" Type="http://schemas.openxmlformats.org/officeDocument/2006/relationships/hyperlink" Target="https://luna-dr.com/kawasaki/price/" TargetMode="External"/><Relationship Id="rId636" Type="http://schemas.openxmlformats.org/officeDocument/2006/relationships/hyperlink" Target="https://luna-dr.com/subjects/medical-checkup/" TargetMode="External"/><Relationship Id="rId878" Type="http://schemas.openxmlformats.org/officeDocument/2006/relationships/hyperlink" Target="https://luna-dr.com/kawasaki/price/" TargetMode="External"/><Relationship Id="rId631" Type="http://schemas.openxmlformats.org/officeDocument/2006/relationships/hyperlink" Target="https://luna-dr.com/subjects/medical-checkup/" TargetMode="External"/><Relationship Id="rId873" Type="http://schemas.openxmlformats.org/officeDocument/2006/relationships/hyperlink" Target="https://luna-dr.com/kawasaki/price/" TargetMode="External"/><Relationship Id="rId630" Type="http://schemas.openxmlformats.org/officeDocument/2006/relationships/hyperlink" Target="https://luna-dr.com/subjects/medical-checkup/" TargetMode="External"/><Relationship Id="rId872" Type="http://schemas.openxmlformats.org/officeDocument/2006/relationships/hyperlink" Target="https://luna-dr.com/kawasaki/price/" TargetMode="External"/><Relationship Id="rId871" Type="http://schemas.openxmlformats.org/officeDocument/2006/relationships/hyperlink" Target="https://luna-dr.com/kawasaki/price/" TargetMode="External"/><Relationship Id="rId870" Type="http://schemas.openxmlformats.org/officeDocument/2006/relationships/hyperlink" Target="https://luna-dr.com/kawasaki/price/" TargetMode="External"/><Relationship Id="rId829" Type="http://schemas.openxmlformats.org/officeDocument/2006/relationships/hyperlink" Target="https://luna-dr.com/kawasaki/price/" TargetMode="External"/><Relationship Id="rId828" Type="http://schemas.openxmlformats.org/officeDocument/2006/relationships/hyperlink" Target="https://luna-dr.com/kawasaki/price/" TargetMode="External"/><Relationship Id="rId827" Type="http://schemas.openxmlformats.org/officeDocument/2006/relationships/hyperlink" Target="https://luna-dr.com/kawasaki/doctors/" TargetMode="External"/><Relationship Id="rId822" Type="http://schemas.openxmlformats.org/officeDocument/2006/relationships/hyperlink" Target="https://luna-dr.com/kawasaki/consultation-hours/" TargetMode="External"/><Relationship Id="rId821" Type="http://schemas.openxmlformats.org/officeDocument/2006/relationships/hyperlink" Target="https://luna-dr.com/kawasaki/consultation-hours/" TargetMode="External"/><Relationship Id="rId820" Type="http://schemas.openxmlformats.org/officeDocument/2006/relationships/hyperlink" Target="https://luna-dr.com/kawasaki/consultation-hours/" TargetMode="External"/><Relationship Id="rId826" Type="http://schemas.openxmlformats.org/officeDocument/2006/relationships/hyperlink" Target="https://luna-dr.com/kawasaki/doctors/" TargetMode="External"/><Relationship Id="rId825" Type="http://schemas.openxmlformats.org/officeDocument/2006/relationships/hyperlink" Target="https://luna-dr.com/kawasaki/doctors/" TargetMode="External"/><Relationship Id="rId824" Type="http://schemas.openxmlformats.org/officeDocument/2006/relationships/hyperlink" Target="https://luna-dr.com/kawasaki/doctors/" TargetMode="External"/><Relationship Id="rId823" Type="http://schemas.openxmlformats.org/officeDocument/2006/relationships/hyperlink" Target="https://luna-dr.com/machida/doctors/" TargetMode="External"/><Relationship Id="rId819" Type="http://schemas.openxmlformats.org/officeDocument/2006/relationships/hyperlink" Target="https://luna-dr.com/kawasaki/access/" TargetMode="External"/><Relationship Id="rId818" Type="http://schemas.openxmlformats.org/officeDocument/2006/relationships/hyperlink" Target="https://luna-dr.com/kawasaki/" TargetMode="External"/><Relationship Id="rId817" Type="http://schemas.openxmlformats.org/officeDocument/2006/relationships/hyperlink" Target="https://luna-dr.com/kawasaki/" TargetMode="External"/><Relationship Id="rId816" Type="http://schemas.openxmlformats.org/officeDocument/2006/relationships/hyperlink" Target="https://luna-dr.com/kawasaki/" TargetMode="External"/><Relationship Id="rId811" Type="http://schemas.openxmlformats.org/officeDocument/2006/relationships/hyperlink" Target="https://luna-dr.com/kawasaki/" TargetMode="External"/><Relationship Id="rId810" Type="http://schemas.openxmlformats.org/officeDocument/2006/relationships/hyperlink" Target="https://luna-dr.com/kawasaki/" TargetMode="External"/><Relationship Id="rId815" Type="http://schemas.openxmlformats.org/officeDocument/2006/relationships/hyperlink" Target="https://luna-dr.com/kawasaki/" TargetMode="External"/><Relationship Id="rId814" Type="http://schemas.openxmlformats.org/officeDocument/2006/relationships/hyperlink" Target="https://luna-dr.com/kawasaki/" TargetMode="External"/><Relationship Id="rId813" Type="http://schemas.openxmlformats.org/officeDocument/2006/relationships/hyperlink" Target="https://luna-dr.com/kawasaki/" TargetMode="External"/><Relationship Id="rId812" Type="http://schemas.openxmlformats.org/officeDocument/2006/relationships/hyperlink" Target="https://luna-dr.com/kawasaki/" TargetMode="External"/><Relationship Id="rId609" Type="http://schemas.openxmlformats.org/officeDocument/2006/relationships/hyperlink" Target="https://luna-dr.com/subjects/medical-checkup/" TargetMode="External"/><Relationship Id="rId608" Type="http://schemas.openxmlformats.org/officeDocument/2006/relationships/hyperlink" Target="https://luna-dr.com/subjects/medical-checkup/" TargetMode="External"/><Relationship Id="rId607" Type="http://schemas.openxmlformats.org/officeDocument/2006/relationships/hyperlink" Target="https://luna-dr.com/subjects/medical-checkup/" TargetMode="External"/><Relationship Id="rId849" Type="http://schemas.openxmlformats.org/officeDocument/2006/relationships/hyperlink" Target="https://luna-dr.com/kawasaki/price/" TargetMode="External"/><Relationship Id="rId602" Type="http://schemas.openxmlformats.org/officeDocument/2006/relationships/hyperlink" Target="https://luna-dr.com/subjects/medical-checkup/" TargetMode="External"/><Relationship Id="rId844" Type="http://schemas.openxmlformats.org/officeDocument/2006/relationships/hyperlink" Target="https://luna-dr.com/kawasaki/price/" TargetMode="External"/><Relationship Id="rId601" Type="http://schemas.openxmlformats.org/officeDocument/2006/relationships/hyperlink" Target="https://luna-dr.com/subjects/medical-checkup/" TargetMode="External"/><Relationship Id="rId843" Type="http://schemas.openxmlformats.org/officeDocument/2006/relationships/hyperlink" Target="https://luna-dr.com/kawasaki/price/" TargetMode="External"/><Relationship Id="rId600" Type="http://schemas.openxmlformats.org/officeDocument/2006/relationships/hyperlink" Target="https://luna-dr.com/subjects/medical-checkup/" TargetMode="External"/><Relationship Id="rId842" Type="http://schemas.openxmlformats.org/officeDocument/2006/relationships/hyperlink" Target="https://luna-dr.com/kawasaki/price/" TargetMode="External"/><Relationship Id="rId841" Type="http://schemas.openxmlformats.org/officeDocument/2006/relationships/hyperlink" Target="https://luna-dr.com/kawasaki/price/" TargetMode="External"/><Relationship Id="rId606" Type="http://schemas.openxmlformats.org/officeDocument/2006/relationships/hyperlink" Target="https://luna-dr.com/subjects/medical-checkup/" TargetMode="External"/><Relationship Id="rId848" Type="http://schemas.openxmlformats.org/officeDocument/2006/relationships/hyperlink" Target="https://luna-dr.com/kawasaki/price/" TargetMode="External"/><Relationship Id="rId605" Type="http://schemas.openxmlformats.org/officeDocument/2006/relationships/hyperlink" Target="https://luna-dr.com/subjects/medical-checkup/" TargetMode="External"/><Relationship Id="rId847" Type="http://schemas.openxmlformats.org/officeDocument/2006/relationships/hyperlink" Target="https://luna-dr.com/kawasaki/price/" TargetMode="External"/><Relationship Id="rId604" Type="http://schemas.openxmlformats.org/officeDocument/2006/relationships/hyperlink" Target="https://luna-dr.com/subjects/medical-checkup/" TargetMode="External"/><Relationship Id="rId846" Type="http://schemas.openxmlformats.org/officeDocument/2006/relationships/hyperlink" Target="https://luna-dr.com/kawasaki/price/" TargetMode="External"/><Relationship Id="rId603" Type="http://schemas.openxmlformats.org/officeDocument/2006/relationships/hyperlink" Target="https://luna-dr.com/subjects/medical-checkup/" TargetMode="External"/><Relationship Id="rId845" Type="http://schemas.openxmlformats.org/officeDocument/2006/relationships/hyperlink" Target="https://luna-dr.com/kawasaki/price/" TargetMode="External"/><Relationship Id="rId840" Type="http://schemas.openxmlformats.org/officeDocument/2006/relationships/hyperlink" Target="https://luna-dr.com/kawasaki/price/" TargetMode="External"/><Relationship Id="rId839" Type="http://schemas.openxmlformats.org/officeDocument/2006/relationships/hyperlink" Target="https://luna-dr.com/kawasaki/price/" TargetMode="External"/><Relationship Id="rId838" Type="http://schemas.openxmlformats.org/officeDocument/2006/relationships/hyperlink" Target="https://luna-dr.com/kawasaki/price/" TargetMode="External"/><Relationship Id="rId833" Type="http://schemas.openxmlformats.org/officeDocument/2006/relationships/hyperlink" Target="https://luna-dr.com/kawasaki/price/" TargetMode="External"/><Relationship Id="rId832" Type="http://schemas.openxmlformats.org/officeDocument/2006/relationships/hyperlink" Target="https://luna-dr.com/kawasaki/price/" TargetMode="External"/><Relationship Id="rId831" Type="http://schemas.openxmlformats.org/officeDocument/2006/relationships/hyperlink" Target="https://luna-dr.com/kawasaki/price/" TargetMode="External"/><Relationship Id="rId830" Type="http://schemas.openxmlformats.org/officeDocument/2006/relationships/hyperlink" Target="https://luna-dr.com/kawasaki/price/" TargetMode="External"/><Relationship Id="rId837" Type="http://schemas.openxmlformats.org/officeDocument/2006/relationships/hyperlink" Target="https://luna-dr.com/kawasaki/price/" TargetMode="External"/><Relationship Id="rId836" Type="http://schemas.openxmlformats.org/officeDocument/2006/relationships/hyperlink" Target="https://luna-dr.com/kawasaki/price/" TargetMode="External"/><Relationship Id="rId835" Type="http://schemas.openxmlformats.org/officeDocument/2006/relationships/hyperlink" Target="https://luna-dr.com/kawasaki/price/" TargetMode="External"/><Relationship Id="rId834" Type="http://schemas.openxmlformats.org/officeDocument/2006/relationships/hyperlink" Target="https://luna-dr.com/kawasaki/price/" TargetMode="External"/><Relationship Id="rId228" Type="http://schemas.openxmlformats.org/officeDocument/2006/relationships/hyperlink" Target="https://luna-dr.com/subjects/low-dose-contraceptive/" TargetMode="External"/><Relationship Id="rId227" Type="http://schemas.openxmlformats.org/officeDocument/2006/relationships/hyperlink" Target="https://luna-dr.com/subjects/low-dose-contraceptive/" TargetMode="External"/><Relationship Id="rId469" Type="http://schemas.openxmlformats.org/officeDocument/2006/relationships/hyperlink" Target="https://luna-dr.com/subjects/std/" TargetMode="External"/><Relationship Id="rId226" Type="http://schemas.openxmlformats.org/officeDocument/2006/relationships/hyperlink" Target="https://luna-dr.com/subjects/low-dose-contraceptive/" TargetMode="External"/><Relationship Id="rId468" Type="http://schemas.openxmlformats.org/officeDocument/2006/relationships/hyperlink" Target="https://luna-dr.com/subjects/std/" TargetMode="External"/><Relationship Id="rId225" Type="http://schemas.openxmlformats.org/officeDocument/2006/relationships/hyperlink" Target="https://luna-dr.com/subjects/low-dose-contraceptive/" TargetMode="External"/><Relationship Id="rId467" Type="http://schemas.openxmlformats.org/officeDocument/2006/relationships/hyperlink" Target="https://luna-dr.com/subjects/std/" TargetMode="External"/><Relationship Id="rId229" Type="http://schemas.openxmlformats.org/officeDocument/2006/relationships/hyperlink" Target="https://luna-dr.com/subjects/low-dose-contraceptive/" TargetMode="External"/><Relationship Id="rId220" Type="http://schemas.openxmlformats.org/officeDocument/2006/relationships/hyperlink" Target="https://luna-dr.com/subjects/pill-prescription/" TargetMode="External"/><Relationship Id="rId462" Type="http://schemas.openxmlformats.org/officeDocument/2006/relationships/hyperlink" Target="https://luna-dr.com/subjects/std/" TargetMode="External"/><Relationship Id="rId461" Type="http://schemas.openxmlformats.org/officeDocument/2006/relationships/hyperlink" Target="https://luna-dr.com/subjects/std/" TargetMode="External"/><Relationship Id="rId460" Type="http://schemas.openxmlformats.org/officeDocument/2006/relationships/hyperlink" Target="https://luna-dr.com/subjects/std/" TargetMode="External"/><Relationship Id="rId224" Type="http://schemas.openxmlformats.org/officeDocument/2006/relationships/hyperlink" Target="https://luna-dr.com/subjects/low-dose-contraceptive/" TargetMode="External"/><Relationship Id="rId466" Type="http://schemas.openxmlformats.org/officeDocument/2006/relationships/hyperlink" Target="https://luna-dr.com/subjects/std/" TargetMode="External"/><Relationship Id="rId223" Type="http://schemas.openxmlformats.org/officeDocument/2006/relationships/hyperlink" Target="https://luna-dr.com/subjects/pill-prescription/" TargetMode="External"/><Relationship Id="rId465" Type="http://schemas.openxmlformats.org/officeDocument/2006/relationships/hyperlink" Target="https://luna-dr.com/subjects/std/" TargetMode="External"/><Relationship Id="rId222" Type="http://schemas.openxmlformats.org/officeDocument/2006/relationships/hyperlink" Target="https://luna-dr.com/subjects/pill-prescription/" TargetMode="External"/><Relationship Id="rId464" Type="http://schemas.openxmlformats.org/officeDocument/2006/relationships/hyperlink" Target="https://luna-dr.com/subjects/std/" TargetMode="External"/><Relationship Id="rId221" Type="http://schemas.openxmlformats.org/officeDocument/2006/relationships/hyperlink" Target="https://luna-dr.com/subjects/pill-prescription/" TargetMode="External"/><Relationship Id="rId463" Type="http://schemas.openxmlformats.org/officeDocument/2006/relationships/hyperlink" Target="https://luna-dr.com/subjects/std/" TargetMode="External"/><Relationship Id="rId217" Type="http://schemas.openxmlformats.org/officeDocument/2006/relationships/hyperlink" Target="https://luna-dr.com/subjects/pill-prescription/" TargetMode="External"/><Relationship Id="rId459" Type="http://schemas.openxmlformats.org/officeDocument/2006/relationships/hyperlink" Target="https://luna-dr.com/subjects/std/" TargetMode="External"/><Relationship Id="rId216" Type="http://schemas.openxmlformats.org/officeDocument/2006/relationships/hyperlink" Target="https://luna-dr.com/subjects/pill-prescription/" TargetMode="External"/><Relationship Id="rId458" Type="http://schemas.openxmlformats.org/officeDocument/2006/relationships/hyperlink" Target="https://luna-dr.com/subjects/std/" TargetMode="External"/><Relationship Id="rId215" Type="http://schemas.openxmlformats.org/officeDocument/2006/relationships/hyperlink" Target="https://luna-dr.com/subjects/pill-prescription/" TargetMode="External"/><Relationship Id="rId457" Type="http://schemas.openxmlformats.org/officeDocument/2006/relationships/hyperlink" Target="https://luna-dr.com/subjects/std/" TargetMode="External"/><Relationship Id="rId699" Type="http://schemas.openxmlformats.org/officeDocument/2006/relationships/hyperlink" Target="https://luna-dr.com/femcheck/about/" TargetMode="External"/><Relationship Id="rId214" Type="http://schemas.openxmlformats.org/officeDocument/2006/relationships/hyperlink" Target="https://luna-dr.com/subjects/pill-prescription/" TargetMode="External"/><Relationship Id="rId456" Type="http://schemas.openxmlformats.org/officeDocument/2006/relationships/hyperlink" Target="https://luna-dr.com/subjects/std/" TargetMode="External"/><Relationship Id="rId698" Type="http://schemas.openxmlformats.org/officeDocument/2006/relationships/hyperlink" Target="https://luna-dr.com/femcheck/about/" TargetMode="External"/><Relationship Id="rId219" Type="http://schemas.openxmlformats.org/officeDocument/2006/relationships/hyperlink" Target="https://luna-dr.com/subjects/pill-prescription/" TargetMode="External"/><Relationship Id="rId218" Type="http://schemas.openxmlformats.org/officeDocument/2006/relationships/hyperlink" Target="https://luna-dr.com/subjects/pill-prescription/" TargetMode="External"/><Relationship Id="rId451" Type="http://schemas.openxmlformats.org/officeDocument/2006/relationships/hyperlink" Target="https://luna-dr.com/subjects/std/" TargetMode="External"/><Relationship Id="rId693" Type="http://schemas.openxmlformats.org/officeDocument/2006/relationships/hyperlink" Target="https://luna-dr.com/femcheck/about/" TargetMode="External"/><Relationship Id="rId450" Type="http://schemas.openxmlformats.org/officeDocument/2006/relationships/hyperlink" Target="https://luna-dr.com/subjects/std/" TargetMode="External"/><Relationship Id="rId692" Type="http://schemas.openxmlformats.org/officeDocument/2006/relationships/hyperlink" Target="https://luna-dr.com/femcheck/about/" TargetMode="External"/><Relationship Id="rId691" Type="http://schemas.openxmlformats.org/officeDocument/2006/relationships/hyperlink" Target="https://luna-dr.com/femcheck/begginer/" TargetMode="External"/><Relationship Id="rId690" Type="http://schemas.openxmlformats.org/officeDocument/2006/relationships/hyperlink" Target="https://luna-dr.com/femcheck/begginer/" TargetMode="External"/><Relationship Id="rId213" Type="http://schemas.openxmlformats.org/officeDocument/2006/relationships/hyperlink" Target="https://luna-dr.com/subjects/pill-prescription/" TargetMode="External"/><Relationship Id="rId455" Type="http://schemas.openxmlformats.org/officeDocument/2006/relationships/hyperlink" Target="https://luna-dr.com/subjects/std/" TargetMode="External"/><Relationship Id="rId697" Type="http://schemas.openxmlformats.org/officeDocument/2006/relationships/hyperlink" Target="https://luna-dr.com/femcheck/about/" TargetMode="External"/><Relationship Id="rId212" Type="http://schemas.openxmlformats.org/officeDocument/2006/relationships/hyperlink" Target="https://luna-dr.com/subjects/pill-prescription/" TargetMode="External"/><Relationship Id="rId454" Type="http://schemas.openxmlformats.org/officeDocument/2006/relationships/hyperlink" Target="https://luna-dr.com/subjects/std/" TargetMode="External"/><Relationship Id="rId696" Type="http://schemas.openxmlformats.org/officeDocument/2006/relationships/hyperlink" Target="https://luna-dr.com/femcheck/about/" TargetMode="External"/><Relationship Id="rId211" Type="http://schemas.openxmlformats.org/officeDocument/2006/relationships/hyperlink" Target="https://luna-dr.com/subjects/pill-prescription/" TargetMode="External"/><Relationship Id="rId453" Type="http://schemas.openxmlformats.org/officeDocument/2006/relationships/hyperlink" Target="https://luna-dr.com/subjects/std/" TargetMode="External"/><Relationship Id="rId695" Type="http://schemas.openxmlformats.org/officeDocument/2006/relationships/hyperlink" Target="https://luna-dr.com/femcheck/about/" TargetMode="External"/><Relationship Id="rId210" Type="http://schemas.openxmlformats.org/officeDocument/2006/relationships/hyperlink" Target="https://luna-dr.com/subjects/pill-prescription/" TargetMode="External"/><Relationship Id="rId452" Type="http://schemas.openxmlformats.org/officeDocument/2006/relationships/hyperlink" Target="https://luna-dr.com/subjects/std/" TargetMode="External"/><Relationship Id="rId694" Type="http://schemas.openxmlformats.org/officeDocument/2006/relationships/hyperlink" Target="https://luna-dr.com/femcheck/about/" TargetMode="External"/><Relationship Id="rId491" Type="http://schemas.openxmlformats.org/officeDocument/2006/relationships/hyperlink" Target="https://luna-dr.com/subjects/pregnancy-test/" TargetMode="External"/><Relationship Id="rId490" Type="http://schemas.openxmlformats.org/officeDocument/2006/relationships/hyperlink" Target="https://luna-dr.com/subjects/pregnancy-test/" TargetMode="External"/><Relationship Id="rId249" Type="http://schemas.openxmlformats.org/officeDocument/2006/relationships/hyperlink" Target="https://luna-dr.com/subjects/low-dose-contraceptive/" TargetMode="External"/><Relationship Id="rId248" Type="http://schemas.openxmlformats.org/officeDocument/2006/relationships/hyperlink" Target="https://luna-dr.com/subjects/low-dose-contraceptive/" TargetMode="External"/><Relationship Id="rId247" Type="http://schemas.openxmlformats.org/officeDocument/2006/relationships/hyperlink" Target="https://luna-dr.com/subjects/low-dose-contraceptive/" TargetMode="External"/><Relationship Id="rId489" Type="http://schemas.openxmlformats.org/officeDocument/2006/relationships/hyperlink" Target="https://luna-dr.com/subjects/pregnancy-test/" TargetMode="External"/><Relationship Id="rId242" Type="http://schemas.openxmlformats.org/officeDocument/2006/relationships/hyperlink" Target="https://luna-dr.com/subjects/low-dose-contraceptive/" TargetMode="External"/><Relationship Id="rId484" Type="http://schemas.openxmlformats.org/officeDocument/2006/relationships/hyperlink" Target="https://luna-dr.com/subjects/pregnancy-test/" TargetMode="External"/><Relationship Id="rId241" Type="http://schemas.openxmlformats.org/officeDocument/2006/relationships/hyperlink" Target="https://luna-dr.com/subjects/low-dose-contraceptive/" TargetMode="External"/><Relationship Id="rId483" Type="http://schemas.openxmlformats.org/officeDocument/2006/relationships/hyperlink" Target="https://luna-dr.com/subjects/pregnancy-test/" TargetMode="External"/><Relationship Id="rId240" Type="http://schemas.openxmlformats.org/officeDocument/2006/relationships/hyperlink" Target="https://luna-dr.com/subjects/low-dose-contraceptive/" TargetMode="External"/><Relationship Id="rId482" Type="http://schemas.openxmlformats.org/officeDocument/2006/relationships/hyperlink" Target="https://luna-dr.com/subjects/pregnancy-test/" TargetMode="External"/><Relationship Id="rId481" Type="http://schemas.openxmlformats.org/officeDocument/2006/relationships/hyperlink" Target="https://luna-dr.com/subjects/pregnancy-test/" TargetMode="External"/><Relationship Id="rId246" Type="http://schemas.openxmlformats.org/officeDocument/2006/relationships/hyperlink" Target="https://luna-dr.com/subjects/low-dose-contraceptive/" TargetMode="External"/><Relationship Id="rId488" Type="http://schemas.openxmlformats.org/officeDocument/2006/relationships/hyperlink" Target="https://luna-dr.com/subjects/pregnancy-test/" TargetMode="External"/><Relationship Id="rId245" Type="http://schemas.openxmlformats.org/officeDocument/2006/relationships/hyperlink" Target="https://luna-dr.com/subjects/low-dose-contraceptive/" TargetMode="External"/><Relationship Id="rId487" Type="http://schemas.openxmlformats.org/officeDocument/2006/relationships/hyperlink" Target="https://luna-dr.com/subjects/pregnancy-test/" TargetMode="External"/><Relationship Id="rId244" Type="http://schemas.openxmlformats.org/officeDocument/2006/relationships/hyperlink" Target="https://luna-dr.com/subjects/low-dose-contraceptive/" TargetMode="External"/><Relationship Id="rId486" Type="http://schemas.openxmlformats.org/officeDocument/2006/relationships/hyperlink" Target="https://luna-dr.com/subjects/pregnancy-test/" TargetMode="External"/><Relationship Id="rId243" Type="http://schemas.openxmlformats.org/officeDocument/2006/relationships/hyperlink" Target="https://luna-dr.com/subjects/low-dose-contraceptive/" TargetMode="External"/><Relationship Id="rId485" Type="http://schemas.openxmlformats.org/officeDocument/2006/relationships/hyperlink" Target="https://luna-dr.com/subjects/pregnancy-test/" TargetMode="External"/><Relationship Id="rId480" Type="http://schemas.openxmlformats.org/officeDocument/2006/relationships/hyperlink" Target="https://luna-dr.com/subjects/pregnancy-test/" TargetMode="External"/><Relationship Id="rId239" Type="http://schemas.openxmlformats.org/officeDocument/2006/relationships/hyperlink" Target="https://luna-dr.com/subjects/low-dose-contraceptive/" TargetMode="External"/><Relationship Id="rId238" Type="http://schemas.openxmlformats.org/officeDocument/2006/relationships/hyperlink" Target="https://luna-dr.com/subjects/low-dose-contraceptive/" TargetMode="External"/><Relationship Id="rId237" Type="http://schemas.openxmlformats.org/officeDocument/2006/relationships/hyperlink" Target="https://luna-dr.com/subjects/low-dose-contraceptive/" TargetMode="External"/><Relationship Id="rId479" Type="http://schemas.openxmlformats.org/officeDocument/2006/relationships/hyperlink" Target="https://luna-dr.com/subjects/pregnancy-test/" TargetMode="External"/><Relationship Id="rId236" Type="http://schemas.openxmlformats.org/officeDocument/2006/relationships/hyperlink" Target="https://luna-dr.com/subjects/low-dose-contraceptive/" TargetMode="External"/><Relationship Id="rId478" Type="http://schemas.openxmlformats.org/officeDocument/2006/relationships/hyperlink" Target="https://luna-dr.com/subjects/std/" TargetMode="External"/><Relationship Id="rId231" Type="http://schemas.openxmlformats.org/officeDocument/2006/relationships/hyperlink" Target="https://luna-dr.com/subjects/low-dose-contraceptive/" TargetMode="External"/><Relationship Id="rId473" Type="http://schemas.openxmlformats.org/officeDocument/2006/relationships/hyperlink" Target="https://luna-dr.com/subjects/std/" TargetMode="External"/><Relationship Id="rId230" Type="http://schemas.openxmlformats.org/officeDocument/2006/relationships/hyperlink" Target="https://luna-dr.com/subjects/low-dose-contraceptive/" TargetMode="External"/><Relationship Id="rId472" Type="http://schemas.openxmlformats.org/officeDocument/2006/relationships/hyperlink" Target="https://luna-dr.com/subjects/std/" TargetMode="External"/><Relationship Id="rId471" Type="http://schemas.openxmlformats.org/officeDocument/2006/relationships/hyperlink" Target="https://luna-dr.com/subjects/std/" TargetMode="External"/><Relationship Id="rId470" Type="http://schemas.openxmlformats.org/officeDocument/2006/relationships/hyperlink" Target="https://luna-dr.com/subjects/std/" TargetMode="External"/><Relationship Id="rId235" Type="http://schemas.openxmlformats.org/officeDocument/2006/relationships/hyperlink" Target="https://luna-dr.com/subjects/low-dose-contraceptive/" TargetMode="External"/><Relationship Id="rId477" Type="http://schemas.openxmlformats.org/officeDocument/2006/relationships/hyperlink" Target="https://luna-dr.com/subjects/std/" TargetMode="External"/><Relationship Id="rId234" Type="http://schemas.openxmlformats.org/officeDocument/2006/relationships/hyperlink" Target="https://luna-dr.com/subjects/low-dose-contraceptive/" TargetMode="External"/><Relationship Id="rId476" Type="http://schemas.openxmlformats.org/officeDocument/2006/relationships/hyperlink" Target="https://luna-dr.com/subjects/std/" TargetMode="External"/><Relationship Id="rId233" Type="http://schemas.openxmlformats.org/officeDocument/2006/relationships/hyperlink" Target="https://luna-dr.com/subjects/low-dose-contraceptive/" TargetMode="External"/><Relationship Id="rId475" Type="http://schemas.openxmlformats.org/officeDocument/2006/relationships/hyperlink" Target="https://luna-dr.com/subjects/std/" TargetMode="External"/><Relationship Id="rId232" Type="http://schemas.openxmlformats.org/officeDocument/2006/relationships/hyperlink" Target="https://luna-dr.com/subjects/low-dose-contraceptive/" TargetMode="External"/><Relationship Id="rId474" Type="http://schemas.openxmlformats.org/officeDocument/2006/relationships/hyperlink" Target="https://luna-dr.com/subjects/std/" TargetMode="External"/><Relationship Id="rId426" Type="http://schemas.openxmlformats.org/officeDocument/2006/relationships/hyperlink" Target="https://luna-dr.com/subjects/abnormal-uterine-bleeding/" TargetMode="External"/><Relationship Id="rId668" Type="http://schemas.openxmlformats.org/officeDocument/2006/relationships/hyperlink" Target="https://luna-dr.com/subjects/hpv-vaccine/" TargetMode="External"/><Relationship Id="rId425" Type="http://schemas.openxmlformats.org/officeDocument/2006/relationships/hyperlink" Target="https://luna-dr.com/subjects/abnormal-uterine-bleeding/" TargetMode="External"/><Relationship Id="rId667" Type="http://schemas.openxmlformats.org/officeDocument/2006/relationships/hyperlink" Target="https://luna-dr.com/subjects/hpv-vaccine/" TargetMode="External"/><Relationship Id="rId424" Type="http://schemas.openxmlformats.org/officeDocument/2006/relationships/hyperlink" Target="https://luna-dr.com/subjects/abnormal-uterine-bleeding/" TargetMode="External"/><Relationship Id="rId666" Type="http://schemas.openxmlformats.org/officeDocument/2006/relationships/hyperlink" Target="https://luna-dr.com/subjects/hpv-vaccine/" TargetMode="External"/><Relationship Id="rId423" Type="http://schemas.openxmlformats.org/officeDocument/2006/relationships/hyperlink" Target="https://luna-dr.com/subjects/abnormal-uterine-bleeding/" TargetMode="External"/><Relationship Id="rId665" Type="http://schemas.openxmlformats.org/officeDocument/2006/relationships/hyperlink" Target="https://luna-dr.com/subjects/hpv-vaccine/" TargetMode="External"/><Relationship Id="rId429" Type="http://schemas.openxmlformats.org/officeDocument/2006/relationships/hyperlink" Target="https://luna-dr.com/subjects/abnormal-uterine-bleeding/" TargetMode="External"/><Relationship Id="rId428" Type="http://schemas.openxmlformats.org/officeDocument/2006/relationships/hyperlink" Target="https://luna-dr.com/subjects/abnormal-uterine-bleeding/" TargetMode="External"/><Relationship Id="rId427" Type="http://schemas.openxmlformats.org/officeDocument/2006/relationships/hyperlink" Target="https://luna-dr.com/subjects/abnormal-uterine-bleeding/" TargetMode="External"/><Relationship Id="rId669" Type="http://schemas.openxmlformats.org/officeDocument/2006/relationships/hyperlink" Target="https://luna-dr.com/subjects/hpv-vaccine/" TargetMode="External"/><Relationship Id="rId660" Type="http://schemas.openxmlformats.org/officeDocument/2006/relationships/hyperlink" Target="https://luna-dr.com/subjects/hpv-vaccine/" TargetMode="External"/><Relationship Id="rId422" Type="http://schemas.openxmlformats.org/officeDocument/2006/relationships/hyperlink" Target="https://luna-dr.com/subjects/abnormal-uterine-bleeding/" TargetMode="External"/><Relationship Id="rId664" Type="http://schemas.openxmlformats.org/officeDocument/2006/relationships/hyperlink" Target="https://luna-dr.com/subjects/hpv-vaccine/" TargetMode="External"/><Relationship Id="rId421" Type="http://schemas.openxmlformats.org/officeDocument/2006/relationships/hyperlink" Target="https://luna-dr.com/subjects/abnormal-uterine-bleeding/" TargetMode="External"/><Relationship Id="rId663" Type="http://schemas.openxmlformats.org/officeDocument/2006/relationships/hyperlink" Target="https://luna-dr.com/subjects/hpv-vaccine/" TargetMode="External"/><Relationship Id="rId420" Type="http://schemas.openxmlformats.org/officeDocument/2006/relationships/hyperlink" Target="https://luna-dr.com/subjects/abnormal-uterine-bleeding/" TargetMode="External"/><Relationship Id="rId662" Type="http://schemas.openxmlformats.org/officeDocument/2006/relationships/hyperlink" Target="https://luna-dr.com/subjects/hpv-vaccine/" TargetMode="External"/><Relationship Id="rId661" Type="http://schemas.openxmlformats.org/officeDocument/2006/relationships/hyperlink" Target="https://luna-dr.com/subjects/hpv-vaccine/" TargetMode="External"/><Relationship Id="rId415" Type="http://schemas.openxmlformats.org/officeDocument/2006/relationships/hyperlink" Target="https://luna-dr.com/subjects/irregular-genital-bleeding/" TargetMode="External"/><Relationship Id="rId657" Type="http://schemas.openxmlformats.org/officeDocument/2006/relationships/hyperlink" Target="https://luna-dr.com/subjects/hpv-vaccine/" TargetMode="External"/><Relationship Id="rId899" Type="http://schemas.openxmlformats.org/officeDocument/2006/relationships/drawing" Target="../drawings/drawing9.xml"/><Relationship Id="rId414" Type="http://schemas.openxmlformats.org/officeDocument/2006/relationships/hyperlink" Target="https://luna-dr.com/subjects/irregular-genital-bleeding/" TargetMode="External"/><Relationship Id="rId656" Type="http://schemas.openxmlformats.org/officeDocument/2006/relationships/hyperlink" Target="https://luna-dr.com/subjects/hpv-vaccine/" TargetMode="External"/><Relationship Id="rId898" Type="http://schemas.openxmlformats.org/officeDocument/2006/relationships/hyperlink" Target="https://luna-dr.com/kawasaki/about_result/" TargetMode="External"/><Relationship Id="rId413" Type="http://schemas.openxmlformats.org/officeDocument/2006/relationships/hyperlink" Target="https://luna-dr.com/subjects/irregular-genital-bleeding/" TargetMode="External"/><Relationship Id="rId655" Type="http://schemas.openxmlformats.org/officeDocument/2006/relationships/hyperlink" Target="https://luna-dr.com/subjects/hpv-vaccine/" TargetMode="External"/><Relationship Id="rId897" Type="http://schemas.openxmlformats.org/officeDocument/2006/relationships/hyperlink" Target="https://luna-dr.com/kawasaki/about_result/" TargetMode="External"/><Relationship Id="rId412" Type="http://schemas.openxmlformats.org/officeDocument/2006/relationships/hyperlink" Target="https://luna-dr.com/subjects/irregular-genital-bleeding/" TargetMode="External"/><Relationship Id="rId654" Type="http://schemas.openxmlformats.org/officeDocument/2006/relationships/hyperlink" Target="https://luna-dr.com/subjects/hpv-vaccine/" TargetMode="External"/><Relationship Id="rId896" Type="http://schemas.openxmlformats.org/officeDocument/2006/relationships/hyperlink" Target="https://luna-dr.com/kawasaki/about_result/" TargetMode="External"/><Relationship Id="rId419" Type="http://schemas.openxmlformats.org/officeDocument/2006/relationships/hyperlink" Target="https://luna-dr.com/subjects/irregular-genital-bleeding/" TargetMode="External"/><Relationship Id="rId418" Type="http://schemas.openxmlformats.org/officeDocument/2006/relationships/hyperlink" Target="https://luna-dr.com/subjects/irregular-genital-bleeding/" TargetMode="External"/><Relationship Id="rId417" Type="http://schemas.openxmlformats.org/officeDocument/2006/relationships/hyperlink" Target="https://luna-dr.com/subjects/irregular-genital-bleeding/" TargetMode="External"/><Relationship Id="rId659" Type="http://schemas.openxmlformats.org/officeDocument/2006/relationships/hyperlink" Target="https://luna-dr.com/subjects/hpv-vaccine/" TargetMode="External"/><Relationship Id="rId416" Type="http://schemas.openxmlformats.org/officeDocument/2006/relationships/hyperlink" Target="https://luna-dr.com/subjects/irregular-genital-bleeding/" TargetMode="External"/><Relationship Id="rId658" Type="http://schemas.openxmlformats.org/officeDocument/2006/relationships/hyperlink" Target="https://luna-dr.com/subjects/hpv-vaccine/" TargetMode="External"/><Relationship Id="rId891" Type="http://schemas.openxmlformats.org/officeDocument/2006/relationships/hyperlink" Target="https://luna-dr.com/kawasaki/price/" TargetMode="External"/><Relationship Id="rId890" Type="http://schemas.openxmlformats.org/officeDocument/2006/relationships/hyperlink" Target="https://luna-dr.com/kawasaki/price/" TargetMode="External"/><Relationship Id="rId411" Type="http://schemas.openxmlformats.org/officeDocument/2006/relationships/hyperlink" Target="https://luna-dr.com/subjects/irregular-genital-bleeding/" TargetMode="External"/><Relationship Id="rId653" Type="http://schemas.openxmlformats.org/officeDocument/2006/relationships/hyperlink" Target="https://luna-dr.com/subjects/hpv-vaccine/" TargetMode="External"/><Relationship Id="rId895" Type="http://schemas.openxmlformats.org/officeDocument/2006/relationships/hyperlink" Target="https://luna-dr.com/kawasaki/about_result/" TargetMode="External"/><Relationship Id="rId410" Type="http://schemas.openxmlformats.org/officeDocument/2006/relationships/hyperlink" Target="https://luna-dr.com/subjects/irregular-genital-bleeding/" TargetMode="External"/><Relationship Id="rId652" Type="http://schemas.openxmlformats.org/officeDocument/2006/relationships/hyperlink" Target="https://luna-dr.com/subjects/hpv-vaccine/" TargetMode="External"/><Relationship Id="rId894" Type="http://schemas.openxmlformats.org/officeDocument/2006/relationships/hyperlink" Target="https://luna-dr.com/kawasaki/price/" TargetMode="External"/><Relationship Id="rId651" Type="http://schemas.openxmlformats.org/officeDocument/2006/relationships/hyperlink" Target="https://luna-dr.com/subjects/medical-checkup/" TargetMode="External"/><Relationship Id="rId893" Type="http://schemas.openxmlformats.org/officeDocument/2006/relationships/hyperlink" Target="https://luna-dr.com/kawasaki/price/" TargetMode="External"/><Relationship Id="rId650" Type="http://schemas.openxmlformats.org/officeDocument/2006/relationships/hyperlink" Target="https://luna-dr.com/subjects/medical-checkup/" TargetMode="External"/><Relationship Id="rId892" Type="http://schemas.openxmlformats.org/officeDocument/2006/relationships/hyperlink" Target="https://luna-dr.com/kawasaki/price/" TargetMode="External"/><Relationship Id="rId206" Type="http://schemas.openxmlformats.org/officeDocument/2006/relationships/hyperlink" Target="https://luna-dr.com/subjects/pill-prescription/" TargetMode="External"/><Relationship Id="rId448" Type="http://schemas.openxmlformats.org/officeDocument/2006/relationships/hyperlink" Target="https://luna-dr.com/subjects/std/" TargetMode="External"/><Relationship Id="rId205" Type="http://schemas.openxmlformats.org/officeDocument/2006/relationships/hyperlink" Target="https://luna-dr.com/subjects/pill-prescription/" TargetMode="External"/><Relationship Id="rId447" Type="http://schemas.openxmlformats.org/officeDocument/2006/relationships/hyperlink" Target="https://luna-dr.com/subjects/std/" TargetMode="External"/><Relationship Id="rId689" Type="http://schemas.openxmlformats.org/officeDocument/2006/relationships/hyperlink" Target="https://luna-dr.com/femcheck/begginer/" TargetMode="External"/><Relationship Id="rId204" Type="http://schemas.openxmlformats.org/officeDocument/2006/relationships/hyperlink" Target="https://luna-dr.com/subjects/pill-prescription/" TargetMode="External"/><Relationship Id="rId446" Type="http://schemas.openxmlformats.org/officeDocument/2006/relationships/hyperlink" Target="https://luna-dr.com/subjects/std/" TargetMode="External"/><Relationship Id="rId688" Type="http://schemas.openxmlformats.org/officeDocument/2006/relationships/hyperlink" Target="https://luna-dr.com/femcheck/begginer/" TargetMode="External"/><Relationship Id="rId203" Type="http://schemas.openxmlformats.org/officeDocument/2006/relationships/hyperlink" Target="https://luna-dr.com/subjects/pill-prescription/" TargetMode="External"/><Relationship Id="rId445" Type="http://schemas.openxmlformats.org/officeDocument/2006/relationships/hyperlink" Target="https://luna-dr.com/subjects/std/" TargetMode="External"/><Relationship Id="rId687" Type="http://schemas.openxmlformats.org/officeDocument/2006/relationships/hyperlink" Target="https://luna-dr.com/femcheck/begginer/" TargetMode="External"/><Relationship Id="rId209" Type="http://schemas.openxmlformats.org/officeDocument/2006/relationships/hyperlink" Target="https://luna-dr.com/subjects/pill-prescription/" TargetMode="External"/><Relationship Id="rId208" Type="http://schemas.openxmlformats.org/officeDocument/2006/relationships/hyperlink" Target="https://luna-dr.com/subjects/pill-prescription/" TargetMode="External"/><Relationship Id="rId207" Type="http://schemas.openxmlformats.org/officeDocument/2006/relationships/hyperlink" Target="https://luna-dr.com/subjects/pill-prescription/" TargetMode="External"/><Relationship Id="rId449" Type="http://schemas.openxmlformats.org/officeDocument/2006/relationships/hyperlink" Target="https://luna-dr.com/subjects/std/" TargetMode="External"/><Relationship Id="rId440" Type="http://schemas.openxmlformats.org/officeDocument/2006/relationships/hyperlink" Target="https://luna-dr.com/subjects/std/" TargetMode="External"/><Relationship Id="rId682" Type="http://schemas.openxmlformats.org/officeDocument/2006/relationships/hyperlink" Target="https://luna-dr.com/femcheck/begginer/" TargetMode="External"/><Relationship Id="rId681" Type="http://schemas.openxmlformats.org/officeDocument/2006/relationships/hyperlink" Target="https://luna-dr.com/subjects/hpv-vaccine/" TargetMode="External"/><Relationship Id="rId680" Type="http://schemas.openxmlformats.org/officeDocument/2006/relationships/hyperlink" Target="https://luna-dr.com/subjects/hpv-vaccine/" TargetMode="External"/><Relationship Id="rId202" Type="http://schemas.openxmlformats.org/officeDocument/2006/relationships/hyperlink" Target="https://luna-dr.com/subjects/pill-prescription/" TargetMode="External"/><Relationship Id="rId444" Type="http://schemas.openxmlformats.org/officeDocument/2006/relationships/hyperlink" Target="https://luna-dr.com/subjects/std/" TargetMode="External"/><Relationship Id="rId686" Type="http://schemas.openxmlformats.org/officeDocument/2006/relationships/hyperlink" Target="https://luna-dr.com/femcheck/begginer/" TargetMode="External"/><Relationship Id="rId201" Type="http://schemas.openxmlformats.org/officeDocument/2006/relationships/hyperlink" Target="https://luna-dr.com/subjects/pill-prescription/" TargetMode="External"/><Relationship Id="rId443" Type="http://schemas.openxmlformats.org/officeDocument/2006/relationships/hyperlink" Target="https://luna-dr.com/subjects/std/" TargetMode="External"/><Relationship Id="rId685" Type="http://schemas.openxmlformats.org/officeDocument/2006/relationships/hyperlink" Target="https://luna-dr.com/femcheck/begginer/" TargetMode="External"/><Relationship Id="rId200" Type="http://schemas.openxmlformats.org/officeDocument/2006/relationships/hyperlink" Target="https://luna-dr.com/subjects/pill-prescription/" TargetMode="External"/><Relationship Id="rId442" Type="http://schemas.openxmlformats.org/officeDocument/2006/relationships/hyperlink" Target="https://luna-dr.com/subjects/std/" TargetMode="External"/><Relationship Id="rId684" Type="http://schemas.openxmlformats.org/officeDocument/2006/relationships/hyperlink" Target="https://luna-dr.com/femcheck/begginer/" TargetMode="External"/><Relationship Id="rId441" Type="http://schemas.openxmlformats.org/officeDocument/2006/relationships/hyperlink" Target="https://luna-dr.com/subjects/std/" TargetMode="External"/><Relationship Id="rId683" Type="http://schemas.openxmlformats.org/officeDocument/2006/relationships/hyperlink" Target="https://luna-dr.com/femcheck/begginer/" TargetMode="External"/><Relationship Id="rId437" Type="http://schemas.openxmlformats.org/officeDocument/2006/relationships/hyperlink" Target="https://luna-dr.com/subjects/abnormal-uterine-bleeding/" TargetMode="External"/><Relationship Id="rId679" Type="http://schemas.openxmlformats.org/officeDocument/2006/relationships/hyperlink" Target="https://luna-dr.com/subjects/hpv-vaccine/" TargetMode="External"/><Relationship Id="rId436" Type="http://schemas.openxmlformats.org/officeDocument/2006/relationships/hyperlink" Target="https://luna-dr.com/subjects/abnormal-uterine-bleeding/" TargetMode="External"/><Relationship Id="rId678" Type="http://schemas.openxmlformats.org/officeDocument/2006/relationships/hyperlink" Target="https://luna-dr.com/subjects/hpv-vaccine/" TargetMode="External"/><Relationship Id="rId435" Type="http://schemas.openxmlformats.org/officeDocument/2006/relationships/hyperlink" Target="https://luna-dr.com/subjects/abnormal-uterine-bleeding/" TargetMode="External"/><Relationship Id="rId677" Type="http://schemas.openxmlformats.org/officeDocument/2006/relationships/hyperlink" Target="https://luna-dr.com/subjects/hpv-vaccine/" TargetMode="External"/><Relationship Id="rId434" Type="http://schemas.openxmlformats.org/officeDocument/2006/relationships/hyperlink" Target="https://luna-dr.com/subjects/abnormal-uterine-bleeding/" TargetMode="External"/><Relationship Id="rId676" Type="http://schemas.openxmlformats.org/officeDocument/2006/relationships/hyperlink" Target="https://luna-dr.com/subjects/hpv-vaccine/" TargetMode="External"/><Relationship Id="rId439" Type="http://schemas.openxmlformats.org/officeDocument/2006/relationships/hyperlink" Target="https://luna-dr.com/subjects/std/" TargetMode="External"/><Relationship Id="rId438" Type="http://schemas.openxmlformats.org/officeDocument/2006/relationships/hyperlink" Target="https://luna-dr.com/subjects/std/" TargetMode="External"/><Relationship Id="rId671" Type="http://schemas.openxmlformats.org/officeDocument/2006/relationships/hyperlink" Target="https://luna-dr.com/subjects/hpv-vaccine/" TargetMode="External"/><Relationship Id="rId670" Type="http://schemas.openxmlformats.org/officeDocument/2006/relationships/hyperlink" Target="https://luna-dr.com/subjects/hpv-vaccine/" TargetMode="External"/><Relationship Id="rId433" Type="http://schemas.openxmlformats.org/officeDocument/2006/relationships/hyperlink" Target="https://luna-dr.com/subjects/abnormal-uterine-bleeding/" TargetMode="External"/><Relationship Id="rId675" Type="http://schemas.openxmlformats.org/officeDocument/2006/relationships/hyperlink" Target="https://luna-dr.com/subjects/hpv-vaccine/" TargetMode="External"/><Relationship Id="rId432" Type="http://schemas.openxmlformats.org/officeDocument/2006/relationships/hyperlink" Target="https://luna-dr.com/subjects/abnormal-uterine-bleeding/" TargetMode="External"/><Relationship Id="rId674" Type="http://schemas.openxmlformats.org/officeDocument/2006/relationships/hyperlink" Target="https://luna-dr.com/subjects/hpv-vaccine/" TargetMode="External"/><Relationship Id="rId431" Type="http://schemas.openxmlformats.org/officeDocument/2006/relationships/hyperlink" Target="https://luna-dr.com/subjects/abnormal-uterine-bleeding/" TargetMode="External"/><Relationship Id="rId673" Type="http://schemas.openxmlformats.org/officeDocument/2006/relationships/hyperlink" Target="https://luna-dr.com/subjects/hpv-vaccine/" TargetMode="External"/><Relationship Id="rId430" Type="http://schemas.openxmlformats.org/officeDocument/2006/relationships/hyperlink" Target="https://luna-dr.com/subjects/abnormal-uterine-bleeding/" TargetMode="External"/><Relationship Id="rId672" Type="http://schemas.openxmlformats.org/officeDocument/2006/relationships/hyperlink" Target="https://luna-dr.com/subjects/hpv-vaccine/" TargetMode="External"/></Relationships>
</file>

<file path=xl/worksheets/_rels/sheet10.xml.rels><?xml version="1.0" encoding="UTF-8" standalone="yes"?><Relationships xmlns="http://schemas.openxmlformats.org/package/2006/relationships"><Relationship Id="rId190" Type="http://schemas.openxmlformats.org/officeDocument/2006/relationships/hyperlink" Target="https://luna-dr.com/subjects/pill-prescription/" TargetMode="External"/><Relationship Id="rId194" Type="http://schemas.openxmlformats.org/officeDocument/2006/relationships/hyperlink" Target="https://luna-dr.com/subjects/pill-prescription/" TargetMode="External"/><Relationship Id="rId193" Type="http://schemas.openxmlformats.org/officeDocument/2006/relationships/hyperlink" Target="https://luna-dr.com/subjects/pill-prescription/" TargetMode="External"/><Relationship Id="rId192" Type="http://schemas.openxmlformats.org/officeDocument/2006/relationships/hyperlink" Target="https://luna-dr.com/subjects/pill-prescription/" TargetMode="External"/><Relationship Id="rId191" Type="http://schemas.openxmlformats.org/officeDocument/2006/relationships/hyperlink" Target="https://luna-dr.com/subjects/pill-prescription/" TargetMode="External"/><Relationship Id="rId187" Type="http://schemas.openxmlformats.org/officeDocument/2006/relationships/hyperlink" Target="https://luna-dr.com/subjects/pill-prescription/" TargetMode="External"/><Relationship Id="rId186" Type="http://schemas.openxmlformats.org/officeDocument/2006/relationships/hyperlink" Target="https://luna-dr.com/subjects/menstrual-pain/" TargetMode="External"/><Relationship Id="rId185" Type="http://schemas.openxmlformats.org/officeDocument/2006/relationships/hyperlink" Target="https://luna-dr.com/subjects/menstrual-pain/" TargetMode="External"/><Relationship Id="rId184" Type="http://schemas.openxmlformats.org/officeDocument/2006/relationships/hyperlink" Target="https://luna-dr.com/subjects/menstrual-pain/" TargetMode="External"/><Relationship Id="rId189" Type="http://schemas.openxmlformats.org/officeDocument/2006/relationships/hyperlink" Target="https://luna-dr.com/subjects/pill-prescription/" TargetMode="External"/><Relationship Id="rId188" Type="http://schemas.openxmlformats.org/officeDocument/2006/relationships/hyperlink" Target="https://luna-dr.com/subjects/pill-prescription/" TargetMode="External"/><Relationship Id="rId183" Type="http://schemas.openxmlformats.org/officeDocument/2006/relationships/hyperlink" Target="https://luna-dr.com/subjects/menstrual-pain/" TargetMode="External"/><Relationship Id="rId182" Type="http://schemas.openxmlformats.org/officeDocument/2006/relationships/hyperlink" Target="https://luna-dr.com/subjects/menstrual-pain/" TargetMode="External"/><Relationship Id="rId181" Type="http://schemas.openxmlformats.org/officeDocument/2006/relationships/hyperlink" Target="https://luna-dr.com/subjects/menstrual-pain/" TargetMode="External"/><Relationship Id="rId180" Type="http://schemas.openxmlformats.org/officeDocument/2006/relationships/hyperlink" Target="https://luna-dr.com/subjects/menstrual-pain/" TargetMode="External"/><Relationship Id="rId176" Type="http://schemas.openxmlformats.org/officeDocument/2006/relationships/hyperlink" Target="https://luna-dr.com/subjects/menstrual-pain/" TargetMode="External"/><Relationship Id="rId175" Type="http://schemas.openxmlformats.org/officeDocument/2006/relationships/hyperlink" Target="https://luna-dr.com/subjects/menstrual-pain/" TargetMode="External"/><Relationship Id="rId174" Type="http://schemas.openxmlformats.org/officeDocument/2006/relationships/hyperlink" Target="https://luna-dr.com/" TargetMode="External"/><Relationship Id="rId173" Type="http://schemas.openxmlformats.org/officeDocument/2006/relationships/hyperlink" Target="https://luna-dr.com/subjects/after-pill/" TargetMode="External"/><Relationship Id="rId179" Type="http://schemas.openxmlformats.org/officeDocument/2006/relationships/hyperlink" Target="https://luna-dr.com/subjects/menstrual-pain/" TargetMode="External"/><Relationship Id="rId178" Type="http://schemas.openxmlformats.org/officeDocument/2006/relationships/hyperlink" Target="https://luna-dr.com/subjects/menstrual-pain/" TargetMode="External"/><Relationship Id="rId177" Type="http://schemas.openxmlformats.org/officeDocument/2006/relationships/hyperlink" Target="https://luna-dr.com/subjects/menstrual-pain/" TargetMode="External"/><Relationship Id="rId198" Type="http://schemas.openxmlformats.org/officeDocument/2006/relationships/hyperlink" Target="https://luna-dr.com/subjects/pill-prescription/" TargetMode="External"/><Relationship Id="rId197" Type="http://schemas.openxmlformats.org/officeDocument/2006/relationships/hyperlink" Target="https://luna-dr.com/subjects/pill-prescription/" TargetMode="External"/><Relationship Id="rId196" Type="http://schemas.openxmlformats.org/officeDocument/2006/relationships/hyperlink" Target="https://luna-dr.com/subjects/pill-prescription/" TargetMode="External"/><Relationship Id="rId195" Type="http://schemas.openxmlformats.org/officeDocument/2006/relationships/hyperlink" Target="https://luna-dr.com/subjects/pill-prescription/" TargetMode="External"/><Relationship Id="rId199" Type="http://schemas.openxmlformats.org/officeDocument/2006/relationships/hyperlink" Target="https://luna-dr.com/subjects/pill-prescription/" TargetMode="External"/><Relationship Id="rId150" Type="http://schemas.openxmlformats.org/officeDocument/2006/relationships/hyperlink" Target="https://luna-dr.com/subjects/menstrual-irregularity/" TargetMode="External"/><Relationship Id="rId392" Type="http://schemas.openxmlformats.org/officeDocument/2006/relationships/hyperlink" Target="https://luna-dr.com/subjects/abnormal-vaginal-discharge/" TargetMode="External"/><Relationship Id="rId391" Type="http://schemas.openxmlformats.org/officeDocument/2006/relationships/hyperlink" Target="https://luna-dr.com/subjects/abnormal-vaginal-discharge/" TargetMode="External"/><Relationship Id="rId390" Type="http://schemas.openxmlformats.org/officeDocument/2006/relationships/hyperlink" Target="https://luna-dr.com/subjects/abnormal-vaginal-discharge/" TargetMode="External"/><Relationship Id="rId1" Type="http://schemas.openxmlformats.org/officeDocument/2006/relationships/hyperlink" Target="https://luna-dr.com/" TargetMode="External"/><Relationship Id="rId2" Type="http://schemas.openxmlformats.org/officeDocument/2006/relationships/hyperlink" Target="https://luna-dr.com/" TargetMode="External"/><Relationship Id="rId3" Type="http://schemas.openxmlformats.org/officeDocument/2006/relationships/hyperlink" Target="https://luna-dr.com/" TargetMode="External"/><Relationship Id="rId149" Type="http://schemas.openxmlformats.org/officeDocument/2006/relationships/hyperlink" Target="https://luna-dr.com/subjects/menstrual-irregularity/" TargetMode="External"/><Relationship Id="rId4" Type="http://schemas.openxmlformats.org/officeDocument/2006/relationships/hyperlink" Target="https://luna-dr.com/" TargetMode="External"/><Relationship Id="rId148" Type="http://schemas.openxmlformats.org/officeDocument/2006/relationships/hyperlink" Target="https://luna-dr.com/subjects/menstrual-irregularity/" TargetMode="External"/><Relationship Id="rId9" Type="http://schemas.openxmlformats.org/officeDocument/2006/relationships/hyperlink" Target="https://cline-app.com/qr-codes/98ad6f149bfa20f4f2a9a2e91aac4187/preview" TargetMode="External"/><Relationship Id="rId143" Type="http://schemas.openxmlformats.org/officeDocument/2006/relationships/hyperlink" Target="https://luna-dr.com/subjects/menstrual-irregularity/" TargetMode="External"/><Relationship Id="rId385" Type="http://schemas.openxmlformats.org/officeDocument/2006/relationships/hyperlink" Target="https://luna-dr.com/subjects/abnormal-vaginal-discharge/" TargetMode="External"/><Relationship Id="rId142" Type="http://schemas.openxmlformats.org/officeDocument/2006/relationships/hyperlink" Target="https://luna-dr.com/subjects/menstrual-irregularity/" TargetMode="External"/><Relationship Id="rId384" Type="http://schemas.openxmlformats.org/officeDocument/2006/relationships/hyperlink" Target="https://luna-dr.com/subjects/abnormal-vaginal-discharge/" TargetMode="External"/><Relationship Id="rId141" Type="http://schemas.openxmlformats.org/officeDocument/2006/relationships/hyperlink" Target="https://luna-dr.com/subjects/menstrual-irregularity/" TargetMode="External"/><Relationship Id="rId383" Type="http://schemas.openxmlformats.org/officeDocument/2006/relationships/hyperlink" Target="https://luna-dr.com/subjects/abnormal-vaginal-discharge/" TargetMode="External"/><Relationship Id="rId140" Type="http://schemas.openxmlformats.org/officeDocument/2006/relationships/hyperlink" Target="https://luna-dr.com/subjects/menstrual-irregularity/" TargetMode="External"/><Relationship Id="rId382" Type="http://schemas.openxmlformats.org/officeDocument/2006/relationships/hyperlink" Target="https://luna-dr.com/subjects/abnormal-vaginal-discharge/" TargetMode="External"/><Relationship Id="rId5" Type="http://schemas.openxmlformats.org/officeDocument/2006/relationships/hyperlink" Target="https://luna-dr.com/" TargetMode="External"/><Relationship Id="rId147" Type="http://schemas.openxmlformats.org/officeDocument/2006/relationships/hyperlink" Target="https://luna-dr.com/subjects/menstrual-irregularity/" TargetMode="External"/><Relationship Id="rId389" Type="http://schemas.openxmlformats.org/officeDocument/2006/relationships/hyperlink" Target="https://luna-dr.com/subjects/abnormal-vaginal-discharge/" TargetMode="External"/><Relationship Id="rId6" Type="http://schemas.openxmlformats.org/officeDocument/2006/relationships/hyperlink" Target="https://luna-dr.com/" TargetMode="External"/><Relationship Id="rId146" Type="http://schemas.openxmlformats.org/officeDocument/2006/relationships/hyperlink" Target="https://luna-dr.com/subjects/menstrual-irregularity/" TargetMode="External"/><Relationship Id="rId388" Type="http://schemas.openxmlformats.org/officeDocument/2006/relationships/hyperlink" Target="https://luna-dr.com/subjects/abnormal-vaginal-discharge/" TargetMode="External"/><Relationship Id="rId7" Type="http://schemas.openxmlformats.org/officeDocument/2006/relationships/hyperlink" Target="https://cline-app.com/qr-codes/98ad6f149bfa20f4f2a9a2e91aac4187/preview" TargetMode="External"/><Relationship Id="rId145" Type="http://schemas.openxmlformats.org/officeDocument/2006/relationships/hyperlink" Target="https://luna-dr.com/subjects/menstrual-irregularity/" TargetMode="External"/><Relationship Id="rId387" Type="http://schemas.openxmlformats.org/officeDocument/2006/relationships/hyperlink" Target="https://luna-dr.com/subjects/abnormal-vaginal-discharge/" TargetMode="External"/><Relationship Id="rId8" Type="http://schemas.openxmlformats.org/officeDocument/2006/relationships/hyperlink" Target="https://cline-app.com/qr-codes/98ad6f149bfa20f4f2a9a2e91aac4187/preview" TargetMode="External"/><Relationship Id="rId144" Type="http://schemas.openxmlformats.org/officeDocument/2006/relationships/hyperlink" Target="https://luna-dr.com/subjects/menstrual-irregularity/" TargetMode="External"/><Relationship Id="rId386" Type="http://schemas.openxmlformats.org/officeDocument/2006/relationships/hyperlink" Target="https://luna-dr.com/subjects/abnormal-vaginal-discharge/" TargetMode="External"/><Relationship Id="rId381" Type="http://schemas.openxmlformats.org/officeDocument/2006/relationships/hyperlink" Target="https://luna-dr.com/subjects/abnormal-vaginal-discharge/" TargetMode="External"/><Relationship Id="rId380" Type="http://schemas.openxmlformats.org/officeDocument/2006/relationships/hyperlink" Target="https://luna-dr.com/subjects/abnormal-vaginal-discharge/" TargetMode="External"/><Relationship Id="rId139" Type="http://schemas.openxmlformats.org/officeDocument/2006/relationships/hyperlink" Target="https://luna-dr.com/subjects/menstrual-irregularity/" TargetMode="External"/><Relationship Id="rId138" Type="http://schemas.openxmlformats.org/officeDocument/2006/relationships/hyperlink" Target="https://luna-dr.com/subjects/menstrual-irregularity/" TargetMode="External"/><Relationship Id="rId137" Type="http://schemas.openxmlformats.org/officeDocument/2006/relationships/hyperlink" Target="https://luna-dr.com/subjects/menstrual-irregularity/" TargetMode="External"/><Relationship Id="rId379" Type="http://schemas.openxmlformats.org/officeDocument/2006/relationships/hyperlink" Target="https://luna-dr.com/subjects/abnormal-vaginal-discharge/" TargetMode="External"/><Relationship Id="rId132" Type="http://schemas.openxmlformats.org/officeDocument/2006/relationships/hyperlink" Target="https://luna-dr.com/subjects/menstrual-irregularity/" TargetMode="External"/><Relationship Id="rId374" Type="http://schemas.openxmlformats.org/officeDocument/2006/relationships/hyperlink" Target="https://luna-dr.com/subjects/abnormal-vaginal-discharge/" TargetMode="External"/><Relationship Id="rId131" Type="http://schemas.openxmlformats.org/officeDocument/2006/relationships/hyperlink" Target="https://luna-dr.com/subjects/menstrual-irregularity/" TargetMode="External"/><Relationship Id="rId373" Type="http://schemas.openxmlformats.org/officeDocument/2006/relationships/hyperlink" Target="https://luna-dr.com/subjects/abnormal-vaginal-discharge/" TargetMode="External"/><Relationship Id="rId130" Type="http://schemas.openxmlformats.org/officeDocument/2006/relationships/hyperlink" Target="https://luna-dr.com/subjects/menstrual-irregularity/" TargetMode="External"/><Relationship Id="rId372" Type="http://schemas.openxmlformats.org/officeDocument/2006/relationships/hyperlink" Target="https://luna-dr.com/subjects/abnormal-vaginal-discharge/" TargetMode="External"/><Relationship Id="rId371" Type="http://schemas.openxmlformats.org/officeDocument/2006/relationships/hyperlink" Target="https://luna-dr.com/subjects/abnormal-vaginal-discharge/" TargetMode="External"/><Relationship Id="rId136" Type="http://schemas.openxmlformats.org/officeDocument/2006/relationships/hyperlink" Target="https://luna-dr.com/subjects/menstrual-irregularity/" TargetMode="External"/><Relationship Id="rId378" Type="http://schemas.openxmlformats.org/officeDocument/2006/relationships/hyperlink" Target="https://luna-dr.com/subjects/abnormal-vaginal-discharge/" TargetMode="External"/><Relationship Id="rId135" Type="http://schemas.openxmlformats.org/officeDocument/2006/relationships/hyperlink" Target="https://luna-dr.com/subjects/menstrual-irregularity/" TargetMode="External"/><Relationship Id="rId377" Type="http://schemas.openxmlformats.org/officeDocument/2006/relationships/hyperlink" Target="https://luna-dr.com/subjects/abnormal-vaginal-discharge/" TargetMode="External"/><Relationship Id="rId134" Type="http://schemas.openxmlformats.org/officeDocument/2006/relationships/hyperlink" Target="https://luna-dr.com/subjects/menstrual-irregularity/" TargetMode="External"/><Relationship Id="rId376" Type="http://schemas.openxmlformats.org/officeDocument/2006/relationships/hyperlink" Target="https://luna-dr.com/subjects/abnormal-vaginal-discharge/" TargetMode="External"/><Relationship Id="rId133" Type="http://schemas.openxmlformats.org/officeDocument/2006/relationships/hyperlink" Target="https://luna-dr.com/subjects/menstrual-irregularity/" TargetMode="External"/><Relationship Id="rId375" Type="http://schemas.openxmlformats.org/officeDocument/2006/relationships/hyperlink" Target="https://luna-dr.com/subjects/abnormal-vaginal-discharge/" TargetMode="External"/><Relationship Id="rId172" Type="http://schemas.openxmlformats.org/officeDocument/2006/relationships/hyperlink" Target="https://luna-dr.com/subjects/low-dose-pill/" TargetMode="External"/><Relationship Id="rId171" Type="http://schemas.openxmlformats.org/officeDocument/2006/relationships/hyperlink" Target="https://luna-dr.com/subjects/menstrual-pain/" TargetMode="External"/><Relationship Id="rId170" Type="http://schemas.openxmlformats.org/officeDocument/2006/relationships/hyperlink" Target="https://luna-dr.com/subjects/menstrual-pain/" TargetMode="External"/><Relationship Id="rId165" Type="http://schemas.openxmlformats.org/officeDocument/2006/relationships/hyperlink" Target="https://luna-dr.com/subjects/menstrual-pain/" TargetMode="External"/><Relationship Id="rId164" Type="http://schemas.openxmlformats.org/officeDocument/2006/relationships/hyperlink" Target="https://luna-dr.com/subjects/menstrual-pain/" TargetMode="External"/><Relationship Id="rId163" Type="http://schemas.openxmlformats.org/officeDocument/2006/relationships/hyperlink" Target="https://luna-dr.com/subjects/menstrual-pain/" TargetMode="External"/><Relationship Id="rId162" Type="http://schemas.openxmlformats.org/officeDocument/2006/relationships/hyperlink" Target="https://luna-dr.com/subjects/menstrual-pain/" TargetMode="External"/><Relationship Id="rId169" Type="http://schemas.openxmlformats.org/officeDocument/2006/relationships/hyperlink" Target="https://luna-dr.com/subjects/menstrual-pain/" TargetMode="External"/><Relationship Id="rId168" Type="http://schemas.openxmlformats.org/officeDocument/2006/relationships/hyperlink" Target="https://luna-dr.com/subjects/menstrual-pain/" TargetMode="External"/><Relationship Id="rId167" Type="http://schemas.openxmlformats.org/officeDocument/2006/relationships/hyperlink" Target="https://luna-dr.com/subjects/menstrual-pain/" TargetMode="External"/><Relationship Id="rId166" Type="http://schemas.openxmlformats.org/officeDocument/2006/relationships/hyperlink" Target="https://luna-dr.com/subjects/menstrual-pain/" TargetMode="External"/><Relationship Id="rId161" Type="http://schemas.openxmlformats.org/officeDocument/2006/relationships/hyperlink" Target="https://luna-dr.com/subjects/menstrual-pain/" TargetMode="External"/><Relationship Id="rId160" Type="http://schemas.openxmlformats.org/officeDocument/2006/relationships/hyperlink" Target="https://luna-dr.com/subjects/menstrual-pain/" TargetMode="External"/><Relationship Id="rId159" Type="http://schemas.openxmlformats.org/officeDocument/2006/relationships/hyperlink" Target="https://luna-dr.com/subjects/menstrual-pain/" TargetMode="External"/><Relationship Id="rId154" Type="http://schemas.openxmlformats.org/officeDocument/2006/relationships/hyperlink" Target="https://luna-dr.com/subjects/menstrual-pain/" TargetMode="External"/><Relationship Id="rId396" Type="http://schemas.openxmlformats.org/officeDocument/2006/relationships/hyperlink" Target="https://luna-dr.com/subjects/abnormal-vaginal-discharge/" TargetMode="External"/><Relationship Id="rId153" Type="http://schemas.openxmlformats.org/officeDocument/2006/relationships/hyperlink" Target="https://luna-dr.com/subjects/menstrual-irregularity/" TargetMode="External"/><Relationship Id="rId395" Type="http://schemas.openxmlformats.org/officeDocument/2006/relationships/hyperlink" Target="https://luna-dr.com/subjects/abnormal-vaginal-discharge/" TargetMode="External"/><Relationship Id="rId152" Type="http://schemas.openxmlformats.org/officeDocument/2006/relationships/hyperlink" Target="https://luna-dr.com/subjects/menstrual-irregularity/" TargetMode="External"/><Relationship Id="rId394" Type="http://schemas.openxmlformats.org/officeDocument/2006/relationships/hyperlink" Target="https://luna-dr.com/subjects/abnormal-vaginal-discharge/" TargetMode="External"/><Relationship Id="rId151" Type="http://schemas.openxmlformats.org/officeDocument/2006/relationships/hyperlink" Target="https://luna-dr.com/subjects/menstrual-irregularity/" TargetMode="External"/><Relationship Id="rId393" Type="http://schemas.openxmlformats.org/officeDocument/2006/relationships/hyperlink" Target="https://luna-dr.com/subjects/abnormal-vaginal-discharge/" TargetMode="External"/><Relationship Id="rId158" Type="http://schemas.openxmlformats.org/officeDocument/2006/relationships/hyperlink" Target="https://luna-dr.com/subjects/menstrual-pain/" TargetMode="External"/><Relationship Id="rId157" Type="http://schemas.openxmlformats.org/officeDocument/2006/relationships/hyperlink" Target="https://luna-dr.com/subjects/menstrual-pain/" TargetMode="External"/><Relationship Id="rId399" Type="http://schemas.openxmlformats.org/officeDocument/2006/relationships/hyperlink" Target="https://luna-dr.com/subjects/irregular-genital-bleeding/" TargetMode="External"/><Relationship Id="rId156" Type="http://schemas.openxmlformats.org/officeDocument/2006/relationships/hyperlink" Target="https://luna-dr.com/subjects/menstrual-pain/" TargetMode="External"/><Relationship Id="rId398" Type="http://schemas.openxmlformats.org/officeDocument/2006/relationships/hyperlink" Target="https://luna-dr.com/subjects/abnormal-vaginal-discharge/" TargetMode="External"/><Relationship Id="rId155" Type="http://schemas.openxmlformats.org/officeDocument/2006/relationships/hyperlink" Target="https://luna-dr.com/subjects/menstrual-pain/" TargetMode="External"/><Relationship Id="rId397" Type="http://schemas.openxmlformats.org/officeDocument/2006/relationships/hyperlink" Target="https://luna-dr.com/subjects/abnormal-vaginal-discharge/" TargetMode="External"/><Relationship Id="rId808" Type="http://schemas.openxmlformats.org/officeDocument/2006/relationships/hyperlink" Target="https://luna-dr.com/yokohama/" TargetMode="External"/><Relationship Id="rId807" Type="http://schemas.openxmlformats.org/officeDocument/2006/relationships/hyperlink" Target="https://luna-dr.com/yokohama/" TargetMode="External"/><Relationship Id="rId806" Type="http://schemas.openxmlformats.org/officeDocument/2006/relationships/hyperlink" Target="https://luna-dr.com/yokohama/" TargetMode="External"/><Relationship Id="rId805" Type="http://schemas.openxmlformats.org/officeDocument/2006/relationships/hyperlink" Target="https://luna-dr.com/yokohama/" TargetMode="External"/><Relationship Id="rId809" Type="http://schemas.openxmlformats.org/officeDocument/2006/relationships/hyperlink" Target="https://luna-dr.com/yokohama/" TargetMode="External"/><Relationship Id="rId800" Type="http://schemas.openxmlformats.org/officeDocument/2006/relationships/hyperlink" Target="https://luna-dr.com/subjects/low-dose-contraceptive/" TargetMode="External"/><Relationship Id="rId804" Type="http://schemas.openxmlformats.org/officeDocument/2006/relationships/hyperlink" Target="https://luna-dr.com/subjects/medical-checkup/" TargetMode="External"/><Relationship Id="rId803" Type="http://schemas.openxmlformats.org/officeDocument/2006/relationships/hyperlink" Target="https://result.luna-dr.com/clinic_login" TargetMode="External"/><Relationship Id="rId802" Type="http://schemas.openxmlformats.org/officeDocument/2006/relationships/hyperlink" Target="https://luna-dr.com/telemedicine/" TargetMode="External"/><Relationship Id="rId801" Type="http://schemas.openxmlformats.org/officeDocument/2006/relationships/hyperlink" Target="https://luna-dr.com/subjects/low-dose-contraceptive/" TargetMode="External"/><Relationship Id="rId40" Type="http://schemas.openxmlformats.org/officeDocument/2006/relationships/hyperlink" Target="https://luna-dr.com/question/" TargetMode="External"/><Relationship Id="rId42" Type="http://schemas.openxmlformats.org/officeDocument/2006/relationships/hyperlink" Target="https://luna-dr.com/question/" TargetMode="External"/><Relationship Id="rId41" Type="http://schemas.openxmlformats.org/officeDocument/2006/relationships/hyperlink" Target="https://luna-dr.com/question/" TargetMode="External"/><Relationship Id="rId44" Type="http://schemas.openxmlformats.org/officeDocument/2006/relationships/hyperlink" Target="https://luna-dr.com/question/" TargetMode="External"/><Relationship Id="rId43" Type="http://schemas.openxmlformats.org/officeDocument/2006/relationships/hyperlink" Target="https://luna-dr.com/question/" TargetMode="External"/><Relationship Id="rId46" Type="http://schemas.openxmlformats.org/officeDocument/2006/relationships/hyperlink" Target="https://luna-dr.com/question/" TargetMode="External"/><Relationship Id="rId45" Type="http://schemas.openxmlformats.org/officeDocument/2006/relationships/hyperlink" Target="https://luna-dr.com/question/" TargetMode="External"/><Relationship Id="rId509" Type="http://schemas.openxmlformats.org/officeDocument/2006/relationships/hyperlink" Target="https://luna-dr.com/subjects/abortion_page/" TargetMode="External"/><Relationship Id="rId508" Type="http://schemas.openxmlformats.org/officeDocument/2006/relationships/hyperlink" Target="https://luna-dr.com/subjects/abortion_page/" TargetMode="External"/><Relationship Id="rId503" Type="http://schemas.openxmlformats.org/officeDocument/2006/relationships/hyperlink" Target="https://luna-dr.com/subjects/pregnancy-test/" TargetMode="External"/><Relationship Id="rId745" Type="http://schemas.openxmlformats.org/officeDocument/2006/relationships/hyperlink" Target="https://luna-dr.com/femcheck/faq/" TargetMode="External"/><Relationship Id="rId502" Type="http://schemas.openxmlformats.org/officeDocument/2006/relationships/hyperlink" Target="https://luna-dr.com/subjects/pregnancy-test/" TargetMode="External"/><Relationship Id="rId744" Type="http://schemas.openxmlformats.org/officeDocument/2006/relationships/hyperlink" Target="https://luna-dr.com/femcheck/faq/" TargetMode="External"/><Relationship Id="rId501" Type="http://schemas.openxmlformats.org/officeDocument/2006/relationships/hyperlink" Target="https://luna-dr.com/subjects/pregnancy-test/" TargetMode="External"/><Relationship Id="rId743" Type="http://schemas.openxmlformats.org/officeDocument/2006/relationships/hyperlink" Target="https://luna-dr.com/femcheck/faq/" TargetMode="External"/><Relationship Id="rId500" Type="http://schemas.openxmlformats.org/officeDocument/2006/relationships/hyperlink" Target="https://luna-dr.com/subjects/pregnancy-test/" TargetMode="External"/><Relationship Id="rId742" Type="http://schemas.openxmlformats.org/officeDocument/2006/relationships/hyperlink" Target="https://luna-dr.com/femcheck/faq/" TargetMode="External"/><Relationship Id="rId507" Type="http://schemas.openxmlformats.org/officeDocument/2006/relationships/hyperlink" Target="https://luna-dr.com/subjects/abortion_page/" TargetMode="External"/><Relationship Id="rId749" Type="http://schemas.openxmlformats.org/officeDocument/2006/relationships/hyperlink" Target="https://luna-dr.com/femcheck/faq/" TargetMode="External"/><Relationship Id="rId506" Type="http://schemas.openxmlformats.org/officeDocument/2006/relationships/hyperlink" Target="https://luna-dr.com/subjects/abortion_page/" TargetMode="External"/><Relationship Id="rId748" Type="http://schemas.openxmlformats.org/officeDocument/2006/relationships/hyperlink" Target="https://luna-dr.com/femcheck/faq/" TargetMode="External"/><Relationship Id="rId505" Type="http://schemas.openxmlformats.org/officeDocument/2006/relationships/hyperlink" Target="https://luna-dr.com/subjects/pregnancy-test/" TargetMode="External"/><Relationship Id="rId747" Type="http://schemas.openxmlformats.org/officeDocument/2006/relationships/hyperlink" Target="https://luna-dr.com/femcheck/faq/" TargetMode="External"/><Relationship Id="rId504" Type="http://schemas.openxmlformats.org/officeDocument/2006/relationships/hyperlink" Target="https://luna-dr.com/subjects/pregnancy-test/" TargetMode="External"/><Relationship Id="rId746" Type="http://schemas.openxmlformats.org/officeDocument/2006/relationships/hyperlink" Target="https://luna-dr.com/femcheck/faq/" TargetMode="External"/><Relationship Id="rId48" Type="http://schemas.openxmlformats.org/officeDocument/2006/relationships/hyperlink" Target="https://luna-dr.com/question/" TargetMode="External"/><Relationship Id="rId47" Type="http://schemas.openxmlformats.org/officeDocument/2006/relationships/hyperlink" Target="https://luna-dr.com/question/" TargetMode="External"/><Relationship Id="rId49" Type="http://schemas.openxmlformats.org/officeDocument/2006/relationships/hyperlink" Target="https://luna-dr.com/question/" TargetMode="External"/><Relationship Id="rId741" Type="http://schemas.openxmlformats.org/officeDocument/2006/relationships/hyperlink" Target="https://luna-dr.com/femcheck/faq/" TargetMode="External"/><Relationship Id="rId740" Type="http://schemas.openxmlformats.org/officeDocument/2006/relationships/hyperlink" Target="https://luna-dr.com/femcheck/faq/" TargetMode="External"/><Relationship Id="rId31" Type="http://schemas.openxmlformats.org/officeDocument/2006/relationships/hyperlink" Target="https://luna-dr.com/" TargetMode="External"/><Relationship Id="rId30" Type="http://schemas.openxmlformats.org/officeDocument/2006/relationships/hyperlink" Target="https://luna-dr.com/subjects/hpv-vaccine/" TargetMode="External"/><Relationship Id="rId33" Type="http://schemas.openxmlformats.org/officeDocument/2006/relationships/hyperlink" Target="https://luna-dr.com/" TargetMode="External"/><Relationship Id="rId32" Type="http://schemas.openxmlformats.org/officeDocument/2006/relationships/hyperlink" Target="https://luna-dr.com/" TargetMode="External"/><Relationship Id="rId35" Type="http://schemas.openxmlformats.org/officeDocument/2006/relationships/hyperlink" Target="https://luna-dr.com/question/" TargetMode="External"/><Relationship Id="rId34" Type="http://schemas.openxmlformats.org/officeDocument/2006/relationships/hyperlink" Target="https://luna-dr.com/question/" TargetMode="External"/><Relationship Id="rId739" Type="http://schemas.openxmlformats.org/officeDocument/2006/relationships/hyperlink" Target="https://luna-dr.com/femcheck/deliver/" TargetMode="External"/><Relationship Id="rId734" Type="http://schemas.openxmlformats.org/officeDocument/2006/relationships/hyperlink" Target="https://luna-dr.com/femcheck/deliver/" TargetMode="External"/><Relationship Id="rId733" Type="http://schemas.openxmlformats.org/officeDocument/2006/relationships/hyperlink" Target="https://luna-dr.com/femcheck/deliver/" TargetMode="External"/><Relationship Id="rId732" Type="http://schemas.openxmlformats.org/officeDocument/2006/relationships/hyperlink" Target="https://luna-dr.com/femcheck/about/" TargetMode="External"/><Relationship Id="rId731" Type="http://schemas.openxmlformats.org/officeDocument/2006/relationships/hyperlink" Target="https://luna-dr.com/femcheck/about/" TargetMode="External"/><Relationship Id="rId738" Type="http://schemas.openxmlformats.org/officeDocument/2006/relationships/hyperlink" Target="https://luna-dr.com/femcheck/deliver/" TargetMode="External"/><Relationship Id="rId737" Type="http://schemas.openxmlformats.org/officeDocument/2006/relationships/hyperlink" Target="https://luna-dr.com/femcheck/deliver/" TargetMode="External"/><Relationship Id="rId736" Type="http://schemas.openxmlformats.org/officeDocument/2006/relationships/hyperlink" Target="https://luna-dr.com/femcheck/deliver/" TargetMode="External"/><Relationship Id="rId735" Type="http://schemas.openxmlformats.org/officeDocument/2006/relationships/hyperlink" Target="https://luna-dr.com/femcheck/deliver/" TargetMode="External"/><Relationship Id="rId37" Type="http://schemas.openxmlformats.org/officeDocument/2006/relationships/hyperlink" Target="https://luna-dr.com/question/" TargetMode="External"/><Relationship Id="rId36" Type="http://schemas.openxmlformats.org/officeDocument/2006/relationships/hyperlink" Target="https://luna-dr.com/question/" TargetMode="External"/><Relationship Id="rId39" Type="http://schemas.openxmlformats.org/officeDocument/2006/relationships/hyperlink" Target="https://luna-dr.com/question/" TargetMode="External"/><Relationship Id="rId38" Type="http://schemas.openxmlformats.org/officeDocument/2006/relationships/hyperlink" Target="https://luna-dr.com/question/" TargetMode="External"/><Relationship Id="rId730" Type="http://schemas.openxmlformats.org/officeDocument/2006/relationships/hyperlink" Target="https://luna-dr.com/femcheck/about/" TargetMode="External"/><Relationship Id="rId20" Type="http://schemas.openxmlformats.org/officeDocument/2006/relationships/hyperlink" Target="https://luna-dr.com/subjects/pill-prescription/" TargetMode="External"/><Relationship Id="rId22" Type="http://schemas.openxmlformats.org/officeDocument/2006/relationships/hyperlink" Target="https://luna-dr.com/subjects/abnormal-vaginal-discharge/" TargetMode="External"/><Relationship Id="rId21" Type="http://schemas.openxmlformats.org/officeDocument/2006/relationships/hyperlink" Target="https://luna-dr.com/subjects/menstrual-manipulation/" TargetMode="External"/><Relationship Id="rId24" Type="http://schemas.openxmlformats.org/officeDocument/2006/relationships/hyperlink" Target="https://luna-dr.com/subjects/std/" TargetMode="External"/><Relationship Id="rId23" Type="http://schemas.openxmlformats.org/officeDocument/2006/relationships/hyperlink" Target="https://luna-dr.com/subjects/bridal-check/" TargetMode="External"/><Relationship Id="rId525" Type="http://schemas.openxmlformats.org/officeDocument/2006/relationships/hyperlink" Target="https://luna-dr.com/subjects/abortion_page/" TargetMode="External"/><Relationship Id="rId767" Type="http://schemas.openxmlformats.org/officeDocument/2006/relationships/hyperlink" Target="https://shop.luna-dr.com/collections/low_dose_pill_subscription" TargetMode="External"/><Relationship Id="rId524" Type="http://schemas.openxmlformats.org/officeDocument/2006/relationships/hyperlink" Target="https://luna-dr.com/subjects/abortion_page/" TargetMode="External"/><Relationship Id="rId766" Type="http://schemas.openxmlformats.org/officeDocument/2006/relationships/hyperlink" Target="https://docs.google.com/forms/d/e/1FAIpQLSe41t1VsvN-rfcwsRSkalz89S2yqQc4zpWrbdcrwPo95Iif-Q/viewform" TargetMode="External"/><Relationship Id="rId523" Type="http://schemas.openxmlformats.org/officeDocument/2006/relationships/hyperlink" Target="https://luna-dr.com/subjects/abortion_page/" TargetMode="External"/><Relationship Id="rId765" Type="http://schemas.openxmlformats.org/officeDocument/2006/relationships/hyperlink" Target="https://docs.google.com/forms/d/e/1FAIpQLSe41t1VsvN-rfcwsRSkalz89S2yqQc4zpWrbdcrwPo95Iif-Q/viewform" TargetMode="External"/><Relationship Id="rId522" Type="http://schemas.openxmlformats.org/officeDocument/2006/relationships/hyperlink" Target="https://luna-dr.com/subjects/abortion_page/" TargetMode="External"/><Relationship Id="rId764" Type="http://schemas.openxmlformats.org/officeDocument/2006/relationships/hyperlink" Target="https://docs.google.com/forms/d/e/1FAIpQLSe41t1VsvN-rfcwsRSkalz89S2yqQc4zpWrbdcrwPo95Iif-Q/viewform" TargetMode="External"/><Relationship Id="rId529" Type="http://schemas.openxmlformats.org/officeDocument/2006/relationships/hyperlink" Target="https://luna-dr.com/subjects/abortion_page/" TargetMode="External"/><Relationship Id="rId528" Type="http://schemas.openxmlformats.org/officeDocument/2006/relationships/hyperlink" Target="https://luna-dr.com/subjects/abortion_page/" TargetMode="External"/><Relationship Id="rId527" Type="http://schemas.openxmlformats.org/officeDocument/2006/relationships/hyperlink" Target="https://luna-dr.com/subjects/abortion_page/" TargetMode="External"/><Relationship Id="rId769" Type="http://schemas.openxmlformats.org/officeDocument/2006/relationships/hyperlink" Target="https://shop.luna-dr.com/collections/low_dose_pill_subscription" TargetMode="External"/><Relationship Id="rId526" Type="http://schemas.openxmlformats.org/officeDocument/2006/relationships/hyperlink" Target="https://luna-dr.com/subjects/abortion_page/" TargetMode="External"/><Relationship Id="rId768" Type="http://schemas.openxmlformats.org/officeDocument/2006/relationships/hyperlink" Target="https://docs.google.com/forms/d/e/1FAIpQLSe41t1VsvN-rfcwsRSkalz89S2yqQc4zpWrbdcrwPo95Iif-Q/viewform" TargetMode="External"/><Relationship Id="rId26" Type="http://schemas.openxmlformats.org/officeDocument/2006/relationships/hyperlink" Target="https://luna-dr.com/subjects/pregnancy-test/" TargetMode="External"/><Relationship Id="rId25" Type="http://schemas.openxmlformats.org/officeDocument/2006/relationships/hyperlink" Target="https://luna-dr.com/subjects/pregnancy-test/,https://luna-dr.com/subjects/abortion_page/" TargetMode="External"/><Relationship Id="rId28" Type="http://schemas.openxmlformats.org/officeDocument/2006/relationships/hyperlink" Target="https://luna-dr.com/subjects/medical-checkup/" TargetMode="External"/><Relationship Id="rId27" Type="http://schemas.openxmlformats.org/officeDocument/2006/relationships/hyperlink" Target="https://luna-dr.com/subjects/irregular-genital-bleeding/" TargetMode="External"/><Relationship Id="rId521" Type="http://schemas.openxmlformats.org/officeDocument/2006/relationships/hyperlink" Target="https://luna-dr.com/subjects/abortion_page/" TargetMode="External"/><Relationship Id="rId763" Type="http://schemas.openxmlformats.org/officeDocument/2006/relationships/hyperlink" Target="https://docs.google.com/forms/d/e/1FAIpQLSe41t1VsvN-rfcwsRSkalz89S2yqQc4zpWrbdcrwPo95Iif-Q/viewform" TargetMode="External"/><Relationship Id="rId29" Type="http://schemas.openxmlformats.org/officeDocument/2006/relationships/hyperlink" Target="https://luna-dr.com/subjects/ius-treatment/" TargetMode="External"/><Relationship Id="rId520" Type="http://schemas.openxmlformats.org/officeDocument/2006/relationships/hyperlink" Target="https://luna-dr.com/subjects/abortion_page/" TargetMode="External"/><Relationship Id="rId762" Type="http://schemas.openxmlformats.org/officeDocument/2006/relationships/hyperlink" Target="https://docs.google.com/forms/d/e/1FAIpQLSe41t1VsvN-rfcwsRSkalz89S2yqQc4zpWrbdcrwPo95Iif-Q/viewform" TargetMode="External"/><Relationship Id="rId761" Type="http://schemas.openxmlformats.org/officeDocument/2006/relationships/hyperlink" Target="https://docs.google.com/forms/d/e/1FAIpQLSe41t1VsvN-rfcwsRSkalz89S2yqQc4zpWrbdcrwPo95Iif-Q/viewform" TargetMode="External"/><Relationship Id="rId760" Type="http://schemas.openxmlformats.org/officeDocument/2006/relationships/hyperlink" Target="https://shop.luna-dr.com/products/lactobacillus" TargetMode="External"/><Relationship Id="rId11" Type="http://schemas.openxmlformats.org/officeDocument/2006/relationships/hyperlink" Target="https://luna-dr.com/" TargetMode="External"/><Relationship Id="rId10" Type="http://schemas.openxmlformats.org/officeDocument/2006/relationships/hyperlink" Target="https://luna-dr.com/" TargetMode="External"/><Relationship Id="rId13" Type="http://schemas.openxmlformats.org/officeDocument/2006/relationships/hyperlink" Target="https://luna-dr.com/subjects/menstrual-pain/" TargetMode="External"/><Relationship Id="rId12" Type="http://schemas.openxmlformats.org/officeDocument/2006/relationships/hyperlink" Target="https://luna-dr.com/" TargetMode="External"/><Relationship Id="rId519" Type="http://schemas.openxmlformats.org/officeDocument/2006/relationships/hyperlink" Target="https://luna-dr.com/subjects/abortion_page/" TargetMode="External"/><Relationship Id="rId514" Type="http://schemas.openxmlformats.org/officeDocument/2006/relationships/hyperlink" Target="https://luna-dr.com/subjects/abortion_page/" TargetMode="External"/><Relationship Id="rId756" Type="http://schemas.openxmlformats.org/officeDocument/2006/relationships/hyperlink" Target="https://shop.luna-dr.com/collections/low_dose_pill_subscription" TargetMode="External"/><Relationship Id="rId513" Type="http://schemas.openxmlformats.org/officeDocument/2006/relationships/hyperlink" Target="https://luna-dr.com/subjects/abortion_page/" TargetMode="External"/><Relationship Id="rId755" Type="http://schemas.openxmlformats.org/officeDocument/2006/relationships/hyperlink" Target="https://luna-dr.com/" TargetMode="External"/><Relationship Id="rId512" Type="http://schemas.openxmlformats.org/officeDocument/2006/relationships/hyperlink" Target="https://luna-dr.com/subjects/abortion_page/" TargetMode="External"/><Relationship Id="rId754" Type="http://schemas.openxmlformats.org/officeDocument/2006/relationships/hyperlink" Target="https://luna-dr.com/femcheck/faq/" TargetMode="External"/><Relationship Id="rId511" Type="http://schemas.openxmlformats.org/officeDocument/2006/relationships/hyperlink" Target="https://luna-dr.com/subjects/abortion_page/" TargetMode="External"/><Relationship Id="rId753" Type="http://schemas.openxmlformats.org/officeDocument/2006/relationships/hyperlink" Target="https://luna-dr.com/femcheck/faq/" TargetMode="External"/><Relationship Id="rId518" Type="http://schemas.openxmlformats.org/officeDocument/2006/relationships/hyperlink" Target="https://luna-dr.com/subjects/abortion_page/" TargetMode="External"/><Relationship Id="rId517" Type="http://schemas.openxmlformats.org/officeDocument/2006/relationships/hyperlink" Target="https://luna-dr.com/subjects/abortion_page/" TargetMode="External"/><Relationship Id="rId759" Type="http://schemas.openxmlformats.org/officeDocument/2006/relationships/hyperlink" Target="https://shop.luna-dr.com/" TargetMode="External"/><Relationship Id="rId516" Type="http://schemas.openxmlformats.org/officeDocument/2006/relationships/hyperlink" Target="https://luna-dr.com/subjects/abortion_page/" TargetMode="External"/><Relationship Id="rId758" Type="http://schemas.openxmlformats.org/officeDocument/2006/relationships/hyperlink" Target="https://shop.luna-dr.com/collections/low_dose_pill_subscription" TargetMode="External"/><Relationship Id="rId515" Type="http://schemas.openxmlformats.org/officeDocument/2006/relationships/hyperlink" Target="https://luna-dr.com/subjects/abortion_page/" TargetMode="External"/><Relationship Id="rId757" Type="http://schemas.openxmlformats.org/officeDocument/2006/relationships/hyperlink" Target="https://shop.luna-dr.com/collections/low_dose_pill_subscription" TargetMode="External"/><Relationship Id="rId15" Type="http://schemas.openxmlformats.org/officeDocument/2006/relationships/hyperlink" Target="https://luna-dr.com/subjects/menstrual-pain/" TargetMode="External"/><Relationship Id="rId14" Type="http://schemas.openxmlformats.org/officeDocument/2006/relationships/hyperlink" Target="https://luna-dr.com/subjects/menstrual-irregularity/" TargetMode="External"/><Relationship Id="rId17" Type="http://schemas.openxmlformats.org/officeDocument/2006/relationships/hyperlink" Target="https://luna-dr.com/subjects/pill-prescription/" TargetMode="External"/><Relationship Id="rId16" Type="http://schemas.openxmlformats.org/officeDocument/2006/relationships/hyperlink" Target="https://luna-dr.com/subjects/abortion_page/" TargetMode="External"/><Relationship Id="rId19" Type="http://schemas.openxmlformats.org/officeDocument/2006/relationships/hyperlink" Target="https://luna-dr.com/subjects/low-dose-contraceptive/" TargetMode="External"/><Relationship Id="rId510" Type="http://schemas.openxmlformats.org/officeDocument/2006/relationships/hyperlink" Target="https://luna-dr.com/subjects/abortion_page/" TargetMode="External"/><Relationship Id="rId752" Type="http://schemas.openxmlformats.org/officeDocument/2006/relationships/hyperlink" Target="https://luna-dr.com/femcheck/faq/" TargetMode="External"/><Relationship Id="rId18" Type="http://schemas.openxmlformats.org/officeDocument/2006/relationships/hyperlink" Target="https://luna-dr.com/subjects/after-pill_page/" TargetMode="External"/><Relationship Id="rId751" Type="http://schemas.openxmlformats.org/officeDocument/2006/relationships/hyperlink" Target="https://luna-dr.com/femcheck/faq/" TargetMode="External"/><Relationship Id="rId750" Type="http://schemas.openxmlformats.org/officeDocument/2006/relationships/hyperlink" Target="https://luna-dr.com/femcheck/faq/" TargetMode="External"/><Relationship Id="rId84" Type="http://schemas.openxmlformats.org/officeDocument/2006/relationships/hyperlink" Target="https://luna-dr.com/subjects/menstrual-manipulation/" TargetMode="External"/><Relationship Id="rId83" Type="http://schemas.openxmlformats.org/officeDocument/2006/relationships/hyperlink" Target="https://luna-dr.com/subjects/menstrual-manipulation/" TargetMode="External"/><Relationship Id="rId86" Type="http://schemas.openxmlformats.org/officeDocument/2006/relationships/hyperlink" Target="https://luna-dr.com/subjects/menstrual-manipulation/" TargetMode="External"/><Relationship Id="rId85" Type="http://schemas.openxmlformats.org/officeDocument/2006/relationships/hyperlink" Target="https://luna-dr.com/subjects/menstrual-manipulation/" TargetMode="External"/><Relationship Id="rId88" Type="http://schemas.openxmlformats.org/officeDocument/2006/relationships/hyperlink" Target="https://luna-dr.com/subjects/menstrual-manipulation/" TargetMode="External"/><Relationship Id="rId87" Type="http://schemas.openxmlformats.org/officeDocument/2006/relationships/hyperlink" Target="https://luna-dr.com/subjects/menstrual-manipulation/" TargetMode="External"/><Relationship Id="rId89" Type="http://schemas.openxmlformats.org/officeDocument/2006/relationships/hyperlink" Target="https://luna-dr.com/subjects/menstrual-manipulation/" TargetMode="External"/><Relationship Id="rId709" Type="http://schemas.openxmlformats.org/officeDocument/2006/relationships/hyperlink" Target="https://luna-dr.com/femcheck/about/" TargetMode="External"/><Relationship Id="rId708" Type="http://schemas.openxmlformats.org/officeDocument/2006/relationships/hyperlink" Target="https://luna-dr.com/femcheck/about/" TargetMode="External"/><Relationship Id="rId707" Type="http://schemas.openxmlformats.org/officeDocument/2006/relationships/hyperlink" Target="https://luna-dr.com/femcheck/about/" TargetMode="External"/><Relationship Id="rId706" Type="http://schemas.openxmlformats.org/officeDocument/2006/relationships/hyperlink" Target="https://luna-dr.com/femcheck/about/" TargetMode="External"/><Relationship Id="rId80" Type="http://schemas.openxmlformats.org/officeDocument/2006/relationships/hyperlink" Target="https://luna-dr.com/subjects/menstrual-manipulation/" TargetMode="External"/><Relationship Id="rId82" Type="http://schemas.openxmlformats.org/officeDocument/2006/relationships/hyperlink" Target="https://luna-dr.com/subjects/menstrual-manipulation/" TargetMode="External"/><Relationship Id="rId81" Type="http://schemas.openxmlformats.org/officeDocument/2006/relationships/hyperlink" Target="https://luna-dr.com/subjects/menstrual-manipulation/" TargetMode="External"/><Relationship Id="rId701" Type="http://schemas.openxmlformats.org/officeDocument/2006/relationships/hyperlink" Target="https://luna-dr.com/femcheck/about/" TargetMode="External"/><Relationship Id="rId700" Type="http://schemas.openxmlformats.org/officeDocument/2006/relationships/hyperlink" Target="https://luna-dr.com/femcheck/about/" TargetMode="External"/><Relationship Id="rId705" Type="http://schemas.openxmlformats.org/officeDocument/2006/relationships/hyperlink" Target="https://luna-dr.com/femcheck/about/" TargetMode="External"/><Relationship Id="rId704" Type="http://schemas.openxmlformats.org/officeDocument/2006/relationships/hyperlink" Target="https://luna-dr.com/femcheck/about/" TargetMode="External"/><Relationship Id="rId703" Type="http://schemas.openxmlformats.org/officeDocument/2006/relationships/hyperlink" Target="https://luna-dr.com/femcheck/about/" TargetMode="External"/><Relationship Id="rId702" Type="http://schemas.openxmlformats.org/officeDocument/2006/relationships/hyperlink" Target="https://luna-dr.com/femcheck/about/" TargetMode="External"/><Relationship Id="rId73" Type="http://schemas.openxmlformats.org/officeDocument/2006/relationships/hyperlink" Target="https://luna-dr.com/" TargetMode="External"/><Relationship Id="rId72" Type="http://schemas.openxmlformats.org/officeDocument/2006/relationships/hyperlink" Target="https://luna-dr.com/" TargetMode="External"/><Relationship Id="rId75" Type="http://schemas.openxmlformats.org/officeDocument/2006/relationships/hyperlink" Target="https://luna-dr.com/" TargetMode="External"/><Relationship Id="rId74" Type="http://schemas.openxmlformats.org/officeDocument/2006/relationships/hyperlink" Target="https://luna-dr.com/" TargetMode="External"/><Relationship Id="rId77" Type="http://schemas.openxmlformats.org/officeDocument/2006/relationships/hyperlink" Target="https://luna-dr.com/" TargetMode="External"/><Relationship Id="rId76" Type="http://schemas.openxmlformats.org/officeDocument/2006/relationships/hyperlink" Target="https://luna-dr.com/" TargetMode="External"/><Relationship Id="rId79" Type="http://schemas.openxmlformats.org/officeDocument/2006/relationships/hyperlink" Target="https://luna-dr.com/subjects/menstrual-manipulation/" TargetMode="External"/><Relationship Id="rId78" Type="http://schemas.openxmlformats.org/officeDocument/2006/relationships/hyperlink" Target="https://luna-dr.com/subjects/menstrual-manipulation/" TargetMode="External"/><Relationship Id="rId71" Type="http://schemas.openxmlformats.org/officeDocument/2006/relationships/hyperlink" Target="https://luna-dr.com/" TargetMode="External"/><Relationship Id="rId70" Type="http://schemas.openxmlformats.org/officeDocument/2006/relationships/hyperlink" Target="https://luna-dr.com/" TargetMode="External"/><Relationship Id="rId62" Type="http://schemas.openxmlformats.org/officeDocument/2006/relationships/hyperlink" Target="https://luna-dr.com/telemedicine/" TargetMode="External"/><Relationship Id="rId61" Type="http://schemas.openxmlformats.org/officeDocument/2006/relationships/hyperlink" Target="https://luna-dr.com/telemedicine/" TargetMode="External"/><Relationship Id="rId64" Type="http://schemas.openxmlformats.org/officeDocument/2006/relationships/hyperlink" Target="https://luna-dr.com/" TargetMode="External"/><Relationship Id="rId63" Type="http://schemas.openxmlformats.org/officeDocument/2006/relationships/hyperlink" Target="https://luna-dr.com/telemedicine/" TargetMode="External"/><Relationship Id="rId66" Type="http://schemas.openxmlformats.org/officeDocument/2006/relationships/hyperlink" Target="https://luna-dr.com/" TargetMode="External"/><Relationship Id="rId65" Type="http://schemas.openxmlformats.org/officeDocument/2006/relationships/hyperlink" Target="https://luna-dr.com/" TargetMode="External"/><Relationship Id="rId68" Type="http://schemas.openxmlformats.org/officeDocument/2006/relationships/hyperlink" Target="https://luna-dr.com/" TargetMode="External"/><Relationship Id="rId67" Type="http://schemas.openxmlformats.org/officeDocument/2006/relationships/hyperlink" Target="https://luna-dr.com/" TargetMode="External"/><Relationship Id="rId729" Type="http://schemas.openxmlformats.org/officeDocument/2006/relationships/hyperlink" Target="https://luna-dr.com/femcheck/about/" TargetMode="External"/><Relationship Id="rId728" Type="http://schemas.openxmlformats.org/officeDocument/2006/relationships/hyperlink" Target="https://luna-dr.com/femcheck/about/" TargetMode="External"/><Relationship Id="rId60" Type="http://schemas.openxmlformats.org/officeDocument/2006/relationships/hyperlink" Target="https://luna-dr.com/telemedicine/" TargetMode="External"/><Relationship Id="rId723" Type="http://schemas.openxmlformats.org/officeDocument/2006/relationships/hyperlink" Target="https://luna-dr.com/femcheck/about/" TargetMode="External"/><Relationship Id="rId722" Type="http://schemas.openxmlformats.org/officeDocument/2006/relationships/hyperlink" Target="https://luna-dr.com/femcheck/about/" TargetMode="External"/><Relationship Id="rId721" Type="http://schemas.openxmlformats.org/officeDocument/2006/relationships/hyperlink" Target="https://luna-dr.com/femcheck/about/" TargetMode="External"/><Relationship Id="rId720" Type="http://schemas.openxmlformats.org/officeDocument/2006/relationships/hyperlink" Target="https://luna-dr.com/femcheck/about/" TargetMode="External"/><Relationship Id="rId727" Type="http://schemas.openxmlformats.org/officeDocument/2006/relationships/hyperlink" Target="https://luna-dr.com/femcheck/about/" TargetMode="External"/><Relationship Id="rId726" Type="http://schemas.openxmlformats.org/officeDocument/2006/relationships/hyperlink" Target="https://luna-dr.com/femcheck/about/" TargetMode="External"/><Relationship Id="rId725" Type="http://schemas.openxmlformats.org/officeDocument/2006/relationships/hyperlink" Target="https://luna-dr.com/femcheck/about/" TargetMode="External"/><Relationship Id="rId724" Type="http://schemas.openxmlformats.org/officeDocument/2006/relationships/hyperlink" Target="https://luna-dr.com/femcheck/about/" TargetMode="External"/><Relationship Id="rId69" Type="http://schemas.openxmlformats.org/officeDocument/2006/relationships/hyperlink" Target="https://luna-dr.com/" TargetMode="External"/><Relationship Id="rId51" Type="http://schemas.openxmlformats.org/officeDocument/2006/relationships/hyperlink" Target="https://luna-dr.com/telemedicine/" TargetMode="External"/><Relationship Id="rId50" Type="http://schemas.openxmlformats.org/officeDocument/2006/relationships/hyperlink" Target="https://luna-dr.com/telemedicine/" TargetMode="External"/><Relationship Id="rId53" Type="http://schemas.openxmlformats.org/officeDocument/2006/relationships/hyperlink" Target="https://luna-dr.com/telemedicine/" TargetMode="External"/><Relationship Id="rId52" Type="http://schemas.openxmlformats.org/officeDocument/2006/relationships/hyperlink" Target="https://luna-dr.com/telemedicine/" TargetMode="External"/><Relationship Id="rId55" Type="http://schemas.openxmlformats.org/officeDocument/2006/relationships/hyperlink" Target="https://luna-dr.com/telemedicine/" TargetMode="External"/><Relationship Id="rId54" Type="http://schemas.openxmlformats.org/officeDocument/2006/relationships/hyperlink" Target="https://luna-dr.com/telemedicine/" TargetMode="External"/><Relationship Id="rId57" Type="http://schemas.openxmlformats.org/officeDocument/2006/relationships/hyperlink" Target="https://luna-dr.com/telemedicine/" TargetMode="External"/><Relationship Id="rId56" Type="http://schemas.openxmlformats.org/officeDocument/2006/relationships/hyperlink" Target="https://luna-dr.com/telemedicine/" TargetMode="External"/><Relationship Id="rId719" Type="http://schemas.openxmlformats.org/officeDocument/2006/relationships/hyperlink" Target="https://luna-dr.com/femcheck/about/" TargetMode="External"/><Relationship Id="rId718" Type="http://schemas.openxmlformats.org/officeDocument/2006/relationships/hyperlink" Target="https://luna-dr.com/femcheck/about/" TargetMode="External"/><Relationship Id="rId717" Type="http://schemas.openxmlformats.org/officeDocument/2006/relationships/hyperlink" Target="https://luna-dr.com/femcheck/about/" TargetMode="External"/><Relationship Id="rId712" Type="http://schemas.openxmlformats.org/officeDocument/2006/relationships/hyperlink" Target="https://luna-dr.com/femcheck/about/" TargetMode="External"/><Relationship Id="rId711" Type="http://schemas.openxmlformats.org/officeDocument/2006/relationships/hyperlink" Target="https://luna-dr.com/femcheck/about/" TargetMode="External"/><Relationship Id="rId710" Type="http://schemas.openxmlformats.org/officeDocument/2006/relationships/hyperlink" Target="https://luna-dr.com/femcheck/about/" TargetMode="External"/><Relationship Id="rId716" Type="http://schemas.openxmlformats.org/officeDocument/2006/relationships/hyperlink" Target="https://luna-dr.com/femcheck/about/" TargetMode="External"/><Relationship Id="rId715" Type="http://schemas.openxmlformats.org/officeDocument/2006/relationships/hyperlink" Target="https://luna-dr.com/femcheck/about/" TargetMode="External"/><Relationship Id="rId714" Type="http://schemas.openxmlformats.org/officeDocument/2006/relationships/hyperlink" Target="https://luna-dr.com/femcheck/about/" TargetMode="External"/><Relationship Id="rId713" Type="http://schemas.openxmlformats.org/officeDocument/2006/relationships/hyperlink" Target="https://luna-dr.com/femcheck/about/" TargetMode="External"/><Relationship Id="rId59" Type="http://schemas.openxmlformats.org/officeDocument/2006/relationships/hyperlink" Target="https://luna-dr.com/telemedicine/" TargetMode="External"/><Relationship Id="rId58" Type="http://schemas.openxmlformats.org/officeDocument/2006/relationships/hyperlink" Target="https://luna-dr.com/telemedicine/" TargetMode="External"/><Relationship Id="rId590" Type="http://schemas.openxmlformats.org/officeDocument/2006/relationships/hyperlink" Target="https://luna-dr.com/subjects/bridal-check/" TargetMode="External"/><Relationship Id="rId107" Type="http://schemas.openxmlformats.org/officeDocument/2006/relationships/hyperlink" Target="https://luna-dr.com/subjects/menstrual-manipulation/" TargetMode="External"/><Relationship Id="rId349" Type="http://schemas.openxmlformats.org/officeDocument/2006/relationships/hyperlink" Target="https://luna-dr.com/subjects/abnormal-vaginal-discharge/" TargetMode="External"/><Relationship Id="rId106" Type="http://schemas.openxmlformats.org/officeDocument/2006/relationships/hyperlink" Target="https://luna-dr.com/subjects/menstrual-manipulation/" TargetMode="External"/><Relationship Id="rId348" Type="http://schemas.openxmlformats.org/officeDocument/2006/relationships/hyperlink" Target="https://luna-dr.com/subjects/abnormal-vaginal-discharge/" TargetMode="External"/><Relationship Id="rId105" Type="http://schemas.openxmlformats.org/officeDocument/2006/relationships/hyperlink" Target="https://luna-dr.com/subjects/menstrual-manipulation/" TargetMode="External"/><Relationship Id="rId347" Type="http://schemas.openxmlformats.org/officeDocument/2006/relationships/hyperlink" Target="https://luna-dr.com/subjects/abnormal-vaginal-discharge/" TargetMode="External"/><Relationship Id="rId589" Type="http://schemas.openxmlformats.org/officeDocument/2006/relationships/hyperlink" Target="https://luna-dr.com/subjects/bridal-check/" TargetMode="External"/><Relationship Id="rId104" Type="http://schemas.openxmlformats.org/officeDocument/2006/relationships/hyperlink" Target="https://luna-dr.com/subjects/menstrual-manipulation/" TargetMode="External"/><Relationship Id="rId346" Type="http://schemas.openxmlformats.org/officeDocument/2006/relationships/hyperlink" Target="https://luna-dr.com/subjects/abnormal-vaginal-discharge/" TargetMode="External"/><Relationship Id="rId588" Type="http://schemas.openxmlformats.org/officeDocument/2006/relationships/hyperlink" Target="https://luna-dr.com/subjects/bridal-check/" TargetMode="External"/><Relationship Id="rId109" Type="http://schemas.openxmlformats.org/officeDocument/2006/relationships/hyperlink" Target="https://luna-dr.com/subjects/menstrual-manipulation/" TargetMode="External"/><Relationship Id="rId108" Type="http://schemas.openxmlformats.org/officeDocument/2006/relationships/hyperlink" Target="https://luna-dr.com/subjects/menstrual-manipulation/" TargetMode="External"/><Relationship Id="rId341" Type="http://schemas.openxmlformats.org/officeDocument/2006/relationships/hyperlink" Target="https://luna-dr.com/subjects/ius-treatment/" TargetMode="External"/><Relationship Id="rId583" Type="http://schemas.openxmlformats.org/officeDocument/2006/relationships/hyperlink" Target="https://luna-dr.com/subjects/bridal-check/" TargetMode="External"/><Relationship Id="rId340" Type="http://schemas.openxmlformats.org/officeDocument/2006/relationships/hyperlink" Target="https://luna-dr.com/subjects/ius-treatment/" TargetMode="External"/><Relationship Id="rId582" Type="http://schemas.openxmlformats.org/officeDocument/2006/relationships/hyperlink" Target="https://luna-dr.com/subjects/bridal-check/" TargetMode="External"/><Relationship Id="rId581" Type="http://schemas.openxmlformats.org/officeDocument/2006/relationships/hyperlink" Target="https://luna-dr.com/subjects/bridal-check/" TargetMode="External"/><Relationship Id="rId580" Type="http://schemas.openxmlformats.org/officeDocument/2006/relationships/hyperlink" Target="https://luna-dr.com/subjects/bridal-check/" TargetMode="External"/><Relationship Id="rId103" Type="http://schemas.openxmlformats.org/officeDocument/2006/relationships/hyperlink" Target="https://luna-dr.com/subjects/menstrual-manipulation/" TargetMode="External"/><Relationship Id="rId345" Type="http://schemas.openxmlformats.org/officeDocument/2006/relationships/hyperlink" Target="https://luna-dr.com/subjects/abnormal-vaginal-discharge/" TargetMode="External"/><Relationship Id="rId587" Type="http://schemas.openxmlformats.org/officeDocument/2006/relationships/hyperlink" Target="https://luna-dr.com/subjects/bridal-check/" TargetMode="External"/><Relationship Id="rId102" Type="http://schemas.openxmlformats.org/officeDocument/2006/relationships/hyperlink" Target="https://luna-dr.com/subjects/menstrual-manipulation/" TargetMode="External"/><Relationship Id="rId344" Type="http://schemas.openxmlformats.org/officeDocument/2006/relationships/hyperlink" Target="https://luna-dr.com/subjects/abnormal-vaginal-discharge/" TargetMode="External"/><Relationship Id="rId586" Type="http://schemas.openxmlformats.org/officeDocument/2006/relationships/hyperlink" Target="https://luna-dr.com/subjects/bridal-check/" TargetMode="External"/><Relationship Id="rId101" Type="http://schemas.openxmlformats.org/officeDocument/2006/relationships/hyperlink" Target="https://luna-dr.com/subjects/menstrual-manipulation/" TargetMode="External"/><Relationship Id="rId343" Type="http://schemas.openxmlformats.org/officeDocument/2006/relationships/hyperlink" Target="https://luna-dr.com/subjects/abnormal-vaginal-discharge/" TargetMode="External"/><Relationship Id="rId585" Type="http://schemas.openxmlformats.org/officeDocument/2006/relationships/hyperlink" Target="https://luna-dr.com/subjects/bridal-check/" TargetMode="External"/><Relationship Id="rId100" Type="http://schemas.openxmlformats.org/officeDocument/2006/relationships/hyperlink" Target="https://luna-dr.com/subjects/menstrual-manipulation/" TargetMode="External"/><Relationship Id="rId342" Type="http://schemas.openxmlformats.org/officeDocument/2006/relationships/hyperlink" Target="https://luna-dr.com/subjects/abnormal-vaginal-discharge/" TargetMode="External"/><Relationship Id="rId584" Type="http://schemas.openxmlformats.org/officeDocument/2006/relationships/hyperlink" Target="https://luna-dr.com/subjects/bridal-check/" TargetMode="External"/><Relationship Id="rId338" Type="http://schemas.openxmlformats.org/officeDocument/2006/relationships/hyperlink" Target="https://luna-dr.com/subjects/ius-treatment/" TargetMode="External"/><Relationship Id="rId337" Type="http://schemas.openxmlformats.org/officeDocument/2006/relationships/hyperlink" Target="https://luna-dr.com/subjects/ius-treatment/" TargetMode="External"/><Relationship Id="rId579" Type="http://schemas.openxmlformats.org/officeDocument/2006/relationships/hyperlink" Target="https://luna-dr.com/subjects/bridal-check/" TargetMode="External"/><Relationship Id="rId336" Type="http://schemas.openxmlformats.org/officeDocument/2006/relationships/hyperlink" Target="https://luna-dr.com/subjects/ius-treatment/" TargetMode="External"/><Relationship Id="rId578" Type="http://schemas.openxmlformats.org/officeDocument/2006/relationships/hyperlink" Target="https://luna-dr.com/subjects/bridal-check/" TargetMode="External"/><Relationship Id="rId335" Type="http://schemas.openxmlformats.org/officeDocument/2006/relationships/hyperlink" Target="https://luna-dr.com/subjects/ius-treatment/" TargetMode="External"/><Relationship Id="rId577" Type="http://schemas.openxmlformats.org/officeDocument/2006/relationships/hyperlink" Target="https://luna-dr.com/subjects/bridal-check/" TargetMode="External"/><Relationship Id="rId339" Type="http://schemas.openxmlformats.org/officeDocument/2006/relationships/hyperlink" Target="https://luna-dr.com/subjects/ius-treatment/" TargetMode="External"/><Relationship Id="rId330" Type="http://schemas.openxmlformats.org/officeDocument/2006/relationships/hyperlink" Target="https://luna-dr.com/subjects/ius-treatment/" TargetMode="External"/><Relationship Id="rId572" Type="http://schemas.openxmlformats.org/officeDocument/2006/relationships/hyperlink" Target="https://luna-dr.com/subjects/bridal-check/" TargetMode="External"/><Relationship Id="rId571" Type="http://schemas.openxmlformats.org/officeDocument/2006/relationships/hyperlink" Target="https://luna-dr.com/subjects/bridal-check/" TargetMode="External"/><Relationship Id="rId570" Type="http://schemas.openxmlformats.org/officeDocument/2006/relationships/hyperlink" Target="https://luna-dr.com/subjects/abortion_page/" TargetMode="External"/><Relationship Id="rId334" Type="http://schemas.openxmlformats.org/officeDocument/2006/relationships/hyperlink" Target="https://luna-dr.com/subjects/ius-treatment/" TargetMode="External"/><Relationship Id="rId576" Type="http://schemas.openxmlformats.org/officeDocument/2006/relationships/hyperlink" Target="https://luna-dr.com/subjects/bridal-check/" TargetMode="External"/><Relationship Id="rId333" Type="http://schemas.openxmlformats.org/officeDocument/2006/relationships/hyperlink" Target="https://luna-dr.com/subjects/ius-treatment/" TargetMode="External"/><Relationship Id="rId575" Type="http://schemas.openxmlformats.org/officeDocument/2006/relationships/hyperlink" Target="https://luna-dr.com/subjects/bridal-check/" TargetMode="External"/><Relationship Id="rId332" Type="http://schemas.openxmlformats.org/officeDocument/2006/relationships/hyperlink" Target="https://luna-dr.com/subjects/ius-treatment/" TargetMode="External"/><Relationship Id="rId574" Type="http://schemas.openxmlformats.org/officeDocument/2006/relationships/hyperlink" Target="https://luna-dr.com/subjects/bridal-check/" TargetMode="External"/><Relationship Id="rId331" Type="http://schemas.openxmlformats.org/officeDocument/2006/relationships/hyperlink" Target="https://luna-dr.com/subjects/ius-treatment/" TargetMode="External"/><Relationship Id="rId573" Type="http://schemas.openxmlformats.org/officeDocument/2006/relationships/hyperlink" Target="https://luna-dr.com/subjects/bridal-check/" TargetMode="External"/><Relationship Id="rId370" Type="http://schemas.openxmlformats.org/officeDocument/2006/relationships/hyperlink" Target="https://luna-dr.com/subjects/abnormal-vaginal-discharge/" TargetMode="External"/><Relationship Id="rId129" Type="http://schemas.openxmlformats.org/officeDocument/2006/relationships/hyperlink" Target="https://luna-dr.com/subjects/menstrual-irregularity/" TargetMode="External"/><Relationship Id="rId128" Type="http://schemas.openxmlformats.org/officeDocument/2006/relationships/hyperlink" Target="https://luna-dr.com/subjects/menstrual-irregularity/" TargetMode="External"/><Relationship Id="rId127" Type="http://schemas.openxmlformats.org/officeDocument/2006/relationships/hyperlink" Target="https://luna-dr.com/subjects/menstrual-irregularity/" TargetMode="External"/><Relationship Id="rId369" Type="http://schemas.openxmlformats.org/officeDocument/2006/relationships/hyperlink" Target="https://luna-dr.com/subjects/abnormal-vaginal-discharge/" TargetMode="External"/><Relationship Id="rId126" Type="http://schemas.openxmlformats.org/officeDocument/2006/relationships/hyperlink" Target="https://luna-dr.com/" TargetMode="External"/><Relationship Id="rId368" Type="http://schemas.openxmlformats.org/officeDocument/2006/relationships/hyperlink" Target="https://luna-dr.com/subjects/abnormal-vaginal-discharge/" TargetMode="External"/><Relationship Id="rId121" Type="http://schemas.openxmlformats.org/officeDocument/2006/relationships/hyperlink" Target="https://luna-dr.com/" TargetMode="External"/><Relationship Id="rId363" Type="http://schemas.openxmlformats.org/officeDocument/2006/relationships/hyperlink" Target="https://luna-dr.com/subjects/abnormal-vaginal-discharge/" TargetMode="External"/><Relationship Id="rId120" Type="http://schemas.openxmlformats.org/officeDocument/2006/relationships/hyperlink" Target="https://luna-dr.com/subjects/menstrual-irregularity/" TargetMode="External"/><Relationship Id="rId362" Type="http://schemas.openxmlformats.org/officeDocument/2006/relationships/hyperlink" Target="https://luna-dr.com/subjects/abnormal-vaginal-discharge/" TargetMode="External"/><Relationship Id="rId361" Type="http://schemas.openxmlformats.org/officeDocument/2006/relationships/hyperlink" Target="https://luna-dr.com/subjects/abnormal-vaginal-discharge/" TargetMode="External"/><Relationship Id="rId360" Type="http://schemas.openxmlformats.org/officeDocument/2006/relationships/hyperlink" Target="https://luna-dr.com/subjects/abnormal-vaginal-discharge/" TargetMode="External"/><Relationship Id="rId125" Type="http://schemas.openxmlformats.org/officeDocument/2006/relationships/hyperlink" Target="https://luna-dr.com/" TargetMode="External"/><Relationship Id="rId367" Type="http://schemas.openxmlformats.org/officeDocument/2006/relationships/hyperlink" Target="https://luna-dr.com/subjects/abnormal-vaginal-discharge/" TargetMode="External"/><Relationship Id="rId124" Type="http://schemas.openxmlformats.org/officeDocument/2006/relationships/hyperlink" Target="https://luna-dr.com/" TargetMode="External"/><Relationship Id="rId366" Type="http://schemas.openxmlformats.org/officeDocument/2006/relationships/hyperlink" Target="https://luna-dr.com/subjects/abnormal-vaginal-discharge/" TargetMode="External"/><Relationship Id="rId123" Type="http://schemas.openxmlformats.org/officeDocument/2006/relationships/hyperlink" Target="https://luna-dr.com/" TargetMode="External"/><Relationship Id="rId365" Type="http://schemas.openxmlformats.org/officeDocument/2006/relationships/hyperlink" Target="https://luna-dr.com/subjects/abnormal-vaginal-discharge/" TargetMode="External"/><Relationship Id="rId122" Type="http://schemas.openxmlformats.org/officeDocument/2006/relationships/hyperlink" Target="https://luna-dr.com/" TargetMode="External"/><Relationship Id="rId364" Type="http://schemas.openxmlformats.org/officeDocument/2006/relationships/hyperlink" Target="https://luna-dr.com/subjects/abnormal-vaginal-discharge/" TargetMode="External"/><Relationship Id="rId95" Type="http://schemas.openxmlformats.org/officeDocument/2006/relationships/hyperlink" Target="https://luna-dr.com/subjects/menstrual-manipulation/" TargetMode="External"/><Relationship Id="rId94" Type="http://schemas.openxmlformats.org/officeDocument/2006/relationships/hyperlink" Target="https://luna-dr.com/subjects/menstrual-manipulation/" TargetMode="External"/><Relationship Id="rId97" Type="http://schemas.openxmlformats.org/officeDocument/2006/relationships/hyperlink" Target="https://luna-dr.com/subjects/menstrual-manipulation/" TargetMode="External"/><Relationship Id="rId96" Type="http://schemas.openxmlformats.org/officeDocument/2006/relationships/hyperlink" Target="https://luna-dr.com/subjects/menstrual-manipulation/" TargetMode="External"/><Relationship Id="rId99" Type="http://schemas.openxmlformats.org/officeDocument/2006/relationships/hyperlink" Target="https://luna-dr.com/subjects/menstrual-manipulation/" TargetMode="External"/><Relationship Id="rId98" Type="http://schemas.openxmlformats.org/officeDocument/2006/relationships/hyperlink" Target="https://luna-dr.com/subjects/menstrual-manipulation/" TargetMode="External"/><Relationship Id="rId91" Type="http://schemas.openxmlformats.org/officeDocument/2006/relationships/hyperlink" Target="https://luna-dr.com/subjects/menstrual-manipulation/" TargetMode="External"/><Relationship Id="rId90" Type="http://schemas.openxmlformats.org/officeDocument/2006/relationships/hyperlink" Target="https://luna-dr.com/subjects/menstrual-manipulation/" TargetMode="External"/><Relationship Id="rId93" Type="http://schemas.openxmlformats.org/officeDocument/2006/relationships/hyperlink" Target="https://luna-dr.com/subjects/menstrual-manipulation/" TargetMode="External"/><Relationship Id="rId92" Type="http://schemas.openxmlformats.org/officeDocument/2006/relationships/hyperlink" Target="https://luna-dr.com/subjects/menstrual-manipulation/" TargetMode="External"/><Relationship Id="rId118" Type="http://schemas.openxmlformats.org/officeDocument/2006/relationships/hyperlink" Target="https://luna-dr.com/subjects/menstrual-manipulation/" TargetMode="External"/><Relationship Id="rId117" Type="http://schemas.openxmlformats.org/officeDocument/2006/relationships/hyperlink" Target="https://luna-dr.com/subjects/menstrual-manipulation/" TargetMode="External"/><Relationship Id="rId359" Type="http://schemas.openxmlformats.org/officeDocument/2006/relationships/hyperlink" Target="https://luna-dr.com/subjects/abnormal-vaginal-discharge/" TargetMode="External"/><Relationship Id="rId116" Type="http://schemas.openxmlformats.org/officeDocument/2006/relationships/hyperlink" Target="https://luna-dr.com/subjects/menstrual-manipulation/" TargetMode="External"/><Relationship Id="rId358" Type="http://schemas.openxmlformats.org/officeDocument/2006/relationships/hyperlink" Target="https://luna-dr.com/subjects/abnormal-vaginal-discharge/" TargetMode="External"/><Relationship Id="rId115" Type="http://schemas.openxmlformats.org/officeDocument/2006/relationships/hyperlink" Target="https://luna-dr.com/subjects/menstrual-manipulation/" TargetMode="External"/><Relationship Id="rId357" Type="http://schemas.openxmlformats.org/officeDocument/2006/relationships/hyperlink" Target="https://luna-dr.com/subjects/abnormal-vaginal-discharge/" TargetMode="External"/><Relationship Id="rId599" Type="http://schemas.openxmlformats.org/officeDocument/2006/relationships/hyperlink" Target="https://luna-dr.com/subjects/medical-checkup/" TargetMode="External"/><Relationship Id="rId119" Type="http://schemas.openxmlformats.org/officeDocument/2006/relationships/hyperlink" Target="https://luna-dr.com/subjects/menstrual-irregularity/" TargetMode="External"/><Relationship Id="rId110" Type="http://schemas.openxmlformats.org/officeDocument/2006/relationships/hyperlink" Target="https://luna-dr.com/subjects/menstrual-manipulation/" TargetMode="External"/><Relationship Id="rId352" Type="http://schemas.openxmlformats.org/officeDocument/2006/relationships/hyperlink" Target="https://luna-dr.com/subjects/abnormal-vaginal-discharge/" TargetMode="External"/><Relationship Id="rId594" Type="http://schemas.openxmlformats.org/officeDocument/2006/relationships/hyperlink" Target="https://luna-dr.com/subjects/bridal-check/" TargetMode="External"/><Relationship Id="rId351" Type="http://schemas.openxmlformats.org/officeDocument/2006/relationships/hyperlink" Target="https://luna-dr.com/subjects/abnormal-vaginal-discharge/" TargetMode="External"/><Relationship Id="rId593" Type="http://schemas.openxmlformats.org/officeDocument/2006/relationships/hyperlink" Target="https://luna-dr.com/subjects/bridal-check/" TargetMode="External"/><Relationship Id="rId350" Type="http://schemas.openxmlformats.org/officeDocument/2006/relationships/hyperlink" Target="https://luna-dr.com/subjects/abnormal-vaginal-discharge/" TargetMode="External"/><Relationship Id="rId592" Type="http://schemas.openxmlformats.org/officeDocument/2006/relationships/hyperlink" Target="https://luna-dr.com/subjects/bridal-check/" TargetMode="External"/><Relationship Id="rId591" Type="http://schemas.openxmlformats.org/officeDocument/2006/relationships/hyperlink" Target="https://luna-dr.com/subjects/bridal-check/" TargetMode="External"/><Relationship Id="rId114" Type="http://schemas.openxmlformats.org/officeDocument/2006/relationships/hyperlink" Target="https://luna-dr.com/subjects/menstrual-manipulation/" TargetMode="External"/><Relationship Id="rId356" Type="http://schemas.openxmlformats.org/officeDocument/2006/relationships/hyperlink" Target="https://luna-dr.com/subjects/abnormal-vaginal-discharge/" TargetMode="External"/><Relationship Id="rId598" Type="http://schemas.openxmlformats.org/officeDocument/2006/relationships/hyperlink" Target="https://luna-dr.com/subjects/medical-checkup/" TargetMode="External"/><Relationship Id="rId113" Type="http://schemas.openxmlformats.org/officeDocument/2006/relationships/hyperlink" Target="https://luna-dr.com/subjects/menstrual-manipulation/" TargetMode="External"/><Relationship Id="rId355" Type="http://schemas.openxmlformats.org/officeDocument/2006/relationships/hyperlink" Target="https://luna-dr.com/subjects/abnormal-vaginal-discharge/" TargetMode="External"/><Relationship Id="rId597" Type="http://schemas.openxmlformats.org/officeDocument/2006/relationships/hyperlink" Target="https://luna-dr.com/subjects/medical-checkup/" TargetMode="External"/><Relationship Id="rId112" Type="http://schemas.openxmlformats.org/officeDocument/2006/relationships/hyperlink" Target="https://luna-dr.com/subjects/menstrual-manipulation/" TargetMode="External"/><Relationship Id="rId354" Type="http://schemas.openxmlformats.org/officeDocument/2006/relationships/hyperlink" Target="https://luna-dr.com/subjects/abnormal-vaginal-discharge/" TargetMode="External"/><Relationship Id="rId596" Type="http://schemas.openxmlformats.org/officeDocument/2006/relationships/hyperlink" Target="https://luna-dr.com/subjects/bridal-check/" TargetMode="External"/><Relationship Id="rId111" Type="http://schemas.openxmlformats.org/officeDocument/2006/relationships/hyperlink" Target="https://luna-dr.com/subjects/menstrual-manipulation/" TargetMode="External"/><Relationship Id="rId353" Type="http://schemas.openxmlformats.org/officeDocument/2006/relationships/hyperlink" Target="https://luna-dr.com/subjects/abnormal-vaginal-discharge/" TargetMode="External"/><Relationship Id="rId595" Type="http://schemas.openxmlformats.org/officeDocument/2006/relationships/hyperlink" Target="https://luna-dr.com/subjects/bridal-check/" TargetMode="External"/><Relationship Id="rId305" Type="http://schemas.openxmlformats.org/officeDocument/2006/relationships/hyperlink" Target="https://luna-dr.com/subjects/after-pill_page/" TargetMode="External"/><Relationship Id="rId547" Type="http://schemas.openxmlformats.org/officeDocument/2006/relationships/hyperlink" Target="https://luna-dr.com/subjects/abortion_page/" TargetMode="External"/><Relationship Id="rId789" Type="http://schemas.openxmlformats.org/officeDocument/2006/relationships/hyperlink" Target="https://docs.google.com/forms/d/e/1FAIpQLSc3UbKV7RThiDP2RwV5SJUs203CQCPFY-8VJJCWJch0nVxBOQ/viewform?usp=header" TargetMode="External"/><Relationship Id="rId304" Type="http://schemas.openxmlformats.org/officeDocument/2006/relationships/hyperlink" Target="https://luna-dr.com/subjects/after-pill_page/" TargetMode="External"/><Relationship Id="rId546" Type="http://schemas.openxmlformats.org/officeDocument/2006/relationships/hyperlink" Target="https://luna-dr.com/subjects/abortion_page/" TargetMode="External"/><Relationship Id="rId788" Type="http://schemas.openxmlformats.org/officeDocument/2006/relationships/hyperlink" Target="https://cline-app.com/qr-codes/98ad6f149bfa20f4f2a9a2e91aac4187/preview" TargetMode="External"/><Relationship Id="rId303" Type="http://schemas.openxmlformats.org/officeDocument/2006/relationships/hyperlink" Target="https://luna-dr.com/subjects/after-pill_page/" TargetMode="External"/><Relationship Id="rId545" Type="http://schemas.openxmlformats.org/officeDocument/2006/relationships/hyperlink" Target="https://luna-dr.com/subjects/abortion_page/" TargetMode="External"/><Relationship Id="rId787" Type="http://schemas.openxmlformats.org/officeDocument/2006/relationships/hyperlink" Target="https://cline-app.com/qr-codes/98ad6f149bfa20f4f2a9a2e91aac4187/preview" TargetMode="External"/><Relationship Id="rId302" Type="http://schemas.openxmlformats.org/officeDocument/2006/relationships/hyperlink" Target="https://luna-dr.com/subjects/after-pill_page/" TargetMode="External"/><Relationship Id="rId544" Type="http://schemas.openxmlformats.org/officeDocument/2006/relationships/hyperlink" Target="https://luna-dr.com/subjects/abortion_page/" TargetMode="External"/><Relationship Id="rId786" Type="http://schemas.openxmlformats.org/officeDocument/2006/relationships/hyperlink" Target="https://cline-app.com/qr-codes/98ad6f149bfa20f4f2a9a2e91aac4187/preview" TargetMode="External"/><Relationship Id="rId309" Type="http://schemas.openxmlformats.org/officeDocument/2006/relationships/hyperlink" Target="https://luna-dr.com/subjects/ius-treatment/" TargetMode="External"/><Relationship Id="rId308" Type="http://schemas.openxmlformats.org/officeDocument/2006/relationships/hyperlink" Target="https://luna-dr.com/subjects/ius-treatment/" TargetMode="External"/><Relationship Id="rId307" Type="http://schemas.openxmlformats.org/officeDocument/2006/relationships/hyperlink" Target="https://luna-dr.com/subjects/ius-treatment/" TargetMode="External"/><Relationship Id="rId549" Type="http://schemas.openxmlformats.org/officeDocument/2006/relationships/hyperlink" Target="https://luna-dr.com/subjects/abortion_page/" TargetMode="External"/><Relationship Id="rId306" Type="http://schemas.openxmlformats.org/officeDocument/2006/relationships/hyperlink" Target="https://luna-dr.com/subjects/after-pill_page/" TargetMode="External"/><Relationship Id="rId548" Type="http://schemas.openxmlformats.org/officeDocument/2006/relationships/hyperlink" Target="https://luna-dr.com/subjects/abortion_page/" TargetMode="External"/><Relationship Id="rId781" Type="http://schemas.openxmlformats.org/officeDocument/2006/relationships/hyperlink" Target="https://cline-app.com/qr-codes/98ad6f149bfa20f4f2a9a2e91aac4187/preview" TargetMode="External"/><Relationship Id="rId780" Type="http://schemas.openxmlformats.org/officeDocument/2006/relationships/hyperlink" Target="https://cline-app.com/qr-codes/98ad6f149bfa20f4f2a9a2e91aac4187/preview" TargetMode="External"/><Relationship Id="rId301" Type="http://schemas.openxmlformats.org/officeDocument/2006/relationships/hyperlink" Target="https://luna-dr.com/subjects/after-pill_page/" TargetMode="External"/><Relationship Id="rId543" Type="http://schemas.openxmlformats.org/officeDocument/2006/relationships/hyperlink" Target="https://luna-dr.com/subjects/pregnancy-test/" TargetMode="External"/><Relationship Id="rId785" Type="http://schemas.openxmlformats.org/officeDocument/2006/relationships/hyperlink" Target="https://cline-app.com/qr-codes/98ad6f149bfa20f4f2a9a2e91aac4187/preview" TargetMode="External"/><Relationship Id="rId300" Type="http://schemas.openxmlformats.org/officeDocument/2006/relationships/hyperlink" Target="https://luna-dr.com/subjects/after-pill_page/" TargetMode="External"/><Relationship Id="rId542" Type="http://schemas.openxmlformats.org/officeDocument/2006/relationships/hyperlink" Target="https://luna-dr.com/subjects/pregnancy-test/" TargetMode="External"/><Relationship Id="rId784" Type="http://schemas.openxmlformats.org/officeDocument/2006/relationships/hyperlink" Target="https://cline-app.com/qr-codes/98ad6f149bfa20f4f2a9a2e91aac4187/preview" TargetMode="External"/><Relationship Id="rId541" Type="http://schemas.openxmlformats.org/officeDocument/2006/relationships/hyperlink" Target="https://luna-dr.com/subjects/pregnancy-test/" TargetMode="External"/><Relationship Id="rId783" Type="http://schemas.openxmlformats.org/officeDocument/2006/relationships/hyperlink" Target="https://cline-app.com/qr-codes/98ad6f149bfa20f4f2a9a2e91aac4187/preview" TargetMode="External"/><Relationship Id="rId540" Type="http://schemas.openxmlformats.org/officeDocument/2006/relationships/hyperlink" Target="https://luna-dr.com/subjects/pregnancy-test/" TargetMode="External"/><Relationship Id="rId782" Type="http://schemas.openxmlformats.org/officeDocument/2006/relationships/hyperlink" Target="https://cline-app.com/qr-codes/98ad6f149bfa20f4f2a9a2e91aac4187/preview" TargetMode="External"/><Relationship Id="rId536" Type="http://schemas.openxmlformats.org/officeDocument/2006/relationships/hyperlink" Target="https://luna-dr.com/subjects/abortion_page/" TargetMode="External"/><Relationship Id="rId778" Type="http://schemas.openxmlformats.org/officeDocument/2006/relationships/hyperlink" Target="https://cline-app.com/qr-codes/98ad6f149bfa20f4f2a9a2e91aac4187/preview" TargetMode="External"/><Relationship Id="rId535" Type="http://schemas.openxmlformats.org/officeDocument/2006/relationships/hyperlink" Target="https://luna-dr.com/subjects/abortion_page/" TargetMode="External"/><Relationship Id="rId777" Type="http://schemas.openxmlformats.org/officeDocument/2006/relationships/hyperlink" Target="https://cline-app.com/qr-codes/98ad6f149bfa20f4f2a9a2e91aac4187/preview" TargetMode="External"/><Relationship Id="rId534" Type="http://schemas.openxmlformats.org/officeDocument/2006/relationships/hyperlink" Target="https://luna-dr.com/subjects/abortion_page/" TargetMode="External"/><Relationship Id="rId776" Type="http://schemas.openxmlformats.org/officeDocument/2006/relationships/hyperlink" Target="https://shop.luna-dr.com/products/lactobacillus" TargetMode="External"/><Relationship Id="rId533" Type="http://schemas.openxmlformats.org/officeDocument/2006/relationships/hyperlink" Target="https://luna-dr.com/subjects/abortion_page/" TargetMode="External"/><Relationship Id="rId775" Type="http://schemas.openxmlformats.org/officeDocument/2006/relationships/hyperlink" Target="https://luna-dr.notion.site/f0a26ab231534d8fa9cb069193c411a4" TargetMode="External"/><Relationship Id="rId539" Type="http://schemas.openxmlformats.org/officeDocument/2006/relationships/hyperlink" Target="https://luna-dr.com/subjects/pregnancy-test/" TargetMode="External"/><Relationship Id="rId538" Type="http://schemas.openxmlformats.org/officeDocument/2006/relationships/hyperlink" Target="https://luna-dr.com/subjects/pregnancy-test/" TargetMode="External"/><Relationship Id="rId537" Type="http://schemas.openxmlformats.org/officeDocument/2006/relationships/hyperlink" Target="https://luna-dr.com/subjects/pregnancy-test/" TargetMode="External"/><Relationship Id="rId779" Type="http://schemas.openxmlformats.org/officeDocument/2006/relationships/hyperlink" Target="https://cline-app.com/qr-codes/98ad6f149bfa20f4f2a9a2e91aac4187/preview" TargetMode="External"/><Relationship Id="rId770" Type="http://schemas.openxmlformats.org/officeDocument/2006/relationships/hyperlink" Target="https://shop.luna-dr.com/collections/low_dose_pill_subscription" TargetMode="External"/><Relationship Id="rId532" Type="http://schemas.openxmlformats.org/officeDocument/2006/relationships/hyperlink" Target="https://luna-dr.com/subjects/abortion_page/" TargetMode="External"/><Relationship Id="rId774" Type="http://schemas.openxmlformats.org/officeDocument/2006/relationships/hyperlink" Target="https://luna-dr.com/" TargetMode="External"/><Relationship Id="rId531" Type="http://schemas.openxmlformats.org/officeDocument/2006/relationships/hyperlink" Target="https://luna-dr.com/subjects/abortion_page/" TargetMode="External"/><Relationship Id="rId773" Type="http://schemas.openxmlformats.org/officeDocument/2006/relationships/hyperlink" Target="https://luna-dr.com/" TargetMode="External"/><Relationship Id="rId530" Type="http://schemas.openxmlformats.org/officeDocument/2006/relationships/hyperlink" Target="https://luna-dr.com/subjects/abortion_page/" TargetMode="External"/><Relationship Id="rId772" Type="http://schemas.openxmlformats.org/officeDocument/2006/relationships/hyperlink" Target="https://luna-dr.com/" TargetMode="External"/><Relationship Id="rId771" Type="http://schemas.openxmlformats.org/officeDocument/2006/relationships/hyperlink" Target="https://luna-dr.notion.site/1962f1eed8ff817497d6e727d9c32c73" TargetMode="External"/><Relationship Id="rId327" Type="http://schemas.openxmlformats.org/officeDocument/2006/relationships/hyperlink" Target="https://luna-dr.com/subjects/ius-treatment/" TargetMode="External"/><Relationship Id="rId569" Type="http://schemas.openxmlformats.org/officeDocument/2006/relationships/hyperlink" Target="https://luna-dr.com/subjects/abortion_page/" TargetMode="External"/><Relationship Id="rId326" Type="http://schemas.openxmlformats.org/officeDocument/2006/relationships/hyperlink" Target="https://luna-dr.com/subjects/ius-treatment/" TargetMode="External"/><Relationship Id="rId568" Type="http://schemas.openxmlformats.org/officeDocument/2006/relationships/hyperlink" Target="https://luna-dr.com/subjects/abortion_page/" TargetMode="External"/><Relationship Id="rId325" Type="http://schemas.openxmlformats.org/officeDocument/2006/relationships/hyperlink" Target="https://luna-dr.com/subjects/ius-treatment/" TargetMode="External"/><Relationship Id="rId567" Type="http://schemas.openxmlformats.org/officeDocument/2006/relationships/hyperlink" Target="https://luna-dr.com/subjects/abortion_page/" TargetMode="External"/><Relationship Id="rId324" Type="http://schemas.openxmlformats.org/officeDocument/2006/relationships/hyperlink" Target="https://luna-dr.com/subjects/ius-treatment/" TargetMode="External"/><Relationship Id="rId566" Type="http://schemas.openxmlformats.org/officeDocument/2006/relationships/hyperlink" Target="https://luna-dr.com/subjects/abortion_page/" TargetMode="External"/><Relationship Id="rId329" Type="http://schemas.openxmlformats.org/officeDocument/2006/relationships/hyperlink" Target="https://luna-dr.com/subjects/ius-treatment/" TargetMode="External"/><Relationship Id="rId328" Type="http://schemas.openxmlformats.org/officeDocument/2006/relationships/hyperlink" Target="https://luna-dr.com/subjects/ius-treatment/" TargetMode="External"/><Relationship Id="rId561" Type="http://schemas.openxmlformats.org/officeDocument/2006/relationships/hyperlink" Target="https://luna-dr.com/subjects/abortion_page/" TargetMode="External"/><Relationship Id="rId560" Type="http://schemas.openxmlformats.org/officeDocument/2006/relationships/hyperlink" Target="https://luna-dr.com/subjects/abortion_page/" TargetMode="External"/><Relationship Id="rId323" Type="http://schemas.openxmlformats.org/officeDocument/2006/relationships/hyperlink" Target="https://luna-dr.com/subjects/ius-treatment/" TargetMode="External"/><Relationship Id="rId565" Type="http://schemas.openxmlformats.org/officeDocument/2006/relationships/hyperlink" Target="https://luna-dr.com/subjects/abortion_page/" TargetMode="External"/><Relationship Id="rId322" Type="http://schemas.openxmlformats.org/officeDocument/2006/relationships/hyperlink" Target="https://luna-dr.com/subjects/ius-treatment/" TargetMode="External"/><Relationship Id="rId564" Type="http://schemas.openxmlformats.org/officeDocument/2006/relationships/hyperlink" Target="https://luna-dr.com/subjects/abortion_page/" TargetMode="External"/><Relationship Id="rId321" Type="http://schemas.openxmlformats.org/officeDocument/2006/relationships/hyperlink" Target="https://luna-dr.com/subjects/ius-treatment/" TargetMode="External"/><Relationship Id="rId563" Type="http://schemas.openxmlformats.org/officeDocument/2006/relationships/hyperlink" Target="https://luna-dr.com/subjects/abortion_page/" TargetMode="External"/><Relationship Id="rId320" Type="http://schemas.openxmlformats.org/officeDocument/2006/relationships/hyperlink" Target="https://luna-dr.com/subjects/ius-treatment/" TargetMode="External"/><Relationship Id="rId562" Type="http://schemas.openxmlformats.org/officeDocument/2006/relationships/hyperlink" Target="https://luna-dr.com/subjects/abortion_page/" TargetMode="External"/><Relationship Id="rId316" Type="http://schemas.openxmlformats.org/officeDocument/2006/relationships/hyperlink" Target="https://luna-dr.com/subjects/ius-treatment/" TargetMode="External"/><Relationship Id="rId558" Type="http://schemas.openxmlformats.org/officeDocument/2006/relationships/hyperlink" Target="https://luna-dr.com/subjects/abortion_page/" TargetMode="External"/><Relationship Id="rId315" Type="http://schemas.openxmlformats.org/officeDocument/2006/relationships/hyperlink" Target="https://luna-dr.com/subjects/ius-treatment/" TargetMode="External"/><Relationship Id="rId557" Type="http://schemas.openxmlformats.org/officeDocument/2006/relationships/hyperlink" Target="https://luna-dr.com/subjects/abortion_page/" TargetMode="External"/><Relationship Id="rId799" Type="http://schemas.openxmlformats.org/officeDocument/2006/relationships/hyperlink" Target="https://luna-dr.com/subjects/media/2794/" TargetMode="External"/><Relationship Id="rId314" Type="http://schemas.openxmlformats.org/officeDocument/2006/relationships/hyperlink" Target="https://luna-dr.com/subjects/ius-treatment/" TargetMode="External"/><Relationship Id="rId556" Type="http://schemas.openxmlformats.org/officeDocument/2006/relationships/hyperlink" Target="https://luna-dr.com/subjects/abortion_page/" TargetMode="External"/><Relationship Id="rId798" Type="http://schemas.openxmlformats.org/officeDocument/2006/relationships/hyperlink" Target="https://luna-dr.com/subjects/media/2794/" TargetMode="External"/><Relationship Id="rId313" Type="http://schemas.openxmlformats.org/officeDocument/2006/relationships/hyperlink" Target="https://luna-dr.com/subjects/ius-treatment/" TargetMode="External"/><Relationship Id="rId555" Type="http://schemas.openxmlformats.org/officeDocument/2006/relationships/hyperlink" Target="https://luna-dr.com/subjects/abortion_page/" TargetMode="External"/><Relationship Id="rId797" Type="http://schemas.openxmlformats.org/officeDocument/2006/relationships/hyperlink" Target="https://luna-dr.com/subjects/media/2794/" TargetMode="External"/><Relationship Id="rId319" Type="http://schemas.openxmlformats.org/officeDocument/2006/relationships/hyperlink" Target="https://luna-dr.com/subjects/ius-treatment/" TargetMode="External"/><Relationship Id="rId318" Type="http://schemas.openxmlformats.org/officeDocument/2006/relationships/hyperlink" Target="https://luna-dr.com/subjects/ius-treatment/" TargetMode="External"/><Relationship Id="rId317" Type="http://schemas.openxmlformats.org/officeDocument/2006/relationships/hyperlink" Target="https://luna-dr.com/subjects/ius-treatment/" TargetMode="External"/><Relationship Id="rId559" Type="http://schemas.openxmlformats.org/officeDocument/2006/relationships/hyperlink" Target="https://luna-dr.com/subjects/abortion_page/" TargetMode="External"/><Relationship Id="rId550" Type="http://schemas.openxmlformats.org/officeDocument/2006/relationships/hyperlink" Target="https://luna-dr.com/subjects/abortion_page/" TargetMode="External"/><Relationship Id="rId792" Type="http://schemas.openxmlformats.org/officeDocument/2006/relationships/hyperlink" Target="https://shop.luna-dr.com/collections/low_dose_pill_subscription" TargetMode="External"/><Relationship Id="rId791" Type="http://schemas.openxmlformats.org/officeDocument/2006/relationships/hyperlink" Target="https://luna-dr.com/" TargetMode="External"/><Relationship Id="rId790" Type="http://schemas.openxmlformats.org/officeDocument/2006/relationships/hyperlink" Target="https://luna-dr.notion.site/f0a26ab231534d8fa9cb069193c411a4" TargetMode="External"/><Relationship Id="rId312" Type="http://schemas.openxmlformats.org/officeDocument/2006/relationships/hyperlink" Target="https://luna-dr.com/subjects/ius-treatment/" TargetMode="External"/><Relationship Id="rId554" Type="http://schemas.openxmlformats.org/officeDocument/2006/relationships/hyperlink" Target="https://luna-dr.com/subjects/abortion_page/" TargetMode="External"/><Relationship Id="rId796" Type="http://schemas.openxmlformats.org/officeDocument/2006/relationships/hyperlink" Target="https://luna-dr.com/subjects/media/2794/" TargetMode="External"/><Relationship Id="rId311" Type="http://schemas.openxmlformats.org/officeDocument/2006/relationships/hyperlink" Target="https://luna-dr.com/subjects/ius-treatment/" TargetMode="External"/><Relationship Id="rId553" Type="http://schemas.openxmlformats.org/officeDocument/2006/relationships/hyperlink" Target="https://luna-dr.com/subjects/abortion_page/" TargetMode="External"/><Relationship Id="rId795" Type="http://schemas.openxmlformats.org/officeDocument/2006/relationships/hyperlink" Target="https://luna-dr.com/subjects/media/2794/" TargetMode="External"/><Relationship Id="rId310" Type="http://schemas.openxmlformats.org/officeDocument/2006/relationships/hyperlink" Target="https://luna-dr.com/subjects/ius-treatment/" TargetMode="External"/><Relationship Id="rId552" Type="http://schemas.openxmlformats.org/officeDocument/2006/relationships/hyperlink" Target="https://luna-dr.com/subjects/abortion_page/" TargetMode="External"/><Relationship Id="rId794" Type="http://schemas.openxmlformats.org/officeDocument/2006/relationships/hyperlink" Target="https://luna-dr.com/subjects/media/2794/" TargetMode="External"/><Relationship Id="rId551" Type="http://schemas.openxmlformats.org/officeDocument/2006/relationships/hyperlink" Target="https://luna-dr.com/subjects/abortion_page/" TargetMode="External"/><Relationship Id="rId793" Type="http://schemas.openxmlformats.org/officeDocument/2006/relationships/hyperlink" Target="https://luna-dr.com/subjects/pill-prescription/" TargetMode="External"/><Relationship Id="rId297" Type="http://schemas.openxmlformats.org/officeDocument/2006/relationships/hyperlink" Target="https://luna-dr.com/subjects/after-pill_page/" TargetMode="External"/><Relationship Id="rId296" Type="http://schemas.openxmlformats.org/officeDocument/2006/relationships/hyperlink" Target="https://luna-dr.com/subjects/after-pill_page/" TargetMode="External"/><Relationship Id="rId295" Type="http://schemas.openxmlformats.org/officeDocument/2006/relationships/hyperlink" Target="https://luna-dr.com/subjects/after-pill_page/" TargetMode="External"/><Relationship Id="rId294" Type="http://schemas.openxmlformats.org/officeDocument/2006/relationships/hyperlink" Target="https://luna-dr.com/subjects/after-pill_page/" TargetMode="External"/><Relationship Id="rId299" Type="http://schemas.openxmlformats.org/officeDocument/2006/relationships/hyperlink" Target="https://luna-dr.com/subjects/after-pill_page/" TargetMode="External"/><Relationship Id="rId298" Type="http://schemas.openxmlformats.org/officeDocument/2006/relationships/hyperlink" Target="https://luna-dr.com/subjects/after-pill_page/" TargetMode="External"/><Relationship Id="rId271" Type="http://schemas.openxmlformats.org/officeDocument/2006/relationships/hyperlink" Target="https://luna-dr.com/subjects/after-pill_page/" TargetMode="External"/><Relationship Id="rId270" Type="http://schemas.openxmlformats.org/officeDocument/2006/relationships/hyperlink" Target="https://luna-dr.com/subjects/after-pill_page/" TargetMode="External"/><Relationship Id="rId269" Type="http://schemas.openxmlformats.org/officeDocument/2006/relationships/hyperlink" Target="https://luna-dr.com/subjects/after-pill_page/" TargetMode="External"/><Relationship Id="rId264" Type="http://schemas.openxmlformats.org/officeDocument/2006/relationships/hyperlink" Target="https://luna-dr.com/subjects/low-dose-contraceptive/" TargetMode="External"/><Relationship Id="rId263" Type="http://schemas.openxmlformats.org/officeDocument/2006/relationships/hyperlink" Target="https://luna-dr.com/subjects/low-dose-contraceptive/" TargetMode="External"/><Relationship Id="rId262" Type="http://schemas.openxmlformats.org/officeDocument/2006/relationships/hyperlink" Target="https://luna-dr.com/subjects/low-dose-contraceptive/" TargetMode="External"/><Relationship Id="rId261" Type="http://schemas.openxmlformats.org/officeDocument/2006/relationships/hyperlink" Target="https://luna-dr.com/subjects/low-dose-contraceptive/" TargetMode="External"/><Relationship Id="rId268" Type="http://schemas.openxmlformats.org/officeDocument/2006/relationships/hyperlink" Target="https://luna-dr.com/subjects/after-pill_page/" TargetMode="External"/><Relationship Id="rId267" Type="http://schemas.openxmlformats.org/officeDocument/2006/relationships/hyperlink" Target="https://luna-dr.com/subjects/after-pill_page/" TargetMode="External"/><Relationship Id="rId266" Type="http://schemas.openxmlformats.org/officeDocument/2006/relationships/hyperlink" Target="https://luna-dr.com/subjects/low-dose-contraceptive/" TargetMode="External"/><Relationship Id="rId265" Type="http://schemas.openxmlformats.org/officeDocument/2006/relationships/hyperlink" Target="https://luna-dr.com/subjects/low-dose-contraceptive/" TargetMode="External"/><Relationship Id="rId260" Type="http://schemas.openxmlformats.org/officeDocument/2006/relationships/hyperlink" Target="https://luna-dr.com/subjects/low-dose-contraceptive/" TargetMode="External"/><Relationship Id="rId259" Type="http://schemas.openxmlformats.org/officeDocument/2006/relationships/hyperlink" Target="https://luna-dr.com/subjects/low-dose-contraceptive/" TargetMode="External"/><Relationship Id="rId258" Type="http://schemas.openxmlformats.org/officeDocument/2006/relationships/hyperlink" Target="https://luna-dr.com/subjects/low-dose-contraceptive/" TargetMode="External"/><Relationship Id="rId253" Type="http://schemas.openxmlformats.org/officeDocument/2006/relationships/hyperlink" Target="https://luna-dr.com/subjects/low-dose-contraceptive/" TargetMode="External"/><Relationship Id="rId495" Type="http://schemas.openxmlformats.org/officeDocument/2006/relationships/hyperlink" Target="https://luna-dr.com/subjects/pregnancy-test/" TargetMode="External"/><Relationship Id="rId252" Type="http://schemas.openxmlformats.org/officeDocument/2006/relationships/hyperlink" Target="https://luna-dr.com/subjects/low-dose-contraceptive/" TargetMode="External"/><Relationship Id="rId494" Type="http://schemas.openxmlformats.org/officeDocument/2006/relationships/hyperlink" Target="https://luna-dr.com/subjects/pregnancy-test/" TargetMode="External"/><Relationship Id="rId251" Type="http://schemas.openxmlformats.org/officeDocument/2006/relationships/hyperlink" Target="https://luna-dr.com/subjects/low-dose-contraceptive/" TargetMode="External"/><Relationship Id="rId493" Type="http://schemas.openxmlformats.org/officeDocument/2006/relationships/hyperlink" Target="https://luna-dr.com/subjects/pregnancy-test/" TargetMode="External"/><Relationship Id="rId250" Type="http://schemas.openxmlformats.org/officeDocument/2006/relationships/hyperlink" Target="https://luna-dr.com/subjects/low-dose-contraceptive/" TargetMode="External"/><Relationship Id="rId492" Type="http://schemas.openxmlformats.org/officeDocument/2006/relationships/hyperlink" Target="https://luna-dr.com/subjects/pregnancy-test/" TargetMode="External"/><Relationship Id="rId257" Type="http://schemas.openxmlformats.org/officeDocument/2006/relationships/hyperlink" Target="https://luna-dr.com/subjects/low-dose-contraceptive/" TargetMode="External"/><Relationship Id="rId499" Type="http://schemas.openxmlformats.org/officeDocument/2006/relationships/hyperlink" Target="https://luna-dr.com/subjects/pregnancy-test/" TargetMode="External"/><Relationship Id="rId256" Type="http://schemas.openxmlformats.org/officeDocument/2006/relationships/hyperlink" Target="https://luna-dr.com/subjects/low-dose-contraceptive/" TargetMode="External"/><Relationship Id="rId498" Type="http://schemas.openxmlformats.org/officeDocument/2006/relationships/hyperlink" Target="https://luna-dr.com/subjects/pregnancy-test/" TargetMode="External"/><Relationship Id="rId255" Type="http://schemas.openxmlformats.org/officeDocument/2006/relationships/hyperlink" Target="https://luna-dr.com/subjects/low-dose-contraceptive/" TargetMode="External"/><Relationship Id="rId497" Type="http://schemas.openxmlformats.org/officeDocument/2006/relationships/hyperlink" Target="https://luna-dr.com/subjects/pregnancy-test/" TargetMode="External"/><Relationship Id="rId254" Type="http://schemas.openxmlformats.org/officeDocument/2006/relationships/hyperlink" Target="https://luna-dr.com/subjects/low-dose-contraceptive/" TargetMode="External"/><Relationship Id="rId496" Type="http://schemas.openxmlformats.org/officeDocument/2006/relationships/hyperlink" Target="https://luna-dr.com/subjects/pregnancy-test/" TargetMode="External"/><Relationship Id="rId293" Type="http://schemas.openxmlformats.org/officeDocument/2006/relationships/hyperlink" Target="https://luna-dr.com/subjects/after-pill_page/" TargetMode="External"/><Relationship Id="rId292" Type="http://schemas.openxmlformats.org/officeDocument/2006/relationships/hyperlink" Target="https://luna-dr.com/subjects/after-pill_page/" TargetMode="External"/><Relationship Id="rId291" Type="http://schemas.openxmlformats.org/officeDocument/2006/relationships/hyperlink" Target="https://luna-dr.com/subjects/after-pill_page/" TargetMode="External"/><Relationship Id="rId290" Type="http://schemas.openxmlformats.org/officeDocument/2006/relationships/hyperlink" Target="https://luna-dr.com/subjects/after-pill_page/" TargetMode="External"/><Relationship Id="rId286" Type="http://schemas.openxmlformats.org/officeDocument/2006/relationships/hyperlink" Target="https://luna-dr.com/subjects/after-pill_page/" TargetMode="External"/><Relationship Id="rId285" Type="http://schemas.openxmlformats.org/officeDocument/2006/relationships/hyperlink" Target="https://luna-dr.com/subjects/after-pill_page/" TargetMode="External"/><Relationship Id="rId284" Type="http://schemas.openxmlformats.org/officeDocument/2006/relationships/hyperlink" Target="https://luna-dr.com/subjects/after-pill_page/" TargetMode="External"/><Relationship Id="rId283" Type="http://schemas.openxmlformats.org/officeDocument/2006/relationships/hyperlink" Target="https://luna-dr.com/subjects/after-pill_page/" TargetMode="External"/><Relationship Id="rId289" Type="http://schemas.openxmlformats.org/officeDocument/2006/relationships/hyperlink" Target="https://luna-dr.com/subjects/after-pill_page/" TargetMode="External"/><Relationship Id="rId288" Type="http://schemas.openxmlformats.org/officeDocument/2006/relationships/hyperlink" Target="https://luna-dr.com/subjects/after-pill_page/" TargetMode="External"/><Relationship Id="rId287" Type="http://schemas.openxmlformats.org/officeDocument/2006/relationships/hyperlink" Target="https://luna-dr.com/subjects/after-pill_page/" TargetMode="External"/><Relationship Id="rId282" Type="http://schemas.openxmlformats.org/officeDocument/2006/relationships/hyperlink" Target="https://luna-dr.com/subjects/after-pill_page/" TargetMode="External"/><Relationship Id="rId281" Type="http://schemas.openxmlformats.org/officeDocument/2006/relationships/hyperlink" Target="https://luna-dr.com/subjects/after-pill_page/" TargetMode="External"/><Relationship Id="rId280" Type="http://schemas.openxmlformats.org/officeDocument/2006/relationships/hyperlink" Target="https://luna-dr.com/subjects/after-pill_page/" TargetMode="External"/><Relationship Id="rId275" Type="http://schemas.openxmlformats.org/officeDocument/2006/relationships/hyperlink" Target="https://luna-dr.com/subjects/after-pill_page/" TargetMode="External"/><Relationship Id="rId274" Type="http://schemas.openxmlformats.org/officeDocument/2006/relationships/hyperlink" Target="https://luna-dr.com/subjects/after-pill_page/" TargetMode="External"/><Relationship Id="rId273" Type="http://schemas.openxmlformats.org/officeDocument/2006/relationships/hyperlink" Target="https://luna-dr.com/subjects/after-pill_page/" TargetMode="External"/><Relationship Id="rId272" Type="http://schemas.openxmlformats.org/officeDocument/2006/relationships/hyperlink" Target="https://luna-dr.com/subjects/after-pill_page/" TargetMode="External"/><Relationship Id="rId279" Type="http://schemas.openxmlformats.org/officeDocument/2006/relationships/hyperlink" Target="https://luna-dr.com/subjects/after-pill_page/" TargetMode="External"/><Relationship Id="rId278" Type="http://schemas.openxmlformats.org/officeDocument/2006/relationships/hyperlink" Target="https://luna-dr.com/subjects/after-pill_page/" TargetMode="External"/><Relationship Id="rId277" Type="http://schemas.openxmlformats.org/officeDocument/2006/relationships/hyperlink" Target="https://luna-dr.com/subjects/after-pill_page/" TargetMode="External"/><Relationship Id="rId276" Type="http://schemas.openxmlformats.org/officeDocument/2006/relationships/hyperlink" Target="https://luna-dr.com/subjects/after-pill_page/" TargetMode="External"/><Relationship Id="rId629" Type="http://schemas.openxmlformats.org/officeDocument/2006/relationships/hyperlink" Target="https://luna-dr.com/subjects/medical-checkup/" TargetMode="External"/><Relationship Id="rId624" Type="http://schemas.openxmlformats.org/officeDocument/2006/relationships/hyperlink" Target="https://luna-dr.com/subjects/medical-checkup/" TargetMode="External"/><Relationship Id="rId866" Type="http://schemas.openxmlformats.org/officeDocument/2006/relationships/hyperlink" Target="https://luna-dr.com/yokohama/price/" TargetMode="External"/><Relationship Id="rId623" Type="http://schemas.openxmlformats.org/officeDocument/2006/relationships/hyperlink" Target="https://luna-dr.com/subjects/medical-checkup/" TargetMode="External"/><Relationship Id="rId865" Type="http://schemas.openxmlformats.org/officeDocument/2006/relationships/hyperlink" Target="https://luna-dr.com/yokohama/price/" TargetMode="External"/><Relationship Id="rId622" Type="http://schemas.openxmlformats.org/officeDocument/2006/relationships/hyperlink" Target="https://luna-dr.com/subjects/medical-checkup/" TargetMode="External"/><Relationship Id="rId864" Type="http://schemas.openxmlformats.org/officeDocument/2006/relationships/hyperlink" Target="https://luna-dr.com/yokohama/price/" TargetMode="External"/><Relationship Id="rId621" Type="http://schemas.openxmlformats.org/officeDocument/2006/relationships/hyperlink" Target="https://luna-dr.com/subjects/medical-checkup/" TargetMode="External"/><Relationship Id="rId863" Type="http://schemas.openxmlformats.org/officeDocument/2006/relationships/hyperlink" Target="https://luna-dr.com/yokohama/price/" TargetMode="External"/><Relationship Id="rId628" Type="http://schemas.openxmlformats.org/officeDocument/2006/relationships/hyperlink" Target="https://luna-dr.com/subjects/medical-checkup/" TargetMode="External"/><Relationship Id="rId627" Type="http://schemas.openxmlformats.org/officeDocument/2006/relationships/hyperlink" Target="https://luna-dr.com/subjects/medical-checkup/" TargetMode="External"/><Relationship Id="rId869" Type="http://schemas.openxmlformats.org/officeDocument/2006/relationships/hyperlink" Target="https://luna-dr.com/yokohama/price/" TargetMode="External"/><Relationship Id="rId626" Type="http://schemas.openxmlformats.org/officeDocument/2006/relationships/hyperlink" Target="https://luna-dr.com/subjects/medical-checkup/" TargetMode="External"/><Relationship Id="rId868" Type="http://schemas.openxmlformats.org/officeDocument/2006/relationships/hyperlink" Target="https://luna-dr.com/yokohama/price/" TargetMode="External"/><Relationship Id="rId625" Type="http://schemas.openxmlformats.org/officeDocument/2006/relationships/hyperlink" Target="https://luna-dr.com/subjects/medical-checkup/" TargetMode="External"/><Relationship Id="rId867" Type="http://schemas.openxmlformats.org/officeDocument/2006/relationships/hyperlink" Target="https://luna-dr.com/yokohama/price/" TargetMode="External"/><Relationship Id="rId620" Type="http://schemas.openxmlformats.org/officeDocument/2006/relationships/hyperlink" Target="https://luna-dr.com/subjects/medical-checkup/" TargetMode="External"/><Relationship Id="rId862" Type="http://schemas.openxmlformats.org/officeDocument/2006/relationships/hyperlink" Target="https://luna-dr.com/yokohama/price/" TargetMode="External"/><Relationship Id="rId861" Type="http://schemas.openxmlformats.org/officeDocument/2006/relationships/hyperlink" Target="https://luna-dr.com/yokohama/price/" TargetMode="External"/><Relationship Id="rId860" Type="http://schemas.openxmlformats.org/officeDocument/2006/relationships/hyperlink" Target="https://luna-dr.com/yokohama/price/" TargetMode="External"/><Relationship Id="rId619" Type="http://schemas.openxmlformats.org/officeDocument/2006/relationships/hyperlink" Target="https://luna-dr.com/subjects/medical-checkup/" TargetMode="External"/><Relationship Id="rId618" Type="http://schemas.openxmlformats.org/officeDocument/2006/relationships/hyperlink" Target="https://luna-dr.com/subjects/medical-checkup/" TargetMode="External"/><Relationship Id="rId613" Type="http://schemas.openxmlformats.org/officeDocument/2006/relationships/hyperlink" Target="https://luna-dr.com/subjects/medical-checkup/" TargetMode="External"/><Relationship Id="rId855" Type="http://schemas.openxmlformats.org/officeDocument/2006/relationships/hyperlink" Target="https://luna-dr.com/yokohama/price/" TargetMode="External"/><Relationship Id="rId612" Type="http://schemas.openxmlformats.org/officeDocument/2006/relationships/hyperlink" Target="https://luna-dr.com/subjects/medical-checkup/" TargetMode="External"/><Relationship Id="rId854" Type="http://schemas.openxmlformats.org/officeDocument/2006/relationships/hyperlink" Target="https://luna-dr.com/yokohama/price/" TargetMode="External"/><Relationship Id="rId611" Type="http://schemas.openxmlformats.org/officeDocument/2006/relationships/hyperlink" Target="https://luna-dr.com/subjects/medical-checkup/" TargetMode="External"/><Relationship Id="rId853" Type="http://schemas.openxmlformats.org/officeDocument/2006/relationships/hyperlink" Target="https://luna-dr.com/yokohama/price/" TargetMode="External"/><Relationship Id="rId610" Type="http://schemas.openxmlformats.org/officeDocument/2006/relationships/hyperlink" Target="https://luna-dr.com/subjects/medical-checkup/" TargetMode="External"/><Relationship Id="rId852" Type="http://schemas.openxmlformats.org/officeDocument/2006/relationships/hyperlink" Target="https://luna-dr.com/yokohama/price/" TargetMode="External"/><Relationship Id="rId617" Type="http://schemas.openxmlformats.org/officeDocument/2006/relationships/hyperlink" Target="https://luna-dr.com/subjects/medical-checkup/" TargetMode="External"/><Relationship Id="rId859" Type="http://schemas.openxmlformats.org/officeDocument/2006/relationships/hyperlink" Target="https://luna-dr.com/yokohama/price/" TargetMode="External"/><Relationship Id="rId616" Type="http://schemas.openxmlformats.org/officeDocument/2006/relationships/hyperlink" Target="https://luna-dr.com/subjects/medical-checkup/" TargetMode="External"/><Relationship Id="rId858" Type="http://schemas.openxmlformats.org/officeDocument/2006/relationships/hyperlink" Target="https://luna-dr.com/yokohama/price/" TargetMode="External"/><Relationship Id="rId615" Type="http://schemas.openxmlformats.org/officeDocument/2006/relationships/hyperlink" Target="https://luna-dr.com/subjects/medical-checkup/" TargetMode="External"/><Relationship Id="rId857" Type="http://schemas.openxmlformats.org/officeDocument/2006/relationships/hyperlink" Target="https://luna-dr.com/yokohama/price/" TargetMode="External"/><Relationship Id="rId614" Type="http://schemas.openxmlformats.org/officeDocument/2006/relationships/hyperlink" Target="https://luna-dr.com/subjects/medical-checkup/" TargetMode="External"/><Relationship Id="rId856" Type="http://schemas.openxmlformats.org/officeDocument/2006/relationships/hyperlink" Target="https://luna-dr.com/yokohama/price/" TargetMode="External"/><Relationship Id="rId851" Type="http://schemas.openxmlformats.org/officeDocument/2006/relationships/hyperlink" Target="https://luna-dr.com/yokohama/price/" TargetMode="External"/><Relationship Id="rId850" Type="http://schemas.openxmlformats.org/officeDocument/2006/relationships/hyperlink" Target="https://luna-dr.com/yokohama/price/" TargetMode="External"/><Relationship Id="rId409" Type="http://schemas.openxmlformats.org/officeDocument/2006/relationships/hyperlink" Target="https://luna-dr.com/subjects/irregular-genital-bleeding/" TargetMode="External"/><Relationship Id="rId404" Type="http://schemas.openxmlformats.org/officeDocument/2006/relationships/hyperlink" Target="https://luna-dr.com/subjects/irregular-genital-bleeding/" TargetMode="External"/><Relationship Id="rId646" Type="http://schemas.openxmlformats.org/officeDocument/2006/relationships/hyperlink" Target="https://luna-dr.com/subjects/medical-checkup/" TargetMode="External"/><Relationship Id="rId888" Type="http://schemas.openxmlformats.org/officeDocument/2006/relationships/hyperlink" Target="https://luna-dr.com/yokohama/price/" TargetMode="External"/><Relationship Id="rId403" Type="http://schemas.openxmlformats.org/officeDocument/2006/relationships/hyperlink" Target="https://luna-dr.com/subjects/irregular-genital-bleeding/" TargetMode="External"/><Relationship Id="rId645" Type="http://schemas.openxmlformats.org/officeDocument/2006/relationships/hyperlink" Target="https://luna-dr.com/subjects/medical-checkup/" TargetMode="External"/><Relationship Id="rId887" Type="http://schemas.openxmlformats.org/officeDocument/2006/relationships/hyperlink" Target="https://luna-dr.com/yokohama/price/" TargetMode="External"/><Relationship Id="rId402" Type="http://schemas.openxmlformats.org/officeDocument/2006/relationships/hyperlink" Target="https://luna-dr.com/subjects/irregular-genital-bleeding/" TargetMode="External"/><Relationship Id="rId644" Type="http://schemas.openxmlformats.org/officeDocument/2006/relationships/hyperlink" Target="https://luna-dr.com/subjects/medical-checkup/" TargetMode="External"/><Relationship Id="rId886" Type="http://schemas.openxmlformats.org/officeDocument/2006/relationships/hyperlink" Target="https://luna-dr.com/yokohama/price/" TargetMode="External"/><Relationship Id="rId401" Type="http://schemas.openxmlformats.org/officeDocument/2006/relationships/hyperlink" Target="https://luna-dr.com/subjects/irregular-genital-bleeding/" TargetMode="External"/><Relationship Id="rId643" Type="http://schemas.openxmlformats.org/officeDocument/2006/relationships/hyperlink" Target="https://luna-dr.com/subjects/medical-checkup/" TargetMode="External"/><Relationship Id="rId885" Type="http://schemas.openxmlformats.org/officeDocument/2006/relationships/hyperlink" Target="https://luna-dr.com/yokohama/price/" TargetMode="External"/><Relationship Id="rId408" Type="http://schemas.openxmlformats.org/officeDocument/2006/relationships/hyperlink" Target="https://luna-dr.com/subjects/irregular-genital-bleeding/" TargetMode="External"/><Relationship Id="rId407" Type="http://schemas.openxmlformats.org/officeDocument/2006/relationships/hyperlink" Target="https://luna-dr.com/subjects/irregular-genital-bleeding/" TargetMode="External"/><Relationship Id="rId649" Type="http://schemas.openxmlformats.org/officeDocument/2006/relationships/hyperlink" Target="https://luna-dr.com/subjects/medical-checkup/" TargetMode="External"/><Relationship Id="rId406" Type="http://schemas.openxmlformats.org/officeDocument/2006/relationships/hyperlink" Target="https://luna-dr.com/subjects/irregular-genital-bleeding/" TargetMode="External"/><Relationship Id="rId648" Type="http://schemas.openxmlformats.org/officeDocument/2006/relationships/hyperlink" Target="https://luna-dr.com/subjects/medical-checkup/" TargetMode="External"/><Relationship Id="rId405" Type="http://schemas.openxmlformats.org/officeDocument/2006/relationships/hyperlink" Target="https://luna-dr.com/subjects/irregular-genital-bleeding/" TargetMode="External"/><Relationship Id="rId647" Type="http://schemas.openxmlformats.org/officeDocument/2006/relationships/hyperlink" Target="https://luna-dr.com/subjects/medical-checkup/" TargetMode="External"/><Relationship Id="rId889" Type="http://schemas.openxmlformats.org/officeDocument/2006/relationships/hyperlink" Target="https://luna-dr.com/yokohama/price/" TargetMode="External"/><Relationship Id="rId880" Type="http://schemas.openxmlformats.org/officeDocument/2006/relationships/hyperlink" Target="https://luna-dr.com/yokohama/price/" TargetMode="External"/><Relationship Id="rId400" Type="http://schemas.openxmlformats.org/officeDocument/2006/relationships/hyperlink" Target="https://luna-dr.com/subjects/irregular-genital-bleeding/" TargetMode="External"/><Relationship Id="rId642" Type="http://schemas.openxmlformats.org/officeDocument/2006/relationships/hyperlink" Target="https://luna-dr.com/subjects/medical-checkup/" TargetMode="External"/><Relationship Id="rId884" Type="http://schemas.openxmlformats.org/officeDocument/2006/relationships/hyperlink" Target="https://luna-dr.com/yokohama/price/" TargetMode="External"/><Relationship Id="rId641" Type="http://schemas.openxmlformats.org/officeDocument/2006/relationships/hyperlink" Target="https://luna-dr.com/subjects/medical-checkup/" TargetMode="External"/><Relationship Id="rId883" Type="http://schemas.openxmlformats.org/officeDocument/2006/relationships/hyperlink" Target="https://luna-dr.com/yokohama/price/" TargetMode="External"/><Relationship Id="rId640" Type="http://schemas.openxmlformats.org/officeDocument/2006/relationships/hyperlink" Target="https://luna-dr.com/subjects/medical-checkup/" TargetMode="External"/><Relationship Id="rId882" Type="http://schemas.openxmlformats.org/officeDocument/2006/relationships/hyperlink" Target="https://luna-dr.com/yokohama/price/" TargetMode="External"/><Relationship Id="rId881" Type="http://schemas.openxmlformats.org/officeDocument/2006/relationships/hyperlink" Target="https://luna-dr.com/yokohama/price/" TargetMode="External"/><Relationship Id="rId635" Type="http://schemas.openxmlformats.org/officeDocument/2006/relationships/hyperlink" Target="https://luna-dr.com/subjects/medical-checkup/" TargetMode="External"/><Relationship Id="rId877" Type="http://schemas.openxmlformats.org/officeDocument/2006/relationships/hyperlink" Target="https://luna-dr.com/yokohama/price/" TargetMode="External"/><Relationship Id="rId634" Type="http://schemas.openxmlformats.org/officeDocument/2006/relationships/hyperlink" Target="https://luna-dr.com/subjects/medical-checkup/" TargetMode="External"/><Relationship Id="rId876" Type="http://schemas.openxmlformats.org/officeDocument/2006/relationships/hyperlink" Target="https://luna-dr.com/yokohama/price/" TargetMode="External"/><Relationship Id="rId633" Type="http://schemas.openxmlformats.org/officeDocument/2006/relationships/hyperlink" Target="https://luna-dr.com/subjects/medical-checkup/" TargetMode="External"/><Relationship Id="rId875" Type="http://schemas.openxmlformats.org/officeDocument/2006/relationships/hyperlink" Target="https://luna-dr.com/yokohama/price/" TargetMode="External"/><Relationship Id="rId632" Type="http://schemas.openxmlformats.org/officeDocument/2006/relationships/hyperlink" Target="https://luna-dr.com/subjects/medical-checkup/" TargetMode="External"/><Relationship Id="rId874" Type="http://schemas.openxmlformats.org/officeDocument/2006/relationships/hyperlink" Target="https://luna-dr.com/yokohama/price/" TargetMode="External"/><Relationship Id="rId639" Type="http://schemas.openxmlformats.org/officeDocument/2006/relationships/hyperlink" Target="https://luna-dr.com/subjects/medical-checkup/" TargetMode="External"/><Relationship Id="rId638" Type="http://schemas.openxmlformats.org/officeDocument/2006/relationships/hyperlink" Target="https://luna-dr.com/subjects/medical-checkup/" TargetMode="External"/><Relationship Id="rId637" Type="http://schemas.openxmlformats.org/officeDocument/2006/relationships/hyperlink" Target="https://luna-dr.com/subjects/medical-checkup/" TargetMode="External"/><Relationship Id="rId879" Type="http://schemas.openxmlformats.org/officeDocument/2006/relationships/hyperlink" Target="https://luna-dr.com/yokohama/price/" TargetMode="External"/><Relationship Id="rId636" Type="http://schemas.openxmlformats.org/officeDocument/2006/relationships/hyperlink" Target="https://luna-dr.com/subjects/medical-checkup/" TargetMode="External"/><Relationship Id="rId878" Type="http://schemas.openxmlformats.org/officeDocument/2006/relationships/hyperlink" Target="https://luna-dr.com/yokohama/price/" TargetMode="External"/><Relationship Id="rId631" Type="http://schemas.openxmlformats.org/officeDocument/2006/relationships/hyperlink" Target="https://luna-dr.com/subjects/medical-checkup/" TargetMode="External"/><Relationship Id="rId873" Type="http://schemas.openxmlformats.org/officeDocument/2006/relationships/hyperlink" Target="https://luna-dr.com/yokohama/price/" TargetMode="External"/><Relationship Id="rId630" Type="http://schemas.openxmlformats.org/officeDocument/2006/relationships/hyperlink" Target="https://luna-dr.com/subjects/medical-checkup/" TargetMode="External"/><Relationship Id="rId872" Type="http://schemas.openxmlformats.org/officeDocument/2006/relationships/hyperlink" Target="https://luna-dr.com/yokohama/price/" TargetMode="External"/><Relationship Id="rId871" Type="http://schemas.openxmlformats.org/officeDocument/2006/relationships/hyperlink" Target="https://luna-dr.com/yokohama/price/" TargetMode="External"/><Relationship Id="rId870" Type="http://schemas.openxmlformats.org/officeDocument/2006/relationships/hyperlink" Target="https://luna-dr.com/yokohama/price/" TargetMode="External"/><Relationship Id="rId829" Type="http://schemas.openxmlformats.org/officeDocument/2006/relationships/hyperlink" Target="https://luna-dr.com/yokohama/price/" TargetMode="External"/><Relationship Id="rId828" Type="http://schemas.openxmlformats.org/officeDocument/2006/relationships/hyperlink" Target="https://luna-dr.com/yokohama/price/" TargetMode="External"/><Relationship Id="rId827" Type="http://schemas.openxmlformats.org/officeDocument/2006/relationships/hyperlink" Target="https://luna-dr.com/yokohama/doctors/" TargetMode="External"/><Relationship Id="rId822" Type="http://schemas.openxmlformats.org/officeDocument/2006/relationships/hyperlink" Target="https://luna-dr.com/yokohama/consultation-hours/" TargetMode="External"/><Relationship Id="rId821" Type="http://schemas.openxmlformats.org/officeDocument/2006/relationships/hyperlink" Target="https://luna-dr.com/yokohama/consultation-hours/" TargetMode="External"/><Relationship Id="rId820" Type="http://schemas.openxmlformats.org/officeDocument/2006/relationships/hyperlink" Target="https://luna-dr.com/yokohama/consultation-hours/" TargetMode="External"/><Relationship Id="rId826" Type="http://schemas.openxmlformats.org/officeDocument/2006/relationships/hyperlink" Target="https://luna-dr.com/yokohama/doctors/" TargetMode="External"/><Relationship Id="rId825" Type="http://schemas.openxmlformats.org/officeDocument/2006/relationships/hyperlink" Target="https://luna-dr.com/yokohama/doctors/" TargetMode="External"/><Relationship Id="rId824" Type="http://schemas.openxmlformats.org/officeDocument/2006/relationships/hyperlink" Target="https://luna-dr.com/yokohama/doctors/" TargetMode="External"/><Relationship Id="rId823" Type="http://schemas.openxmlformats.org/officeDocument/2006/relationships/hyperlink" Target="https://luna-dr.com/yokohama/doctors/" TargetMode="External"/><Relationship Id="rId819" Type="http://schemas.openxmlformats.org/officeDocument/2006/relationships/hyperlink" Target="https://luna-dr.com/yokohama/access/" TargetMode="External"/><Relationship Id="rId818" Type="http://schemas.openxmlformats.org/officeDocument/2006/relationships/hyperlink" Target="https://luna-dr.com/yokohama/" TargetMode="External"/><Relationship Id="rId817" Type="http://schemas.openxmlformats.org/officeDocument/2006/relationships/hyperlink" Target="https://luna-dr.com/yokohama/" TargetMode="External"/><Relationship Id="rId816" Type="http://schemas.openxmlformats.org/officeDocument/2006/relationships/hyperlink" Target="https://luna-dr.com/yokohama/" TargetMode="External"/><Relationship Id="rId811" Type="http://schemas.openxmlformats.org/officeDocument/2006/relationships/hyperlink" Target="https://luna-dr.com/yokohama/" TargetMode="External"/><Relationship Id="rId810" Type="http://schemas.openxmlformats.org/officeDocument/2006/relationships/hyperlink" Target="https://luna-dr.com/yokohama/" TargetMode="External"/><Relationship Id="rId815" Type="http://schemas.openxmlformats.org/officeDocument/2006/relationships/hyperlink" Target="https://luna-dr.com/yokohama/" TargetMode="External"/><Relationship Id="rId814" Type="http://schemas.openxmlformats.org/officeDocument/2006/relationships/hyperlink" Target="https://luna-dr.com/yokohama/" TargetMode="External"/><Relationship Id="rId813" Type="http://schemas.openxmlformats.org/officeDocument/2006/relationships/hyperlink" Target="https://luna-dr.com/yokohama/" TargetMode="External"/><Relationship Id="rId812" Type="http://schemas.openxmlformats.org/officeDocument/2006/relationships/hyperlink" Target="https://luna-dr.com/yokohama/" TargetMode="External"/><Relationship Id="rId609" Type="http://schemas.openxmlformats.org/officeDocument/2006/relationships/hyperlink" Target="https://luna-dr.com/subjects/medical-checkup/" TargetMode="External"/><Relationship Id="rId608" Type="http://schemas.openxmlformats.org/officeDocument/2006/relationships/hyperlink" Target="https://luna-dr.com/subjects/medical-checkup/" TargetMode="External"/><Relationship Id="rId607" Type="http://schemas.openxmlformats.org/officeDocument/2006/relationships/hyperlink" Target="https://luna-dr.com/subjects/medical-checkup/" TargetMode="External"/><Relationship Id="rId849" Type="http://schemas.openxmlformats.org/officeDocument/2006/relationships/hyperlink" Target="https://luna-dr.com/yokohama/price/" TargetMode="External"/><Relationship Id="rId602" Type="http://schemas.openxmlformats.org/officeDocument/2006/relationships/hyperlink" Target="https://luna-dr.com/subjects/medical-checkup/" TargetMode="External"/><Relationship Id="rId844" Type="http://schemas.openxmlformats.org/officeDocument/2006/relationships/hyperlink" Target="https://luna-dr.com/yokohama/price/" TargetMode="External"/><Relationship Id="rId601" Type="http://schemas.openxmlformats.org/officeDocument/2006/relationships/hyperlink" Target="https://luna-dr.com/subjects/medical-checkup/" TargetMode="External"/><Relationship Id="rId843" Type="http://schemas.openxmlformats.org/officeDocument/2006/relationships/hyperlink" Target="https://luna-dr.com/yokohama/price/" TargetMode="External"/><Relationship Id="rId600" Type="http://schemas.openxmlformats.org/officeDocument/2006/relationships/hyperlink" Target="https://luna-dr.com/subjects/medical-checkup/" TargetMode="External"/><Relationship Id="rId842" Type="http://schemas.openxmlformats.org/officeDocument/2006/relationships/hyperlink" Target="https://luna-dr.com/yokohama/price/" TargetMode="External"/><Relationship Id="rId841" Type="http://schemas.openxmlformats.org/officeDocument/2006/relationships/hyperlink" Target="https://luna-dr.com/yokohama/price/" TargetMode="External"/><Relationship Id="rId606" Type="http://schemas.openxmlformats.org/officeDocument/2006/relationships/hyperlink" Target="https://luna-dr.com/subjects/medical-checkup/" TargetMode="External"/><Relationship Id="rId848" Type="http://schemas.openxmlformats.org/officeDocument/2006/relationships/hyperlink" Target="https://luna-dr.com/yokohama/price/" TargetMode="External"/><Relationship Id="rId605" Type="http://schemas.openxmlformats.org/officeDocument/2006/relationships/hyperlink" Target="https://luna-dr.com/subjects/medical-checkup/" TargetMode="External"/><Relationship Id="rId847" Type="http://schemas.openxmlformats.org/officeDocument/2006/relationships/hyperlink" Target="https://luna-dr.com/yokohama/price/" TargetMode="External"/><Relationship Id="rId604" Type="http://schemas.openxmlformats.org/officeDocument/2006/relationships/hyperlink" Target="https://luna-dr.com/subjects/medical-checkup/" TargetMode="External"/><Relationship Id="rId846" Type="http://schemas.openxmlformats.org/officeDocument/2006/relationships/hyperlink" Target="https://luna-dr.com/yokohama/price/" TargetMode="External"/><Relationship Id="rId603" Type="http://schemas.openxmlformats.org/officeDocument/2006/relationships/hyperlink" Target="https://luna-dr.com/subjects/medical-checkup/" TargetMode="External"/><Relationship Id="rId845" Type="http://schemas.openxmlformats.org/officeDocument/2006/relationships/hyperlink" Target="https://luna-dr.com/yokohama/price/" TargetMode="External"/><Relationship Id="rId840" Type="http://schemas.openxmlformats.org/officeDocument/2006/relationships/hyperlink" Target="https://luna-dr.com/yokohama/price/" TargetMode="External"/><Relationship Id="rId839" Type="http://schemas.openxmlformats.org/officeDocument/2006/relationships/hyperlink" Target="https://luna-dr.com/yokohama/price/" TargetMode="External"/><Relationship Id="rId838" Type="http://schemas.openxmlformats.org/officeDocument/2006/relationships/hyperlink" Target="https://luna-dr.com/yokohama/price/" TargetMode="External"/><Relationship Id="rId833" Type="http://schemas.openxmlformats.org/officeDocument/2006/relationships/hyperlink" Target="https://luna-dr.com/yokohama/price/" TargetMode="External"/><Relationship Id="rId832" Type="http://schemas.openxmlformats.org/officeDocument/2006/relationships/hyperlink" Target="https://luna-dr.com/yokohama/price/" TargetMode="External"/><Relationship Id="rId831" Type="http://schemas.openxmlformats.org/officeDocument/2006/relationships/hyperlink" Target="https://luna-dr.com/yokohama/price/" TargetMode="External"/><Relationship Id="rId830" Type="http://schemas.openxmlformats.org/officeDocument/2006/relationships/hyperlink" Target="https://luna-dr.com/yokohama/price/" TargetMode="External"/><Relationship Id="rId837" Type="http://schemas.openxmlformats.org/officeDocument/2006/relationships/hyperlink" Target="https://luna-dr.com/yokohama/price/" TargetMode="External"/><Relationship Id="rId836" Type="http://schemas.openxmlformats.org/officeDocument/2006/relationships/hyperlink" Target="https://luna-dr.com/yokohama/price/" TargetMode="External"/><Relationship Id="rId835" Type="http://schemas.openxmlformats.org/officeDocument/2006/relationships/hyperlink" Target="https://luna-dr.com/yokohama/price/" TargetMode="External"/><Relationship Id="rId834" Type="http://schemas.openxmlformats.org/officeDocument/2006/relationships/hyperlink" Target="https://luna-dr.com/yokohama/price/" TargetMode="External"/><Relationship Id="rId228" Type="http://schemas.openxmlformats.org/officeDocument/2006/relationships/hyperlink" Target="https://luna-dr.com/subjects/low-dose-contraceptive/" TargetMode="External"/><Relationship Id="rId227" Type="http://schemas.openxmlformats.org/officeDocument/2006/relationships/hyperlink" Target="https://luna-dr.com/subjects/low-dose-contraceptive/" TargetMode="External"/><Relationship Id="rId469" Type="http://schemas.openxmlformats.org/officeDocument/2006/relationships/hyperlink" Target="https://luna-dr.com/subjects/std/" TargetMode="External"/><Relationship Id="rId226" Type="http://schemas.openxmlformats.org/officeDocument/2006/relationships/hyperlink" Target="https://luna-dr.com/subjects/low-dose-contraceptive/" TargetMode="External"/><Relationship Id="rId468" Type="http://schemas.openxmlformats.org/officeDocument/2006/relationships/hyperlink" Target="https://luna-dr.com/subjects/std/" TargetMode="External"/><Relationship Id="rId225" Type="http://schemas.openxmlformats.org/officeDocument/2006/relationships/hyperlink" Target="https://luna-dr.com/subjects/low-dose-contraceptive/" TargetMode="External"/><Relationship Id="rId467" Type="http://schemas.openxmlformats.org/officeDocument/2006/relationships/hyperlink" Target="https://luna-dr.com/subjects/std/" TargetMode="External"/><Relationship Id="rId229" Type="http://schemas.openxmlformats.org/officeDocument/2006/relationships/hyperlink" Target="https://luna-dr.com/subjects/low-dose-contraceptive/" TargetMode="External"/><Relationship Id="rId220" Type="http://schemas.openxmlformats.org/officeDocument/2006/relationships/hyperlink" Target="https://luna-dr.com/subjects/pill-prescription/" TargetMode="External"/><Relationship Id="rId462" Type="http://schemas.openxmlformats.org/officeDocument/2006/relationships/hyperlink" Target="https://luna-dr.com/subjects/std/" TargetMode="External"/><Relationship Id="rId461" Type="http://schemas.openxmlformats.org/officeDocument/2006/relationships/hyperlink" Target="https://luna-dr.com/subjects/std/" TargetMode="External"/><Relationship Id="rId460" Type="http://schemas.openxmlformats.org/officeDocument/2006/relationships/hyperlink" Target="https://luna-dr.com/subjects/std/" TargetMode="External"/><Relationship Id="rId224" Type="http://schemas.openxmlformats.org/officeDocument/2006/relationships/hyperlink" Target="https://luna-dr.com/subjects/low-dose-contraceptive/" TargetMode="External"/><Relationship Id="rId466" Type="http://schemas.openxmlformats.org/officeDocument/2006/relationships/hyperlink" Target="https://luna-dr.com/subjects/std/" TargetMode="External"/><Relationship Id="rId223" Type="http://schemas.openxmlformats.org/officeDocument/2006/relationships/hyperlink" Target="https://luna-dr.com/subjects/pill-prescription/" TargetMode="External"/><Relationship Id="rId465" Type="http://schemas.openxmlformats.org/officeDocument/2006/relationships/hyperlink" Target="https://luna-dr.com/subjects/std/" TargetMode="External"/><Relationship Id="rId222" Type="http://schemas.openxmlformats.org/officeDocument/2006/relationships/hyperlink" Target="https://luna-dr.com/subjects/pill-prescription/" TargetMode="External"/><Relationship Id="rId464" Type="http://schemas.openxmlformats.org/officeDocument/2006/relationships/hyperlink" Target="https://luna-dr.com/subjects/std/" TargetMode="External"/><Relationship Id="rId221" Type="http://schemas.openxmlformats.org/officeDocument/2006/relationships/hyperlink" Target="https://luna-dr.com/subjects/pill-prescription/" TargetMode="External"/><Relationship Id="rId463" Type="http://schemas.openxmlformats.org/officeDocument/2006/relationships/hyperlink" Target="https://luna-dr.com/subjects/std/" TargetMode="External"/><Relationship Id="rId217" Type="http://schemas.openxmlformats.org/officeDocument/2006/relationships/hyperlink" Target="https://luna-dr.com/subjects/pill-prescription/" TargetMode="External"/><Relationship Id="rId459" Type="http://schemas.openxmlformats.org/officeDocument/2006/relationships/hyperlink" Target="https://luna-dr.com/subjects/std/" TargetMode="External"/><Relationship Id="rId216" Type="http://schemas.openxmlformats.org/officeDocument/2006/relationships/hyperlink" Target="https://luna-dr.com/subjects/pill-prescription/" TargetMode="External"/><Relationship Id="rId458" Type="http://schemas.openxmlformats.org/officeDocument/2006/relationships/hyperlink" Target="https://luna-dr.com/subjects/std/" TargetMode="External"/><Relationship Id="rId215" Type="http://schemas.openxmlformats.org/officeDocument/2006/relationships/hyperlink" Target="https://luna-dr.com/subjects/pill-prescription/" TargetMode="External"/><Relationship Id="rId457" Type="http://schemas.openxmlformats.org/officeDocument/2006/relationships/hyperlink" Target="https://luna-dr.com/subjects/std/" TargetMode="External"/><Relationship Id="rId699" Type="http://schemas.openxmlformats.org/officeDocument/2006/relationships/hyperlink" Target="https://luna-dr.com/femcheck/about/" TargetMode="External"/><Relationship Id="rId214" Type="http://schemas.openxmlformats.org/officeDocument/2006/relationships/hyperlink" Target="https://luna-dr.com/subjects/pill-prescription/" TargetMode="External"/><Relationship Id="rId456" Type="http://schemas.openxmlformats.org/officeDocument/2006/relationships/hyperlink" Target="https://luna-dr.com/subjects/std/" TargetMode="External"/><Relationship Id="rId698" Type="http://schemas.openxmlformats.org/officeDocument/2006/relationships/hyperlink" Target="https://luna-dr.com/femcheck/about/" TargetMode="External"/><Relationship Id="rId219" Type="http://schemas.openxmlformats.org/officeDocument/2006/relationships/hyperlink" Target="https://luna-dr.com/subjects/pill-prescription/" TargetMode="External"/><Relationship Id="rId218" Type="http://schemas.openxmlformats.org/officeDocument/2006/relationships/hyperlink" Target="https://luna-dr.com/subjects/pill-prescription/" TargetMode="External"/><Relationship Id="rId451" Type="http://schemas.openxmlformats.org/officeDocument/2006/relationships/hyperlink" Target="https://luna-dr.com/subjects/std/" TargetMode="External"/><Relationship Id="rId693" Type="http://schemas.openxmlformats.org/officeDocument/2006/relationships/hyperlink" Target="https://luna-dr.com/femcheck/about/" TargetMode="External"/><Relationship Id="rId450" Type="http://schemas.openxmlformats.org/officeDocument/2006/relationships/hyperlink" Target="https://luna-dr.com/subjects/std/" TargetMode="External"/><Relationship Id="rId692" Type="http://schemas.openxmlformats.org/officeDocument/2006/relationships/hyperlink" Target="https://luna-dr.com/femcheck/about/" TargetMode="External"/><Relationship Id="rId691" Type="http://schemas.openxmlformats.org/officeDocument/2006/relationships/hyperlink" Target="https://luna-dr.com/femcheck/begginer/" TargetMode="External"/><Relationship Id="rId690" Type="http://schemas.openxmlformats.org/officeDocument/2006/relationships/hyperlink" Target="https://luna-dr.com/femcheck/begginer/" TargetMode="External"/><Relationship Id="rId213" Type="http://schemas.openxmlformats.org/officeDocument/2006/relationships/hyperlink" Target="https://luna-dr.com/subjects/pill-prescription/" TargetMode="External"/><Relationship Id="rId455" Type="http://schemas.openxmlformats.org/officeDocument/2006/relationships/hyperlink" Target="https://luna-dr.com/subjects/std/" TargetMode="External"/><Relationship Id="rId697" Type="http://schemas.openxmlformats.org/officeDocument/2006/relationships/hyperlink" Target="https://luna-dr.com/femcheck/about/" TargetMode="External"/><Relationship Id="rId212" Type="http://schemas.openxmlformats.org/officeDocument/2006/relationships/hyperlink" Target="https://luna-dr.com/subjects/pill-prescription/" TargetMode="External"/><Relationship Id="rId454" Type="http://schemas.openxmlformats.org/officeDocument/2006/relationships/hyperlink" Target="https://luna-dr.com/subjects/std/" TargetMode="External"/><Relationship Id="rId696" Type="http://schemas.openxmlformats.org/officeDocument/2006/relationships/hyperlink" Target="https://luna-dr.com/femcheck/about/" TargetMode="External"/><Relationship Id="rId211" Type="http://schemas.openxmlformats.org/officeDocument/2006/relationships/hyperlink" Target="https://luna-dr.com/subjects/pill-prescription/" TargetMode="External"/><Relationship Id="rId453" Type="http://schemas.openxmlformats.org/officeDocument/2006/relationships/hyperlink" Target="https://luna-dr.com/subjects/std/" TargetMode="External"/><Relationship Id="rId695" Type="http://schemas.openxmlformats.org/officeDocument/2006/relationships/hyperlink" Target="https://luna-dr.com/femcheck/about/" TargetMode="External"/><Relationship Id="rId210" Type="http://schemas.openxmlformats.org/officeDocument/2006/relationships/hyperlink" Target="https://luna-dr.com/subjects/pill-prescription/" TargetMode="External"/><Relationship Id="rId452" Type="http://schemas.openxmlformats.org/officeDocument/2006/relationships/hyperlink" Target="https://luna-dr.com/subjects/std/" TargetMode="External"/><Relationship Id="rId694" Type="http://schemas.openxmlformats.org/officeDocument/2006/relationships/hyperlink" Target="https://luna-dr.com/femcheck/about/" TargetMode="External"/><Relationship Id="rId491" Type="http://schemas.openxmlformats.org/officeDocument/2006/relationships/hyperlink" Target="https://luna-dr.com/subjects/pregnancy-test/" TargetMode="External"/><Relationship Id="rId490" Type="http://schemas.openxmlformats.org/officeDocument/2006/relationships/hyperlink" Target="https://luna-dr.com/subjects/pregnancy-test/" TargetMode="External"/><Relationship Id="rId249" Type="http://schemas.openxmlformats.org/officeDocument/2006/relationships/hyperlink" Target="https://luna-dr.com/subjects/low-dose-contraceptive/" TargetMode="External"/><Relationship Id="rId248" Type="http://schemas.openxmlformats.org/officeDocument/2006/relationships/hyperlink" Target="https://luna-dr.com/subjects/low-dose-contraceptive/" TargetMode="External"/><Relationship Id="rId247" Type="http://schemas.openxmlformats.org/officeDocument/2006/relationships/hyperlink" Target="https://luna-dr.com/subjects/low-dose-contraceptive/" TargetMode="External"/><Relationship Id="rId489" Type="http://schemas.openxmlformats.org/officeDocument/2006/relationships/hyperlink" Target="https://luna-dr.com/subjects/pregnancy-test/" TargetMode="External"/><Relationship Id="rId242" Type="http://schemas.openxmlformats.org/officeDocument/2006/relationships/hyperlink" Target="https://luna-dr.com/subjects/low-dose-contraceptive/" TargetMode="External"/><Relationship Id="rId484" Type="http://schemas.openxmlformats.org/officeDocument/2006/relationships/hyperlink" Target="https://luna-dr.com/subjects/pregnancy-test/" TargetMode="External"/><Relationship Id="rId241" Type="http://schemas.openxmlformats.org/officeDocument/2006/relationships/hyperlink" Target="https://luna-dr.com/subjects/low-dose-contraceptive/" TargetMode="External"/><Relationship Id="rId483" Type="http://schemas.openxmlformats.org/officeDocument/2006/relationships/hyperlink" Target="https://luna-dr.com/subjects/pregnancy-test/" TargetMode="External"/><Relationship Id="rId240" Type="http://schemas.openxmlformats.org/officeDocument/2006/relationships/hyperlink" Target="https://luna-dr.com/subjects/low-dose-contraceptive/" TargetMode="External"/><Relationship Id="rId482" Type="http://schemas.openxmlformats.org/officeDocument/2006/relationships/hyperlink" Target="https://luna-dr.com/subjects/pregnancy-test/" TargetMode="External"/><Relationship Id="rId481" Type="http://schemas.openxmlformats.org/officeDocument/2006/relationships/hyperlink" Target="https://luna-dr.com/subjects/pregnancy-test/" TargetMode="External"/><Relationship Id="rId246" Type="http://schemas.openxmlformats.org/officeDocument/2006/relationships/hyperlink" Target="https://luna-dr.com/subjects/low-dose-contraceptive/" TargetMode="External"/><Relationship Id="rId488" Type="http://schemas.openxmlformats.org/officeDocument/2006/relationships/hyperlink" Target="https://luna-dr.com/subjects/pregnancy-test/" TargetMode="External"/><Relationship Id="rId245" Type="http://schemas.openxmlformats.org/officeDocument/2006/relationships/hyperlink" Target="https://luna-dr.com/subjects/low-dose-contraceptive/" TargetMode="External"/><Relationship Id="rId487" Type="http://schemas.openxmlformats.org/officeDocument/2006/relationships/hyperlink" Target="https://luna-dr.com/subjects/pregnancy-test/" TargetMode="External"/><Relationship Id="rId244" Type="http://schemas.openxmlformats.org/officeDocument/2006/relationships/hyperlink" Target="https://luna-dr.com/subjects/low-dose-contraceptive/" TargetMode="External"/><Relationship Id="rId486" Type="http://schemas.openxmlformats.org/officeDocument/2006/relationships/hyperlink" Target="https://luna-dr.com/subjects/pregnancy-test/" TargetMode="External"/><Relationship Id="rId243" Type="http://schemas.openxmlformats.org/officeDocument/2006/relationships/hyperlink" Target="https://luna-dr.com/subjects/low-dose-contraceptive/" TargetMode="External"/><Relationship Id="rId485" Type="http://schemas.openxmlformats.org/officeDocument/2006/relationships/hyperlink" Target="https://luna-dr.com/subjects/pregnancy-test/" TargetMode="External"/><Relationship Id="rId480" Type="http://schemas.openxmlformats.org/officeDocument/2006/relationships/hyperlink" Target="https://luna-dr.com/subjects/pregnancy-test/" TargetMode="External"/><Relationship Id="rId239" Type="http://schemas.openxmlformats.org/officeDocument/2006/relationships/hyperlink" Target="https://luna-dr.com/subjects/low-dose-contraceptive/" TargetMode="External"/><Relationship Id="rId238" Type="http://schemas.openxmlformats.org/officeDocument/2006/relationships/hyperlink" Target="https://luna-dr.com/subjects/low-dose-contraceptive/" TargetMode="External"/><Relationship Id="rId237" Type="http://schemas.openxmlformats.org/officeDocument/2006/relationships/hyperlink" Target="https://luna-dr.com/subjects/low-dose-contraceptive/" TargetMode="External"/><Relationship Id="rId479" Type="http://schemas.openxmlformats.org/officeDocument/2006/relationships/hyperlink" Target="https://luna-dr.com/subjects/pregnancy-test/" TargetMode="External"/><Relationship Id="rId236" Type="http://schemas.openxmlformats.org/officeDocument/2006/relationships/hyperlink" Target="https://luna-dr.com/subjects/low-dose-contraceptive/" TargetMode="External"/><Relationship Id="rId478" Type="http://schemas.openxmlformats.org/officeDocument/2006/relationships/hyperlink" Target="https://luna-dr.com/subjects/std/" TargetMode="External"/><Relationship Id="rId231" Type="http://schemas.openxmlformats.org/officeDocument/2006/relationships/hyperlink" Target="https://luna-dr.com/subjects/low-dose-contraceptive/" TargetMode="External"/><Relationship Id="rId473" Type="http://schemas.openxmlformats.org/officeDocument/2006/relationships/hyperlink" Target="https://luna-dr.com/subjects/std/" TargetMode="External"/><Relationship Id="rId230" Type="http://schemas.openxmlformats.org/officeDocument/2006/relationships/hyperlink" Target="https://luna-dr.com/subjects/low-dose-contraceptive/" TargetMode="External"/><Relationship Id="rId472" Type="http://schemas.openxmlformats.org/officeDocument/2006/relationships/hyperlink" Target="https://luna-dr.com/subjects/std/" TargetMode="External"/><Relationship Id="rId471" Type="http://schemas.openxmlformats.org/officeDocument/2006/relationships/hyperlink" Target="https://luna-dr.com/subjects/std/" TargetMode="External"/><Relationship Id="rId470" Type="http://schemas.openxmlformats.org/officeDocument/2006/relationships/hyperlink" Target="https://luna-dr.com/subjects/std/" TargetMode="External"/><Relationship Id="rId235" Type="http://schemas.openxmlformats.org/officeDocument/2006/relationships/hyperlink" Target="https://luna-dr.com/subjects/low-dose-contraceptive/" TargetMode="External"/><Relationship Id="rId477" Type="http://schemas.openxmlformats.org/officeDocument/2006/relationships/hyperlink" Target="https://luna-dr.com/subjects/std/" TargetMode="External"/><Relationship Id="rId234" Type="http://schemas.openxmlformats.org/officeDocument/2006/relationships/hyperlink" Target="https://luna-dr.com/subjects/low-dose-contraceptive/" TargetMode="External"/><Relationship Id="rId476" Type="http://schemas.openxmlformats.org/officeDocument/2006/relationships/hyperlink" Target="https://luna-dr.com/subjects/std/" TargetMode="External"/><Relationship Id="rId233" Type="http://schemas.openxmlformats.org/officeDocument/2006/relationships/hyperlink" Target="https://luna-dr.com/subjects/low-dose-contraceptive/" TargetMode="External"/><Relationship Id="rId475" Type="http://schemas.openxmlformats.org/officeDocument/2006/relationships/hyperlink" Target="https://luna-dr.com/subjects/std/" TargetMode="External"/><Relationship Id="rId232" Type="http://schemas.openxmlformats.org/officeDocument/2006/relationships/hyperlink" Target="https://luna-dr.com/subjects/low-dose-contraceptive/" TargetMode="External"/><Relationship Id="rId474" Type="http://schemas.openxmlformats.org/officeDocument/2006/relationships/hyperlink" Target="https://luna-dr.com/subjects/std/" TargetMode="External"/><Relationship Id="rId426" Type="http://schemas.openxmlformats.org/officeDocument/2006/relationships/hyperlink" Target="https://luna-dr.com/subjects/abnormal-uterine-bleeding/" TargetMode="External"/><Relationship Id="rId668" Type="http://schemas.openxmlformats.org/officeDocument/2006/relationships/hyperlink" Target="https://luna-dr.com/subjects/hpv-vaccine/" TargetMode="External"/><Relationship Id="rId425" Type="http://schemas.openxmlformats.org/officeDocument/2006/relationships/hyperlink" Target="https://luna-dr.com/subjects/abnormal-uterine-bleeding/" TargetMode="External"/><Relationship Id="rId667" Type="http://schemas.openxmlformats.org/officeDocument/2006/relationships/hyperlink" Target="https://luna-dr.com/subjects/hpv-vaccine/" TargetMode="External"/><Relationship Id="rId424" Type="http://schemas.openxmlformats.org/officeDocument/2006/relationships/hyperlink" Target="https://luna-dr.com/subjects/abnormal-uterine-bleeding/" TargetMode="External"/><Relationship Id="rId666" Type="http://schemas.openxmlformats.org/officeDocument/2006/relationships/hyperlink" Target="https://luna-dr.com/subjects/hpv-vaccine/" TargetMode="External"/><Relationship Id="rId423" Type="http://schemas.openxmlformats.org/officeDocument/2006/relationships/hyperlink" Target="https://luna-dr.com/subjects/abnormal-uterine-bleeding/" TargetMode="External"/><Relationship Id="rId665" Type="http://schemas.openxmlformats.org/officeDocument/2006/relationships/hyperlink" Target="https://luna-dr.com/subjects/hpv-vaccine/" TargetMode="External"/><Relationship Id="rId429" Type="http://schemas.openxmlformats.org/officeDocument/2006/relationships/hyperlink" Target="https://luna-dr.com/subjects/abnormal-uterine-bleeding/" TargetMode="External"/><Relationship Id="rId428" Type="http://schemas.openxmlformats.org/officeDocument/2006/relationships/hyperlink" Target="https://luna-dr.com/subjects/abnormal-uterine-bleeding/" TargetMode="External"/><Relationship Id="rId427" Type="http://schemas.openxmlformats.org/officeDocument/2006/relationships/hyperlink" Target="https://luna-dr.com/subjects/abnormal-uterine-bleeding/" TargetMode="External"/><Relationship Id="rId669" Type="http://schemas.openxmlformats.org/officeDocument/2006/relationships/hyperlink" Target="https://luna-dr.com/subjects/hpv-vaccine/" TargetMode="External"/><Relationship Id="rId660" Type="http://schemas.openxmlformats.org/officeDocument/2006/relationships/hyperlink" Target="https://luna-dr.com/subjects/hpv-vaccine/" TargetMode="External"/><Relationship Id="rId422" Type="http://schemas.openxmlformats.org/officeDocument/2006/relationships/hyperlink" Target="https://luna-dr.com/subjects/abnormal-uterine-bleeding/" TargetMode="External"/><Relationship Id="rId664" Type="http://schemas.openxmlformats.org/officeDocument/2006/relationships/hyperlink" Target="https://luna-dr.com/subjects/hpv-vaccine/" TargetMode="External"/><Relationship Id="rId421" Type="http://schemas.openxmlformats.org/officeDocument/2006/relationships/hyperlink" Target="https://luna-dr.com/subjects/abnormal-uterine-bleeding/" TargetMode="External"/><Relationship Id="rId663" Type="http://schemas.openxmlformats.org/officeDocument/2006/relationships/hyperlink" Target="https://luna-dr.com/subjects/hpv-vaccine/" TargetMode="External"/><Relationship Id="rId420" Type="http://schemas.openxmlformats.org/officeDocument/2006/relationships/hyperlink" Target="https://luna-dr.com/subjects/abnormal-uterine-bleeding/" TargetMode="External"/><Relationship Id="rId662" Type="http://schemas.openxmlformats.org/officeDocument/2006/relationships/hyperlink" Target="https://luna-dr.com/subjects/hpv-vaccine/" TargetMode="External"/><Relationship Id="rId661" Type="http://schemas.openxmlformats.org/officeDocument/2006/relationships/hyperlink" Target="https://luna-dr.com/subjects/hpv-vaccine/" TargetMode="External"/><Relationship Id="rId415" Type="http://schemas.openxmlformats.org/officeDocument/2006/relationships/hyperlink" Target="https://luna-dr.com/subjects/irregular-genital-bleeding/" TargetMode="External"/><Relationship Id="rId657" Type="http://schemas.openxmlformats.org/officeDocument/2006/relationships/hyperlink" Target="https://luna-dr.com/subjects/hpv-vaccine/" TargetMode="External"/><Relationship Id="rId414" Type="http://schemas.openxmlformats.org/officeDocument/2006/relationships/hyperlink" Target="https://luna-dr.com/subjects/irregular-genital-bleeding/" TargetMode="External"/><Relationship Id="rId656" Type="http://schemas.openxmlformats.org/officeDocument/2006/relationships/hyperlink" Target="https://luna-dr.com/subjects/hpv-vaccine/" TargetMode="External"/><Relationship Id="rId898" Type="http://schemas.openxmlformats.org/officeDocument/2006/relationships/drawing" Target="../drawings/drawing10.xml"/><Relationship Id="rId413" Type="http://schemas.openxmlformats.org/officeDocument/2006/relationships/hyperlink" Target="https://luna-dr.com/subjects/irregular-genital-bleeding/" TargetMode="External"/><Relationship Id="rId655" Type="http://schemas.openxmlformats.org/officeDocument/2006/relationships/hyperlink" Target="https://luna-dr.com/subjects/hpv-vaccine/" TargetMode="External"/><Relationship Id="rId897" Type="http://schemas.openxmlformats.org/officeDocument/2006/relationships/hyperlink" Target="https://luna-dr.com/yokohama/about_result/" TargetMode="External"/><Relationship Id="rId412" Type="http://schemas.openxmlformats.org/officeDocument/2006/relationships/hyperlink" Target="https://luna-dr.com/subjects/irregular-genital-bleeding/" TargetMode="External"/><Relationship Id="rId654" Type="http://schemas.openxmlformats.org/officeDocument/2006/relationships/hyperlink" Target="https://luna-dr.com/subjects/hpv-vaccine/" TargetMode="External"/><Relationship Id="rId896" Type="http://schemas.openxmlformats.org/officeDocument/2006/relationships/hyperlink" Target="https://luna-dr.com/yokohama/about_result/" TargetMode="External"/><Relationship Id="rId419" Type="http://schemas.openxmlformats.org/officeDocument/2006/relationships/hyperlink" Target="https://luna-dr.com/subjects/irregular-genital-bleeding/" TargetMode="External"/><Relationship Id="rId418" Type="http://schemas.openxmlformats.org/officeDocument/2006/relationships/hyperlink" Target="https://luna-dr.com/subjects/irregular-genital-bleeding/" TargetMode="External"/><Relationship Id="rId417" Type="http://schemas.openxmlformats.org/officeDocument/2006/relationships/hyperlink" Target="https://luna-dr.com/subjects/irregular-genital-bleeding/" TargetMode="External"/><Relationship Id="rId659" Type="http://schemas.openxmlformats.org/officeDocument/2006/relationships/hyperlink" Target="https://luna-dr.com/subjects/hpv-vaccine/" TargetMode="External"/><Relationship Id="rId416" Type="http://schemas.openxmlformats.org/officeDocument/2006/relationships/hyperlink" Target="https://luna-dr.com/subjects/irregular-genital-bleeding/" TargetMode="External"/><Relationship Id="rId658" Type="http://schemas.openxmlformats.org/officeDocument/2006/relationships/hyperlink" Target="https://luna-dr.com/subjects/hpv-vaccine/" TargetMode="External"/><Relationship Id="rId891" Type="http://schemas.openxmlformats.org/officeDocument/2006/relationships/hyperlink" Target="https://luna-dr.com/yokohama/price/" TargetMode="External"/><Relationship Id="rId890" Type="http://schemas.openxmlformats.org/officeDocument/2006/relationships/hyperlink" Target="https://luna-dr.com/yokohama/price/" TargetMode="External"/><Relationship Id="rId411" Type="http://schemas.openxmlformats.org/officeDocument/2006/relationships/hyperlink" Target="https://luna-dr.com/subjects/irregular-genital-bleeding/" TargetMode="External"/><Relationship Id="rId653" Type="http://schemas.openxmlformats.org/officeDocument/2006/relationships/hyperlink" Target="https://luna-dr.com/subjects/hpv-vaccine/" TargetMode="External"/><Relationship Id="rId895" Type="http://schemas.openxmlformats.org/officeDocument/2006/relationships/hyperlink" Target="https://luna-dr.com/yokohama/about_result/" TargetMode="External"/><Relationship Id="rId410" Type="http://schemas.openxmlformats.org/officeDocument/2006/relationships/hyperlink" Target="https://luna-dr.com/subjects/irregular-genital-bleeding/" TargetMode="External"/><Relationship Id="rId652" Type="http://schemas.openxmlformats.org/officeDocument/2006/relationships/hyperlink" Target="https://luna-dr.com/subjects/hpv-vaccine/" TargetMode="External"/><Relationship Id="rId894" Type="http://schemas.openxmlformats.org/officeDocument/2006/relationships/hyperlink" Target="https://luna-dr.com/yokohama/about_result/" TargetMode="External"/><Relationship Id="rId651" Type="http://schemas.openxmlformats.org/officeDocument/2006/relationships/hyperlink" Target="https://luna-dr.com/subjects/medical-checkup/" TargetMode="External"/><Relationship Id="rId893" Type="http://schemas.openxmlformats.org/officeDocument/2006/relationships/hyperlink" Target="https://luna-dr.com/yokohama/price/" TargetMode="External"/><Relationship Id="rId650" Type="http://schemas.openxmlformats.org/officeDocument/2006/relationships/hyperlink" Target="https://luna-dr.com/subjects/medical-checkup/" TargetMode="External"/><Relationship Id="rId892" Type="http://schemas.openxmlformats.org/officeDocument/2006/relationships/hyperlink" Target="https://luna-dr.com/yokohama/price/" TargetMode="External"/><Relationship Id="rId206" Type="http://schemas.openxmlformats.org/officeDocument/2006/relationships/hyperlink" Target="https://luna-dr.com/subjects/pill-prescription/" TargetMode="External"/><Relationship Id="rId448" Type="http://schemas.openxmlformats.org/officeDocument/2006/relationships/hyperlink" Target="https://luna-dr.com/subjects/std/" TargetMode="External"/><Relationship Id="rId205" Type="http://schemas.openxmlformats.org/officeDocument/2006/relationships/hyperlink" Target="https://luna-dr.com/subjects/pill-prescription/" TargetMode="External"/><Relationship Id="rId447" Type="http://schemas.openxmlformats.org/officeDocument/2006/relationships/hyperlink" Target="https://luna-dr.com/subjects/std/" TargetMode="External"/><Relationship Id="rId689" Type="http://schemas.openxmlformats.org/officeDocument/2006/relationships/hyperlink" Target="https://luna-dr.com/femcheck/begginer/" TargetMode="External"/><Relationship Id="rId204" Type="http://schemas.openxmlformats.org/officeDocument/2006/relationships/hyperlink" Target="https://luna-dr.com/subjects/pill-prescription/" TargetMode="External"/><Relationship Id="rId446" Type="http://schemas.openxmlformats.org/officeDocument/2006/relationships/hyperlink" Target="https://luna-dr.com/subjects/std/" TargetMode="External"/><Relationship Id="rId688" Type="http://schemas.openxmlformats.org/officeDocument/2006/relationships/hyperlink" Target="https://luna-dr.com/femcheck/begginer/" TargetMode="External"/><Relationship Id="rId203" Type="http://schemas.openxmlformats.org/officeDocument/2006/relationships/hyperlink" Target="https://luna-dr.com/subjects/pill-prescription/" TargetMode="External"/><Relationship Id="rId445" Type="http://schemas.openxmlformats.org/officeDocument/2006/relationships/hyperlink" Target="https://luna-dr.com/subjects/std/" TargetMode="External"/><Relationship Id="rId687" Type="http://schemas.openxmlformats.org/officeDocument/2006/relationships/hyperlink" Target="https://luna-dr.com/femcheck/begginer/" TargetMode="External"/><Relationship Id="rId209" Type="http://schemas.openxmlformats.org/officeDocument/2006/relationships/hyperlink" Target="https://luna-dr.com/subjects/pill-prescription/" TargetMode="External"/><Relationship Id="rId208" Type="http://schemas.openxmlformats.org/officeDocument/2006/relationships/hyperlink" Target="https://luna-dr.com/subjects/pill-prescription/" TargetMode="External"/><Relationship Id="rId207" Type="http://schemas.openxmlformats.org/officeDocument/2006/relationships/hyperlink" Target="https://luna-dr.com/subjects/pill-prescription/" TargetMode="External"/><Relationship Id="rId449" Type="http://schemas.openxmlformats.org/officeDocument/2006/relationships/hyperlink" Target="https://luna-dr.com/subjects/std/" TargetMode="External"/><Relationship Id="rId440" Type="http://schemas.openxmlformats.org/officeDocument/2006/relationships/hyperlink" Target="https://luna-dr.com/subjects/std/" TargetMode="External"/><Relationship Id="rId682" Type="http://schemas.openxmlformats.org/officeDocument/2006/relationships/hyperlink" Target="https://luna-dr.com/femcheck/begginer/" TargetMode="External"/><Relationship Id="rId681" Type="http://schemas.openxmlformats.org/officeDocument/2006/relationships/hyperlink" Target="https://luna-dr.com/subjects/hpv-vaccine/" TargetMode="External"/><Relationship Id="rId680" Type="http://schemas.openxmlformats.org/officeDocument/2006/relationships/hyperlink" Target="https://luna-dr.com/subjects/hpv-vaccine/" TargetMode="External"/><Relationship Id="rId202" Type="http://schemas.openxmlformats.org/officeDocument/2006/relationships/hyperlink" Target="https://luna-dr.com/subjects/pill-prescription/" TargetMode="External"/><Relationship Id="rId444" Type="http://schemas.openxmlformats.org/officeDocument/2006/relationships/hyperlink" Target="https://luna-dr.com/subjects/std/" TargetMode="External"/><Relationship Id="rId686" Type="http://schemas.openxmlformats.org/officeDocument/2006/relationships/hyperlink" Target="https://luna-dr.com/femcheck/begginer/" TargetMode="External"/><Relationship Id="rId201" Type="http://schemas.openxmlformats.org/officeDocument/2006/relationships/hyperlink" Target="https://luna-dr.com/subjects/pill-prescription/" TargetMode="External"/><Relationship Id="rId443" Type="http://schemas.openxmlformats.org/officeDocument/2006/relationships/hyperlink" Target="https://luna-dr.com/subjects/std/" TargetMode="External"/><Relationship Id="rId685" Type="http://schemas.openxmlformats.org/officeDocument/2006/relationships/hyperlink" Target="https://luna-dr.com/femcheck/begginer/" TargetMode="External"/><Relationship Id="rId200" Type="http://schemas.openxmlformats.org/officeDocument/2006/relationships/hyperlink" Target="https://luna-dr.com/subjects/pill-prescription/" TargetMode="External"/><Relationship Id="rId442" Type="http://schemas.openxmlformats.org/officeDocument/2006/relationships/hyperlink" Target="https://luna-dr.com/subjects/std/" TargetMode="External"/><Relationship Id="rId684" Type="http://schemas.openxmlformats.org/officeDocument/2006/relationships/hyperlink" Target="https://luna-dr.com/femcheck/begginer/" TargetMode="External"/><Relationship Id="rId441" Type="http://schemas.openxmlformats.org/officeDocument/2006/relationships/hyperlink" Target="https://luna-dr.com/subjects/std/" TargetMode="External"/><Relationship Id="rId683" Type="http://schemas.openxmlformats.org/officeDocument/2006/relationships/hyperlink" Target="https://luna-dr.com/femcheck/begginer/" TargetMode="External"/><Relationship Id="rId437" Type="http://schemas.openxmlformats.org/officeDocument/2006/relationships/hyperlink" Target="https://luna-dr.com/subjects/abnormal-uterine-bleeding/" TargetMode="External"/><Relationship Id="rId679" Type="http://schemas.openxmlformats.org/officeDocument/2006/relationships/hyperlink" Target="https://luna-dr.com/subjects/hpv-vaccine/" TargetMode="External"/><Relationship Id="rId436" Type="http://schemas.openxmlformats.org/officeDocument/2006/relationships/hyperlink" Target="https://luna-dr.com/subjects/abnormal-uterine-bleeding/" TargetMode="External"/><Relationship Id="rId678" Type="http://schemas.openxmlformats.org/officeDocument/2006/relationships/hyperlink" Target="https://luna-dr.com/subjects/hpv-vaccine/" TargetMode="External"/><Relationship Id="rId435" Type="http://schemas.openxmlformats.org/officeDocument/2006/relationships/hyperlink" Target="https://luna-dr.com/subjects/abnormal-uterine-bleeding/" TargetMode="External"/><Relationship Id="rId677" Type="http://schemas.openxmlformats.org/officeDocument/2006/relationships/hyperlink" Target="https://luna-dr.com/subjects/hpv-vaccine/" TargetMode="External"/><Relationship Id="rId434" Type="http://schemas.openxmlformats.org/officeDocument/2006/relationships/hyperlink" Target="https://luna-dr.com/subjects/abnormal-uterine-bleeding/" TargetMode="External"/><Relationship Id="rId676" Type="http://schemas.openxmlformats.org/officeDocument/2006/relationships/hyperlink" Target="https://luna-dr.com/subjects/hpv-vaccine/" TargetMode="External"/><Relationship Id="rId439" Type="http://schemas.openxmlformats.org/officeDocument/2006/relationships/hyperlink" Target="https://luna-dr.com/subjects/std/" TargetMode="External"/><Relationship Id="rId438" Type="http://schemas.openxmlformats.org/officeDocument/2006/relationships/hyperlink" Target="https://luna-dr.com/subjects/std/" TargetMode="External"/><Relationship Id="rId671" Type="http://schemas.openxmlformats.org/officeDocument/2006/relationships/hyperlink" Target="https://luna-dr.com/subjects/hpv-vaccine/" TargetMode="External"/><Relationship Id="rId670" Type="http://schemas.openxmlformats.org/officeDocument/2006/relationships/hyperlink" Target="https://luna-dr.com/subjects/hpv-vaccine/" TargetMode="External"/><Relationship Id="rId433" Type="http://schemas.openxmlformats.org/officeDocument/2006/relationships/hyperlink" Target="https://luna-dr.com/subjects/abnormal-uterine-bleeding/" TargetMode="External"/><Relationship Id="rId675" Type="http://schemas.openxmlformats.org/officeDocument/2006/relationships/hyperlink" Target="https://luna-dr.com/subjects/hpv-vaccine/" TargetMode="External"/><Relationship Id="rId432" Type="http://schemas.openxmlformats.org/officeDocument/2006/relationships/hyperlink" Target="https://luna-dr.com/subjects/abnormal-uterine-bleeding/" TargetMode="External"/><Relationship Id="rId674" Type="http://schemas.openxmlformats.org/officeDocument/2006/relationships/hyperlink" Target="https://luna-dr.com/subjects/hpv-vaccine/" TargetMode="External"/><Relationship Id="rId431" Type="http://schemas.openxmlformats.org/officeDocument/2006/relationships/hyperlink" Target="https://luna-dr.com/subjects/abnormal-uterine-bleeding/" TargetMode="External"/><Relationship Id="rId673" Type="http://schemas.openxmlformats.org/officeDocument/2006/relationships/hyperlink" Target="https://luna-dr.com/subjects/hpv-vaccine/" TargetMode="External"/><Relationship Id="rId430" Type="http://schemas.openxmlformats.org/officeDocument/2006/relationships/hyperlink" Target="https://luna-dr.com/subjects/abnormal-uterine-bleeding/" TargetMode="External"/><Relationship Id="rId672" Type="http://schemas.openxmlformats.org/officeDocument/2006/relationships/hyperlink" Target="https://luna-dr.com/subjects/hpv-vaccine/"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luna-dr.com/subjects/low-dose-contraceptive/" TargetMode="External"/><Relationship Id="rId2" Type="http://schemas.openxmlformats.org/officeDocument/2006/relationships/hyperlink" Target="https://luna-dr.com/subjects/pregnancy-test/" TargetMode="External"/><Relationship Id="rId3"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cline-app.com/qr-codes/b009a6cd254b40a0ce083f7296c55775/previewpage?utm_customid=977137868.1765506771-1766647176" TargetMode="External"/><Relationship Id="rId2" Type="http://schemas.openxmlformats.org/officeDocument/2006/relationships/hyperlink" Target="https://cline-app.com/qr-codes/5281ce9ad8d178106e15ddf61c996e66/previewpage?utm_customid=977137868.1765506771-1766730497" TargetMode="External"/><Relationship Id="rId3" Type="http://schemas.openxmlformats.org/officeDocument/2006/relationships/hyperlink" Target="https://cline-app.com/qr-codes/98ad6f149bfa20f4f2a9a2e91aac4187/preview" TargetMode="External"/><Relationship Id="rId4"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4.63"/>
    <col customWidth="1" min="3" max="3" width="55.75"/>
    <col customWidth="1" min="4" max="4" width="59.0"/>
  </cols>
  <sheetData>
    <row r="1">
      <c r="A1" s="1" t="s">
        <v>0</v>
      </c>
      <c r="B1" s="1" t="s">
        <v>1</v>
      </c>
      <c r="C1" s="1" t="s">
        <v>2</v>
      </c>
      <c r="D1" s="1" t="s">
        <v>3</v>
      </c>
      <c r="E1" s="2"/>
      <c r="F1" s="2"/>
      <c r="G1" s="2"/>
      <c r="H1" s="2"/>
      <c r="I1" s="2"/>
      <c r="J1" s="2"/>
      <c r="K1" s="2"/>
      <c r="L1" s="2"/>
      <c r="M1" s="2"/>
      <c r="N1" s="2"/>
      <c r="O1" s="2"/>
      <c r="P1" s="2"/>
      <c r="Q1" s="2"/>
      <c r="R1" s="2"/>
      <c r="S1" s="2"/>
      <c r="T1" s="2"/>
      <c r="U1" s="2"/>
      <c r="V1" s="2"/>
      <c r="W1" s="2"/>
      <c r="X1" s="2"/>
      <c r="Y1" s="2"/>
      <c r="Z1" s="2"/>
    </row>
    <row r="2">
      <c r="A2" s="3" t="s">
        <v>4</v>
      </c>
      <c r="B2" s="3" t="s">
        <v>5</v>
      </c>
      <c r="C2" s="3" t="s">
        <v>6</v>
      </c>
      <c r="D2" s="3" t="s">
        <v>7</v>
      </c>
      <c r="E2" s="2"/>
      <c r="F2" s="2"/>
      <c r="G2" s="2"/>
      <c r="H2" s="2"/>
      <c r="I2" s="2"/>
      <c r="J2" s="2"/>
      <c r="K2" s="2"/>
      <c r="L2" s="2"/>
      <c r="M2" s="2"/>
      <c r="N2" s="2"/>
      <c r="O2" s="2"/>
      <c r="P2" s="2"/>
      <c r="Q2" s="2"/>
      <c r="R2" s="2"/>
      <c r="S2" s="2"/>
      <c r="T2" s="2"/>
      <c r="U2" s="2"/>
      <c r="V2" s="2"/>
      <c r="W2" s="2"/>
      <c r="X2" s="2"/>
      <c r="Y2" s="2"/>
      <c r="Z2" s="2"/>
    </row>
    <row r="3">
      <c r="A3" s="3" t="s">
        <v>8</v>
      </c>
      <c r="B3" s="3" t="s">
        <v>9</v>
      </c>
      <c r="C3" s="3" t="s">
        <v>10</v>
      </c>
      <c r="D3" s="3" t="s">
        <v>11</v>
      </c>
      <c r="E3" s="2"/>
      <c r="F3" s="2"/>
      <c r="G3" s="2"/>
      <c r="H3" s="2"/>
      <c r="I3" s="2"/>
      <c r="J3" s="2"/>
      <c r="K3" s="2"/>
      <c r="L3" s="2"/>
      <c r="M3" s="2"/>
      <c r="N3" s="2"/>
      <c r="O3" s="2"/>
      <c r="P3" s="2"/>
      <c r="Q3" s="2"/>
      <c r="R3" s="2"/>
      <c r="S3" s="2"/>
      <c r="T3" s="2"/>
      <c r="U3" s="2"/>
      <c r="V3" s="2"/>
      <c r="W3" s="2"/>
      <c r="X3" s="2"/>
      <c r="Y3" s="2"/>
      <c r="Z3" s="2"/>
    </row>
    <row r="4">
      <c r="A4" s="3" t="s">
        <v>12</v>
      </c>
      <c r="B4" s="3" t="s">
        <v>13</v>
      </c>
      <c r="C4" s="3" t="s">
        <v>14</v>
      </c>
      <c r="D4" s="3" t="s">
        <v>15</v>
      </c>
      <c r="E4" s="2"/>
      <c r="F4" s="2"/>
      <c r="G4" s="2"/>
      <c r="H4" s="2"/>
      <c r="I4" s="2"/>
      <c r="J4" s="2"/>
      <c r="K4" s="2"/>
      <c r="L4" s="2"/>
      <c r="M4" s="2"/>
      <c r="N4" s="2"/>
      <c r="O4" s="2"/>
      <c r="P4" s="2"/>
      <c r="Q4" s="2"/>
      <c r="R4" s="2"/>
      <c r="S4" s="2"/>
      <c r="T4" s="2"/>
      <c r="U4" s="2"/>
      <c r="V4" s="2"/>
      <c r="W4" s="2"/>
      <c r="X4" s="2"/>
      <c r="Y4" s="2"/>
      <c r="Z4" s="2"/>
    </row>
    <row r="5">
      <c r="A5" s="3" t="s">
        <v>16</v>
      </c>
      <c r="B5" s="3" t="s">
        <v>17</v>
      </c>
      <c r="C5" s="3" t="s">
        <v>18</v>
      </c>
      <c r="D5" s="3" t="s">
        <v>19</v>
      </c>
      <c r="E5" s="2"/>
      <c r="F5" s="2"/>
      <c r="G5" s="2"/>
      <c r="H5" s="2"/>
      <c r="I5" s="2"/>
      <c r="J5" s="2"/>
      <c r="K5" s="2"/>
      <c r="L5" s="2"/>
      <c r="M5" s="2"/>
      <c r="N5" s="2"/>
      <c r="O5" s="2"/>
      <c r="P5" s="2"/>
      <c r="Q5" s="2"/>
      <c r="R5" s="2"/>
      <c r="S5" s="2"/>
      <c r="T5" s="2"/>
      <c r="U5" s="2"/>
      <c r="V5" s="2"/>
      <c r="W5" s="2"/>
      <c r="X5" s="2"/>
      <c r="Y5" s="2"/>
      <c r="Z5" s="2"/>
    </row>
    <row r="6">
      <c r="A6" s="3" t="s">
        <v>20</v>
      </c>
      <c r="B6" s="3" t="s">
        <v>21</v>
      </c>
      <c r="C6" s="3" t="s">
        <v>22</v>
      </c>
      <c r="D6" s="4" t="s">
        <v>23</v>
      </c>
      <c r="E6" s="2"/>
      <c r="F6" s="2"/>
      <c r="G6" s="2"/>
      <c r="H6" s="2"/>
      <c r="I6" s="2"/>
      <c r="J6" s="2"/>
      <c r="K6" s="2"/>
      <c r="L6" s="2"/>
      <c r="M6" s="2"/>
      <c r="N6" s="2"/>
      <c r="O6" s="2"/>
      <c r="P6" s="2"/>
      <c r="Q6" s="2"/>
      <c r="R6" s="2"/>
      <c r="S6" s="2"/>
      <c r="T6" s="2"/>
      <c r="U6" s="2"/>
      <c r="V6" s="2"/>
      <c r="W6" s="2"/>
      <c r="X6" s="2"/>
      <c r="Y6" s="2"/>
      <c r="Z6" s="2"/>
    </row>
    <row r="7">
      <c r="A7" s="5"/>
      <c r="B7" s="5"/>
      <c r="C7" s="5"/>
      <c r="D7" s="5"/>
      <c r="E7" s="2"/>
      <c r="F7" s="2"/>
      <c r="G7" s="2"/>
      <c r="H7" s="2"/>
      <c r="I7" s="2"/>
      <c r="J7" s="2"/>
      <c r="K7" s="2"/>
      <c r="L7" s="2"/>
      <c r="M7" s="2"/>
      <c r="N7" s="2"/>
      <c r="O7" s="2"/>
      <c r="P7" s="2"/>
      <c r="Q7" s="2"/>
      <c r="R7" s="2"/>
      <c r="S7" s="2"/>
      <c r="T7" s="2"/>
      <c r="U7" s="2"/>
      <c r="V7" s="2"/>
      <c r="W7" s="2"/>
      <c r="X7" s="2"/>
      <c r="Y7" s="2"/>
      <c r="Z7" s="2"/>
    </row>
    <row r="8">
      <c r="A8" s="5"/>
      <c r="B8" s="5"/>
      <c r="C8" s="5"/>
      <c r="D8" s="5"/>
      <c r="E8" s="2"/>
      <c r="F8" s="2"/>
      <c r="G8" s="2"/>
      <c r="H8" s="2"/>
      <c r="I8" s="2"/>
      <c r="J8" s="2"/>
      <c r="K8" s="2"/>
      <c r="L8" s="2"/>
      <c r="M8" s="2"/>
      <c r="N8" s="2"/>
      <c r="O8" s="2"/>
      <c r="P8" s="2"/>
      <c r="Q8" s="2"/>
      <c r="R8" s="2"/>
      <c r="S8" s="2"/>
      <c r="T8" s="2"/>
      <c r="U8" s="2"/>
      <c r="V8" s="2"/>
      <c r="W8" s="2"/>
      <c r="X8" s="2"/>
      <c r="Y8" s="2"/>
      <c r="Z8" s="2"/>
    </row>
    <row r="9">
      <c r="A9" s="3" t="s">
        <v>24</v>
      </c>
      <c r="B9" s="3" t="s">
        <v>25</v>
      </c>
      <c r="C9" s="3" t="s">
        <v>26</v>
      </c>
      <c r="D9" s="5"/>
      <c r="E9" s="2"/>
      <c r="F9" s="2"/>
      <c r="G9" s="2"/>
      <c r="H9" s="2"/>
      <c r="I9" s="2"/>
      <c r="J9" s="2"/>
      <c r="K9" s="2"/>
      <c r="L9" s="2"/>
      <c r="M9" s="2"/>
      <c r="N9" s="2"/>
      <c r="O9" s="2"/>
      <c r="P9" s="2"/>
      <c r="Q9" s="2"/>
      <c r="R9" s="2"/>
      <c r="S9" s="2"/>
      <c r="T9" s="2"/>
      <c r="U9" s="2"/>
      <c r="V9" s="2"/>
      <c r="W9" s="2"/>
      <c r="X9" s="2"/>
      <c r="Y9" s="2"/>
      <c r="Z9" s="2"/>
    </row>
    <row r="10">
      <c r="A10" s="5"/>
      <c r="B10" s="5"/>
      <c r="C10" s="5"/>
      <c r="D10" s="5"/>
      <c r="E10" s="2"/>
      <c r="F10" s="2"/>
      <c r="G10" s="2"/>
      <c r="H10" s="2"/>
      <c r="I10" s="2"/>
      <c r="J10" s="2"/>
      <c r="K10" s="2"/>
      <c r="L10" s="2"/>
      <c r="M10" s="2"/>
      <c r="N10" s="2"/>
      <c r="O10" s="2"/>
      <c r="P10" s="2"/>
      <c r="Q10" s="2"/>
      <c r="R10" s="2"/>
      <c r="S10" s="2"/>
      <c r="T10" s="2"/>
      <c r="U10" s="2"/>
      <c r="V10" s="2"/>
      <c r="W10" s="2"/>
      <c r="X10" s="2"/>
      <c r="Y10" s="2"/>
      <c r="Z10" s="2"/>
    </row>
    <row r="11">
      <c r="A11" s="5"/>
      <c r="B11" s="5"/>
      <c r="C11" s="5"/>
      <c r="D11" s="5"/>
      <c r="E11" s="2"/>
      <c r="F11" s="2"/>
      <c r="G11" s="2"/>
      <c r="H11" s="2"/>
      <c r="I11" s="2"/>
      <c r="J11" s="2"/>
      <c r="K11" s="2"/>
      <c r="L11" s="2"/>
      <c r="M11" s="2"/>
      <c r="N11" s="2"/>
      <c r="O11" s="2"/>
      <c r="P11" s="2"/>
      <c r="Q11" s="2"/>
      <c r="R11" s="2"/>
      <c r="S11" s="2"/>
      <c r="T11" s="2"/>
      <c r="U11" s="2"/>
      <c r="V11" s="2"/>
      <c r="W11" s="2"/>
      <c r="X11" s="2"/>
      <c r="Y11" s="2"/>
      <c r="Z11" s="2"/>
    </row>
    <row r="12">
      <c r="A12" s="5"/>
      <c r="B12" s="5"/>
      <c r="C12" s="5"/>
      <c r="D12" s="5"/>
      <c r="E12" s="2"/>
      <c r="F12" s="2"/>
      <c r="G12" s="2"/>
      <c r="H12" s="2"/>
      <c r="I12" s="2"/>
      <c r="J12" s="2"/>
      <c r="K12" s="2"/>
      <c r="L12" s="2"/>
      <c r="M12" s="2"/>
      <c r="N12" s="2"/>
      <c r="O12" s="2"/>
      <c r="P12" s="2"/>
      <c r="Q12" s="2"/>
      <c r="R12" s="2"/>
      <c r="S12" s="2"/>
      <c r="T12" s="2"/>
      <c r="U12" s="2"/>
      <c r="V12" s="2"/>
      <c r="W12" s="2"/>
      <c r="X12" s="2"/>
      <c r="Y12" s="2"/>
      <c r="Z12" s="2"/>
    </row>
    <row r="13">
      <c r="A13" s="5"/>
      <c r="B13" s="5"/>
      <c r="C13" s="5"/>
      <c r="D13" s="5"/>
      <c r="E13" s="2"/>
      <c r="F13" s="2"/>
      <c r="G13" s="2"/>
      <c r="H13" s="2"/>
      <c r="I13" s="2"/>
      <c r="J13" s="2"/>
      <c r="K13" s="2"/>
      <c r="L13" s="2"/>
      <c r="M13" s="2"/>
      <c r="N13" s="2"/>
      <c r="O13" s="2"/>
      <c r="P13" s="2"/>
      <c r="Q13" s="2"/>
      <c r="R13" s="2"/>
      <c r="S13" s="2"/>
      <c r="T13" s="2"/>
      <c r="U13" s="2"/>
      <c r="V13" s="2"/>
      <c r="W13" s="2"/>
      <c r="X13" s="2"/>
      <c r="Y13" s="2"/>
      <c r="Z13" s="2"/>
    </row>
    <row r="14">
      <c r="A14" s="3"/>
      <c r="B14" s="5"/>
      <c r="C14" s="5"/>
      <c r="D14" s="5"/>
      <c r="E14" s="2"/>
      <c r="F14" s="2"/>
      <c r="G14" s="2"/>
      <c r="H14" s="2"/>
      <c r="I14" s="2"/>
      <c r="J14" s="2"/>
      <c r="K14" s="2"/>
      <c r="L14" s="2"/>
      <c r="M14" s="2"/>
      <c r="N14" s="2"/>
      <c r="O14" s="2"/>
      <c r="P14" s="2"/>
      <c r="Q14" s="2"/>
      <c r="R14" s="2"/>
      <c r="S14" s="2"/>
      <c r="T14" s="2"/>
      <c r="U14" s="2"/>
      <c r="V14" s="2"/>
      <c r="W14" s="2"/>
      <c r="X14" s="2"/>
      <c r="Y14" s="2"/>
      <c r="Z14" s="2"/>
    </row>
    <row r="15">
      <c r="A15" s="3"/>
      <c r="B15" s="5"/>
      <c r="C15" s="5"/>
      <c r="D15" s="5"/>
      <c r="E15" s="2"/>
      <c r="F15" s="2"/>
      <c r="G15" s="2"/>
      <c r="H15" s="2"/>
      <c r="I15" s="2"/>
      <c r="J15" s="2"/>
      <c r="K15" s="2"/>
      <c r="L15" s="2"/>
      <c r="M15" s="2"/>
      <c r="N15" s="2"/>
      <c r="O15" s="2"/>
      <c r="P15" s="2"/>
      <c r="Q15" s="2"/>
      <c r="R15" s="2"/>
      <c r="S15" s="2"/>
      <c r="T15" s="2"/>
      <c r="U15" s="2"/>
      <c r="V15" s="2"/>
      <c r="W15" s="2"/>
      <c r="X15" s="2"/>
      <c r="Y15" s="2"/>
      <c r="Z15" s="2"/>
    </row>
    <row r="16">
      <c r="A16" s="5"/>
      <c r="B16" s="5"/>
      <c r="C16" s="5"/>
      <c r="D16" s="5"/>
      <c r="E16" s="2"/>
      <c r="F16" s="2"/>
      <c r="G16" s="2"/>
      <c r="H16" s="2"/>
      <c r="I16" s="2"/>
      <c r="J16" s="2"/>
      <c r="K16" s="2"/>
      <c r="L16" s="2"/>
      <c r="M16" s="2"/>
      <c r="N16" s="2"/>
      <c r="O16" s="2"/>
      <c r="P16" s="2"/>
      <c r="Q16" s="2"/>
      <c r="R16" s="2"/>
      <c r="S16" s="2"/>
      <c r="T16" s="2"/>
      <c r="U16" s="2"/>
      <c r="V16" s="2"/>
      <c r="W16" s="2"/>
      <c r="X16" s="2"/>
      <c r="Y16" s="2"/>
      <c r="Z16" s="2"/>
    </row>
    <row r="17">
      <c r="A17" s="5"/>
      <c r="B17" s="5"/>
      <c r="C17" s="5"/>
      <c r="D17" s="5"/>
      <c r="E17" s="2"/>
      <c r="F17" s="2"/>
      <c r="G17" s="2"/>
      <c r="H17" s="2"/>
      <c r="I17" s="2"/>
      <c r="J17" s="2"/>
      <c r="K17" s="2"/>
      <c r="L17" s="2"/>
      <c r="M17" s="2"/>
      <c r="N17" s="2"/>
      <c r="O17" s="2"/>
      <c r="P17" s="2"/>
      <c r="Q17" s="2"/>
      <c r="R17" s="2"/>
      <c r="S17" s="2"/>
      <c r="T17" s="2"/>
      <c r="U17" s="2"/>
      <c r="V17" s="2"/>
      <c r="W17" s="2"/>
      <c r="X17" s="2"/>
      <c r="Y17" s="2"/>
      <c r="Z17" s="2"/>
    </row>
    <row r="18">
      <c r="A18" s="5"/>
      <c r="B18" s="5"/>
      <c r="C18" s="5"/>
      <c r="D18" s="5"/>
      <c r="E18" s="2"/>
      <c r="F18" s="2"/>
      <c r="G18" s="2"/>
      <c r="H18" s="2"/>
      <c r="I18" s="2"/>
      <c r="J18" s="2"/>
      <c r="K18" s="2"/>
      <c r="L18" s="2"/>
      <c r="M18" s="2"/>
      <c r="N18" s="2"/>
      <c r="O18" s="2"/>
      <c r="P18" s="2"/>
      <c r="Q18" s="2"/>
      <c r="R18" s="2"/>
      <c r="S18" s="2"/>
      <c r="T18" s="2"/>
      <c r="U18" s="2"/>
      <c r="V18" s="2"/>
      <c r="W18" s="2"/>
      <c r="X18" s="2"/>
      <c r="Y18" s="2"/>
      <c r="Z18" s="2"/>
    </row>
    <row r="19">
      <c r="A19" s="5"/>
      <c r="B19" s="5"/>
      <c r="C19" s="5"/>
      <c r="D19" s="5"/>
      <c r="E19" s="2"/>
      <c r="F19" s="2"/>
      <c r="G19" s="2"/>
      <c r="H19" s="2"/>
      <c r="I19" s="2"/>
      <c r="J19" s="2"/>
      <c r="K19" s="2"/>
      <c r="L19" s="2"/>
      <c r="M19" s="2"/>
      <c r="N19" s="2"/>
      <c r="O19" s="2"/>
      <c r="P19" s="2"/>
      <c r="Q19" s="2"/>
      <c r="R19" s="2"/>
      <c r="S19" s="2"/>
      <c r="T19" s="2"/>
      <c r="U19" s="2"/>
      <c r="V19" s="2"/>
      <c r="W19" s="2"/>
      <c r="X19" s="2"/>
      <c r="Y19" s="2"/>
      <c r="Z19" s="2"/>
    </row>
    <row r="20">
      <c r="A20" s="5"/>
      <c r="B20" s="5"/>
      <c r="C20" s="5"/>
      <c r="D20" s="5"/>
      <c r="E20" s="2"/>
      <c r="F20" s="2"/>
      <c r="G20" s="2"/>
      <c r="H20" s="2"/>
      <c r="I20" s="2"/>
      <c r="J20" s="2"/>
      <c r="K20" s="2"/>
      <c r="L20" s="2"/>
      <c r="M20" s="2"/>
      <c r="N20" s="2"/>
      <c r="O20" s="2"/>
      <c r="P20" s="2"/>
      <c r="Q20" s="2"/>
      <c r="R20" s="2"/>
      <c r="S20" s="2"/>
      <c r="T20" s="2"/>
      <c r="U20" s="2"/>
      <c r="V20" s="2"/>
      <c r="W20" s="2"/>
      <c r="X20" s="2"/>
      <c r="Y20" s="2"/>
      <c r="Z20" s="2"/>
    </row>
    <row r="21">
      <c r="A21" s="5"/>
      <c r="B21" s="5"/>
      <c r="C21" s="5"/>
      <c r="D21" s="5"/>
      <c r="E21" s="2"/>
      <c r="F21" s="2"/>
      <c r="G21" s="2"/>
      <c r="H21" s="2"/>
      <c r="I21" s="2"/>
      <c r="J21" s="2"/>
      <c r="K21" s="2"/>
      <c r="L21" s="2"/>
      <c r="M21" s="2"/>
      <c r="N21" s="2"/>
      <c r="O21" s="2"/>
      <c r="P21" s="2"/>
      <c r="Q21" s="2"/>
      <c r="R21" s="2"/>
      <c r="S21" s="2"/>
      <c r="T21" s="2"/>
      <c r="U21" s="2"/>
      <c r="V21" s="2"/>
      <c r="W21" s="2"/>
      <c r="X21" s="2"/>
      <c r="Y21" s="2"/>
      <c r="Z21" s="2"/>
    </row>
    <row r="22">
      <c r="A22" s="5"/>
      <c r="B22" s="5"/>
      <c r="C22" s="5"/>
      <c r="D22" s="5"/>
      <c r="E22" s="2"/>
      <c r="F22" s="2"/>
      <c r="G22" s="2"/>
      <c r="H22" s="2"/>
      <c r="I22" s="2"/>
      <c r="J22" s="2"/>
      <c r="K22" s="2"/>
      <c r="L22" s="2"/>
      <c r="M22" s="2"/>
      <c r="N22" s="2"/>
      <c r="O22" s="2"/>
      <c r="P22" s="2"/>
      <c r="Q22" s="2"/>
      <c r="R22" s="2"/>
      <c r="S22" s="2"/>
      <c r="T22" s="2"/>
      <c r="U22" s="2"/>
      <c r="V22" s="2"/>
      <c r="W22" s="2"/>
      <c r="X22" s="2"/>
      <c r="Y22" s="2"/>
      <c r="Z22" s="2"/>
    </row>
    <row r="23">
      <c r="A23" s="5"/>
      <c r="B23" s="5"/>
      <c r="C23" s="5"/>
      <c r="D23" s="5"/>
      <c r="E23" s="2"/>
      <c r="F23" s="2"/>
      <c r="G23" s="2"/>
      <c r="H23" s="2"/>
      <c r="I23" s="2"/>
      <c r="J23" s="2"/>
      <c r="K23" s="2"/>
      <c r="L23" s="2"/>
      <c r="M23" s="2"/>
      <c r="N23" s="2"/>
      <c r="O23" s="2"/>
      <c r="P23" s="2"/>
      <c r="Q23" s="2"/>
      <c r="R23" s="2"/>
      <c r="S23" s="2"/>
      <c r="T23" s="2"/>
      <c r="U23" s="2"/>
      <c r="V23" s="2"/>
      <c r="W23" s="2"/>
      <c r="X23" s="2"/>
      <c r="Y23" s="2"/>
      <c r="Z23" s="2"/>
    </row>
    <row r="24">
      <c r="A24" s="5"/>
      <c r="B24" s="5"/>
      <c r="C24" s="5"/>
      <c r="D24" s="5"/>
      <c r="E24" s="2"/>
      <c r="F24" s="2"/>
      <c r="G24" s="2"/>
      <c r="H24" s="2"/>
      <c r="I24" s="2"/>
      <c r="J24" s="2"/>
      <c r="K24" s="2"/>
      <c r="L24" s="2"/>
      <c r="M24" s="2"/>
      <c r="N24" s="2"/>
      <c r="O24" s="2"/>
      <c r="P24" s="2"/>
      <c r="Q24" s="2"/>
      <c r="R24" s="2"/>
      <c r="S24" s="2"/>
      <c r="T24" s="2"/>
      <c r="U24" s="2"/>
      <c r="V24" s="2"/>
      <c r="W24" s="2"/>
      <c r="X24" s="2"/>
      <c r="Y24" s="2"/>
      <c r="Z24" s="2"/>
    </row>
    <row r="25">
      <c r="A25" s="5"/>
      <c r="B25" s="5"/>
      <c r="C25" s="5"/>
      <c r="D25" s="5"/>
      <c r="E25" s="2"/>
      <c r="F25" s="2"/>
      <c r="G25" s="2"/>
      <c r="H25" s="2"/>
      <c r="I25" s="2"/>
      <c r="J25" s="2"/>
      <c r="K25" s="2"/>
      <c r="L25" s="2"/>
      <c r="M25" s="2"/>
      <c r="N25" s="2"/>
      <c r="O25" s="2"/>
      <c r="P25" s="2"/>
      <c r="Q25" s="2"/>
      <c r="R25" s="2"/>
      <c r="S25" s="2"/>
      <c r="T25" s="2"/>
      <c r="U25" s="2"/>
      <c r="V25" s="2"/>
      <c r="W25" s="2"/>
      <c r="X25" s="2"/>
      <c r="Y25" s="2"/>
      <c r="Z25" s="2"/>
    </row>
    <row r="26">
      <c r="A26" s="5"/>
      <c r="B26" s="5"/>
      <c r="C26" s="5"/>
      <c r="D26" s="5"/>
      <c r="E26" s="2"/>
      <c r="F26" s="2"/>
      <c r="G26" s="2"/>
      <c r="H26" s="2"/>
      <c r="I26" s="2"/>
      <c r="J26" s="2"/>
      <c r="K26" s="2"/>
      <c r="L26" s="2"/>
      <c r="M26" s="2"/>
      <c r="N26" s="2"/>
      <c r="O26" s="2"/>
      <c r="P26" s="2"/>
      <c r="Q26" s="2"/>
      <c r="R26" s="2"/>
      <c r="S26" s="2"/>
      <c r="T26" s="2"/>
      <c r="U26" s="2"/>
      <c r="V26" s="2"/>
      <c r="W26" s="2"/>
      <c r="X26" s="2"/>
      <c r="Y26" s="2"/>
      <c r="Z26" s="2"/>
    </row>
    <row r="27">
      <c r="A27" s="5"/>
      <c r="B27" s="5"/>
      <c r="C27" s="5"/>
      <c r="D27" s="5"/>
      <c r="E27" s="2"/>
      <c r="F27" s="2"/>
      <c r="G27" s="2"/>
      <c r="H27" s="2"/>
      <c r="I27" s="2"/>
      <c r="J27" s="2"/>
      <c r="K27" s="2"/>
      <c r="L27" s="2"/>
      <c r="M27" s="2"/>
      <c r="N27" s="2"/>
      <c r="O27" s="2"/>
      <c r="P27" s="2"/>
      <c r="Q27" s="2"/>
      <c r="R27" s="2"/>
      <c r="S27" s="2"/>
      <c r="T27" s="2"/>
      <c r="U27" s="2"/>
      <c r="V27" s="2"/>
      <c r="W27" s="2"/>
      <c r="X27" s="2"/>
      <c r="Y27" s="2"/>
      <c r="Z27" s="2"/>
    </row>
    <row r="28">
      <c r="A28" s="5"/>
      <c r="B28" s="5"/>
      <c r="C28" s="5"/>
      <c r="D28" s="5"/>
      <c r="E28" s="2"/>
      <c r="F28" s="2"/>
      <c r="G28" s="2"/>
      <c r="H28" s="2"/>
      <c r="I28" s="2"/>
      <c r="J28" s="2"/>
      <c r="K28" s="2"/>
      <c r="L28" s="2"/>
      <c r="M28" s="2"/>
      <c r="N28" s="2"/>
      <c r="O28" s="2"/>
      <c r="P28" s="2"/>
      <c r="Q28" s="2"/>
      <c r="R28" s="2"/>
      <c r="S28" s="2"/>
      <c r="T28" s="2"/>
      <c r="U28" s="2"/>
      <c r="V28" s="2"/>
      <c r="W28" s="2"/>
      <c r="X28" s="2"/>
      <c r="Y28" s="2"/>
      <c r="Z28" s="2"/>
    </row>
    <row r="29">
      <c r="A29" s="5"/>
      <c r="B29" s="5"/>
      <c r="C29" s="5"/>
      <c r="D29" s="5"/>
      <c r="E29" s="2"/>
      <c r="F29" s="2"/>
      <c r="G29" s="2"/>
      <c r="H29" s="2"/>
      <c r="I29" s="2"/>
      <c r="J29" s="2"/>
      <c r="K29" s="2"/>
      <c r="L29" s="2"/>
      <c r="M29" s="2"/>
      <c r="N29" s="2"/>
      <c r="O29" s="2"/>
      <c r="P29" s="2"/>
      <c r="Q29" s="2"/>
      <c r="R29" s="2"/>
      <c r="S29" s="2"/>
      <c r="T29" s="2"/>
      <c r="U29" s="2"/>
      <c r="V29" s="2"/>
      <c r="W29" s="2"/>
      <c r="X29" s="2"/>
      <c r="Y29" s="2"/>
      <c r="Z29" s="2"/>
    </row>
    <row r="30">
      <c r="A30" s="5"/>
      <c r="B30" s="5"/>
      <c r="C30" s="5"/>
      <c r="D30" s="5"/>
      <c r="E30" s="2"/>
      <c r="F30" s="2"/>
      <c r="G30" s="2"/>
      <c r="H30" s="2"/>
      <c r="I30" s="2"/>
      <c r="J30" s="2"/>
      <c r="K30" s="2"/>
      <c r="L30" s="2"/>
      <c r="M30" s="2"/>
      <c r="N30" s="2"/>
      <c r="O30" s="2"/>
      <c r="P30" s="2"/>
      <c r="Q30" s="2"/>
      <c r="R30" s="2"/>
      <c r="S30" s="2"/>
      <c r="T30" s="2"/>
      <c r="U30" s="2"/>
      <c r="V30" s="2"/>
      <c r="W30" s="2"/>
      <c r="X30" s="2"/>
      <c r="Y30" s="2"/>
      <c r="Z30" s="2"/>
    </row>
    <row r="31">
      <c r="A31" s="5"/>
      <c r="B31" s="5"/>
      <c r="C31" s="5"/>
      <c r="D31" s="5"/>
      <c r="E31" s="2"/>
      <c r="F31" s="2"/>
      <c r="G31" s="2"/>
      <c r="H31" s="2"/>
      <c r="I31" s="2"/>
      <c r="J31" s="2"/>
      <c r="K31" s="2"/>
      <c r="L31" s="2"/>
      <c r="M31" s="2"/>
      <c r="N31" s="2"/>
      <c r="O31" s="2"/>
      <c r="P31" s="2"/>
      <c r="Q31" s="2"/>
      <c r="R31" s="2"/>
      <c r="S31" s="2"/>
      <c r="T31" s="2"/>
      <c r="U31" s="2"/>
      <c r="V31" s="2"/>
      <c r="W31" s="2"/>
      <c r="X31" s="2"/>
      <c r="Y31" s="2"/>
      <c r="Z31" s="2"/>
    </row>
    <row r="32">
      <c r="A32" s="5"/>
      <c r="B32" s="5"/>
      <c r="C32" s="5"/>
      <c r="D32" s="5"/>
      <c r="E32" s="2"/>
      <c r="F32" s="2"/>
      <c r="G32" s="2"/>
      <c r="H32" s="2"/>
      <c r="I32" s="2"/>
      <c r="J32" s="2"/>
      <c r="K32" s="2"/>
      <c r="L32" s="2"/>
      <c r="M32" s="2"/>
      <c r="N32" s="2"/>
      <c r="O32" s="2"/>
      <c r="P32" s="2"/>
      <c r="Q32" s="2"/>
      <c r="R32" s="2"/>
      <c r="S32" s="2"/>
      <c r="T32" s="2"/>
      <c r="U32" s="2"/>
      <c r="V32" s="2"/>
      <c r="W32" s="2"/>
      <c r="X32" s="2"/>
      <c r="Y32" s="2"/>
      <c r="Z32" s="2"/>
    </row>
    <row r="33">
      <c r="A33" s="5"/>
      <c r="B33" s="5"/>
      <c r="C33" s="5"/>
      <c r="D33" s="5"/>
      <c r="E33" s="2"/>
      <c r="F33" s="2"/>
      <c r="G33" s="2"/>
      <c r="H33" s="2"/>
      <c r="I33" s="2"/>
      <c r="J33" s="2"/>
      <c r="K33" s="2"/>
      <c r="L33" s="2"/>
      <c r="M33" s="2"/>
      <c r="N33" s="2"/>
      <c r="O33" s="2"/>
      <c r="P33" s="2"/>
      <c r="Q33" s="2"/>
      <c r="R33" s="2"/>
      <c r="S33" s="2"/>
      <c r="T33" s="2"/>
      <c r="U33" s="2"/>
      <c r="V33" s="2"/>
      <c r="W33" s="2"/>
      <c r="X33" s="2"/>
      <c r="Y33" s="2"/>
      <c r="Z33" s="2"/>
    </row>
    <row r="34">
      <c r="A34" s="5"/>
      <c r="B34" s="5"/>
      <c r="C34" s="5"/>
      <c r="D34" s="5"/>
      <c r="E34" s="2"/>
      <c r="F34" s="2"/>
      <c r="G34" s="2"/>
      <c r="H34" s="2"/>
      <c r="I34" s="2"/>
      <c r="J34" s="2"/>
      <c r="K34" s="2"/>
      <c r="L34" s="2"/>
      <c r="M34" s="2"/>
      <c r="N34" s="2"/>
      <c r="O34" s="2"/>
      <c r="P34" s="2"/>
      <c r="Q34" s="2"/>
      <c r="R34" s="2"/>
      <c r="S34" s="2"/>
      <c r="T34" s="2"/>
      <c r="U34" s="2"/>
      <c r="V34" s="2"/>
      <c r="W34" s="2"/>
      <c r="X34" s="2"/>
      <c r="Y34" s="2"/>
      <c r="Z34" s="2"/>
    </row>
    <row r="35">
      <c r="A35" s="5"/>
      <c r="B35" s="5"/>
      <c r="C35" s="5"/>
      <c r="D35" s="5"/>
      <c r="E35" s="2"/>
      <c r="F35" s="2"/>
      <c r="G35" s="2"/>
      <c r="H35" s="2"/>
      <c r="I35" s="2"/>
      <c r="J35" s="2"/>
      <c r="K35" s="2"/>
      <c r="L35" s="2"/>
      <c r="M35" s="2"/>
      <c r="N35" s="2"/>
      <c r="O35" s="2"/>
      <c r="P35" s="2"/>
      <c r="Q35" s="2"/>
      <c r="R35" s="2"/>
      <c r="S35" s="2"/>
      <c r="T35" s="2"/>
      <c r="U35" s="2"/>
      <c r="V35" s="2"/>
      <c r="W35" s="2"/>
      <c r="X35" s="2"/>
      <c r="Y35" s="2"/>
      <c r="Z35" s="2"/>
    </row>
    <row r="36">
      <c r="A36" s="5"/>
      <c r="B36" s="5"/>
      <c r="C36" s="5"/>
      <c r="D36" s="5"/>
      <c r="E36" s="2"/>
      <c r="F36" s="2"/>
      <c r="G36" s="2"/>
      <c r="H36" s="2"/>
      <c r="I36" s="2"/>
      <c r="J36" s="2"/>
      <c r="K36" s="2"/>
      <c r="L36" s="2"/>
      <c r="M36" s="2"/>
      <c r="N36" s="2"/>
      <c r="O36" s="2"/>
      <c r="P36" s="2"/>
      <c r="Q36" s="2"/>
      <c r="R36" s="2"/>
      <c r="S36" s="2"/>
      <c r="T36" s="2"/>
      <c r="U36" s="2"/>
      <c r="V36" s="2"/>
      <c r="W36" s="2"/>
      <c r="X36" s="2"/>
      <c r="Y36" s="2"/>
      <c r="Z36" s="2"/>
    </row>
    <row r="37">
      <c r="A37" s="5"/>
      <c r="B37" s="5"/>
      <c r="C37" s="5"/>
      <c r="D37" s="5"/>
      <c r="E37" s="2"/>
      <c r="F37" s="2"/>
      <c r="G37" s="2"/>
      <c r="H37" s="2"/>
      <c r="I37" s="2"/>
      <c r="J37" s="2"/>
      <c r="K37" s="2"/>
      <c r="L37" s="2"/>
      <c r="M37" s="2"/>
      <c r="N37" s="2"/>
      <c r="O37" s="2"/>
      <c r="P37" s="2"/>
      <c r="Q37" s="2"/>
      <c r="R37" s="2"/>
      <c r="S37" s="2"/>
      <c r="T37" s="2"/>
      <c r="U37" s="2"/>
      <c r="V37" s="2"/>
      <c r="W37" s="2"/>
      <c r="X37" s="2"/>
      <c r="Y37" s="2"/>
      <c r="Z37" s="2"/>
    </row>
    <row r="38">
      <c r="A38" s="5"/>
      <c r="B38" s="5"/>
      <c r="C38" s="5"/>
      <c r="D38" s="5"/>
      <c r="E38" s="2"/>
      <c r="F38" s="2"/>
      <c r="G38" s="2"/>
      <c r="H38" s="2"/>
      <c r="I38" s="2"/>
      <c r="J38" s="2"/>
      <c r="K38" s="2"/>
      <c r="L38" s="2"/>
      <c r="M38" s="2"/>
      <c r="N38" s="2"/>
      <c r="O38" s="2"/>
      <c r="P38" s="2"/>
      <c r="Q38" s="2"/>
      <c r="R38" s="2"/>
      <c r="S38" s="2"/>
      <c r="T38" s="2"/>
      <c r="U38" s="2"/>
      <c r="V38" s="2"/>
      <c r="W38" s="2"/>
      <c r="X38" s="2"/>
      <c r="Y38" s="2"/>
      <c r="Z38" s="2"/>
    </row>
    <row r="39">
      <c r="A39" s="5"/>
      <c r="B39" s="5"/>
      <c r="C39" s="5"/>
      <c r="D39" s="5"/>
      <c r="E39" s="2"/>
      <c r="F39" s="2"/>
      <c r="G39" s="2"/>
      <c r="H39" s="2"/>
      <c r="I39" s="2"/>
      <c r="J39" s="2"/>
      <c r="K39" s="2"/>
      <c r="L39" s="2"/>
      <c r="M39" s="2"/>
      <c r="N39" s="2"/>
      <c r="O39" s="2"/>
      <c r="P39" s="2"/>
      <c r="Q39" s="2"/>
      <c r="R39" s="2"/>
      <c r="S39" s="2"/>
      <c r="T39" s="2"/>
      <c r="U39" s="2"/>
      <c r="V39" s="2"/>
      <c r="W39" s="2"/>
      <c r="X39" s="2"/>
      <c r="Y39" s="2"/>
      <c r="Z39" s="2"/>
    </row>
    <row r="40">
      <c r="A40" s="5"/>
      <c r="B40" s="5"/>
      <c r="C40" s="5"/>
      <c r="D40" s="5"/>
      <c r="E40" s="2"/>
      <c r="F40" s="2"/>
      <c r="G40" s="2"/>
      <c r="H40" s="2"/>
      <c r="I40" s="2"/>
      <c r="J40" s="2"/>
      <c r="K40" s="2"/>
      <c r="L40" s="2"/>
      <c r="M40" s="2"/>
      <c r="N40" s="2"/>
      <c r="O40" s="2"/>
      <c r="P40" s="2"/>
      <c r="Q40" s="2"/>
      <c r="R40" s="2"/>
      <c r="S40" s="2"/>
      <c r="T40" s="2"/>
      <c r="U40" s="2"/>
      <c r="V40" s="2"/>
      <c r="W40" s="2"/>
      <c r="X40" s="2"/>
      <c r="Y40" s="2"/>
      <c r="Z40" s="2"/>
    </row>
    <row r="41">
      <c r="A41" s="5"/>
      <c r="B41" s="5"/>
      <c r="C41" s="5"/>
      <c r="D41" s="5"/>
      <c r="E41" s="2"/>
      <c r="F41" s="2"/>
      <c r="G41" s="2"/>
      <c r="H41" s="2"/>
      <c r="I41" s="2"/>
      <c r="J41" s="2"/>
      <c r="K41" s="2"/>
      <c r="L41" s="2"/>
      <c r="M41" s="2"/>
      <c r="N41" s="2"/>
      <c r="O41" s="2"/>
      <c r="P41" s="2"/>
      <c r="Q41" s="2"/>
      <c r="R41" s="2"/>
      <c r="S41" s="2"/>
      <c r="T41" s="2"/>
      <c r="U41" s="2"/>
      <c r="V41" s="2"/>
      <c r="W41" s="2"/>
      <c r="X41" s="2"/>
      <c r="Y41" s="2"/>
      <c r="Z41" s="2"/>
    </row>
    <row r="42">
      <c r="A42" s="5"/>
      <c r="B42" s="5"/>
      <c r="C42" s="5"/>
      <c r="D42" s="5"/>
      <c r="E42" s="2"/>
      <c r="F42" s="2"/>
      <c r="G42" s="2"/>
      <c r="H42" s="2"/>
      <c r="I42" s="2"/>
      <c r="J42" s="2"/>
      <c r="K42" s="2"/>
      <c r="L42" s="2"/>
      <c r="M42" s="2"/>
      <c r="N42" s="2"/>
      <c r="O42" s="2"/>
      <c r="P42" s="2"/>
      <c r="Q42" s="2"/>
      <c r="R42" s="2"/>
      <c r="S42" s="2"/>
      <c r="T42" s="2"/>
      <c r="U42" s="2"/>
      <c r="V42" s="2"/>
      <c r="W42" s="2"/>
      <c r="X42" s="2"/>
      <c r="Y42" s="2"/>
      <c r="Z42" s="2"/>
    </row>
    <row r="43">
      <c r="A43" s="5"/>
      <c r="B43" s="5"/>
      <c r="C43" s="5"/>
      <c r="D43" s="5"/>
      <c r="E43" s="2"/>
      <c r="F43" s="2"/>
      <c r="G43" s="2"/>
      <c r="H43" s="2"/>
      <c r="I43" s="2"/>
      <c r="J43" s="2"/>
      <c r="K43" s="2"/>
      <c r="L43" s="2"/>
      <c r="M43" s="2"/>
      <c r="N43" s="2"/>
      <c r="O43" s="2"/>
      <c r="P43" s="2"/>
      <c r="Q43" s="2"/>
      <c r="R43" s="2"/>
      <c r="S43" s="2"/>
      <c r="T43" s="2"/>
      <c r="U43" s="2"/>
      <c r="V43" s="2"/>
      <c r="W43" s="2"/>
      <c r="X43" s="2"/>
      <c r="Y43" s="2"/>
      <c r="Z43" s="2"/>
    </row>
    <row r="44">
      <c r="A44" s="5"/>
      <c r="B44" s="5"/>
      <c r="C44" s="5"/>
      <c r="D44" s="5"/>
      <c r="E44" s="2"/>
      <c r="F44" s="2"/>
      <c r="G44" s="2"/>
      <c r="H44" s="2"/>
      <c r="I44" s="2"/>
      <c r="J44" s="2"/>
      <c r="K44" s="2"/>
      <c r="L44" s="2"/>
      <c r="M44" s="2"/>
      <c r="N44" s="2"/>
      <c r="O44" s="2"/>
      <c r="P44" s="2"/>
      <c r="Q44" s="2"/>
      <c r="R44" s="2"/>
      <c r="S44" s="2"/>
      <c r="T44" s="2"/>
      <c r="U44" s="2"/>
      <c r="V44" s="2"/>
      <c r="W44" s="2"/>
      <c r="X44" s="2"/>
      <c r="Y44" s="2"/>
      <c r="Z44" s="2"/>
    </row>
    <row r="45">
      <c r="A45" s="5"/>
      <c r="B45" s="5"/>
      <c r="C45" s="5"/>
      <c r="D45" s="5"/>
      <c r="E45" s="2"/>
      <c r="F45" s="2"/>
      <c r="G45" s="2"/>
      <c r="H45" s="2"/>
      <c r="I45" s="2"/>
      <c r="J45" s="2"/>
      <c r="K45" s="2"/>
      <c r="L45" s="2"/>
      <c r="M45" s="2"/>
      <c r="N45" s="2"/>
      <c r="O45" s="2"/>
      <c r="P45" s="2"/>
      <c r="Q45" s="2"/>
      <c r="R45" s="2"/>
      <c r="S45" s="2"/>
      <c r="T45" s="2"/>
      <c r="U45" s="2"/>
      <c r="V45" s="2"/>
      <c r="W45" s="2"/>
      <c r="X45" s="2"/>
      <c r="Y45" s="2"/>
      <c r="Z45" s="2"/>
    </row>
    <row r="46">
      <c r="A46" s="5"/>
      <c r="B46" s="5"/>
      <c r="C46" s="5"/>
      <c r="D46" s="5"/>
      <c r="E46" s="2"/>
      <c r="F46" s="2"/>
      <c r="G46" s="2"/>
      <c r="H46" s="2"/>
      <c r="I46" s="2"/>
      <c r="J46" s="2"/>
      <c r="K46" s="2"/>
      <c r="L46" s="2"/>
      <c r="M46" s="2"/>
      <c r="N46" s="2"/>
      <c r="O46" s="2"/>
      <c r="P46" s="2"/>
      <c r="Q46" s="2"/>
      <c r="R46" s="2"/>
      <c r="S46" s="2"/>
      <c r="T46" s="2"/>
      <c r="U46" s="2"/>
      <c r="V46" s="2"/>
      <c r="W46" s="2"/>
      <c r="X46" s="2"/>
      <c r="Y46" s="2"/>
      <c r="Z46" s="2"/>
    </row>
    <row r="47">
      <c r="A47" s="5"/>
      <c r="B47" s="5"/>
      <c r="C47" s="5"/>
      <c r="D47" s="5"/>
      <c r="E47" s="2"/>
      <c r="F47" s="2"/>
      <c r="G47" s="2"/>
      <c r="H47" s="2"/>
      <c r="I47" s="2"/>
      <c r="J47" s="2"/>
      <c r="K47" s="2"/>
      <c r="L47" s="2"/>
      <c r="M47" s="2"/>
      <c r="N47" s="2"/>
      <c r="O47" s="2"/>
      <c r="P47" s="2"/>
      <c r="Q47" s="2"/>
      <c r="R47" s="2"/>
      <c r="S47" s="2"/>
      <c r="T47" s="2"/>
      <c r="U47" s="2"/>
      <c r="V47" s="2"/>
      <c r="W47" s="2"/>
      <c r="X47" s="2"/>
      <c r="Y47" s="2"/>
      <c r="Z47" s="2"/>
    </row>
    <row r="48">
      <c r="A48" s="5"/>
      <c r="B48" s="5"/>
      <c r="C48" s="5"/>
      <c r="D48" s="5"/>
      <c r="E48" s="2"/>
      <c r="F48" s="2"/>
      <c r="G48" s="2"/>
      <c r="H48" s="2"/>
      <c r="I48" s="2"/>
      <c r="J48" s="2"/>
      <c r="K48" s="2"/>
      <c r="L48" s="2"/>
      <c r="M48" s="2"/>
      <c r="N48" s="2"/>
      <c r="O48" s="2"/>
      <c r="P48" s="2"/>
      <c r="Q48" s="2"/>
      <c r="R48" s="2"/>
      <c r="S48" s="2"/>
      <c r="T48" s="2"/>
      <c r="U48" s="2"/>
      <c r="V48" s="2"/>
      <c r="W48" s="2"/>
      <c r="X48" s="2"/>
      <c r="Y48" s="2"/>
      <c r="Z48" s="2"/>
    </row>
    <row r="49">
      <c r="A49" s="5"/>
      <c r="B49" s="5"/>
      <c r="C49" s="5"/>
      <c r="D49" s="5"/>
      <c r="E49" s="2"/>
      <c r="F49" s="2"/>
      <c r="G49" s="2"/>
      <c r="H49" s="2"/>
      <c r="I49" s="2"/>
      <c r="J49" s="2"/>
      <c r="K49" s="2"/>
      <c r="L49" s="2"/>
      <c r="M49" s="2"/>
      <c r="N49" s="2"/>
      <c r="O49" s="2"/>
      <c r="P49" s="2"/>
      <c r="Q49" s="2"/>
      <c r="R49" s="2"/>
      <c r="S49" s="2"/>
      <c r="T49" s="2"/>
      <c r="U49" s="2"/>
      <c r="V49" s="2"/>
      <c r="W49" s="2"/>
      <c r="X49" s="2"/>
      <c r="Y49" s="2"/>
      <c r="Z49" s="2"/>
    </row>
    <row r="50">
      <c r="A50" s="5"/>
      <c r="B50" s="5"/>
      <c r="C50" s="5"/>
      <c r="D50" s="5"/>
      <c r="E50" s="2"/>
      <c r="F50" s="2"/>
      <c r="G50" s="2"/>
      <c r="H50" s="2"/>
      <c r="I50" s="2"/>
      <c r="J50" s="2"/>
      <c r="K50" s="2"/>
      <c r="L50" s="2"/>
      <c r="M50" s="2"/>
      <c r="N50" s="2"/>
      <c r="O50" s="2"/>
      <c r="P50" s="2"/>
      <c r="Q50" s="2"/>
      <c r="R50" s="2"/>
      <c r="S50" s="2"/>
      <c r="T50" s="2"/>
      <c r="U50" s="2"/>
      <c r="V50" s="2"/>
      <c r="W50" s="2"/>
      <c r="X50" s="2"/>
      <c r="Y50" s="2"/>
      <c r="Z50" s="2"/>
    </row>
    <row r="51">
      <c r="A51" s="5"/>
      <c r="B51" s="5"/>
      <c r="C51" s="5"/>
      <c r="D51" s="5"/>
      <c r="E51" s="2"/>
      <c r="F51" s="2"/>
      <c r="G51" s="2"/>
      <c r="H51" s="2"/>
      <c r="I51" s="2"/>
      <c r="J51" s="2"/>
      <c r="K51" s="2"/>
      <c r="L51" s="2"/>
      <c r="M51" s="2"/>
      <c r="N51" s="2"/>
      <c r="O51" s="2"/>
      <c r="P51" s="2"/>
      <c r="Q51" s="2"/>
      <c r="R51" s="2"/>
      <c r="S51" s="2"/>
      <c r="T51" s="2"/>
      <c r="U51" s="2"/>
      <c r="V51" s="2"/>
      <c r="W51" s="2"/>
      <c r="X51" s="2"/>
      <c r="Y51" s="2"/>
      <c r="Z51" s="2"/>
    </row>
    <row r="52">
      <c r="A52" s="5"/>
      <c r="B52" s="5"/>
      <c r="C52" s="5"/>
      <c r="D52" s="5"/>
      <c r="E52" s="2"/>
      <c r="F52" s="2"/>
      <c r="G52" s="2"/>
      <c r="H52" s="2"/>
      <c r="I52" s="2"/>
      <c r="J52" s="2"/>
      <c r="K52" s="2"/>
      <c r="L52" s="2"/>
      <c r="M52" s="2"/>
      <c r="N52" s="2"/>
      <c r="O52" s="2"/>
      <c r="P52" s="2"/>
      <c r="Q52" s="2"/>
      <c r="R52" s="2"/>
      <c r="S52" s="2"/>
      <c r="T52" s="2"/>
      <c r="U52" s="2"/>
      <c r="V52" s="2"/>
      <c r="W52" s="2"/>
      <c r="X52" s="2"/>
      <c r="Y52" s="2"/>
      <c r="Z52" s="2"/>
    </row>
    <row r="53">
      <c r="A53" s="5"/>
      <c r="B53" s="5"/>
      <c r="C53" s="5"/>
      <c r="D53" s="5"/>
      <c r="E53" s="2"/>
      <c r="F53" s="2"/>
      <c r="G53" s="2"/>
      <c r="H53" s="2"/>
      <c r="I53" s="2"/>
      <c r="J53" s="2"/>
      <c r="K53" s="2"/>
      <c r="L53" s="2"/>
      <c r="M53" s="2"/>
      <c r="N53" s="2"/>
      <c r="O53" s="2"/>
      <c r="P53" s="2"/>
      <c r="Q53" s="2"/>
      <c r="R53" s="2"/>
      <c r="S53" s="2"/>
      <c r="T53" s="2"/>
      <c r="U53" s="2"/>
      <c r="V53" s="2"/>
      <c r="W53" s="2"/>
      <c r="X53" s="2"/>
      <c r="Y53" s="2"/>
      <c r="Z53" s="2"/>
    </row>
    <row r="54">
      <c r="A54" s="5"/>
      <c r="B54" s="5"/>
      <c r="C54" s="5"/>
      <c r="D54" s="5"/>
      <c r="E54" s="2"/>
      <c r="F54" s="2"/>
      <c r="G54" s="2"/>
      <c r="H54" s="2"/>
      <c r="I54" s="2"/>
      <c r="J54" s="2"/>
      <c r="K54" s="2"/>
      <c r="L54" s="2"/>
      <c r="M54" s="2"/>
      <c r="N54" s="2"/>
      <c r="O54" s="2"/>
      <c r="P54" s="2"/>
      <c r="Q54" s="2"/>
      <c r="R54" s="2"/>
      <c r="S54" s="2"/>
      <c r="T54" s="2"/>
      <c r="U54" s="2"/>
      <c r="V54" s="2"/>
      <c r="W54" s="2"/>
      <c r="X54" s="2"/>
      <c r="Y54" s="2"/>
      <c r="Z54" s="2"/>
    </row>
    <row r="55">
      <c r="A55" s="5"/>
      <c r="B55" s="5"/>
      <c r="C55" s="5"/>
      <c r="D55" s="5"/>
      <c r="E55" s="2"/>
      <c r="F55" s="2"/>
      <c r="G55" s="2"/>
      <c r="H55" s="2"/>
      <c r="I55" s="2"/>
      <c r="J55" s="2"/>
      <c r="K55" s="2"/>
      <c r="L55" s="2"/>
      <c r="M55" s="2"/>
      <c r="N55" s="2"/>
      <c r="O55" s="2"/>
      <c r="P55" s="2"/>
      <c r="Q55" s="2"/>
      <c r="R55" s="2"/>
      <c r="S55" s="2"/>
      <c r="T55" s="2"/>
      <c r="U55" s="2"/>
      <c r="V55" s="2"/>
      <c r="W55" s="2"/>
      <c r="X55" s="2"/>
      <c r="Y55" s="2"/>
      <c r="Z55" s="2"/>
    </row>
    <row r="56">
      <c r="A56" s="5"/>
      <c r="B56" s="5"/>
      <c r="C56" s="5"/>
      <c r="D56" s="5"/>
      <c r="E56" s="2"/>
      <c r="F56" s="2"/>
      <c r="G56" s="2"/>
      <c r="H56" s="2"/>
      <c r="I56" s="2"/>
      <c r="J56" s="2"/>
      <c r="K56" s="2"/>
      <c r="L56" s="2"/>
      <c r="M56" s="2"/>
      <c r="N56" s="2"/>
      <c r="O56" s="2"/>
      <c r="P56" s="2"/>
      <c r="Q56" s="2"/>
      <c r="R56" s="2"/>
      <c r="S56" s="2"/>
      <c r="T56" s="2"/>
      <c r="U56" s="2"/>
      <c r="V56" s="2"/>
      <c r="W56" s="2"/>
      <c r="X56" s="2"/>
      <c r="Y56" s="2"/>
      <c r="Z56" s="2"/>
    </row>
    <row r="57">
      <c r="A57" s="5"/>
      <c r="B57" s="5"/>
      <c r="C57" s="5"/>
      <c r="D57" s="5"/>
      <c r="E57" s="2"/>
      <c r="F57" s="2"/>
      <c r="G57" s="2"/>
      <c r="H57" s="2"/>
      <c r="I57" s="2"/>
      <c r="J57" s="2"/>
      <c r="K57" s="2"/>
      <c r="L57" s="2"/>
      <c r="M57" s="2"/>
      <c r="N57" s="2"/>
      <c r="O57" s="2"/>
      <c r="P57" s="2"/>
      <c r="Q57" s="2"/>
      <c r="R57" s="2"/>
      <c r="S57" s="2"/>
      <c r="T57" s="2"/>
      <c r="U57" s="2"/>
      <c r="V57" s="2"/>
      <c r="W57" s="2"/>
      <c r="X57" s="2"/>
      <c r="Y57" s="2"/>
      <c r="Z57" s="2"/>
    </row>
    <row r="58">
      <c r="A58" s="5"/>
      <c r="B58" s="5"/>
      <c r="C58" s="5"/>
      <c r="D58" s="5"/>
      <c r="E58" s="2"/>
      <c r="F58" s="2"/>
      <c r="G58" s="2"/>
      <c r="H58" s="2"/>
      <c r="I58" s="2"/>
      <c r="J58" s="2"/>
      <c r="K58" s="2"/>
      <c r="L58" s="2"/>
      <c r="M58" s="2"/>
      <c r="N58" s="2"/>
      <c r="O58" s="2"/>
      <c r="P58" s="2"/>
      <c r="Q58" s="2"/>
      <c r="R58" s="2"/>
      <c r="S58" s="2"/>
      <c r="T58" s="2"/>
      <c r="U58" s="2"/>
      <c r="V58" s="2"/>
      <c r="W58" s="2"/>
      <c r="X58" s="2"/>
      <c r="Y58" s="2"/>
      <c r="Z58" s="2"/>
    </row>
    <row r="59">
      <c r="A59" s="5"/>
      <c r="B59" s="5"/>
      <c r="C59" s="5"/>
      <c r="D59" s="5"/>
      <c r="E59" s="2"/>
      <c r="F59" s="2"/>
      <c r="G59" s="2"/>
      <c r="H59" s="2"/>
      <c r="I59" s="2"/>
      <c r="J59" s="2"/>
      <c r="K59" s="2"/>
      <c r="L59" s="2"/>
      <c r="M59" s="2"/>
      <c r="N59" s="2"/>
      <c r="O59" s="2"/>
      <c r="P59" s="2"/>
      <c r="Q59" s="2"/>
      <c r="R59" s="2"/>
      <c r="S59" s="2"/>
      <c r="T59" s="2"/>
      <c r="U59" s="2"/>
      <c r="V59" s="2"/>
      <c r="W59" s="2"/>
      <c r="X59" s="2"/>
      <c r="Y59" s="2"/>
      <c r="Z59" s="2"/>
    </row>
    <row r="60">
      <c r="A60" s="5"/>
      <c r="B60" s="5"/>
      <c r="C60" s="5"/>
      <c r="D60" s="5"/>
      <c r="E60" s="2"/>
      <c r="F60" s="2"/>
      <c r="G60" s="2"/>
      <c r="H60" s="2"/>
      <c r="I60" s="2"/>
      <c r="J60" s="2"/>
      <c r="K60" s="2"/>
      <c r="L60" s="2"/>
      <c r="M60" s="2"/>
      <c r="N60" s="2"/>
      <c r="O60" s="2"/>
      <c r="P60" s="2"/>
      <c r="Q60" s="2"/>
      <c r="R60" s="2"/>
      <c r="S60" s="2"/>
      <c r="T60" s="2"/>
      <c r="U60" s="2"/>
      <c r="V60" s="2"/>
      <c r="W60" s="2"/>
      <c r="X60" s="2"/>
      <c r="Y60" s="2"/>
      <c r="Z60" s="2"/>
    </row>
    <row r="61">
      <c r="A61" s="5"/>
      <c r="B61" s="5"/>
      <c r="C61" s="5"/>
      <c r="D61" s="5"/>
      <c r="E61" s="2"/>
      <c r="F61" s="2"/>
      <c r="G61" s="2"/>
      <c r="H61" s="2"/>
      <c r="I61" s="2"/>
      <c r="J61" s="2"/>
      <c r="K61" s="2"/>
      <c r="L61" s="2"/>
      <c r="M61" s="2"/>
      <c r="N61" s="2"/>
      <c r="O61" s="2"/>
      <c r="P61" s="2"/>
      <c r="Q61" s="2"/>
      <c r="R61" s="2"/>
      <c r="S61" s="2"/>
      <c r="T61" s="2"/>
      <c r="U61" s="2"/>
      <c r="V61" s="2"/>
      <c r="W61" s="2"/>
      <c r="X61" s="2"/>
      <c r="Y61" s="2"/>
      <c r="Z61" s="2"/>
    </row>
    <row r="62">
      <c r="A62" s="5"/>
      <c r="B62" s="5"/>
      <c r="C62" s="5"/>
      <c r="D62" s="5"/>
      <c r="E62" s="2"/>
      <c r="F62" s="2"/>
      <c r="G62" s="2"/>
      <c r="H62" s="2"/>
      <c r="I62" s="2"/>
      <c r="J62" s="2"/>
      <c r="K62" s="2"/>
      <c r="L62" s="2"/>
      <c r="M62" s="2"/>
      <c r="N62" s="2"/>
      <c r="O62" s="2"/>
      <c r="P62" s="2"/>
      <c r="Q62" s="2"/>
      <c r="R62" s="2"/>
      <c r="S62" s="2"/>
      <c r="T62" s="2"/>
      <c r="U62" s="2"/>
      <c r="V62" s="2"/>
      <c r="W62" s="2"/>
      <c r="X62" s="2"/>
      <c r="Y62" s="2"/>
      <c r="Z62" s="2"/>
    </row>
    <row r="63">
      <c r="A63" s="5"/>
      <c r="B63" s="5"/>
      <c r="C63" s="5"/>
      <c r="D63" s="5"/>
      <c r="E63" s="2"/>
      <c r="F63" s="2"/>
      <c r="G63" s="2"/>
      <c r="H63" s="2"/>
      <c r="I63" s="2"/>
      <c r="J63" s="2"/>
      <c r="K63" s="2"/>
      <c r="L63" s="2"/>
      <c r="M63" s="2"/>
      <c r="N63" s="2"/>
      <c r="O63" s="2"/>
      <c r="P63" s="2"/>
      <c r="Q63" s="2"/>
      <c r="R63" s="2"/>
      <c r="S63" s="2"/>
      <c r="T63" s="2"/>
      <c r="U63" s="2"/>
      <c r="V63" s="2"/>
      <c r="W63" s="2"/>
      <c r="X63" s="2"/>
      <c r="Y63" s="2"/>
      <c r="Z63" s="2"/>
    </row>
    <row r="64">
      <c r="A64" s="5"/>
      <c r="B64" s="5"/>
      <c r="C64" s="5"/>
      <c r="D64" s="5"/>
      <c r="E64" s="2"/>
      <c r="F64" s="2"/>
      <c r="G64" s="2"/>
      <c r="H64" s="2"/>
      <c r="I64" s="2"/>
      <c r="J64" s="2"/>
      <c r="K64" s="2"/>
      <c r="L64" s="2"/>
      <c r="M64" s="2"/>
      <c r="N64" s="2"/>
      <c r="O64" s="2"/>
      <c r="P64" s="2"/>
      <c r="Q64" s="2"/>
      <c r="R64" s="2"/>
      <c r="S64" s="2"/>
      <c r="T64" s="2"/>
      <c r="U64" s="2"/>
      <c r="V64" s="2"/>
      <c r="W64" s="2"/>
      <c r="X64" s="2"/>
      <c r="Y64" s="2"/>
      <c r="Z64" s="2"/>
    </row>
    <row r="65">
      <c r="A65" s="5"/>
      <c r="B65" s="5"/>
      <c r="C65" s="5"/>
      <c r="D65" s="5"/>
      <c r="E65" s="2"/>
      <c r="F65" s="2"/>
      <c r="G65" s="2"/>
      <c r="H65" s="2"/>
      <c r="I65" s="2"/>
      <c r="J65" s="2"/>
      <c r="K65" s="2"/>
      <c r="L65" s="2"/>
      <c r="M65" s="2"/>
      <c r="N65" s="2"/>
      <c r="O65" s="2"/>
      <c r="P65" s="2"/>
      <c r="Q65" s="2"/>
      <c r="R65" s="2"/>
      <c r="S65" s="2"/>
      <c r="T65" s="2"/>
      <c r="U65" s="2"/>
      <c r="V65" s="2"/>
      <c r="W65" s="2"/>
      <c r="X65" s="2"/>
      <c r="Y65" s="2"/>
      <c r="Z65" s="2"/>
    </row>
    <row r="66">
      <c r="A66" s="5"/>
      <c r="B66" s="5"/>
      <c r="C66" s="5"/>
      <c r="D66" s="5"/>
      <c r="E66" s="2"/>
      <c r="F66" s="2"/>
      <c r="G66" s="2"/>
      <c r="H66" s="2"/>
      <c r="I66" s="2"/>
      <c r="J66" s="2"/>
      <c r="K66" s="2"/>
      <c r="L66" s="2"/>
      <c r="M66" s="2"/>
      <c r="N66" s="2"/>
      <c r="O66" s="2"/>
      <c r="P66" s="2"/>
      <c r="Q66" s="2"/>
      <c r="R66" s="2"/>
      <c r="S66" s="2"/>
      <c r="T66" s="2"/>
      <c r="U66" s="2"/>
      <c r="V66" s="2"/>
      <c r="W66" s="2"/>
      <c r="X66" s="2"/>
      <c r="Y66" s="2"/>
      <c r="Z66" s="2"/>
    </row>
    <row r="67">
      <c r="A67" s="5"/>
      <c r="B67" s="5"/>
      <c r="C67" s="5"/>
      <c r="D67" s="5"/>
      <c r="E67" s="2"/>
      <c r="F67" s="2"/>
      <c r="G67" s="2"/>
      <c r="H67" s="2"/>
      <c r="I67" s="2"/>
      <c r="J67" s="2"/>
      <c r="K67" s="2"/>
      <c r="L67" s="2"/>
      <c r="M67" s="2"/>
      <c r="N67" s="2"/>
      <c r="O67" s="2"/>
      <c r="P67" s="2"/>
      <c r="Q67" s="2"/>
      <c r="R67" s="2"/>
      <c r="S67" s="2"/>
      <c r="T67" s="2"/>
      <c r="U67" s="2"/>
      <c r="V67" s="2"/>
      <c r="W67" s="2"/>
      <c r="X67" s="2"/>
      <c r="Y67" s="2"/>
      <c r="Z67" s="2"/>
    </row>
    <row r="68">
      <c r="A68" s="5"/>
      <c r="B68" s="5"/>
      <c r="C68" s="5"/>
      <c r="D68" s="5"/>
      <c r="E68" s="2"/>
      <c r="F68" s="2"/>
      <c r="G68" s="2"/>
      <c r="H68" s="2"/>
      <c r="I68" s="2"/>
      <c r="J68" s="2"/>
      <c r="K68" s="2"/>
      <c r="L68" s="2"/>
      <c r="M68" s="2"/>
      <c r="N68" s="2"/>
      <c r="O68" s="2"/>
      <c r="P68" s="2"/>
      <c r="Q68" s="2"/>
      <c r="R68" s="2"/>
      <c r="S68" s="2"/>
      <c r="T68" s="2"/>
      <c r="U68" s="2"/>
      <c r="V68" s="2"/>
      <c r="W68" s="2"/>
      <c r="X68" s="2"/>
      <c r="Y68" s="2"/>
      <c r="Z68" s="2"/>
    </row>
    <row r="69">
      <c r="A69" s="5"/>
      <c r="B69" s="5"/>
      <c r="C69" s="5"/>
      <c r="D69" s="5"/>
      <c r="E69" s="2"/>
      <c r="F69" s="2"/>
      <c r="G69" s="2"/>
      <c r="H69" s="2"/>
      <c r="I69" s="2"/>
      <c r="J69" s="2"/>
      <c r="K69" s="2"/>
      <c r="L69" s="2"/>
      <c r="M69" s="2"/>
      <c r="N69" s="2"/>
      <c r="O69" s="2"/>
      <c r="P69" s="2"/>
      <c r="Q69" s="2"/>
      <c r="R69" s="2"/>
      <c r="S69" s="2"/>
      <c r="T69" s="2"/>
      <c r="U69" s="2"/>
      <c r="V69" s="2"/>
      <c r="W69" s="2"/>
      <c r="X69" s="2"/>
      <c r="Y69" s="2"/>
      <c r="Z69" s="2"/>
    </row>
    <row r="70">
      <c r="A70" s="5"/>
      <c r="B70" s="5"/>
      <c r="C70" s="5"/>
      <c r="D70" s="5"/>
      <c r="E70" s="2"/>
      <c r="F70" s="2"/>
      <c r="G70" s="2"/>
      <c r="H70" s="2"/>
      <c r="I70" s="2"/>
      <c r="J70" s="2"/>
      <c r="K70" s="2"/>
      <c r="L70" s="2"/>
      <c r="M70" s="2"/>
      <c r="N70" s="2"/>
      <c r="O70" s="2"/>
      <c r="P70" s="2"/>
      <c r="Q70" s="2"/>
      <c r="R70" s="2"/>
      <c r="S70" s="2"/>
      <c r="T70" s="2"/>
      <c r="U70" s="2"/>
      <c r="V70" s="2"/>
      <c r="W70" s="2"/>
      <c r="X70" s="2"/>
      <c r="Y70" s="2"/>
      <c r="Z70" s="2"/>
    </row>
    <row r="71">
      <c r="A71" s="5"/>
      <c r="B71" s="5"/>
      <c r="C71" s="5"/>
      <c r="D71" s="5"/>
      <c r="E71" s="2"/>
      <c r="F71" s="2"/>
      <c r="G71" s="2"/>
      <c r="H71" s="2"/>
      <c r="I71" s="2"/>
      <c r="J71" s="2"/>
      <c r="K71" s="2"/>
      <c r="L71" s="2"/>
      <c r="M71" s="2"/>
      <c r="N71" s="2"/>
      <c r="O71" s="2"/>
      <c r="P71" s="2"/>
      <c r="Q71" s="2"/>
      <c r="R71" s="2"/>
      <c r="S71" s="2"/>
      <c r="T71" s="2"/>
      <c r="U71" s="2"/>
      <c r="V71" s="2"/>
      <c r="W71" s="2"/>
      <c r="X71" s="2"/>
      <c r="Y71" s="2"/>
      <c r="Z71" s="2"/>
    </row>
    <row r="72">
      <c r="A72" s="5"/>
      <c r="B72" s="5"/>
      <c r="C72" s="5"/>
      <c r="D72" s="5"/>
      <c r="E72" s="2"/>
      <c r="F72" s="2"/>
      <c r="G72" s="2"/>
      <c r="H72" s="2"/>
      <c r="I72" s="2"/>
      <c r="J72" s="2"/>
      <c r="K72" s="2"/>
      <c r="L72" s="2"/>
      <c r="M72" s="2"/>
      <c r="N72" s="2"/>
      <c r="O72" s="2"/>
      <c r="P72" s="2"/>
      <c r="Q72" s="2"/>
      <c r="R72" s="2"/>
      <c r="S72" s="2"/>
      <c r="T72" s="2"/>
      <c r="U72" s="2"/>
      <c r="V72" s="2"/>
      <c r="W72" s="2"/>
      <c r="X72" s="2"/>
      <c r="Y72" s="2"/>
      <c r="Z72" s="2"/>
    </row>
    <row r="73">
      <c r="A73" s="5"/>
      <c r="B73" s="5"/>
      <c r="C73" s="5"/>
      <c r="D73" s="5"/>
      <c r="E73" s="2"/>
      <c r="F73" s="2"/>
      <c r="G73" s="2"/>
      <c r="H73" s="2"/>
      <c r="I73" s="2"/>
      <c r="J73" s="2"/>
      <c r="K73" s="2"/>
      <c r="L73" s="2"/>
      <c r="M73" s="2"/>
      <c r="N73" s="2"/>
      <c r="O73" s="2"/>
      <c r="P73" s="2"/>
      <c r="Q73" s="2"/>
      <c r="R73" s="2"/>
      <c r="S73" s="2"/>
      <c r="T73" s="2"/>
      <c r="U73" s="2"/>
      <c r="V73" s="2"/>
      <c r="W73" s="2"/>
      <c r="X73" s="2"/>
      <c r="Y73" s="2"/>
      <c r="Z73" s="2"/>
    </row>
    <row r="74">
      <c r="A74" s="5"/>
      <c r="B74" s="5"/>
      <c r="C74" s="5"/>
      <c r="D74" s="5"/>
      <c r="E74" s="2"/>
      <c r="F74" s="2"/>
      <c r="G74" s="2"/>
      <c r="H74" s="2"/>
      <c r="I74" s="2"/>
      <c r="J74" s="2"/>
      <c r="K74" s="2"/>
      <c r="L74" s="2"/>
      <c r="M74" s="2"/>
      <c r="N74" s="2"/>
      <c r="O74" s="2"/>
      <c r="P74" s="2"/>
      <c r="Q74" s="2"/>
      <c r="R74" s="2"/>
      <c r="S74" s="2"/>
      <c r="T74" s="2"/>
      <c r="U74" s="2"/>
      <c r="V74" s="2"/>
      <c r="W74" s="2"/>
      <c r="X74" s="2"/>
      <c r="Y74" s="2"/>
      <c r="Z74" s="2"/>
    </row>
    <row r="75">
      <c r="A75" s="5"/>
      <c r="B75" s="5"/>
      <c r="C75" s="5"/>
      <c r="D75" s="5"/>
      <c r="E75" s="2"/>
      <c r="F75" s="2"/>
      <c r="G75" s="2"/>
      <c r="H75" s="2"/>
      <c r="I75" s="2"/>
      <c r="J75" s="2"/>
      <c r="K75" s="2"/>
      <c r="L75" s="2"/>
      <c r="M75" s="2"/>
      <c r="N75" s="2"/>
      <c r="O75" s="2"/>
      <c r="P75" s="2"/>
      <c r="Q75" s="2"/>
      <c r="R75" s="2"/>
      <c r="S75" s="2"/>
      <c r="T75" s="2"/>
      <c r="U75" s="2"/>
      <c r="V75" s="2"/>
      <c r="W75" s="2"/>
      <c r="X75" s="2"/>
      <c r="Y75" s="2"/>
      <c r="Z75" s="2"/>
    </row>
    <row r="76">
      <c r="A76" s="5"/>
      <c r="B76" s="5"/>
      <c r="C76" s="5"/>
      <c r="D76" s="5"/>
      <c r="E76" s="2"/>
      <c r="F76" s="2"/>
      <c r="G76" s="2"/>
      <c r="H76" s="2"/>
      <c r="I76" s="2"/>
      <c r="J76" s="2"/>
      <c r="K76" s="2"/>
      <c r="L76" s="2"/>
      <c r="M76" s="2"/>
      <c r="N76" s="2"/>
      <c r="O76" s="2"/>
      <c r="P76" s="2"/>
      <c r="Q76" s="2"/>
      <c r="R76" s="2"/>
      <c r="S76" s="2"/>
      <c r="T76" s="2"/>
      <c r="U76" s="2"/>
      <c r="V76" s="2"/>
      <c r="W76" s="2"/>
      <c r="X76" s="2"/>
      <c r="Y76" s="2"/>
      <c r="Z76" s="2"/>
    </row>
    <row r="77">
      <c r="A77" s="5"/>
      <c r="B77" s="5"/>
      <c r="C77" s="5"/>
      <c r="D77" s="5"/>
      <c r="E77" s="2"/>
      <c r="F77" s="2"/>
      <c r="G77" s="2"/>
      <c r="H77" s="2"/>
      <c r="I77" s="2"/>
      <c r="J77" s="2"/>
      <c r="K77" s="2"/>
      <c r="L77" s="2"/>
      <c r="M77" s="2"/>
      <c r="N77" s="2"/>
      <c r="O77" s="2"/>
      <c r="P77" s="2"/>
      <c r="Q77" s="2"/>
      <c r="R77" s="2"/>
      <c r="S77" s="2"/>
      <c r="T77" s="2"/>
      <c r="U77" s="2"/>
      <c r="V77" s="2"/>
      <c r="W77" s="2"/>
      <c r="X77" s="2"/>
      <c r="Y77" s="2"/>
      <c r="Z77" s="2"/>
    </row>
    <row r="78">
      <c r="A78" s="5"/>
      <c r="B78" s="5"/>
      <c r="C78" s="5"/>
      <c r="D78" s="5"/>
      <c r="E78" s="2"/>
      <c r="F78" s="2"/>
      <c r="G78" s="2"/>
      <c r="H78" s="2"/>
      <c r="I78" s="2"/>
      <c r="J78" s="2"/>
      <c r="K78" s="2"/>
      <c r="L78" s="2"/>
      <c r="M78" s="2"/>
      <c r="N78" s="2"/>
      <c r="O78" s="2"/>
      <c r="P78" s="2"/>
      <c r="Q78" s="2"/>
      <c r="R78" s="2"/>
      <c r="S78" s="2"/>
      <c r="T78" s="2"/>
      <c r="U78" s="2"/>
      <c r="V78" s="2"/>
      <c r="W78" s="2"/>
      <c r="X78" s="2"/>
      <c r="Y78" s="2"/>
      <c r="Z78" s="2"/>
    </row>
    <row r="79">
      <c r="A79" s="5"/>
      <c r="B79" s="5"/>
      <c r="C79" s="5"/>
      <c r="D79" s="5"/>
      <c r="E79" s="2"/>
      <c r="F79" s="2"/>
      <c r="G79" s="2"/>
      <c r="H79" s="2"/>
      <c r="I79" s="2"/>
      <c r="J79" s="2"/>
      <c r="K79" s="2"/>
      <c r="L79" s="2"/>
      <c r="M79" s="2"/>
      <c r="N79" s="2"/>
      <c r="O79" s="2"/>
      <c r="P79" s="2"/>
      <c r="Q79" s="2"/>
      <c r="R79" s="2"/>
      <c r="S79" s="2"/>
      <c r="T79" s="2"/>
      <c r="U79" s="2"/>
      <c r="V79" s="2"/>
      <c r="W79" s="2"/>
      <c r="X79" s="2"/>
      <c r="Y79" s="2"/>
      <c r="Z79" s="2"/>
    </row>
    <row r="80">
      <c r="A80" s="5"/>
      <c r="B80" s="5"/>
      <c r="C80" s="5"/>
      <c r="D80" s="5"/>
      <c r="E80" s="2"/>
      <c r="F80" s="2"/>
      <c r="G80" s="2"/>
      <c r="H80" s="2"/>
      <c r="I80" s="2"/>
      <c r="J80" s="2"/>
      <c r="K80" s="2"/>
      <c r="L80" s="2"/>
      <c r="M80" s="2"/>
      <c r="N80" s="2"/>
      <c r="O80" s="2"/>
      <c r="P80" s="2"/>
      <c r="Q80" s="2"/>
      <c r="R80" s="2"/>
      <c r="S80" s="2"/>
      <c r="T80" s="2"/>
      <c r="U80" s="2"/>
      <c r="V80" s="2"/>
      <c r="W80" s="2"/>
      <c r="X80" s="2"/>
      <c r="Y80" s="2"/>
      <c r="Z80" s="2"/>
    </row>
    <row r="81">
      <c r="A81" s="5"/>
      <c r="B81" s="5"/>
      <c r="C81" s="5"/>
      <c r="D81" s="5"/>
      <c r="E81" s="2"/>
      <c r="F81" s="2"/>
      <c r="G81" s="2"/>
      <c r="H81" s="2"/>
      <c r="I81" s="2"/>
      <c r="J81" s="2"/>
      <c r="K81" s="2"/>
      <c r="L81" s="2"/>
      <c r="M81" s="2"/>
      <c r="N81" s="2"/>
      <c r="O81" s="2"/>
      <c r="P81" s="2"/>
      <c r="Q81" s="2"/>
      <c r="R81" s="2"/>
      <c r="S81" s="2"/>
      <c r="T81" s="2"/>
      <c r="U81" s="2"/>
      <c r="V81" s="2"/>
      <c r="W81" s="2"/>
      <c r="X81" s="2"/>
      <c r="Y81" s="2"/>
      <c r="Z81" s="2"/>
    </row>
    <row r="82">
      <c r="A82" s="5"/>
      <c r="B82" s="5"/>
      <c r="C82" s="5"/>
      <c r="D82" s="5"/>
      <c r="E82" s="2"/>
      <c r="F82" s="2"/>
      <c r="G82" s="2"/>
      <c r="H82" s="2"/>
      <c r="I82" s="2"/>
      <c r="J82" s="2"/>
      <c r="K82" s="2"/>
      <c r="L82" s="2"/>
      <c r="M82" s="2"/>
      <c r="N82" s="2"/>
      <c r="O82" s="2"/>
      <c r="P82" s="2"/>
      <c r="Q82" s="2"/>
      <c r="R82" s="2"/>
      <c r="S82" s="2"/>
      <c r="T82" s="2"/>
      <c r="U82" s="2"/>
      <c r="V82" s="2"/>
      <c r="W82" s="2"/>
      <c r="X82" s="2"/>
      <c r="Y82" s="2"/>
      <c r="Z82" s="2"/>
    </row>
    <row r="83">
      <c r="A83" s="5"/>
      <c r="B83" s="5"/>
      <c r="C83" s="5"/>
      <c r="D83" s="5"/>
      <c r="E83" s="2"/>
      <c r="F83" s="2"/>
      <c r="G83" s="2"/>
      <c r="H83" s="2"/>
      <c r="I83" s="2"/>
      <c r="J83" s="2"/>
      <c r="K83" s="2"/>
      <c r="L83" s="2"/>
      <c r="M83" s="2"/>
      <c r="N83" s="2"/>
      <c r="O83" s="2"/>
      <c r="P83" s="2"/>
      <c r="Q83" s="2"/>
      <c r="R83" s="2"/>
      <c r="S83" s="2"/>
      <c r="T83" s="2"/>
      <c r="U83" s="2"/>
      <c r="V83" s="2"/>
      <c r="W83" s="2"/>
      <c r="X83" s="2"/>
      <c r="Y83" s="2"/>
      <c r="Z83" s="2"/>
    </row>
    <row r="84">
      <c r="A84" s="5"/>
      <c r="B84" s="5"/>
      <c r="C84" s="5"/>
      <c r="D84" s="5"/>
      <c r="E84" s="2"/>
      <c r="F84" s="2"/>
      <c r="G84" s="2"/>
      <c r="H84" s="2"/>
      <c r="I84" s="2"/>
      <c r="J84" s="2"/>
      <c r="K84" s="2"/>
      <c r="L84" s="2"/>
      <c r="M84" s="2"/>
      <c r="N84" s="2"/>
      <c r="O84" s="2"/>
      <c r="P84" s="2"/>
      <c r="Q84" s="2"/>
      <c r="R84" s="2"/>
      <c r="S84" s="2"/>
      <c r="T84" s="2"/>
      <c r="U84" s="2"/>
      <c r="V84" s="2"/>
      <c r="W84" s="2"/>
      <c r="X84" s="2"/>
      <c r="Y84" s="2"/>
      <c r="Z84" s="2"/>
    </row>
    <row r="85">
      <c r="A85" s="5"/>
      <c r="B85" s="5"/>
      <c r="C85" s="5"/>
      <c r="D85" s="5"/>
      <c r="E85" s="2"/>
      <c r="F85" s="2"/>
      <c r="G85" s="2"/>
      <c r="H85" s="2"/>
      <c r="I85" s="2"/>
      <c r="J85" s="2"/>
      <c r="K85" s="2"/>
      <c r="L85" s="2"/>
      <c r="M85" s="2"/>
      <c r="N85" s="2"/>
      <c r="O85" s="2"/>
      <c r="P85" s="2"/>
      <c r="Q85" s="2"/>
      <c r="R85" s="2"/>
      <c r="S85" s="2"/>
      <c r="T85" s="2"/>
      <c r="U85" s="2"/>
      <c r="V85" s="2"/>
      <c r="W85" s="2"/>
      <c r="X85" s="2"/>
      <c r="Y85" s="2"/>
      <c r="Z85" s="2"/>
    </row>
    <row r="86">
      <c r="A86" s="5"/>
      <c r="B86" s="5"/>
      <c r="C86" s="5"/>
      <c r="D86" s="5"/>
      <c r="E86" s="2"/>
      <c r="F86" s="2"/>
      <c r="G86" s="2"/>
      <c r="H86" s="2"/>
      <c r="I86" s="2"/>
      <c r="J86" s="2"/>
      <c r="K86" s="2"/>
      <c r="L86" s="2"/>
      <c r="M86" s="2"/>
      <c r="N86" s="2"/>
      <c r="O86" s="2"/>
      <c r="P86" s="2"/>
      <c r="Q86" s="2"/>
      <c r="R86" s="2"/>
      <c r="S86" s="2"/>
      <c r="T86" s="2"/>
      <c r="U86" s="2"/>
      <c r="V86" s="2"/>
      <c r="W86" s="2"/>
      <c r="X86" s="2"/>
      <c r="Y86" s="2"/>
      <c r="Z86" s="2"/>
    </row>
    <row r="87">
      <c r="A87" s="5"/>
      <c r="B87" s="5"/>
      <c r="C87" s="5"/>
      <c r="D87" s="5"/>
      <c r="E87" s="2"/>
      <c r="F87" s="2"/>
      <c r="G87" s="2"/>
      <c r="H87" s="2"/>
      <c r="I87" s="2"/>
      <c r="J87" s="2"/>
      <c r="K87" s="2"/>
      <c r="L87" s="2"/>
      <c r="M87" s="2"/>
      <c r="N87" s="2"/>
      <c r="O87" s="2"/>
      <c r="P87" s="2"/>
      <c r="Q87" s="2"/>
      <c r="R87" s="2"/>
      <c r="S87" s="2"/>
      <c r="T87" s="2"/>
      <c r="U87" s="2"/>
      <c r="V87" s="2"/>
      <c r="W87" s="2"/>
      <c r="X87" s="2"/>
      <c r="Y87" s="2"/>
      <c r="Z87" s="2"/>
    </row>
    <row r="88">
      <c r="A88" s="5"/>
      <c r="B88" s="5"/>
      <c r="C88" s="5"/>
      <c r="D88" s="5"/>
      <c r="E88" s="2"/>
      <c r="F88" s="2"/>
      <c r="G88" s="2"/>
      <c r="H88" s="2"/>
      <c r="I88" s="2"/>
      <c r="J88" s="2"/>
      <c r="K88" s="2"/>
      <c r="L88" s="2"/>
      <c r="M88" s="2"/>
      <c r="N88" s="2"/>
      <c r="O88" s="2"/>
      <c r="P88" s="2"/>
      <c r="Q88" s="2"/>
      <c r="R88" s="2"/>
      <c r="S88" s="2"/>
      <c r="T88" s="2"/>
      <c r="U88" s="2"/>
      <c r="V88" s="2"/>
      <c r="W88" s="2"/>
      <c r="X88" s="2"/>
      <c r="Y88" s="2"/>
      <c r="Z88" s="2"/>
    </row>
    <row r="89">
      <c r="A89" s="5"/>
      <c r="B89" s="5"/>
      <c r="C89" s="5"/>
      <c r="D89" s="5"/>
      <c r="E89" s="2"/>
      <c r="F89" s="2"/>
      <c r="G89" s="2"/>
      <c r="H89" s="2"/>
      <c r="I89" s="2"/>
      <c r="J89" s="2"/>
      <c r="K89" s="2"/>
      <c r="L89" s="2"/>
      <c r="M89" s="2"/>
      <c r="N89" s="2"/>
      <c r="O89" s="2"/>
      <c r="P89" s="2"/>
      <c r="Q89" s="2"/>
      <c r="R89" s="2"/>
      <c r="S89" s="2"/>
      <c r="T89" s="2"/>
      <c r="U89" s="2"/>
      <c r="V89" s="2"/>
      <c r="W89" s="2"/>
      <c r="X89" s="2"/>
      <c r="Y89" s="2"/>
      <c r="Z89" s="2"/>
    </row>
    <row r="90">
      <c r="A90" s="5"/>
      <c r="B90" s="5"/>
      <c r="C90" s="5"/>
      <c r="D90" s="5"/>
      <c r="E90" s="2"/>
      <c r="F90" s="2"/>
      <c r="G90" s="2"/>
      <c r="H90" s="2"/>
      <c r="I90" s="2"/>
      <c r="J90" s="2"/>
      <c r="K90" s="2"/>
      <c r="L90" s="2"/>
      <c r="M90" s="2"/>
      <c r="N90" s="2"/>
      <c r="O90" s="2"/>
      <c r="P90" s="2"/>
      <c r="Q90" s="2"/>
      <c r="R90" s="2"/>
      <c r="S90" s="2"/>
      <c r="T90" s="2"/>
      <c r="U90" s="2"/>
      <c r="V90" s="2"/>
      <c r="W90" s="2"/>
      <c r="X90" s="2"/>
      <c r="Y90" s="2"/>
      <c r="Z90" s="2"/>
    </row>
    <row r="91">
      <c r="A91" s="5"/>
      <c r="B91" s="5"/>
      <c r="C91" s="5"/>
      <c r="D91" s="5"/>
      <c r="E91" s="2"/>
      <c r="F91" s="2"/>
      <c r="G91" s="2"/>
      <c r="H91" s="2"/>
      <c r="I91" s="2"/>
      <c r="J91" s="2"/>
      <c r="K91" s="2"/>
      <c r="L91" s="2"/>
      <c r="M91" s="2"/>
      <c r="N91" s="2"/>
      <c r="O91" s="2"/>
      <c r="P91" s="2"/>
      <c r="Q91" s="2"/>
      <c r="R91" s="2"/>
      <c r="S91" s="2"/>
      <c r="T91" s="2"/>
      <c r="U91" s="2"/>
      <c r="V91" s="2"/>
      <c r="W91" s="2"/>
      <c r="X91" s="2"/>
      <c r="Y91" s="2"/>
      <c r="Z91" s="2"/>
    </row>
    <row r="92">
      <c r="A92" s="5"/>
      <c r="B92" s="5"/>
      <c r="C92" s="5"/>
      <c r="D92" s="5"/>
      <c r="E92" s="2"/>
      <c r="F92" s="2"/>
      <c r="G92" s="2"/>
      <c r="H92" s="2"/>
      <c r="I92" s="2"/>
      <c r="J92" s="2"/>
      <c r="K92" s="2"/>
      <c r="L92" s="2"/>
      <c r="M92" s="2"/>
      <c r="N92" s="2"/>
      <c r="O92" s="2"/>
      <c r="P92" s="2"/>
      <c r="Q92" s="2"/>
      <c r="R92" s="2"/>
      <c r="S92" s="2"/>
      <c r="T92" s="2"/>
      <c r="U92" s="2"/>
      <c r="V92" s="2"/>
      <c r="W92" s="2"/>
      <c r="X92" s="2"/>
      <c r="Y92" s="2"/>
      <c r="Z92" s="2"/>
    </row>
    <row r="93">
      <c r="A93" s="5"/>
      <c r="B93" s="5"/>
      <c r="C93" s="5"/>
      <c r="D93" s="5"/>
      <c r="E93" s="2"/>
      <c r="F93" s="2"/>
      <c r="G93" s="2"/>
      <c r="H93" s="2"/>
      <c r="I93" s="2"/>
      <c r="J93" s="2"/>
      <c r="K93" s="2"/>
      <c r="L93" s="2"/>
      <c r="M93" s="2"/>
      <c r="N93" s="2"/>
      <c r="O93" s="2"/>
      <c r="P93" s="2"/>
      <c r="Q93" s="2"/>
      <c r="R93" s="2"/>
      <c r="S93" s="2"/>
      <c r="T93" s="2"/>
      <c r="U93" s="2"/>
      <c r="V93" s="2"/>
      <c r="W93" s="2"/>
      <c r="X93" s="2"/>
      <c r="Y93" s="2"/>
      <c r="Z93" s="2"/>
    </row>
    <row r="94">
      <c r="A94" s="5"/>
      <c r="B94" s="5"/>
      <c r="C94" s="5"/>
      <c r="D94" s="5"/>
      <c r="E94" s="2"/>
      <c r="F94" s="2"/>
      <c r="G94" s="2"/>
      <c r="H94" s="2"/>
      <c r="I94" s="2"/>
      <c r="J94" s="2"/>
      <c r="K94" s="2"/>
      <c r="L94" s="2"/>
      <c r="M94" s="2"/>
      <c r="N94" s="2"/>
      <c r="O94" s="2"/>
      <c r="P94" s="2"/>
      <c r="Q94" s="2"/>
      <c r="R94" s="2"/>
      <c r="S94" s="2"/>
      <c r="T94" s="2"/>
      <c r="U94" s="2"/>
      <c r="V94" s="2"/>
      <c r="W94" s="2"/>
      <c r="X94" s="2"/>
      <c r="Y94" s="2"/>
      <c r="Z94" s="2"/>
    </row>
    <row r="95">
      <c r="A95" s="5"/>
      <c r="B95" s="5"/>
      <c r="C95" s="5"/>
      <c r="D95" s="5"/>
      <c r="E95" s="2"/>
      <c r="F95" s="2"/>
      <c r="G95" s="2"/>
      <c r="H95" s="2"/>
      <c r="I95" s="2"/>
      <c r="J95" s="2"/>
      <c r="K95" s="2"/>
      <c r="L95" s="2"/>
      <c r="M95" s="2"/>
      <c r="N95" s="2"/>
      <c r="O95" s="2"/>
      <c r="P95" s="2"/>
      <c r="Q95" s="2"/>
      <c r="R95" s="2"/>
      <c r="S95" s="2"/>
      <c r="T95" s="2"/>
      <c r="U95" s="2"/>
      <c r="V95" s="2"/>
      <c r="W95" s="2"/>
      <c r="X95" s="2"/>
      <c r="Y95" s="2"/>
      <c r="Z95" s="2"/>
    </row>
    <row r="96">
      <c r="A96" s="5"/>
      <c r="B96" s="5"/>
      <c r="C96" s="5"/>
      <c r="D96" s="5"/>
      <c r="E96" s="2"/>
      <c r="F96" s="2"/>
      <c r="G96" s="2"/>
      <c r="H96" s="2"/>
      <c r="I96" s="2"/>
      <c r="J96" s="2"/>
      <c r="K96" s="2"/>
      <c r="L96" s="2"/>
      <c r="M96" s="2"/>
      <c r="N96" s="2"/>
      <c r="O96" s="2"/>
      <c r="P96" s="2"/>
      <c r="Q96" s="2"/>
      <c r="R96" s="2"/>
      <c r="S96" s="2"/>
      <c r="T96" s="2"/>
      <c r="U96" s="2"/>
      <c r="V96" s="2"/>
      <c r="W96" s="2"/>
      <c r="X96" s="2"/>
      <c r="Y96" s="2"/>
      <c r="Z96" s="2"/>
    </row>
    <row r="97">
      <c r="A97" s="5"/>
      <c r="B97" s="5"/>
      <c r="C97" s="5"/>
      <c r="D97" s="5"/>
      <c r="E97" s="2"/>
      <c r="F97" s="2"/>
      <c r="G97" s="2"/>
      <c r="H97" s="2"/>
      <c r="I97" s="2"/>
      <c r="J97" s="2"/>
      <c r="K97" s="2"/>
      <c r="L97" s="2"/>
      <c r="M97" s="2"/>
      <c r="N97" s="2"/>
      <c r="O97" s="2"/>
      <c r="P97" s="2"/>
      <c r="Q97" s="2"/>
      <c r="R97" s="2"/>
      <c r="S97" s="2"/>
      <c r="T97" s="2"/>
      <c r="U97" s="2"/>
      <c r="V97" s="2"/>
      <c r="W97" s="2"/>
      <c r="X97" s="2"/>
      <c r="Y97" s="2"/>
      <c r="Z97" s="2"/>
    </row>
    <row r="98">
      <c r="A98" s="5"/>
      <c r="B98" s="5"/>
      <c r="C98" s="5"/>
      <c r="D98" s="5"/>
      <c r="E98" s="2"/>
      <c r="F98" s="2"/>
      <c r="G98" s="2"/>
      <c r="H98" s="2"/>
      <c r="I98" s="2"/>
      <c r="J98" s="2"/>
      <c r="K98" s="2"/>
      <c r="L98" s="2"/>
      <c r="M98" s="2"/>
      <c r="N98" s="2"/>
      <c r="O98" s="2"/>
      <c r="P98" s="2"/>
      <c r="Q98" s="2"/>
      <c r="R98" s="2"/>
      <c r="S98" s="2"/>
      <c r="T98" s="2"/>
      <c r="U98" s="2"/>
      <c r="V98" s="2"/>
      <c r="W98" s="2"/>
      <c r="X98" s="2"/>
      <c r="Y98" s="2"/>
      <c r="Z98" s="2"/>
    </row>
    <row r="99">
      <c r="A99" s="5"/>
      <c r="B99" s="5"/>
      <c r="C99" s="5"/>
      <c r="D99" s="5"/>
      <c r="E99" s="2"/>
      <c r="F99" s="2"/>
      <c r="G99" s="2"/>
      <c r="H99" s="2"/>
      <c r="I99" s="2"/>
      <c r="J99" s="2"/>
      <c r="K99" s="2"/>
      <c r="L99" s="2"/>
      <c r="M99" s="2"/>
      <c r="N99" s="2"/>
      <c r="O99" s="2"/>
      <c r="P99" s="2"/>
      <c r="Q99" s="2"/>
      <c r="R99" s="2"/>
      <c r="S99" s="2"/>
      <c r="T99" s="2"/>
      <c r="U99" s="2"/>
      <c r="V99" s="2"/>
      <c r="W99" s="2"/>
      <c r="X99" s="2"/>
      <c r="Y99" s="2"/>
      <c r="Z99" s="2"/>
    </row>
    <row r="100">
      <c r="A100" s="5"/>
      <c r="B100" s="5"/>
      <c r="C100" s="5"/>
      <c r="D100" s="5"/>
      <c r="E100" s="2"/>
      <c r="F100" s="2"/>
      <c r="G100" s="2"/>
      <c r="H100" s="2"/>
      <c r="I100" s="2"/>
      <c r="J100" s="2"/>
      <c r="K100" s="2"/>
      <c r="L100" s="2"/>
      <c r="M100" s="2"/>
      <c r="N100" s="2"/>
      <c r="O100" s="2"/>
      <c r="P100" s="2"/>
      <c r="Q100" s="2"/>
      <c r="R100" s="2"/>
      <c r="S100" s="2"/>
      <c r="T100" s="2"/>
      <c r="U100" s="2"/>
      <c r="V100" s="2"/>
      <c r="W100" s="2"/>
      <c r="X100" s="2"/>
      <c r="Y100" s="2"/>
      <c r="Z100" s="2"/>
    </row>
    <row r="101">
      <c r="A101" s="5"/>
      <c r="B101" s="5"/>
      <c r="C101" s="5"/>
      <c r="D101" s="5"/>
      <c r="E101" s="2"/>
      <c r="F101" s="2"/>
      <c r="G101" s="2"/>
      <c r="H101" s="2"/>
      <c r="I101" s="2"/>
      <c r="J101" s="2"/>
      <c r="K101" s="2"/>
      <c r="L101" s="2"/>
      <c r="M101" s="2"/>
      <c r="N101" s="2"/>
      <c r="O101" s="2"/>
      <c r="P101" s="2"/>
      <c r="Q101" s="2"/>
      <c r="R101" s="2"/>
      <c r="S101" s="2"/>
      <c r="T101" s="2"/>
      <c r="U101" s="2"/>
      <c r="V101" s="2"/>
      <c r="W101" s="2"/>
      <c r="X101" s="2"/>
      <c r="Y101" s="2"/>
      <c r="Z101" s="2"/>
    </row>
    <row r="102">
      <c r="A102" s="5"/>
      <c r="B102" s="5"/>
      <c r="C102" s="5"/>
      <c r="D102" s="5"/>
      <c r="E102" s="2"/>
      <c r="F102" s="2"/>
      <c r="G102" s="2"/>
      <c r="H102" s="2"/>
      <c r="I102" s="2"/>
      <c r="J102" s="2"/>
      <c r="K102" s="2"/>
      <c r="L102" s="2"/>
      <c r="M102" s="2"/>
      <c r="N102" s="2"/>
      <c r="O102" s="2"/>
      <c r="P102" s="2"/>
      <c r="Q102" s="2"/>
      <c r="R102" s="2"/>
      <c r="S102" s="2"/>
      <c r="T102" s="2"/>
      <c r="U102" s="2"/>
      <c r="V102" s="2"/>
      <c r="W102" s="2"/>
      <c r="X102" s="2"/>
      <c r="Y102" s="2"/>
      <c r="Z102" s="2"/>
    </row>
    <row r="103">
      <c r="A103" s="5"/>
      <c r="B103" s="5"/>
      <c r="C103" s="5"/>
      <c r="D103" s="5"/>
      <c r="E103" s="2"/>
      <c r="F103" s="2"/>
      <c r="G103" s="2"/>
      <c r="H103" s="2"/>
      <c r="I103" s="2"/>
      <c r="J103" s="2"/>
      <c r="K103" s="2"/>
      <c r="L103" s="2"/>
      <c r="M103" s="2"/>
      <c r="N103" s="2"/>
      <c r="O103" s="2"/>
      <c r="P103" s="2"/>
      <c r="Q103" s="2"/>
      <c r="R103" s="2"/>
      <c r="S103" s="2"/>
      <c r="T103" s="2"/>
      <c r="U103" s="2"/>
      <c r="V103" s="2"/>
      <c r="W103" s="2"/>
      <c r="X103" s="2"/>
      <c r="Y103" s="2"/>
      <c r="Z103" s="2"/>
    </row>
    <row r="104">
      <c r="A104" s="5"/>
      <c r="B104" s="5"/>
      <c r="C104" s="5"/>
      <c r="D104" s="5"/>
      <c r="E104" s="2"/>
      <c r="F104" s="2"/>
      <c r="G104" s="2"/>
      <c r="H104" s="2"/>
      <c r="I104" s="2"/>
      <c r="J104" s="2"/>
      <c r="K104" s="2"/>
      <c r="L104" s="2"/>
      <c r="M104" s="2"/>
      <c r="N104" s="2"/>
      <c r="O104" s="2"/>
      <c r="P104" s="2"/>
      <c r="Q104" s="2"/>
      <c r="R104" s="2"/>
      <c r="S104" s="2"/>
      <c r="T104" s="2"/>
      <c r="U104" s="2"/>
      <c r="V104" s="2"/>
      <c r="W104" s="2"/>
      <c r="X104" s="2"/>
      <c r="Y104" s="2"/>
      <c r="Z104" s="2"/>
    </row>
    <row r="105">
      <c r="A105" s="5"/>
      <c r="B105" s="5"/>
      <c r="C105" s="5"/>
      <c r="D105" s="5"/>
      <c r="E105" s="2"/>
      <c r="F105" s="2"/>
      <c r="G105" s="2"/>
      <c r="H105" s="2"/>
      <c r="I105" s="2"/>
      <c r="J105" s="2"/>
      <c r="K105" s="2"/>
      <c r="L105" s="2"/>
      <c r="M105" s="2"/>
      <c r="N105" s="2"/>
      <c r="O105" s="2"/>
      <c r="P105" s="2"/>
      <c r="Q105" s="2"/>
      <c r="R105" s="2"/>
      <c r="S105" s="2"/>
      <c r="T105" s="2"/>
      <c r="U105" s="2"/>
      <c r="V105" s="2"/>
      <c r="W105" s="2"/>
      <c r="X105" s="2"/>
      <c r="Y105" s="2"/>
      <c r="Z105" s="2"/>
    </row>
    <row r="106">
      <c r="A106" s="5"/>
      <c r="B106" s="5"/>
      <c r="C106" s="5"/>
      <c r="D106" s="5"/>
      <c r="E106" s="2"/>
      <c r="F106" s="2"/>
      <c r="G106" s="2"/>
      <c r="H106" s="2"/>
      <c r="I106" s="2"/>
      <c r="J106" s="2"/>
      <c r="K106" s="2"/>
      <c r="L106" s="2"/>
      <c r="M106" s="2"/>
      <c r="N106" s="2"/>
      <c r="O106" s="2"/>
      <c r="P106" s="2"/>
      <c r="Q106" s="2"/>
      <c r="R106" s="2"/>
      <c r="S106" s="2"/>
      <c r="T106" s="2"/>
      <c r="U106" s="2"/>
      <c r="V106" s="2"/>
      <c r="W106" s="2"/>
      <c r="X106" s="2"/>
      <c r="Y106" s="2"/>
      <c r="Z106" s="2"/>
    </row>
    <row r="107">
      <c r="A107" s="5"/>
      <c r="B107" s="5"/>
      <c r="C107" s="5"/>
      <c r="D107" s="5"/>
      <c r="E107" s="2"/>
      <c r="F107" s="2"/>
      <c r="G107" s="2"/>
      <c r="H107" s="2"/>
      <c r="I107" s="2"/>
      <c r="J107" s="2"/>
      <c r="K107" s="2"/>
      <c r="L107" s="2"/>
      <c r="M107" s="2"/>
      <c r="N107" s="2"/>
      <c r="O107" s="2"/>
      <c r="P107" s="2"/>
      <c r="Q107" s="2"/>
      <c r="R107" s="2"/>
      <c r="S107" s="2"/>
      <c r="T107" s="2"/>
      <c r="U107" s="2"/>
      <c r="V107" s="2"/>
      <c r="W107" s="2"/>
      <c r="X107" s="2"/>
      <c r="Y107" s="2"/>
      <c r="Z107" s="2"/>
    </row>
    <row r="108">
      <c r="A108" s="5"/>
      <c r="B108" s="5"/>
      <c r="C108" s="5"/>
      <c r="D108" s="5"/>
      <c r="E108" s="2"/>
      <c r="F108" s="2"/>
      <c r="G108" s="2"/>
      <c r="H108" s="2"/>
      <c r="I108" s="2"/>
      <c r="J108" s="2"/>
      <c r="K108" s="2"/>
      <c r="L108" s="2"/>
      <c r="M108" s="2"/>
      <c r="N108" s="2"/>
      <c r="O108" s="2"/>
      <c r="P108" s="2"/>
      <c r="Q108" s="2"/>
      <c r="R108" s="2"/>
      <c r="S108" s="2"/>
      <c r="T108" s="2"/>
      <c r="U108" s="2"/>
      <c r="V108" s="2"/>
      <c r="W108" s="2"/>
      <c r="X108" s="2"/>
      <c r="Y108" s="2"/>
      <c r="Z108" s="2"/>
    </row>
    <row r="109">
      <c r="A109" s="5"/>
      <c r="B109" s="5"/>
      <c r="C109" s="5"/>
      <c r="D109" s="5"/>
      <c r="E109" s="2"/>
      <c r="F109" s="2"/>
      <c r="G109" s="2"/>
      <c r="H109" s="2"/>
      <c r="I109" s="2"/>
      <c r="J109" s="2"/>
      <c r="K109" s="2"/>
      <c r="L109" s="2"/>
      <c r="M109" s="2"/>
      <c r="N109" s="2"/>
      <c r="O109" s="2"/>
      <c r="P109" s="2"/>
      <c r="Q109" s="2"/>
      <c r="R109" s="2"/>
      <c r="S109" s="2"/>
      <c r="T109" s="2"/>
      <c r="U109" s="2"/>
      <c r="V109" s="2"/>
      <c r="W109" s="2"/>
      <c r="X109" s="2"/>
      <c r="Y109" s="2"/>
      <c r="Z109" s="2"/>
    </row>
    <row r="110">
      <c r="A110" s="5"/>
      <c r="B110" s="5"/>
      <c r="C110" s="5"/>
      <c r="D110" s="5"/>
      <c r="E110" s="2"/>
      <c r="F110" s="2"/>
      <c r="G110" s="2"/>
      <c r="H110" s="2"/>
      <c r="I110" s="2"/>
      <c r="J110" s="2"/>
      <c r="K110" s="2"/>
      <c r="L110" s="2"/>
      <c r="M110" s="2"/>
      <c r="N110" s="2"/>
      <c r="O110" s="2"/>
      <c r="P110" s="2"/>
      <c r="Q110" s="2"/>
      <c r="R110" s="2"/>
      <c r="S110" s="2"/>
      <c r="T110" s="2"/>
      <c r="U110" s="2"/>
      <c r="V110" s="2"/>
      <c r="W110" s="2"/>
      <c r="X110" s="2"/>
      <c r="Y110" s="2"/>
      <c r="Z110" s="2"/>
    </row>
    <row r="111">
      <c r="A111" s="5"/>
      <c r="B111" s="5"/>
      <c r="C111" s="5"/>
      <c r="D111" s="5"/>
      <c r="E111" s="2"/>
      <c r="F111" s="2"/>
      <c r="G111" s="2"/>
      <c r="H111" s="2"/>
      <c r="I111" s="2"/>
      <c r="J111" s="2"/>
      <c r="K111" s="2"/>
      <c r="L111" s="2"/>
      <c r="M111" s="2"/>
      <c r="N111" s="2"/>
      <c r="O111" s="2"/>
      <c r="P111" s="2"/>
      <c r="Q111" s="2"/>
      <c r="R111" s="2"/>
      <c r="S111" s="2"/>
      <c r="T111" s="2"/>
      <c r="U111" s="2"/>
      <c r="V111" s="2"/>
      <c r="W111" s="2"/>
      <c r="X111" s="2"/>
      <c r="Y111" s="2"/>
      <c r="Z111" s="2"/>
    </row>
    <row r="112">
      <c r="A112" s="5"/>
      <c r="B112" s="5"/>
      <c r="C112" s="5"/>
      <c r="D112" s="5"/>
      <c r="E112" s="2"/>
      <c r="F112" s="2"/>
      <c r="G112" s="2"/>
      <c r="H112" s="2"/>
      <c r="I112" s="2"/>
      <c r="J112" s="2"/>
      <c r="K112" s="2"/>
      <c r="L112" s="2"/>
      <c r="M112" s="2"/>
      <c r="N112" s="2"/>
      <c r="O112" s="2"/>
      <c r="P112" s="2"/>
      <c r="Q112" s="2"/>
      <c r="R112" s="2"/>
      <c r="S112" s="2"/>
      <c r="T112" s="2"/>
      <c r="U112" s="2"/>
      <c r="V112" s="2"/>
      <c r="W112" s="2"/>
      <c r="X112" s="2"/>
      <c r="Y112" s="2"/>
      <c r="Z112" s="2"/>
    </row>
    <row r="113">
      <c r="A113" s="5"/>
      <c r="B113" s="5"/>
      <c r="C113" s="5"/>
      <c r="D113" s="5"/>
      <c r="E113" s="2"/>
      <c r="F113" s="2"/>
      <c r="G113" s="2"/>
      <c r="H113" s="2"/>
      <c r="I113" s="2"/>
      <c r="J113" s="2"/>
      <c r="K113" s="2"/>
      <c r="L113" s="2"/>
      <c r="M113" s="2"/>
      <c r="N113" s="2"/>
      <c r="O113" s="2"/>
      <c r="P113" s="2"/>
      <c r="Q113" s="2"/>
      <c r="R113" s="2"/>
      <c r="S113" s="2"/>
      <c r="T113" s="2"/>
      <c r="U113" s="2"/>
      <c r="V113" s="2"/>
      <c r="W113" s="2"/>
      <c r="X113" s="2"/>
      <c r="Y113" s="2"/>
      <c r="Z113" s="2"/>
    </row>
    <row r="114">
      <c r="A114" s="5"/>
      <c r="B114" s="5"/>
      <c r="C114" s="5"/>
      <c r="D114" s="5"/>
      <c r="E114" s="2"/>
      <c r="F114" s="2"/>
      <c r="G114" s="2"/>
      <c r="H114" s="2"/>
      <c r="I114" s="2"/>
      <c r="J114" s="2"/>
      <c r="K114" s="2"/>
      <c r="L114" s="2"/>
      <c r="M114" s="2"/>
      <c r="N114" s="2"/>
      <c r="O114" s="2"/>
      <c r="P114" s="2"/>
      <c r="Q114" s="2"/>
      <c r="R114" s="2"/>
      <c r="S114" s="2"/>
      <c r="T114" s="2"/>
      <c r="U114" s="2"/>
      <c r="V114" s="2"/>
      <c r="W114" s="2"/>
      <c r="X114" s="2"/>
      <c r="Y114" s="2"/>
      <c r="Z114" s="2"/>
    </row>
    <row r="115">
      <c r="A115" s="5"/>
      <c r="B115" s="5"/>
      <c r="C115" s="5"/>
      <c r="D115" s="5"/>
      <c r="E115" s="2"/>
      <c r="F115" s="2"/>
      <c r="G115" s="2"/>
      <c r="H115" s="2"/>
      <c r="I115" s="2"/>
      <c r="J115" s="2"/>
      <c r="K115" s="2"/>
      <c r="L115" s="2"/>
      <c r="M115" s="2"/>
      <c r="N115" s="2"/>
      <c r="O115" s="2"/>
      <c r="P115" s="2"/>
      <c r="Q115" s="2"/>
      <c r="R115" s="2"/>
      <c r="S115" s="2"/>
      <c r="T115" s="2"/>
      <c r="U115" s="2"/>
      <c r="V115" s="2"/>
      <c r="W115" s="2"/>
      <c r="X115" s="2"/>
      <c r="Y115" s="2"/>
      <c r="Z115" s="2"/>
    </row>
    <row r="116">
      <c r="A116" s="5"/>
      <c r="B116" s="5"/>
      <c r="C116" s="5"/>
      <c r="D116" s="5"/>
      <c r="E116" s="2"/>
      <c r="F116" s="2"/>
      <c r="G116" s="2"/>
      <c r="H116" s="2"/>
      <c r="I116" s="2"/>
      <c r="J116" s="2"/>
      <c r="K116" s="2"/>
      <c r="L116" s="2"/>
      <c r="M116" s="2"/>
      <c r="N116" s="2"/>
      <c r="O116" s="2"/>
      <c r="P116" s="2"/>
      <c r="Q116" s="2"/>
      <c r="R116" s="2"/>
      <c r="S116" s="2"/>
      <c r="T116" s="2"/>
      <c r="U116" s="2"/>
      <c r="V116" s="2"/>
      <c r="W116" s="2"/>
      <c r="X116" s="2"/>
      <c r="Y116" s="2"/>
      <c r="Z116" s="2"/>
    </row>
    <row r="117">
      <c r="A117" s="5"/>
      <c r="B117" s="5"/>
      <c r="C117" s="5"/>
      <c r="D117" s="5"/>
      <c r="E117" s="2"/>
      <c r="F117" s="2"/>
      <c r="G117" s="2"/>
      <c r="H117" s="2"/>
      <c r="I117" s="2"/>
      <c r="J117" s="2"/>
      <c r="K117" s="2"/>
      <c r="L117" s="2"/>
      <c r="M117" s="2"/>
      <c r="N117" s="2"/>
      <c r="O117" s="2"/>
      <c r="P117" s="2"/>
      <c r="Q117" s="2"/>
      <c r="R117" s="2"/>
      <c r="S117" s="2"/>
      <c r="T117" s="2"/>
      <c r="U117" s="2"/>
      <c r="V117" s="2"/>
      <c r="W117" s="2"/>
      <c r="X117" s="2"/>
      <c r="Y117" s="2"/>
      <c r="Z117" s="2"/>
    </row>
    <row r="118">
      <c r="A118" s="5"/>
      <c r="B118" s="5"/>
      <c r="C118" s="5"/>
      <c r="D118" s="5"/>
      <c r="E118" s="2"/>
      <c r="F118" s="2"/>
      <c r="G118" s="2"/>
      <c r="H118" s="2"/>
      <c r="I118" s="2"/>
      <c r="J118" s="2"/>
      <c r="K118" s="2"/>
      <c r="L118" s="2"/>
      <c r="M118" s="2"/>
      <c r="N118" s="2"/>
      <c r="O118" s="2"/>
      <c r="P118" s="2"/>
      <c r="Q118" s="2"/>
      <c r="R118" s="2"/>
      <c r="S118" s="2"/>
      <c r="T118" s="2"/>
      <c r="U118" s="2"/>
      <c r="V118" s="2"/>
      <c r="W118" s="2"/>
      <c r="X118" s="2"/>
      <c r="Y118" s="2"/>
      <c r="Z118" s="2"/>
    </row>
    <row r="119">
      <c r="A119" s="5"/>
      <c r="B119" s="5"/>
      <c r="C119" s="5"/>
      <c r="D119" s="5"/>
      <c r="E119" s="2"/>
      <c r="F119" s="2"/>
      <c r="G119" s="2"/>
      <c r="H119" s="2"/>
      <c r="I119" s="2"/>
      <c r="J119" s="2"/>
      <c r="K119" s="2"/>
      <c r="L119" s="2"/>
      <c r="M119" s="2"/>
      <c r="N119" s="2"/>
      <c r="O119" s="2"/>
      <c r="P119" s="2"/>
      <c r="Q119" s="2"/>
      <c r="R119" s="2"/>
      <c r="S119" s="2"/>
      <c r="T119" s="2"/>
      <c r="U119" s="2"/>
      <c r="V119" s="2"/>
      <c r="W119" s="2"/>
      <c r="X119" s="2"/>
      <c r="Y119" s="2"/>
      <c r="Z119" s="2"/>
    </row>
    <row r="120">
      <c r="A120" s="5"/>
      <c r="B120" s="5"/>
      <c r="C120" s="5"/>
      <c r="D120" s="5"/>
      <c r="E120" s="2"/>
      <c r="F120" s="2"/>
      <c r="G120" s="2"/>
      <c r="H120" s="2"/>
      <c r="I120" s="2"/>
      <c r="J120" s="2"/>
      <c r="K120" s="2"/>
      <c r="L120" s="2"/>
      <c r="M120" s="2"/>
      <c r="N120" s="2"/>
      <c r="O120" s="2"/>
      <c r="P120" s="2"/>
      <c r="Q120" s="2"/>
      <c r="R120" s="2"/>
      <c r="S120" s="2"/>
      <c r="T120" s="2"/>
      <c r="U120" s="2"/>
      <c r="V120" s="2"/>
      <c r="W120" s="2"/>
      <c r="X120" s="2"/>
      <c r="Y120" s="2"/>
      <c r="Z120" s="2"/>
    </row>
    <row r="121">
      <c r="A121" s="5"/>
      <c r="B121" s="5"/>
      <c r="C121" s="5"/>
      <c r="D121" s="5"/>
      <c r="E121" s="2"/>
      <c r="F121" s="2"/>
      <c r="G121" s="2"/>
      <c r="H121" s="2"/>
      <c r="I121" s="2"/>
      <c r="J121" s="2"/>
      <c r="K121" s="2"/>
      <c r="L121" s="2"/>
      <c r="M121" s="2"/>
      <c r="N121" s="2"/>
      <c r="O121" s="2"/>
      <c r="P121" s="2"/>
      <c r="Q121" s="2"/>
      <c r="R121" s="2"/>
      <c r="S121" s="2"/>
      <c r="T121" s="2"/>
      <c r="U121" s="2"/>
      <c r="V121" s="2"/>
      <c r="W121" s="2"/>
      <c r="X121" s="2"/>
      <c r="Y121" s="2"/>
      <c r="Z121" s="2"/>
    </row>
    <row r="122">
      <c r="A122" s="5"/>
      <c r="B122" s="5"/>
      <c r="C122" s="5"/>
      <c r="D122" s="5"/>
      <c r="E122" s="2"/>
      <c r="F122" s="2"/>
      <c r="G122" s="2"/>
      <c r="H122" s="2"/>
      <c r="I122" s="2"/>
      <c r="J122" s="2"/>
      <c r="K122" s="2"/>
      <c r="L122" s="2"/>
      <c r="M122" s="2"/>
      <c r="N122" s="2"/>
      <c r="O122" s="2"/>
      <c r="P122" s="2"/>
      <c r="Q122" s="2"/>
      <c r="R122" s="2"/>
      <c r="S122" s="2"/>
      <c r="T122" s="2"/>
      <c r="U122" s="2"/>
      <c r="V122" s="2"/>
      <c r="W122" s="2"/>
      <c r="X122" s="2"/>
      <c r="Y122" s="2"/>
      <c r="Z122" s="2"/>
    </row>
    <row r="123">
      <c r="A123" s="5"/>
      <c r="B123" s="5"/>
      <c r="C123" s="5"/>
      <c r="D123" s="5"/>
      <c r="E123" s="2"/>
      <c r="F123" s="2"/>
      <c r="G123" s="2"/>
      <c r="H123" s="2"/>
      <c r="I123" s="2"/>
      <c r="J123" s="2"/>
      <c r="K123" s="2"/>
      <c r="L123" s="2"/>
      <c r="M123" s="2"/>
      <c r="N123" s="2"/>
      <c r="O123" s="2"/>
      <c r="P123" s="2"/>
      <c r="Q123" s="2"/>
      <c r="R123" s="2"/>
      <c r="S123" s="2"/>
      <c r="T123" s="2"/>
      <c r="U123" s="2"/>
      <c r="V123" s="2"/>
      <c r="W123" s="2"/>
      <c r="X123" s="2"/>
      <c r="Y123" s="2"/>
      <c r="Z123" s="2"/>
    </row>
    <row r="124">
      <c r="A124" s="5"/>
      <c r="B124" s="5"/>
      <c r="C124" s="5"/>
      <c r="D124" s="5"/>
      <c r="E124" s="2"/>
      <c r="F124" s="2"/>
      <c r="G124" s="2"/>
      <c r="H124" s="2"/>
      <c r="I124" s="2"/>
      <c r="J124" s="2"/>
      <c r="K124" s="2"/>
      <c r="L124" s="2"/>
      <c r="M124" s="2"/>
      <c r="N124" s="2"/>
      <c r="O124" s="2"/>
      <c r="P124" s="2"/>
      <c r="Q124" s="2"/>
      <c r="R124" s="2"/>
      <c r="S124" s="2"/>
      <c r="T124" s="2"/>
      <c r="U124" s="2"/>
      <c r="V124" s="2"/>
      <c r="W124" s="2"/>
      <c r="X124" s="2"/>
      <c r="Y124" s="2"/>
      <c r="Z124" s="2"/>
    </row>
    <row r="125">
      <c r="A125" s="5"/>
      <c r="B125" s="5"/>
      <c r="C125" s="5"/>
      <c r="D125" s="5"/>
      <c r="E125" s="2"/>
      <c r="F125" s="2"/>
      <c r="G125" s="2"/>
      <c r="H125" s="2"/>
      <c r="I125" s="2"/>
      <c r="J125" s="2"/>
      <c r="K125" s="2"/>
      <c r="L125" s="2"/>
      <c r="M125" s="2"/>
      <c r="N125" s="2"/>
      <c r="O125" s="2"/>
      <c r="P125" s="2"/>
      <c r="Q125" s="2"/>
      <c r="R125" s="2"/>
      <c r="S125" s="2"/>
      <c r="T125" s="2"/>
      <c r="U125" s="2"/>
      <c r="V125" s="2"/>
      <c r="W125" s="2"/>
      <c r="X125" s="2"/>
      <c r="Y125" s="2"/>
      <c r="Z125" s="2"/>
    </row>
    <row r="126">
      <c r="A126" s="5"/>
      <c r="B126" s="5"/>
      <c r="C126" s="5"/>
      <c r="D126" s="5"/>
      <c r="E126" s="2"/>
      <c r="F126" s="2"/>
      <c r="G126" s="2"/>
      <c r="H126" s="2"/>
      <c r="I126" s="2"/>
      <c r="J126" s="2"/>
      <c r="K126" s="2"/>
      <c r="L126" s="2"/>
      <c r="M126" s="2"/>
      <c r="N126" s="2"/>
      <c r="O126" s="2"/>
      <c r="P126" s="2"/>
      <c r="Q126" s="2"/>
      <c r="R126" s="2"/>
      <c r="S126" s="2"/>
      <c r="T126" s="2"/>
      <c r="U126" s="2"/>
      <c r="V126" s="2"/>
      <c r="W126" s="2"/>
      <c r="X126" s="2"/>
      <c r="Y126" s="2"/>
      <c r="Z126" s="2"/>
    </row>
    <row r="127">
      <c r="A127" s="5"/>
      <c r="B127" s="5"/>
      <c r="C127" s="5"/>
      <c r="D127" s="5"/>
      <c r="E127" s="2"/>
      <c r="F127" s="2"/>
      <c r="G127" s="2"/>
      <c r="H127" s="2"/>
      <c r="I127" s="2"/>
      <c r="J127" s="2"/>
      <c r="K127" s="2"/>
      <c r="L127" s="2"/>
      <c r="M127" s="2"/>
      <c r="N127" s="2"/>
      <c r="O127" s="2"/>
      <c r="P127" s="2"/>
      <c r="Q127" s="2"/>
      <c r="R127" s="2"/>
      <c r="S127" s="2"/>
      <c r="T127" s="2"/>
      <c r="U127" s="2"/>
      <c r="V127" s="2"/>
      <c r="W127" s="2"/>
      <c r="X127" s="2"/>
      <c r="Y127" s="2"/>
      <c r="Z127" s="2"/>
    </row>
    <row r="128">
      <c r="A128" s="5"/>
      <c r="B128" s="5"/>
      <c r="C128" s="5"/>
      <c r="D128" s="5"/>
      <c r="E128" s="2"/>
      <c r="F128" s="2"/>
      <c r="G128" s="2"/>
      <c r="H128" s="2"/>
      <c r="I128" s="2"/>
      <c r="J128" s="2"/>
      <c r="K128" s="2"/>
      <c r="L128" s="2"/>
      <c r="M128" s="2"/>
      <c r="N128" s="2"/>
      <c r="O128" s="2"/>
      <c r="P128" s="2"/>
      <c r="Q128" s="2"/>
      <c r="R128" s="2"/>
      <c r="S128" s="2"/>
      <c r="T128" s="2"/>
      <c r="U128" s="2"/>
      <c r="V128" s="2"/>
      <c r="W128" s="2"/>
      <c r="X128" s="2"/>
      <c r="Y128" s="2"/>
      <c r="Z128" s="2"/>
    </row>
    <row r="129">
      <c r="A129" s="5"/>
      <c r="B129" s="5"/>
      <c r="C129" s="5"/>
      <c r="D129" s="5"/>
      <c r="E129" s="2"/>
      <c r="F129" s="2"/>
      <c r="G129" s="2"/>
      <c r="H129" s="2"/>
      <c r="I129" s="2"/>
      <c r="J129" s="2"/>
      <c r="K129" s="2"/>
      <c r="L129" s="2"/>
      <c r="M129" s="2"/>
      <c r="N129" s="2"/>
      <c r="O129" s="2"/>
      <c r="P129" s="2"/>
      <c r="Q129" s="2"/>
      <c r="R129" s="2"/>
      <c r="S129" s="2"/>
      <c r="T129" s="2"/>
      <c r="U129" s="2"/>
      <c r="V129" s="2"/>
      <c r="W129" s="2"/>
      <c r="X129" s="2"/>
      <c r="Y129" s="2"/>
      <c r="Z129" s="2"/>
    </row>
    <row r="130">
      <c r="A130" s="5"/>
      <c r="B130" s="5"/>
      <c r="C130" s="5"/>
      <c r="D130" s="5"/>
      <c r="E130" s="2"/>
      <c r="F130" s="2"/>
      <c r="G130" s="2"/>
      <c r="H130" s="2"/>
      <c r="I130" s="2"/>
      <c r="J130" s="2"/>
      <c r="K130" s="2"/>
      <c r="L130" s="2"/>
      <c r="M130" s="2"/>
      <c r="N130" s="2"/>
      <c r="O130" s="2"/>
      <c r="P130" s="2"/>
      <c r="Q130" s="2"/>
      <c r="R130" s="2"/>
      <c r="S130" s="2"/>
      <c r="T130" s="2"/>
      <c r="U130" s="2"/>
      <c r="V130" s="2"/>
      <c r="W130" s="2"/>
      <c r="X130" s="2"/>
      <c r="Y130" s="2"/>
      <c r="Z130" s="2"/>
    </row>
    <row r="131">
      <c r="A131" s="5"/>
      <c r="B131" s="5"/>
      <c r="C131" s="5"/>
      <c r="D131" s="5"/>
      <c r="E131" s="2"/>
      <c r="F131" s="2"/>
      <c r="G131" s="2"/>
      <c r="H131" s="2"/>
      <c r="I131" s="2"/>
      <c r="J131" s="2"/>
      <c r="K131" s="2"/>
      <c r="L131" s="2"/>
      <c r="M131" s="2"/>
      <c r="N131" s="2"/>
      <c r="O131" s="2"/>
      <c r="P131" s="2"/>
      <c r="Q131" s="2"/>
      <c r="R131" s="2"/>
      <c r="S131" s="2"/>
      <c r="T131" s="2"/>
      <c r="U131" s="2"/>
      <c r="V131" s="2"/>
      <c r="W131" s="2"/>
      <c r="X131" s="2"/>
      <c r="Y131" s="2"/>
      <c r="Z131" s="2"/>
    </row>
    <row r="132">
      <c r="A132" s="5"/>
      <c r="B132" s="5"/>
      <c r="C132" s="5"/>
      <c r="D132" s="5"/>
      <c r="E132" s="2"/>
      <c r="F132" s="2"/>
      <c r="G132" s="2"/>
      <c r="H132" s="2"/>
      <c r="I132" s="2"/>
      <c r="J132" s="2"/>
      <c r="K132" s="2"/>
      <c r="L132" s="2"/>
      <c r="M132" s="2"/>
      <c r="N132" s="2"/>
      <c r="O132" s="2"/>
      <c r="P132" s="2"/>
      <c r="Q132" s="2"/>
      <c r="R132" s="2"/>
      <c r="S132" s="2"/>
      <c r="T132" s="2"/>
      <c r="U132" s="2"/>
      <c r="V132" s="2"/>
      <c r="W132" s="2"/>
      <c r="X132" s="2"/>
      <c r="Y132" s="2"/>
      <c r="Z132" s="2"/>
    </row>
    <row r="133">
      <c r="A133" s="5"/>
      <c r="B133" s="5"/>
      <c r="C133" s="5"/>
      <c r="D133" s="5"/>
      <c r="E133" s="2"/>
      <c r="F133" s="2"/>
      <c r="G133" s="2"/>
      <c r="H133" s="2"/>
      <c r="I133" s="2"/>
      <c r="J133" s="2"/>
      <c r="K133" s="2"/>
      <c r="L133" s="2"/>
      <c r="M133" s="2"/>
      <c r="N133" s="2"/>
      <c r="O133" s="2"/>
      <c r="P133" s="2"/>
      <c r="Q133" s="2"/>
      <c r="R133" s="2"/>
      <c r="S133" s="2"/>
      <c r="T133" s="2"/>
      <c r="U133" s="2"/>
      <c r="V133" s="2"/>
      <c r="W133" s="2"/>
      <c r="X133" s="2"/>
      <c r="Y133" s="2"/>
      <c r="Z133" s="2"/>
    </row>
    <row r="134">
      <c r="A134" s="5"/>
      <c r="B134" s="5"/>
      <c r="C134" s="5"/>
      <c r="D134" s="5"/>
      <c r="E134" s="2"/>
      <c r="F134" s="2"/>
      <c r="G134" s="2"/>
      <c r="H134" s="2"/>
      <c r="I134" s="2"/>
      <c r="J134" s="2"/>
      <c r="K134" s="2"/>
      <c r="L134" s="2"/>
      <c r="M134" s="2"/>
      <c r="N134" s="2"/>
      <c r="O134" s="2"/>
      <c r="P134" s="2"/>
      <c r="Q134" s="2"/>
      <c r="R134" s="2"/>
      <c r="S134" s="2"/>
      <c r="T134" s="2"/>
      <c r="U134" s="2"/>
      <c r="V134" s="2"/>
      <c r="W134" s="2"/>
      <c r="X134" s="2"/>
      <c r="Y134" s="2"/>
      <c r="Z134" s="2"/>
    </row>
    <row r="135">
      <c r="A135" s="5"/>
      <c r="B135" s="5"/>
      <c r="C135" s="5"/>
      <c r="D135" s="5"/>
      <c r="E135" s="2"/>
      <c r="F135" s="2"/>
      <c r="G135" s="2"/>
      <c r="H135" s="2"/>
      <c r="I135" s="2"/>
      <c r="J135" s="2"/>
      <c r="K135" s="2"/>
      <c r="L135" s="2"/>
      <c r="M135" s="2"/>
      <c r="N135" s="2"/>
      <c r="O135" s="2"/>
      <c r="P135" s="2"/>
      <c r="Q135" s="2"/>
      <c r="R135" s="2"/>
      <c r="S135" s="2"/>
      <c r="T135" s="2"/>
      <c r="U135" s="2"/>
      <c r="V135" s="2"/>
      <c r="W135" s="2"/>
      <c r="X135" s="2"/>
      <c r="Y135" s="2"/>
      <c r="Z135" s="2"/>
    </row>
    <row r="136">
      <c r="A136" s="5"/>
      <c r="B136" s="5"/>
      <c r="C136" s="5"/>
      <c r="D136" s="5"/>
      <c r="E136" s="2"/>
      <c r="F136" s="2"/>
      <c r="G136" s="2"/>
      <c r="H136" s="2"/>
      <c r="I136" s="2"/>
      <c r="J136" s="2"/>
      <c r="K136" s="2"/>
      <c r="L136" s="2"/>
      <c r="M136" s="2"/>
      <c r="N136" s="2"/>
      <c r="O136" s="2"/>
      <c r="P136" s="2"/>
      <c r="Q136" s="2"/>
      <c r="R136" s="2"/>
      <c r="S136" s="2"/>
      <c r="T136" s="2"/>
      <c r="U136" s="2"/>
      <c r="V136" s="2"/>
      <c r="W136" s="2"/>
      <c r="X136" s="2"/>
      <c r="Y136" s="2"/>
      <c r="Z136" s="2"/>
    </row>
    <row r="137">
      <c r="A137" s="5"/>
      <c r="B137" s="5"/>
      <c r="C137" s="5"/>
      <c r="D137" s="5"/>
      <c r="E137" s="2"/>
      <c r="F137" s="2"/>
      <c r="G137" s="2"/>
      <c r="H137" s="2"/>
      <c r="I137" s="2"/>
      <c r="J137" s="2"/>
      <c r="K137" s="2"/>
      <c r="L137" s="2"/>
      <c r="M137" s="2"/>
      <c r="N137" s="2"/>
      <c r="O137" s="2"/>
      <c r="P137" s="2"/>
      <c r="Q137" s="2"/>
      <c r="R137" s="2"/>
      <c r="S137" s="2"/>
      <c r="T137" s="2"/>
      <c r="U137" s="2"/>
      <c r="V137" s="2"/>
      <c r="W137" s="2"/>
      <c r="X137" s="2"/>
      <c r="Y137" s="2"/>
      <c r="Z137" s="2"/>
    </row>
    <row r="138">
      <c r="A138" s="5"/>
      <c r="B138" s="5"/>
      <c r="C138" s="5"/>
      <c r="D138" s="5"/>
      <c r="E138" s="2"/>
      <c r="F138" s="2"/>
      <c r="G138" s="2"/>
      <c r="H138" s="2"/>
      <c r="I138" s="2"/>
      <c r="J138" s="2"/>
      <c r="K138" s="2"/>
      <c r="L138" s="2"/>
      <c r="M138" s="2"/>
      <c r="N138" s="2"/>
      <c r="O138" s="2"/>
      <c r="P138" s="2"/>
      <c r="Q138" s="2"/>
      <c r="R138" s="2"/>
      <c r="S138" s="2"/>
      <c r="T138" s="2"/>
      <c r="U138" s="2"/>
      <c r="V138" s="2"/>
      <c r="W138" s="2"/>
      <c r="X138" s="2"/>
      <c r="Y138" s="2"/>
      <c r="Z138" s="2"/>
    </row>
    <row r="139">
      <c r="A139" s="5"/>
      <c r="B139" s="5"/>
      <c r="C139" s="5"/>
      <c r="D139" s="5"/>
      <c r="E139" s="2"/>
      <c r="F139" s="2"/>
      <c r="G139" s="2"/>
      <c r="H139" s="2"/>
      <c r="I139" s="2"/>
      <c r="J139" s="2"/>
      <c r="K139" s="2"/>
      <c r="L139" s="2"/>
      <c r="M139" s="2"/>
      <c r="N139" s="2"/>
      <c r="O139" s="2"/>
      <c r="P139" s="2"/>
      <c r="Q139" s="2"/>
      <c r="R139" s="2"/>
      <c r="S139" s="2"/>
      <c r="T139" s="2"/>
      <c r="U139" s="2"/>
      <c r="V139" s="2"/>
      <c r="W139" s="2"/>
      <c r="X139" s="2"/>
      <c r="Y139" s="2"/>
      <c r="Z139" s="2"/>
    </row>
    <row r="140">
      <c r="A140" s="5"/>
      <c r="B140" s="5"/>
      <c r="C140" s="5"/>
      <c r="D140" s="5"/>
      <c r="E140" s="2"/>
      <c r="F140" s="2"/>
      <c r="G140" s="2"/>
      <c r="H140" s="2"/>
      <c r="I140" s="2"/>
      <c r="J140" s="2"/>
      <c r="K140" s="2"/>
      <c r="L140" s="2"/>
      <c r="M140" s="2"/>
      <c r="N140" s="2"/>
      <c r="O140" s="2"/>
      <c r="P140" s="2"/>
      <c r="Q140" s="2"/>
      <c r="R140" s="2"/>
      <c r="S140" s="2"/>
      <c r="T140" s="2"/>
      <c r="U140" s="2"/>
      <c r="V140" s="2"/>
      <c r="W140" s="2"/>
      <c r="X140" s="2"/>
      <c r="Y140" s="2"/>
      <c r="Z140" s="2"/>
    </row>
    <row r="141">
      <c r="A141" s="5"/>
      <c r="B141" s="5"/>
      <c r="C141" s="5"/>
      <c r="D141" s="5"/>
      <c r="E141" s="2"/>
      <c r="F141" s="2"/>
      <c r="G141" s="2"/>
      <c r="H141" s="2"/>
      <c r="I141" s="2"/>
      <c r="J141" s="2"/>
      <c r="K141" s="2"/>
      <c r="L141" s="2"/>
      <c r="M141" s="2"/>
      <c r="N141" s="2"/>
      <c r="O141" s="2"/>
      <c r="P141" s="2"/>
      <c r="Q141" s="2"/>
      <c r="R141" s="2"/>
      <c r="S141" s="2"/>
      <c r="T141" s="2"/>
      <c r="U141" s="2"/>
      <c r="V141" s="2"/>
      <c r="W141" s="2"/>
      <c r="X141" s="2"/>
      <c r="Y141" s="2"/>
      <c r="Z141" s="2"/>
    </row>
    <row r="142">
      <c r="A142" s="5"/>
      <c r="B142" s="5"/>
      <c r="C142" s="5"/>
      <c r="D142" s="5"/>
      <c r="E142" s="2"/>
      <c r="F142" s="2"/>
      <c r="G142" s="2"/>
      <c r="H142" s="2"/>
      <c r="I142" s="2"/>
      <c r="J142" s="2"/>
      <c r="K142" s="2"/>
      <c r="L142" s="2"/>
      <c r="M142" s="2"/>
      <c r="N142" s="2"/>
      <c r="O142" s="2"/>
      <c r="P142" s="2"/>
      <c r="Q142" s="2"/>
      <c r="R142" s="2"/>
      <c r="S142" s="2"/>
      <c r="T142" s="2"/>
      <c r="U142" s="2"/>
      <c r="V142" s="2"/>
      <c r="W142" s="2"/>
      <c r="X142" s="2"/>
      <c r="Y142" s="2"/>
      <c r="Z142" s="2"/>
    </row>
    <row r="143">
      <c r="A143" s="5"/>
      <c r="B143" s="5"/>
      <c r="C143" s="5"/>
      <c r="D143" s="5"/>
      <c r="E143" s="2"/>
      <c r="F143" s="2"/>
      <c r="G143" s="2"/>
      <c r="H143" s="2"/>
      <c r="I143" s="2"/>
      <c r="J143" s="2"/>
      <c r="K143" s="2"/>
      <c r="L143" s="2"/>
      <c r="M143" s="2"/>
      <c r="N143" s="2"/>
      <c r="O143" s="2"/>
      <c r="P143" s="2"/>
      <c r="Q143" s="2"/>
      <c r="R143" s="2"/>
      <c r="S143" s="2"/>
      <c r="T143" s="2"/>
      <c r="U143" s="2"/>
      <c r="V143" s="2"/>
      <c r="W143" s="2"/>
      <c r="X143" s="2"/>
      <c r="Y143" s="2"/>
      <c r="Z143" s="2"/>
    </row>
    <row r="144">
      <c r="A144" s="5"/>
      <c r="B144" s="5"/>
      <c r="C144" s="5"/>
      <c r="D144" s="5"/>
      <c r="E144" s="2"/>
      <c r="F144" s="2"/>
      <c r="G144" s="2"/>
      <c r="H144" s="2"/>
      <c r="I144" s="2"/>
      <c r="J144" s="2"/>
      <c r="K144" s="2"/>
      <c r="L144" s="2"/>
      <c r="M144" s="2"/>
      <c r="N144" s="2"/>
      <c r="O144" s="2"/>
      <c r="P144" s="2"/>
      <c r="Q144" s="2"/>
      <c r="R144" s="2"/>
      <c r="S144" s="2"/>
      <c r="T144" s="2"/>
      <c r="U144" s="2"/>
      <c r="V144" s="2"/>
      <c r="W144" s="2"/>
      <c r="X144" s="2"/>
      <c r="Y144" s="2"/>
      <c r="Z144" s="2"/>
    </row>
    <row r="145">
      <c r="A145" s="5"/>
      <c r="B145" s="5"/>
      <c r="C145" s="5"/>
      <c r="D145" s="5"/>
      <c r="E145" s="2"/>
      <c r="F145" s="2"/>
      <c r="G145" s="2"/>
      <c r="H145" s="2"/>
      <c r="I145" s="2"/>
      <c r="J145" s="2"/>
      <c r="K145" s="2"/>
      <c r="L145" s="2"/>
      <c r="M145" s="2"/>
      <c r="N145" s="2"/>
      <c r="O145" s="2"/>
      <c r="P145" s="2"/>
      <c r="Q145" s="2"/>
      <c r="R145" s="2"/>
      <c r="S145" s="2"/>
      <c r="T145" s="2"/>
      <c r="U145" s="2"/>
      <c r="V145" s="2"/>
      <c r="W145" s="2"/>
      <c r="X145" s="2"/>
      <c r="Y145" s="2"/>
      <c r="Z145" s="2"/>
    </row>
    <row r="146">
      <c r="A146" s="5"/>
      <c r="B146" s="5"/>
      <c r="C146" s="5"/>
      <c r="D146" s="5"/>
      <c r="E146" s="2"/>
      <c r="F146" s="2"/>
      <c r="G146" s="2"/>
      <c r="H146" s="2"/>
      <c r="I146" s="2"/>
      <c r="J146" s="2"/>
      <c r="K146" s="2"/>
      <c r="L146" s="2"/>
      <c r="M146" s="2"/>
      <c r="N146" s="2"/>
      <c r="O146" s="2"/>
      <c r="P146" s="2"/>
      <c r="Q146" s="2"/>
      <c r="R146" s="2"/>
      <c r="S146" s="2"/>
      <c r="T146" s="2"/>
      <c r="U146" s="2"/>
      <c r="V146" s="2"/>
      <c r="W146" s="2"/>
      <c r="X146" s="2"/>
      <c r="Y146" s="2"/>
      <c r="Z146" s="2"/>
    </row>
    <row r="147">
      <c r="A147" s="5"/>
      <c r="B147" s="5"/>
      <c r="C147" s="5"/>
      <c r="D147" s="5"/>
      <c r="E147" s="2"/>
      <c r="F147" s="2"/>
      <c r="G147" s="2"/>
      <c r="H147" s="2"/>
      <c r="I147" s="2"/>
      <c r="J147" s="2"/>
      <c r="K147" s="2"/>
      <c r="L147" s="2"/>
      <c r="M147" s="2"/>
      <c r="N147" s="2"/>
      <c r="O147" s="2"/>
      <c r="P147" s="2"/>
      <c r="Q147" s="2"/>
      <c r="R147" s="2"/>
      <c r="S147" s="2"/>
      <c r="T147" s="2"/>
      <c r="U147" s="2"/>
      <c r="V147" s="2"/>
      <c r="W147" s="2"/>
      <c r="X147" s="2"/>
      <c r="Y147" s="2"/>
      <c r="Z147" s="2"/>
    </row>
    <row r="148">
      <c r="A148" s="5"/>
      <c r="B148" s="5"/>
      <c r="C148" s="5"/>
      <c r="D148" s="5"/>
      <c r="E148" s="2"/>
      <c r="F148" s="2"/>
      <c r="G148" s="2"/>
      <c r="H148" s="2"/>
      <c r="I148" s="2"/>
      <c r="J148" s="2"/>
      <c r="K148" s="2"/>
      <c r="L148" s="2"/>
      <c r="M148" s="2"/>
      <c r="N148" s="2"/>
      <c r="O148" s="2"/>
      <c r="P148" s="2"/>
      <c r="Q148" s="2"/>
      <c r="R148" s="2"/>
      <c r="S148" s="2"/>
      <c r="T148" s="2"/>
      <c r="U148" s="2"/>
      <c r="V148" s="2"/>
      <c r="W148" s="2"/>
      <c r="X148" s="2"/>
      <c r="Y148" s="2"/>
      <c r="Z148" s="2"/>
    </row>
    <row r="149">
      <c r="A149" s="5"/>
      <c r="B149" s="5"/>
      <c r="C149" s="5"/>
      <c r="D149" s="5"/>
      <c r="E149" s="2"/>
      <c r="F149" s="2"/>
      <c r="G149" s="2"/>
      <c r="H149" s="2"/>
      <c r="I149" s="2"/>
      <c r="J149" s="2"/>
      <c r="K149" s="2"/>
      <c r="L149" s="2"/>
      <c r="M149" s="2"/>
      <c r="N149" s="2"/>
      <c r="O149" s="2"/>
      <c r="P149" s="2"/>
      <c r="Q149" s="2"/>
      <c r="R149" s="2"/>
      <c r="S149" s="2"/>
      <c r="T149" s="2"/>
      <c r="U149" s="2"/>
      <c r="V149" s="2"/>
      <c r="W149" s="2"/>
      <c r="X149" s="2"/>
      <c r="Y149" s="2"/>
      <c r="Z149" s="2"/>
    </row>
    <row r="150">
      <c r="A150" s="5"/>
      <c r="B150" s="5"/>
      <c r="C150" s="5"/>
      <c r="D150" s="5"/>
      <c r="E150" s="2"/>
      <c r="F150" s="2"/>
      <c r="G150" s="2"/>
      <c r="H150" s="2"/>
      <c r="I150" s="2"/>
      <c r="J150" s="2"/>
      <c r="K150" s="2"/>
      <c r="L150" s="2"/>
      <c r="M150" s="2"/>
      <c r="N150" s="2"/>
      <c r="O150" s="2"/>
      <c r="P150" s="2"/>
      <c r="Q150" s="2"/>
      <c r="R150" s="2"/>
      <c r="S150" s="2"/>
      <c r="T150" s="2"/>
      <c r="U150" s="2"/>
      <c r="V150" s="2"/>
      <c r="W150" s="2"/>
      <c r="X150" s="2"/>
      <c r="Y150" s="2"/>
      <c r="Z150" s="2"/>
    </row>
    <row r="151">
      <c r="A151" s="5"/>
      <c r="B151" s="5"/>
      <c r="C151" s="5"/>
      <c r="D151" s="5"/>
      <c r="E151" s="2"/>
      <c r="F151" s="2"/>
      <c r="G151" s="2"/>
      <c r="H151" s="2"/>
      <c r="I151" s="2"/>
      <c r="J151" s="2"/>
      <c r="K151" s="2"/>
      <c r="L151" s="2"/>
      <c r="M151" s="2"/>
      <c r="N151" s="2"/>
      <c r="O151" s="2"/>
      <c r="P151" s="2"/>
      <c r="Q151" s="2"/>
      <c r="R151" s="2"/>
      <c r="S151" s="2"/>
      <c r="T151" s="2"/>
      <c r="U151" s="2"/>
      <c r="V151" s="2"/>
      <c r="W151" s="2"/>
      <c r="X151" s="2"/>
      <c r="Y151" s="2"/>
      <c r="Z151" s="2"/>
    </row>
    <row r="152">
      <c r="A152" s="5"/>
      <c r="B152" s="5"/>
      <c r="C152" s="5"/>
      <c r="D152" s="5"/>
      <c r="E152" s="2"/>
      <c r="F152" s="2"/>
      <c r="G152" s="2"/>
      <c r="H152" s="2"/>
      <c r="I152" s="2"/>
      <c r="J152" s="2"/>
      <c r="K152" s="2"/>
      <c r="L152" s="2"/>
      <c r="M152" s="2"/>
      <c r="N152" s="2"/>
      <c r="O152" s="2"/>
      <c r="P152" s="2"/>
      <c r="Q152" s="2"/>
      <c r="R152" s="2"/>
      <c r="S152" s="2"/>
      <c r="T152" s="2"/>
      <c r="U152" s="2"/>
      <c r="V152" s="2"/>
      <c r="W152" s="2"/>
      <c r="X152" s="2"/>
      <c r="Y152" s="2"/>
      <c r="Z152" s="2"/>
    </row>
    <row r="153">
      <c r="A153" s="5"/>
      <c r="B153" s="5"/>
      <c r="C153" s="5"/>
      <c r="D153" s="5"/>
      <c r="E153" s="2"/>
      <c r="F153" s="2"/>
      <c r="G153" s="2"/>
      <c r="H153" s="2"/>
      <c r="I153" s="2"/>
      <c r="J153" s="2"/>
      <c r="K153" s="2"/>
      <c r="L153" s="2"/>
      <c r="M153" s="2"/>
      <c r="N153" s="2"/>
      <c r="O153" s="2"/>
      <c r="P153" s="2"/>
      <c r="Q153" s="2"/>
      <c r="R153" s="2"/>
      <c r="S153" s="2"/>
      <c r="T153" s="2"/>
      <c r="U153" s="2"/>
      <c r="V153" s="2"/>
      <c r="W153" s="2"/>
      <c r="X153" s="2"/>
      <c r="Y153" s="2"/>
      <c r="Z153" s="2"/>
    </row>
    <row r="154">
      <c r="A154" s="5"/>
      <c r="B154" s="5"/>
      <c r="C154" s="5"/>
      <c r="D154" s="5"/>
      <c r="E154" s="2"/>
      <c r="F154" s="2"/>
      <c r="G154" s="2"/>
      <c r="H154" s="2"/>
      <c r="I154" s="2"/>
      <c r="J154" s="2"/>
      <c r="K154" s="2"/>
      <c r="L154" s="2"/>
      <c r="M154" s="2"/>
      <c r="N154" s="2"/>
      <c r="O154" s="2"/>
      <c r="P154" s="2"/>
      <c r="Q154" s="2"/>
      <c r="R154" s="2"/>
      <c r="S154" s="2"/>
      <c r="T154" s="2"/>
      <c r="U154" s="2"/>
      <c r="V154" s="2"/>
      <c r="W154" s="2"/>
      <c r="X154" s="2"/>
      <c r="Y154" s="2"/>
      <c r="Z154" s="2"/>
    </row>
    <row r="155">
      <c r="A155" s="5"/>
      <c r="B155" s="5"/>
      <c r="C155" s="5"/>
      <c r="D155" s="5"/>
      <c r="E155" s="2"/>
      <c r="F155" s="2"/>
      <c r="G155" s="2"/>
      <c r="H155" s="2"/>
      <c r="I155" s="2"/>
      <c r="J155" s="2"/>
      <c r="K155" s="2"/>
      <c r="L155" s="2"/>
      <c r="M155" s="2"/>
      <c r="N155" s="2"/>
      <c r="O155" s="2"/>
      <c r="P155" s="2"/>
      <c r="Q155" s="2"/>
      <c r="R155" s="2"/>
      <c r="S155" s="2"/>
      <c r="T155" s="2"/>
      <c r="U155" s="2"/>
      <c r="V155" s="2"/>
      <c r="W155" s="2"/>
      <c r="X155" s="2"/>
      <c r="Y155" s="2"/>
      <c r="Z155" s="2"/>
    </row>
    <row r="156">
      <c r="A156" s="5"/>
      <c r="B156" s="5"/>
      <c r="C156" s="5"/>
      <c r="D156" s="5"/>
      <c r="E156" s="2"/>
      <c r="F156" s="2"/>
      <c r="G156" s="2"/>
      <c r="H156" s="2"/>
      <c r="I156" s="2"/>
      <c r="J156" s="2"/>
      <c r="K156" s="2"/>
      <c r="L156" s="2"/>
      <c r="M156" s="2"/>
      <c r="N156" s="2"/>
      <c r="O156" s="2"/>
      <c r="P156" s="2"/>
      <c r="Q156" s="2"/>
      <c r="R156" s="2"/>
      <c r="S156" s="2"/>
      <c r="T156" s="2"/>
      <c r="U156" s="2"/>
      <c r="V156" s="2"/>
      <c r="W156" s="2"/>
      <c r="X156" s="2"/>
      <c r="Y156" s="2"/>
      <c r="Z156" s="2"/>
    </row>
    <row r="157">
      <c r="A157" s="5"/>
      <c r="B157" s="5"/>
      <c r="C157" s="5"/>
      <c r="D157" s="5"/>
      <c r="E157" s="2"/>
      <c r="F157" s="2"/>
      <c r="G157" s="2"/>
      <c r="H157" s="2"/>
      <c r="I157" s="2"/>
      <c r="J157" s="2"/>
      <c r="K157" s="2"/>
      <c r="L157" s="2"/>
      <c r="M157" s="2"/>
      <c r="N157" s="2"/>
      <c r="O157" s="2"/>
      <c r="P157" s="2"/>
      <c r="Q157" s="2"/>
      <c r="R157" s="2"/>
      <c r="S157" s="2"/>
      <c r="T157" s="2"/>
      <c r="U157" s="2"/>
      <c r="V157" s="2"/>
      <c r="W157" s="2"/>
      <c r="X157" s="2"/>
      <c r="Y157" s="2"/>
      <c r="Z157" s="2"/>
    </row>
    <row r="158">
      <c r="A158" s="5"/>
      <c r="B158" s="5"/>
      <c r="C158" s="5"/>
      <c r="D158" s="5"/>
      <c r="E158" s="2"/>
      <c r="F158" s="2"/>
      <c r="G158" s="2"/>
      <c r="H158" s="2"/>
      <c r="I158" s="2"/>
      <c r="J158" s="2"/>
      <c r="K158" s="2"/>
      <c r="L158" s="2"/>
      <c r="M158" s="2"/>
      <c r="N158" s="2"/>
      <c r="O158" s="2"/>
      <c r="P158" s="2"/>
      <c r="Q158" s="2"/>
      <c r="R158" s="2"/>
      <c r="S158" s="2"/>
      <c r="T158" s="2"/>
      <c r="U158" s="2"/>
      <c r="V158" s="2"/>
      <c r="W158" s="2"/>
      <c r="X158" s="2"/>
      <c r="Y158" s="2"/>
      <c r="Z158" s="2"/>
    </row>
    <row r="159">
      <c r="A159" s="5"/>
      <c r="B159" s="5"/>
      <c r="C159" s="5"/>
      <c r="D159" s="5"/>
      <c r="E159" s="2"/>
      <c r="F159" s="2"/>
      <c r="G159" s="2"/>
      <c r="H159" s="2"/>
      <c r="I159" s="2"/>
      <c r="J159" s="2"/>
      <c r="K159" s="2"/>
      <c r="L159" s="2"/>
      <c r="M159" s="2"/>
      <c r="N159" s="2"/>
      <c r="O159" s="2"/>
      <c r="P159" s="2"/>
      <c r="Q159" s="2"/>
      <c r="R159" s="2"/>
      <c r="S159" s="2"/>
      <c r="T159" s="2"/>
      <c r="U159" s="2"/>
      <c r="V159" s="2"/>
      <c r="W159" s="2"/>
      <c r="X159" s="2"/>
      <c r="Y159" s="2"/>
      <c r="Z159" s="2"/>
    </row>
    <row r="160">
      <c r="A160" s="5"/>
      <c r="B160" s="5"/>
      <c r="C160" s="5"/>
      <c r="D160" s="5"/>
      <c r="E160" s="2"/>
      <c r="F160" s="2"/>
      <c r="G160" s="2"/>
      <c r="H160" s="2"/>
      <c r="I160" s="2"/>
      <c r="J160" s="2"/>
      <c r="K160" s="2"/>
      <c r="L160" s="2"/>
      <c r="M160" s="2"/>
      <c r="N160" s="2"/>
      <c r="O160" s="2"/>
      <c r="P160" s="2"/>
      <c r="Q160" s="2"/>
      <c r="R160" s="2"/>
      <c r="S160" s="2"/>
      <c r="T160" s="2"/>
      <c r="U160" s="2"/>
      <c r="V160" s="2"/>
      <c r="W160" s="2"/>
      <c r="X160" s="2"/>
      <c r="Y160" s="2"/>
      <c r="Z160" s="2"/>
    </row>
    <row r="161">
      <c r="A161" s="5"/>
      <c r="B161" s="5"/>
      <c r="C161" s="5"/>
      <c r="D161" s="5"/>
      <c r="E161" s="2"/>
      <c r="F161" s="2"/>
      <c r="G161" s="2"/>
      <c r="H161" s="2"/>
      <c r="I161" s="2"/>
      <c r="J161" s="2"/>
      <c r="K161" s="2"/>
      <c r="L161" s="2"/>
      <c r="M161" s="2"/>
      <c r="N161" s="2"/>
      <c r="O161" s="2"/>
      <c r="P161" s="2"/>
      <c r="Q161" s="2"/>
      <c r="R161" s="2"/>
      <c r="S161" s="2"/>
      <c r="T161" s="2"/>
      <c r="U161" s="2"/>
      <c r="V161" s="2"/>
      <c r="W161" s="2"/>
      <c r="X161" s="2"/>
      <c r="Y161" s="2"/>
      <c r="Z161" s="2"/>
    </row>
    <row r="162">
      <c r="A162" s="5"/>
      <c r="B162" s="5"/>
      <c r="C162" s="5"/>
      <c r="D162" s="5"/>
      <c r="E162" s="2"/>
      <c r="F162" s="2"/>
      <c r="G162" s="2"/>
      <c r="H162" s="2"/>
      <c r="I162" s="2"/>
      <c r="J162" s="2"/>
      <c r="K162" s="2"/>
      <c r="L162" s="2"/>
      <c r="M162" s="2"/>
      <c r="N162" s="2"/>
      <c r="O162" s="2"/>
      <c r="P162" s="2"/>
      <c r="Q162" s="2"/>
      <c r="R162" s="2"/>
      <c r="S162" s="2"/>
      <c r="T162" s="2"/>
      <c r="U162" s="2"/>
      <c r="V162" s="2"/>
      <c r="W162" s="2"/>
      <c r="X162" s="2"/>
      <c r="Y162" s="2"/>
      <c r="Z162" s="2"/>
    </row>
    <row r="163">
      <c r="A163" s="5"/>
      <c r="B163" s="5"/>
      <c r="C163" s="5"/>
      <c r="D163" s="5"/>
      <c r="E163" s="2"/>
      <c r="F163" s="2"/>
      <c r="G163" s="2"/>
      <c r="H163" s="2"/>
      <c r="I163" s="2"/>
      <c r="J163" s="2"/>
      <c r="K163" s="2"/>
      <c r="L163" s="2"/>
      <c r="M163" s="2"/>
      <c r="N163" s="2"/>
      <c r="O163" s="2"/>
      <c r="P163" s="2"/>
      <c r="Q163" s="2"/>
      <c r="R163" s="2"/>
      <c r="S163" s="2"/>
      <c r="T163" s="2"/>
      <c r="U163" s="2"/>
      <c r="V163" s="2"/>
      <c r="W163" s="2"/>
      <c r="X163" s="2"/>
      <c r="Y163" s="2"/>
      <c r="Z163" s="2"/>
    </row>
    <row r="164">
      <c r="A164" s="5"/>
      <c r="B164" s="5"/>
      <c r="C164" s="5"/>
      <c r="D164" s="5"/>
      <c r="E164" s="2"/>
      <c r="F164" s="2"/>
      <c r="G164" s="2"/>
      <c r="H164" s="2"/>
      <c r="I164" s="2"/>
      <c r="J164" s="2"/>
      <c r="K164" s="2"/>
      <c r="L164" s="2"/>
      <c r="M164" s="2"/>
      <c r="N164" s="2"/>
      <c r="O164" s="2"/>
      <c r="P164" s="2"/>
      <c r="Q164" s="2"/>
      <c r="R164" s="2"/>
      <c r="S164" s="2"/>
      <c r="T164" s="2"/>
      <c r="U164" s="2"/>
      <c r="V164" s="2"/>
      <c r="W164" s="2"/>
      <c r="X164" s="2"/>
      <c r="Y164" s="2"/>
      <c r="Z164" s="2"/>
    </row>
    <row r="165">
      <c r="A165" s="5"/>
      <c r="B165" s="5"/>
      <c r="C165" s="5"/>
      <c r="D165" s="5"/>
      <c r="E165" s="2"/>
      <c r="F165" s="2"/>
      <c r="G165" s="2"/>
      <c r="H165" s="2"/>
      <c r="I165" s="2"/>
      <c r="J165" s="2"/>
      <c r="K165" s="2"/>
      <c r="L165" s="2"/>
      <c r="M165" s="2"/>
      <c r="N165" s="2"/>
      <c r="O165" s="2"/>
      <c r="P165" s="2"/>
      <c r="Q165" s="2"/>
      <c r="R165" s="2"/>
      <c r="S165" s="2"/>
      <c r="T165" s="2"/>
      <c r="U165" s="2"/>
      <c r="V165" s="2"/>
      <c r="W165" s="2"/>
      <c r="X165" s="2"/>
      <c r="Y165" s="2"/>
      <c r="Z165" s="2"/>
    </row>
    <row r="166">
      <c r="A166" s="5"/>
      <c r="B166" s="5"/>
      <c r="C166" s="5"/>
      <c r="D166" s="5"/>
      <c r="E166" s="2"/>
      <c r="F166" s="2"/>
      <c r="G166" s="2"/>
      <c r="H166" s="2"/>
      <c r="I166" s="2"/>
      <c r="J166" s="2"/>
      <c r="K166" s="2"/>
      <c r="L166" s="2"/>
      <c r="M166" s="2"/>
      <c r="N166" s="2"/>
      <c r="O166" s="2"/>
      <c r="P166" s="2"/>
      <c r="Q166" s="2"/>
      <c r="R166" s="2"/>
      <c r="S166" s="2"/>
      <c r="T166" s="2"/>
      <c r="U166" s="2"/>
      <c r="V166" s="2"/>
      <c r="W166" s="2"/>
      <c r="X166" s="2"/>
      <c r="Y166" s="2"/>
      <c r="Z166" s="2"/>
    </row>
    <row r="167">
      <c r="A167" s="5"/>
      <c r="B167" s="5"/>
      <c r="C167" s="5"/>
      <c r="D167" s="5"/>
      <c r="E167" s="2"/>
      <c r="F167" s="2"/>
      <c r="G167" s="2"/>
      <c r="H167" s="2"/>
      <c r="I167" s="2"/>
      <c r="J167" s="2"/>
      <c r="K167" s="2"/>
      <c r="L167" s="2"/>
      <c r="M167" s="2"/>
      <c r="N167" s="2"/>
      <c r="O167" s="2"/>
      <c r="P167" s="2"/>
      <c r="Q167" s="2"/>
      <c r="R167" s="2"/>
      <c r="S167" s="2"/>
      <c r="T167" s="2"/>
      <c r="U167" s="2"/>
      <c r="V167" s="2"/>
      <c r="W167" s="2"/>
      <c r="X167" s="2"/>
      <c r="Y167" s="2"/>
      <c r="Z167" s="2"/>
    </row>
    <row r="168">
      <c r="A168" s="5"/>
      <c r="B168" s="5"/>
      <c r="C168" s="5"/>
      <c r="D168" s="5"/>
      <c r="E168" s="2"/>
      <c r="F168" s="2"/>
      <c r="G168" s="2"/>
      <c r="H168" s="2"/>
      <c r="I168" s="2"/>
      <c r="J168" s="2"/>
      <c r="K168" s="2"/>
      <c r="L168" s="2"/>
      <c r="M168" s="2"/>
      <c r="N168" s="2"/>
      <c r="O168" s="2"/>
      <c r="P168" s="2"/>
      <c r="Q168" s="2"/>
      <c r="R168" s="2"/>
      <c r="S168" s="2"/>
      <c r="T168" s="2"/>
      <c r="U168" s="2"/>
      <c r="V168" s="2"/>
      <c r="W168" s="2"/>
      <c r="X168" s="2"/>
      <c r="Y168" s="2"/>
      <c r="Z168" s="2"/>
    </row>
    <row r="169">
      <c r="A169" s="5"/>
      <c r="B169" s="5"/>
      <c r="C169" s="5"/>
      <c r="D169" s="5"/>
      <c r="E169" s="2"/>
      <c r="F169" s="2"/>
      <c r="G169" s="2"/>
      <c r="H169" s="2"/>
      <c r="I169" s="2"/>
      <c r="J169" s="2"/>
      <c r="K169" s="2"/>
      <c r="L169" s="2"/>
      <c r="M169" s="2"/>
      <c r="N169" s="2"/>
      <c r="O169" s="2"/>
      <c r="P169" s="2"/>
      <c r="Q169" s="2"/>
      <c r="R169" s="2"/>
      <c r="S169" s="2"/>
      <c r="T169" s="2"/>
      <c r="U169" s="2"/>
      <c r="V169" s="2"/>
      <c r="W169" s="2"/>
      <c r="X169" s="2"/>
      <c r="Y169" s="2"/>
      <c r="Z169" s="2"/>
    </row>
    <row r="170">
      <c r="A170" s="5"/>
      <c r="B170" s="5"/>
      <c r="C170" s="5"/>
      <c r="D170" s="5"/>
      <c r="E170" s="2"/>
      <c r="F170" s="2"/>
      <c r="G170" s="2"/>
      <c r="H170" s="2"/>
      <c r="I170" s="2"/>
      <c r="J170" s="2"/>
      <c r="K170" s="2"/>
      <c r="L170" s="2"/>
      <c r="M170" s="2"/>
      <c r="N170" s="2"/>
      <c r="O170" s="2"/>
      <c r="P170" s="2"/>
      <c r="Q170" s="2"/>
      <c r="R170" s="2"/>
      <c r="S170" s="2"/>
      <c r="T170" s="2"/>
      <c r="U170" s="2"/>
      <c r="V170" s="2"/>
      <c r="W170" s="2"/>
      <c r="X170" s="2"/>
      <c r="Y170" s="2"/>
      <c r="Z170" s="2"/>
    </row>
    <row r="171">
      <c r="A171" s="5"/>
      <c r="B171" s="5"/>
      <c r="C171" s="5"/>
      <c r="D171" s="5"/>
      <c r="E171" s="2"/>
      <c r="F171" s="2"/>
      <c r="G171" s="2"/>
      <c r="H171" s="2"/>
      <c r="I171" s="2"/>
      <c r="J171" s="2"/>
      <c r="K171" s="2"/>
      <c r="L171" s="2"/>
      <c r="M171" s="2"/>
      <c r="N171" s="2"/>
      <c r="O171" s="2"/>
      <c r="P171" s="2"/>
      <c r="Q171" s="2"/>
      <c r="R171" s="2"/>
      <c r="S171" s="2"/>
      <c r="T171" s="2"/>
      <c r="U171" s="2"/>
      <c r="V171" s="2"/>
      <c r="W171" s="2"/>
      <c r="X171" s="2"/>
      <c r="Y171" s="2"/>
      <c r="Z171" s="2"/>
    </row>
    <row r="172">
      <c r="A172" s="5"/>
      <c r="B172" s="5"/>
      <c r="C172" s="5"/>
      <c r="D172" s="5"/>
      <c r="E172" s="2"/>
      <c r="F172" s="2"/>
      <c r="G172" s="2"/>
      <c r="H172" s="2"/>
      <c r="I172" s="2"/>
      <c r="J172" s="2"/>
      <c r="K172" s="2"/>
      <c r="L172" s="2"/>
      <c r="M172" s="2"/>
      <c r="N172" s="2"/>
      <c r="O172" s="2"/>
      <c r="P172" s="2"/>
      <c r="Q172" s="2"/>
      <c r="R172" s="2"/>
      <c r="S172" s="2"/>
      <c r="T172" s="2"/>
      <c r="U172" s="2"/>
      <c r="V172" s="2"/>
      <c r="W172" s="2"/>
      <c r="X172" s="2"/>
      <c r="Y172" s="2"/>
      <c r="Z172" s="2"/>
    </row>
    <row r="173">
      <c r="A173" s="5"/>
      <c r="B173" s="5"/>
      <c r="C173" s="5"/>
      <c r="D173" s="5"/>
      <c r="E173" s="2"/>
      <c r="F173" s="2"/>
      <c r="G173" s="2"/>
      <c r="H173" s="2"/>
      <c r="I173" s="2"/>
      <c r="J173" s="2"/>
      <c r="K173" s="2"/>
      <c r="L173" s="2"/>
      <c r="M173" s="2"/>
      <c r="N173" s="2"/>
      <c r="O173" s="2"/>
      <c r="P173" s="2"/>
      <c r="Q173" s="2"/>
      <c r="R173" s="2"/>
      <c r="S173" s="2"/>
      <c r="T173" s="2"/>
      <c r="U173" s="2"/>
      <c r="V173" s="2"/>
      <c r="W173" s="2"/>
      <c r="X173" s="2"/>
      <c r="Y173" s="2"/>
      <c r="Z173" s="2"/>
    </row>
    <row r="174">
      <c r="A174" s="5"/>
      <c r="B174" s="5"/>
      <c r="C174" s="5"/>
      <c r="D174" s="5"/>
      <c r="E174" s="2"/>
      <c r="F174" s="2"/>
      <c r="G174" s="2"/>
      <c r="H174" s="2"/>
      <c r="I174" s="2"/>
      <c r="J174" s="2"/>
      <c r="K174" s="2"/>
      <c r="L174" s="2"/>
      <c r="M174" s="2"/>
      <c r="N174" s="2"/>
      <c r="O174" s="2"/>
      <c r="P174" s="2"/>
      <c r="Q174" s="2"/>
      <c r="R174" s="2"/>
      <c r="S174" s="2"/>
      <c r="T174" s="2"/>
      <c r="U174" s="2"/>
      <c r="V174" s="2"/>
      <c r="W174" s="2"/>
      <c r="X174" s="2"/>
      <c r="Y174" s="2"/>
      <c r="Z174" s="2"/>
    </row>
    <row r="175">
      <c r="A175" s="5"/>
      <c r="B175" s="5"/>
      <c r="C175" s="5"/>
      <c r="D175" s="5"/>
      <c r="E175" s="2"/>
      <c r="F175" s="2"/>
      <c r="G175" s="2"/>
      <c r="H175" s="2"/>
      <c r="I175" s="2"/>
      <c r="J175" s="2"/>
      <c r="K175" s="2"/>
      <c r="L175" s="2"/>
      <c r="M175" s="2"/>
      <c r="N175" s="2"/>
      <c r="O175" s="2"/>
      <c r="P175" s="2"/>
      <c r="Q175" s="2"/>
      <c r="R175" s="2"/>
      <c r="S175" s="2"/>
      <c r="T175" s="2"/>
      <c r="U175" s="2"/>
      <c r="V175" s="2"/>
      <c r="W175" s="2"/>
      <c r="X175" s="2"/>
      <c r="Y175" s="2"/>
      <c r="Z175" s="2"/>
    </row>
    <row r="176">
      <c r="A176" s="5"/>
      <c r="B176" s="5"/>
      <c r="C176" s="5"/>
      <c r="D176" s="5"/>
      <c r="E176" s="2"/>
      <c r="F176" s="2"/>
      <c r="G176" s="2"/>
      <c r="H176" s="2"/>
      <c r="I176" s="2"/>
      <c r="J176" s="2"/>
      <c r="K176" s="2"/>
      <c r="L176" s="2"/>
      <c r="M176" s="2"/>
      <c r="N176" s="2"/>
      <c r="O176" s="2"/>
      <c r="P176" s="2"/>
      <c r="Q176" s="2"/>
      <c r="R176" s="2"/>
      <c r="S176" s="2"/>
      <c r="T176" s="2"/>
      <c r="U176" s="2"/>
      <c r="V176" s="2"/>
      <c r="W176" s="2"/>
      <c r="X176" s="2"/>
      <c r="Y176" s="2"/>
      <c r="Z176" s="2"/>
    </row>
    <row r="177">
      <c r="A177" s="5"/>
      <c r="B177" s="5"/>
      <c r="C177" s="5"/>
      <c r="D177" s="5"/>
      <c r="E177" s="2"/>
      <c r="F177" s="2"/>
      <c r="G177" s="2"/>
      <c r="H177" s="2"/>
      <c r="I177" s="2"/>
      <c r="J177" s="2"/>
      <c r="K177" s="2"/>
      <c r="L177" s="2"/>
      <c r="M177" s="2"/>
      <c r="N177" s="2"/>
      <c r="O177" s="2"/>
      <c r="P177" s="2"/>
      <c r="Q177" s="2"/>
      <c r="R177" s="2"/>
      <c r="S177" s="2"/>
      <c r="T177" s="2"/>
      <c r="U177" s="2"/>
      <c r="V177" s="2"/>
      <c r="W177" s="2"/>
      <c r="X177" s="2"/>
      <c r="Y177" s="2"/>
      <c r="Z177" s="2"/>
    </row>
    <row r="178">
      <c r="A178" s="5"/>
      <c r="B178" s="5"/>
      <c r="C178" s="5"/>
      <c r="D178" s="5"/>
      <c r="E178" s="2"/>
      <c r="F178" s="2"/>
      <c r="G178" s="2"/>
      <c r="H178" s="2"/>
      <c r="I178" s="2"/>
      <c r="J178" s="2"/>
      <c r="K178" s="2"/>
      <c r="L178" s="2"/>
      <c r="M178" s="2"/>
      <c r="N178" s="2"/>
      <c r="O178" s="2"/>
      <c r="P178" s="2"/>
      <c r="Q178" s="2"/>
      <c r="R178" s="2"/>
      <c r="S178" s="2"/>
      <c r="T178" s="2"/>
      <c r="U178" s="2"/>
      <c r="V178" s="2"/>
      <c r="W178" s="2"/>
      <c r="X178" s="2"/>
      <c r="Y178" s="2"/>
      <c r="Z178" s="2"/>
    </row>
    <row r="179">
      <c r="A179" s="5"/>
      <c r="B179" s="5"/>
      <c r="C179" s="5"/>
      <c r="D179" s="5"/>
      <c r="E179" s="2"/>
      <c r="F179" s="2"/>
      <c r="G179" s="2"/>
      <c r="H179" s="2"/>
      <c r="I179" s="2"/>
      <c r="J179" s="2"/>
      <c r="K179" s="2"/>
      <c r="L179" s="2"/>
      <c r="M179" s="2"/>
      <c r="N179" s="2"/>
      <c r="O179" s="2"/>
      <c r="P179" s="2"/>
      <c r="Q179" s="2"/>
      <c r="R179" s="2"/>
      <c r="S179" s="2"/>
      <c r="T179" s="2"/>
      <c r="U179" s="2"/>
      <c r="V179" s="2"/>
      <c r="W179" s="2"/>
      <c r="X179" s="2"/>
      <c r="Y179" s="2"/>
      <c r="Z179" s="2"/>
    </row>
    <row r="180">
      <c r="A180" s="5"/>
      <c r="B180" s="5"/>
      <c r="C180" s="5"/>
      <c r="D180" s="5"/>
      <c r="E180" s="2"/>
      <c r="F180" s="2"/>
      <c r="G180" s="2"/>
      <c r="H180" s="2"/>
      <c r="I180" s="2"/>
      <c r="J180" s="2"/>
      <c r="K180" s="2"/>
      <c r="L180" s="2"/>
      <c r="M180" s="2"/>
      <c r="N180" s="2"/>
      <c r="O180" s="2"/>
      <c r="P180" s="2"/>
      <c r="Q180" s="2"/>
      <c r="R180" s="2"/>
      <c r="S180" s="2"/>
      <c r="T180" s="2"/>
      <c r="U180" s="2"/>
      <c r="V180" s="2"/>
      <c r="W180" s="2"/>
      <c r="X180" s="2"/>
      <c r="Y180" s="2"/>
      <c r="Z180" s="2"/>
    </row>
    <row r="181">
      <c r="A181" s="5"/>
      <c r="B181" s="5"/>
      <c r="C181" s="5"/>
      <c r="D181" s="5"/>
      <c r="E181" s="2"/>
      <c r="F181" s="2"/>
      <c r="G181" s="2"/>
      <c r="H181" s="2"/>
      <c r="I181" s="2"/>
      <c r="J181" s="2"/>
      <c r="K181" s="2"/>
      <c r="L181" s="2"/>
      <c r="M181" s="2"/>
      <c r="N181" s="2"/>
      <c r="O181" s="2"/>
      <c r="P181" s="2"/>
      <c r="Q181" s="2"/>
      <c r="R181" s="2"/>
      <c r="S181" s="2"/>
      <c r="T181" s="2"/>
      <c r="U181" s="2"/>
      <c r="V181" s="2"/>
      <c r="W181" s="2"/>
      <c r="X181" s="2"/>
      <c r="Y181" s="2"/>
      <c r="Z181" s="2"/>
    </row>
    <row r="182">
      <c r="A182" s="5"/>
      <c r="B182" s="5"/>
      <c r="C182" s="5"/>
      <c r="D182" s="5"/>
      <c r="E182" s="2"/>
      <c r="F182" s="2"/>
      <c r="G182" s="2"/>
      <c r="H182" s="2"/>
      <c r="I182" s="2"/>
      <c r="J182" s="2"/>
      <c r="K182" s="2"/>
      <c r="L182" s="2"/>
      <c r="M182" s="2"/>
      <c r="N182" s="2"/>
      <c r="O182" s="2"/>
      <c r="P182" s="2"/>
      <c r="Q182" s="2"/>
      <c r="R182" s="2"/>
      <c r="S182" s="2"/>
      <c r="T182" s="2"/>
      <c r="U182" s="2"/>
      <c r="V182" s="2"/>
      <c r="W182" s="2"/>
      <c r="X182" s="2"/>
      <c r="Y182" s="2"/>
      <c r="Z182" s="2"/>
    </row>
    <row r="183">
      <c r="A183" s="5"/>
      <c r="B183" s="5"/>
      <c r="C183" s="5"/>
      <c r="D183" s="5"/>
      <c r="E183" s="2"/>
      <c r="F183" s="2"/>
      <c r="G183" s="2"/>
      <c r="H183" s="2"/>
      <c r="I183" s="2"/>
      <c r="J183" s="2"/>
      <c r="K183" s="2"/>
      <c r="L183" s="2"/>
      <c r="M183" s="2"/>
      <c r="N183" s="2"/>
      <c r="O183" s="2"/>
      <c r="P183" s="2"/>
      <c r="Q183" s="2"/>
      <c r="R183" s="2"/>
      <c r="S183" s="2"/>
      <c r="T183" s="2"/>
      <c r="U183" s="2"/>
      <c r="V183" s="2"/>
      <c r="W183" s="2"/>
      <c r="X183" s="2"/>
      <c r="Y183" s="2"/>
      <c r="Z183" s="2"/>
    </row>
    <row r="184">
      <c r="A184" s="5"/>
      <c r="B184" s="5"/>
      <c r="C184" s="5"/>
      <c r="D184" s="5"/>
      <c r="E184" s="2"/>
      <c r="F184" s="2"/>
      <c r="G184" s="2"/>
      <c r="H184" s="2"/>
      <c r="I184" s="2"/>
      <c r="J184" s="2"/>
      <c r="K184" s="2"/>
      <c r="L184" s="2"/>
      <c r="M184" s="2"/>
      <c r="N184" s="2"/>
      <c r="O184" s="2"/>
      <c r="P184" s="2"/>
      <c r="Q184" s="2"/>
      <c r="R184" s="2"/>
      <c r="S184" s="2"/>
      <c r="T184" s="2"/>
      <c r="U184" s="2"/>
      <c r="V184" s="2"/>
      <c r="W184" s="2"/>
      <c r="X184" s="2"/>
      <c r="Y184" s="2"/>
      <c r="Z184" s="2"/>
    </row>
    <row r="185">
      <c r="A185" s="5"/>
      <c r="B185" s="5"/>
      <c r="C185" s="5"/>
      <c r="D185" s="5"/>
      <c r="E185" s="2"/>
      <c r="F185" s="2"/>
      <c r="G185" s="2"/>
      <c r="H185" s="2"/>
      <c r="I185" s="2"/>
      <c r="J185" s="2"/>
      <c r="K185" s="2"/>
      <c r="L185" s="2"/>
      <c r="M185" s="2"/>
      <c r="N185" s="2"/>
      <c r="O185" s="2"/>
      <c r="P185" s="2"/>
      <c r="Q185" s="2"/>
      <c r="R185" s="2"/>
      <c r="S185" s="2"/>
      <c r="T185" s="2"/>
      <c r="U185" s="2"/>
      <c r="V185" s="2"/>
      <c r="W185" s="2"/>
      <c r="X185" s="2"/>
      <c r="Y185" s="2"/>
      <c r="Z185" s="2"/>
    </row>
    <row r="186">
      <c r="A186" s="5"/>
      <c r="B186" s="5"/>
      <c r="C186" s="5"/>
      <c r="D186" s="5"/>
      <c r="E186" s="2"/>
      <c r="F186" s="2"/>
      <c r="G186" s="2"/>
      <c r="H186" s="2"/>
      <c r="I186" s="2"/>
      <c r="J186" s="2"/>
      <c r="K186" s="2"/>
      <c r="L186" s="2"/>
      <c r="M186" s="2"/>
      <c r="N186" s="2"/>
      <c r="O186" s="2"/>
      <c r="P186" s="2"/>
      <c r="Q186" s="2"/>
      <c r="R186" s="2"/>
      <c r="S186" s="2"/>
      <c r="T186" s="2"/>
      <c r="U186" s="2"/>
      <c r="V186" s="2"/>
      <c r="W186" s="2"/>
      <c r="X186" s="2"/>
      <c r="Y186" s="2"/>
      <c r="Z186" s="2"/>
    </row>
    <row r="187">
      <c r="A187" s="5"/>
      <c r="B187" s="5"/>
      <c r="C187" s="5"/>
      <c r="D187" s="5"/>
      <c r="E187" s="2"/>
      <c r="F187" s="2"/>
      <c r="G187" s="2"/>
      <c r="H187" s="2"/>
      <c r="I187" s="2"/>
      <c r="J187" s="2"/>
      <c r="K187" s="2"/>
      <c r="L187" s="2"/>
      <c r="M187" s="2"/>
      <c r="N187" s="2"/>
      <c r="O187" s="2"/>
      <c r="P187" s="2"/>
      <c r="Q187" s="2"/>
      <c r="R187" s="2"/>
      <c r="S187" s="2"/>
      <c r="T187" s="2"/>
      <c r="U187" s="2"/>
      <c r="V187" s="2"/>
      <c r="W187" s="2"/>
      <c r="X187" s="2"/>
      <c r="Y187" s="2"/>
      <c r="Z187" s="2"/>
    </row>
    <row r="188">
      <c r="A188" s="5"/>
      <c r="B188" s="5"/>
      <c r="C188" s="5"/>
      <c r="D188" s="5"/>
      <c r="E188" s="2"/>
      <c r="F188" s="2"/>
      <c r="G188" s="2"/>
      <c r="H188" s="2"/>
      <c r="I188" s="2"/>
      <c r="J188" s="2"/>
      <c r="K188" s="2"/>
      <c r="L188" s="2"/>
      <c r="M188" s="2"/>
      <c r="N188" s="2"/>
      <c r="O188" s="2"/>
      <c r="P188" s="2"/>
      <c r="Q188" s="2"/>
      <c r="R188" s="2"/>
      <c r="S188" s="2"/>
      <c r="T188" s="2"/>
      <c r="U188" s="2"/>
      <c r="V188" s="2"/>
      <c r="W188" s="2"/>
      <c r="X188" s="2"/>
      <c r="Y188" s="2"/>
      <c r="Z188" s="2"/>
    </row>
    <row r="189">
      <c r="A189" s="5"/>
      <c r="B189" s="5"/>
      <c r="C189" s="5"/>
      <c r="D189" s="5"/>
      <c r="E189" s="2"/>
      <c r="F189" s="2"/>
      <c r="G189" s="2"/>
      <c r="H189" s="2"/>
      <c r="I189" s="2"/>
      <c r="J189" s="2"/>
      <c r="K189" s="2"/>
      <c r="L189" s="2"/>
      <c r="M189" s="2"/>
      <c r="N189" s="2"/>
      <c r="O189" s="2"/>
      <c r="P189" s="2"/>
      <c r="Q189" s="2"/>
      <c r="R189" s="2"/>
      <c r="S189" s="2"/>
      <c r="T189" s="2"/>
      <c r="U189" s="2"/>
      <c r="V189" s="2"/>
      <c r="W189" s="2"/>
      <c r="X189" s="2"/>
      <c r="Y189" s="2"/>
      <c r="Z189" s="2"/>
    </row>
    <row r="190">
      <c r="A190" s="5"/>
      <c r="B190" s="5"/>
      <c r="C190" s="5"/>
      <c r="D190" s="5"/>
      <c r="E190" s="2"/>
      <c r="F190" s="2"/>
      <c r="G190" s="2"/>
      <c r="H190" s="2"/>
      <c r="I190" s="2"/>
      <c r="J190" s="2"/>
      <c r="K190" s="2"/>
      <c r="L190" s="2"/>
      <c r="M190" s="2"/>
      <c r="N190" s="2"/>
      <c r="O190" s="2"/>
      <c r="P190" s="2"/>
      <c r="Q190" s="2"/>
      <c r="R190" s="2"/>
      <c r="S190" s="2"/>
      <c r="T190" s="2"/>
      <c r="U190" s="2"/>
      <c r="V190" s="2"/>
      <c r="W190" s="2"/>
      <c r="X190" s="2"/>
      <c r="Y190" s="2"/>
      <c r="Z190" s="2"/>
    </row>
    <row r="191">
      <c r="A191" s="5"/>
      <c r="B191" s="5"/>
      <c r="C191" s="5"/>
      <c r="D191" s="5"/>
      <c r="E191" s="2"/>
      <c r="F191" s="2"/>
      <c r="G191" s="2"/>
      <c r="H191" s="2"/>
      <c r="I191" s="2"/>
      <c r="J191" s="2"/>
      <c r="K191" s="2"/>
      <c r="L191" s="2"/>
      <c r="M191" s="2"/>
      <c r="N191" s="2"/>
      <c r="O191" s="2"/>
      <c r="P191" s="2"/>
      <c r="Q191" s="2"/>
      <c r="R191" s="2"/>
      <c r="S191" s="2"/>
      <c r="T191" s="2"/>
      <c r="U191" s="2"/>
      <c r="V191" s="2"/>
      <c r="W191" s="2"/>
      <c r="X191" s="2"/>
      <c r="Y191" s="2"/>
      <c r="Z191" s="2"/>
    </row>
    <row r="192">
      <c r="A192" s="5"/>
      <c r="B192" s="5"/>
      <c r="C192" s="5"/>
      <c r="D192" s="5"/>
      <c r="E192" s="2"/>
      <c r="F192" s="2"/>
      <c r="G192" s="2"/>
      <c r="H192" s="2"/>
      <c r="I192" s="2"/>
      <c r="J192" s="2"/>
      <c r="K192" s="2"/>
      <c r="L192" s="2"/>
      <c r="M192" s="2"/>
      <c r="N192" s="2"/>
      <c r="O192" s="2"/>
      <c r="P192" s="2"/>
      <c r="Q192" s="2"/>
      <c r="R192" s="2"/>
      <c r="S192" s="2"/>
      <c r="T192" s="2"/>
      <c r="U192" s="2"/>
      <c r="V192" s="2"/>
      <c r="W192" s="2"/>
      <c r="X192" s="2"/>
      <c r="Y192" s="2"/>
      <c r="Z192" s="2"/>
    </row>
    <row r="193">
      <c r="A193" s="5"/>
      <c r="B193" s="5"/>
      <c r="C193" s="5"/>
      <c r="D193" s="5"/>
      <c r="E193" s="2"/>
      <c r="F193" s="2"/>
      <c r="G193" s="2"/>
      <c r="H193" s="2"/>
      <c r="I193" s="2"/>
      <c r="J193" s="2"/>
      <c r="K193" s="2"/>
      <c r="L193" s="2"/>
      <c r="M193" s="2"/>
      <c r="N193" s="2"/>
      <c r="O193" s="2"/>
      <c r="P193" s="2"/>
      <c r="Q193" s="2"/>
      <c r="R193" s="2"/>
      <c r="S193" s="2"/>
      <c r="T193" s="2"/>
      <c r="U193" s="2"/>
      <c r="V193" s="2"/>
      <c r="W193" s="2"/>
      <c r="X193" s="2"/>
      <c r="Y193" s="2"/>
      <c r="Z193" s="2"/>
    </row>
    <row r="194">
      <c r="A194" s="5"/>
      <c r="B194" s="5"/>
      <c r="C194" s="5"/>
      <c r="D194" s="5"/>
      <c r="E194" s="2"/>
      <c r="F194" s="2"/>
      <c r="G194" s="2"/>
      <c r="H194" s="2"/>
      <c r="I194" s="2"/>
      <c r="J194" s="2"/>
      <c r="K194" s="2"/>
      <c r="L194" s="2"/>
      <c r="M194" s="2"/>
      <c r="N194" s="2"/>
      <c r="O194" s="2"/>
      <c r="P194" s="2"/>
      <c r="Q194" s="2"/>
      <c r="R194" s="2"/>
      <c r="S194" s="2"/>
      <c r="T194" s="2"/>
      <c r="U194" s="2"/>
      <c r="V194" s="2"/>
      <c r="W194" s="2"/>
      <c r="X194" s="2"/>
      <c r="Y194" s="2"/>
      <c r="Z194" s="2"/>
    </row>
    <row r="195">
      <c r="A195" s="5"/>
      <c r="B195" s="5"/>
      <c r="C195" s="5"/>
      <c r="D195" s="5"/>
      <c r="E195" s="2"/>
      <c r="F195" s="2"/>
      <c r="G195" s="2"/>
      <c r="H195" s="2"/>
      <c r="I195" s="2"/>
      <c r="J195" s="2"/>
      <c r="K195" s="2"/>
      <c r="L195" s="2"/>
      <c r="M195" s="2"/>
      <c r="N195" s="2"/>
      <c r="O195" s="2"/>
      <c r="P195" s="2"/>
      <c r="Q195" s="2"/>
      <c r="R195" s="2"/>
      <c r="S195" s="2"/>
      <c r="T195" s="2"/>
      <c r="U195" s="2"/>
      <c r="V195" s="2"/>
      <c r="W195" s="2"/>
      <c r="X195" s="2"/>
      <c r="Y195" s="2"/>
      <c r="Z195" s="2"/>
    </row>
    <row r="196">
      <c r="A196" s="5"/>
      <c r="B196" s="5"/>
      <c r="C196" s="5"/>
      <c r="D196" s="5"/>
      <c r="E196" s="2"/>
      <c r="F196" s="2"/>
      <c r="G196" s="2"/>
      <c r="H196" s="2"/>
      <c r="I196" s="2"/>
      <c r="J196" s="2"/>
      <c r="K196" s="2"/>
      <c r="L196" s="2"/>
      <c r="M196" s="2"/>
      <c r="N196" s="2"/>
      <c r="O196" s="2"/>
      <c r="P196" s="2"/>
      <c r="Q196" s="2"/>
      <c r="R196" s="2"/>
      <c r="S196" s="2"/>
      <c r="T196" s="2"/>
      <c r="U196" s="2"/>
      <c r="V196" s="2"/>
      <c r="W196" s="2"/>
      <c r="X196" s="2"/>
      <c r="Y196" s="2"/>
      <c r="Z196" s="2"/>
    </row>
    <row r="197">
      <c r="A197" s="5"/>
      <c r="B197" s="5"/>
      <c r="C197" s="5"/>
      <c r="D197" s="5"/>
      <c r="E197" s="2"/>
      <c r="F197" s="2"/>
      <c r="G197" s="2"/>
      <c r="H197" s="2"/>
      <c r="I197" s="2"/>
      <c r="J197" s="2"/>
      <c r="K197" s="2"/>
      <c r="L197" s="2"/>
      <c r="M197" s="2"/>
      <c r="N197" s="2"/>
      <c r="O197" s="2"/>
      <c r="P197" s="2"/>
      <c r="Q197" s="2"/>
      <c r="R197" s="2"/>
      <c r="S197" s="2"/>
      <c r="T197" s="2"/>
      <c r="U197" s="2"/>
      <c r="V197" s="2"/>
      <c r="W197" s="2"/>
      <c r="X197" s="2"/>
      <c r="Y197" s="2"/>
      <c r="Z197" s="2"/>
    </row>
    <row r="198">
      <c r="A198" s="5"/>
      <c r="B198" s="5"/>
      <c r="C198" s="5"/>
      <c r="D198" s="5"/>
      <c r="E198" s="2"/>
      <c r="F198" s="2"/>
      <c r="G198" s="2"/>
      <c r="H198" s="2"/>
      <c r="I198" s="2"/>
      <c r="J198" s="2"/>
      <c r="K198" s="2"/>
      <c r="L198" s="2"/>
      <c r="M198" s="2"/>
      <c r="N198" s="2"/>
      <c r="O198" s="2"/>
      <c r="P198" s="2"/>
      <c r="Q198" s="2"/>
      <c r="R198" s="2"/>
      <c r="S198" s="2"/>
      <c r="T198" s="2"/>
      <c r="U198" s="2"/>
      <c r="V198" s="2"/>
      <c r="W198" s="2"/>
      <c r="X198" s="2"/>
      <c r="Y198" s="2"/>
      <c r="Z198" s="2"/>
    </row>
    <row r="199">
      <c r="A199" s="5"/>
      <c r="B199" s="5"/>
      <c r="C199" s="5"/>
      <c r="D199" s="5"/>
      <c r="E199" s="2"/>
      <c r="F199" s="2"/>
      <c r="G199" s="2"/>
      <c r="H199" s="2"/>
      <c r="I199" s="2"/>
      <c r="J199" s="2"/>
      <c r="K199" s="2"/>
      <c r="L199" s="2"/>
      <c r="M199" s="2"/>
      <c r="N199" s="2"/>
      <c r="O199" s="2"/>
      <c r="P199" s="2"/>
      <c r="Q199" s="2"/>
      <c r="R199" s="2"/>
      <c r="S199" s="2"/>
      <c r="T199" s="2"/>
      <c r="U199" s="2"/>
      <c r="V199" s="2"/>
      <c r="W199" s="2"/>
      <c r="X199" s="2"/>
      <c r="Y199" s="2"/>
      <c r="Z199" s="2"/>
    </row>
    <row r="200">
      <c r="A200" s="5"/>
      <c r="B200" s="5"/>
      <c r="C200" s="5"/>
      <c r="D200" s="5"/>
      <c r="E200" s="2"/>
      <c r="F200" s="2"/>
      <c r="G200" s="2"/>
      <c r="H200" s="2"/>
      <c r="I200" s="2"/>
      <c r="J200" s="2"/>
      <c r="K200" s="2"/>
      <c r="L200" s="2"/>
      <c r="M200" s="2"/>
      <c r="N200" s="2"/>
      <c r="O200" s="2"/>
      <c r="P200" s="2"/>
      <c r="Q200" s="2"/>
      <c r="R200" s="2"/>
      <c r="S200" s="2"/>
      <c r="T200" s="2"/>
      <c r="U200" s="2"/>
      <c r="V200" s="2"/>
      <c r="W200" s="2"/>
      <c r="X200" s="2"/>
      <c r="Y200" s="2"/>
      <c r="Z200" s="2"/>
    </row>
    <row r="201">
      <c r="A201" s="5"/>
      <c r="B201" s="5"/>
      <c r="C201" s="5"/>
      <c r="D201" s="5"/>
      <c r="E201" s="2"/>
      <c r="F201" s="2"/>
      <c r="G201" s="2"/>
      <c r="H201" s="2"/>
      <c r="I201" s="2"/>
      <c r="J201" s="2"/>
      <c r="K201" s="2"/>
      <c r="L201" s="2"/>
      <c r="M201" s="2"/>
      <c r="N201" s="2"/>
      <c r="O201" s="2"/>
      <c r="P201" s="2"/>
      <c r="Q201" s="2"/>
      <c r="R201" s="2"/>
      <c r="S201" s="2"/>
      <c r="T201" s="2"/>
      <c r="U201" s="2"/>
      <c r="V201" s="2"/>
      <c r="W201" s="2"/>
      <c r="X201" s="2"/>
      <c r="Y201" s="2"/>
      <c r="Z201" s="2"/>
    </row>
    <row r="202">
      <c r="A202" s="5"/>
      <c r="B202" s="5"/>
      <c r="C202" s="5"/>
      <c r="D202" s="5"/>
      <c r="E202" s="2"/>
      <c r="F202" s="2"/>
      <c r="G202" s="2"/>
      <c r="H202" s="2"/>
      <c r="I202" s="2"/>
      <c r="J202" s="2"/>
      <c r="K202" s="2"/>
      <c r="L202" s="2"/>
      <c r="M202" s="2"/>
      <c r="N202" s="2"/>
      <c r="O202" s="2"/>
      <c r="P202" s="2"/>
      <c r="Q202" s="2"/>
      <c r="R202" s="2"/>
      <c r="S202" s="2"/>
      <c r="T202" s="2"/>
      <c r="U202" s="2"/>
      <c r="V202" s="2"/>
      <c r="W202" s="2"/>
      <c r="X202" s="2"/>
      <c r="Y202" s="2"/>
      <c r="Z202" s="2"/>
    </row>
    <row r="203">
      <c r="A203" s="5"/>
      <c r="B203" s="5"/>
      <c r="C203" s="5"/>
      <c r="D203" s="5"/>
      <c r="E203" s="2"/>
      <c r="F203" s="2"/>
      <c r="G203" s="2"/>
      <c r="H203" s="2"/>
      <c r="I203" s="2"/>
      <c r="J203" s="2"/>
      <c r="K203" s="2"/>
      <c r="L203" s="2"/>
      <c r="M203" s="2"/>
      <c r="N203" s="2"/>
      <c r="O203" s="2"/>
      <c r="P203" s="2"/>
      <c r="Q203" s="2"/>
      <c r="R203" s="2"/>
      <c r="S203" s="2"/>
      <c r="T203" s="2"/>
      <c r="U203" s="2"/>
      <c r="V203" s="2"/>
      <c r="W203" s="2"/>
      <c r="X203" s="2"/>
      <c r="Y203" s="2"/>
      <c r="Z203" s="2"/>
    </row>
    <row r="204">
      <c r="A204" s="5"/>
      <c r="B204" s="5"/>
      <c r="C204" s="5"/>
      <c r="D204" s="5"/>
      <c r="E204" s="2"/>
      <c r="F204" s="2"/>
      <c r="G204" s="2"/>
      <c r="H204" s="2"/>
      <c r="I204" s="2"/>
      <c r="J204" s="2"/>
      <c r="K204" s="2"/>
      <c r="L204" s="2"/>
      <c r="M204" s="2"/>
      <c r="N204" s="2"/>
      <c r="O204" s="2"/>
      <c r="P204" s="2"/>
      <c r="Q204" s="2"/>
      <c r="R204" s="2"/>
      <c r="S204" s="2"/>
      <c r="T204" s="2"/>
      <c r="U204" s="2"/>
      <c r="V204" s="2"/>
      <c r="W204" s="2"/>
      <c r="X204" s="2"/>
      <c r="Y204" s="2"/>
      <c r="Z204" s="2"/>
    </row>
    <row r="205">
      <c r="A205" s="5"/>
      <c r="B205" s="5"/>
      <c r="C205" s="5"/>
      <c r="D205" s="5"/>
      <c r="E205" s="2"/>
      <c r="F205" s="2"/>
      <c r="G205" s="2"/>
      <c r="H205" s="2"/>
      <c r="I205" s="2"/>
      <c r="J205" s="2"/>
      <c r="K205" s="2"/>
      <c r="L205" s="2"/>
      <c r="M205" s="2"/>
      <c r="N205" s="2"/>
      <c r="O205" s="2"/>
      <c r="P205" s="2"/>
      <c r="Q205" s="2"/>
      <c r="R205" s="2"/>
      <c r="S205" s="2"/>
      <c r="T205" s="2"/>
      <c r="U205" s="2"/>
      <c r="V205" s="2"/>
      <c r="W205" s="2"/>
      <c r="X205" s="2"/>
      <c r="Y205" s="2"/>
      <c r="Z205" s="2"/>
    </row>
    <row r="206">
      <c r="A206" s="5"/>
      <c r="B206" s="5"/>
      <c r="C206" s="5"/>
      <c r="D206" s="5"/>
      <c r="E206" s="2"/>
      <c r="F206" s="2"/>
      <c r="G206" s="2"/>
      <c r="H206" s="2"/>
      <c r="I206" s="2"/>
      <c r="J206" s="2"/>
      <c r="K206" s="2"/>
      <c r="L206" s="2"/>
      <c r="M206" s="2"/>
      <c r="N206" s="2"/>
      <c r="O206" s="2"/>
      <c r="P206" s="2"/>
      <c r="Q206" s="2"/>
      <c r="R206" s="2"/>
      <c r="S206" s="2"/>
      <c r="T206" s="2"/>
      <c r="U206" s="2"/>
      <c r="V206" s="2"/>
      <c r="W206" s="2"/>
      <c r="X206" s="2"/>
      <c r="Y206" s="2"/>
      <c r="Z206" s="2"/>
    </row>
    <row r="207">
      <c r="A207" s="5"/>
      <c r="B207" s="5"/>
      <c r="C207" s="5"/>
      <c r="D207" s="5"/>
      <c r="E207" s="2"/>
      <c r="F207" s="2"/>
      <c r="G207" s="2"/>
      <c r="H207" s="2"/>
      <c r="I207" s="2"/>
      <c r="J207" s="2"/>
      <c r="K207" s="2"/>
      <c r="L207" s="2"/>
      <c r="M207" s="2"/>
      <c r="N207" s="2"/>
      <c r="O207" s="2"/>
      <c r="P207" s="2"/>
      <c r="Q207" s="2"/>
      <c r="R207" s="2"/>
      <c r="S207" s="2"/>
      <c r="T207" s="2"/>
      <c r="U207" s="2"/>
      <c r="V207" s="2"/>
      <c r="W207" s="2"/>
      <c r="X207" s="2"/>
      <c r="Y207" s="2"/>
      <c r="Z207" s="2"/>
    </row>
    <row r="208">
      <c r="A208" s="5"/>
      <c r="B208" s="5"/>
      <c r="C208" s="5"/>
      <c r="D208" s="5"/>
      <c r="E208" s="2"/>
      <c r="F208" s="2"/>
      <c r="G208" s="2"/>
      <c r="H208" s="2"/>
      <c r="I208" s="2"/>
      <c r="J208" s="2"/>
      <c r="K208" s="2"/>
      <c r="L208" s="2"/>
      <c r="M208" s="2"/>
      <c r="N208" s="2"/>
      <c r="O208" s="2"/>
      <c r="P208" s="2"/>
      <c r="Q208" s="2"/>
      <c r="R208" s="2"/>
      <c r="S208" s="2"/>
      <c r="T208" s="2"/>
      <c r="U208" s="2"/>
      <c r="V208" s="2"/>
      <c r="W208" s="2"/>
      <c r="X208" s="2"/>
      <c r="Y208" s="2"/>
      <c r="Z208" s="2"/>
    </row>
    <row r="209">
      <c r="A209" s="5"/>
      <c r="B209" s="5"/>
      <c r="C209" s="5"/>
      <c r="D209" s="5"/>
      <c r="E209" s="2"/>
      <c r="F209" s="2"/>
      <c r="G209" s="2"/>
      <c r="H209" s="2"/>
      <c r="I209" s="2"/>
      <c r="J209" s="2"/>
      <c r="K209" s="2"/>
      <c r="L209" s="2"/>
      <c r="M209" s="2"/>
      <c r="N209" s="2"/>
      <c r="O209" s="2"/>
      <c r="P209" s="2"/>
      <c r="Q209" s="2"/>
      <c r="R209" s="2"/>
      <c r="S209" s="2"/>
      <c r="T209" s="2"/>
      <c r="U209" s="2"/>
      <c r="V209" s="2"/>
      <c r="W209" s="2"/>
      <c r="X209" s="2"/>
      <c r="Y209" s="2"/>
      <c r="Z209" s="2"/>
    </row>
    <row r="210">
      <c r="A210" s="5"/>
      <c r="B210" s="5"/>
      <c r="C210" s="5"/>
      <c r="D210" s="5"/>
      <c r="E210" s="2"/>
      <c r="F210" s="2"/>
      <c r="G210" s="2"/>
      <c r="H210" s="2"/>
      <c r="I210" s="2"/>
      <c r="J210" s="2"/>
      <c r="K210" s="2"/>
      <c r="L210" s="2"/>
      <c r="M210" s="2"/>
      <c r="N210" s="2"/>
      <c r="O210" s="2"/>
      <c r="P210" s="2"/>
      <c r="Q210" s="2"/>
      <c r="R210" s="2"/>
      <c r="S210" s="2"/>
      <c r="T210" s="2"/>
      <c r="U210" s="2"/>
      <c r="V210" s="2"/>
      <c r="W210" s="2"/>
      <c r="X210" s="2"/>
      <c r="Y210" s="2"/>
      <c r="Z210" s="2"/>
    </row>
    <row r="211">
      <c r="A211" s="5"/>
      <c r="B211" s="5"/>
      <c r="C211" s="5"/>
      <c r="D211" s="5"/>
      <c r="E211" s="2"/>
      <c r="F211" s="2"/>
      <c r="G211" s="2"/>
      <c r="H211" s="2"/>
      <c r="I211" s="2"/>
      <c r="J211" s="2"/>
      <c r="K211" s="2"/>
      <c r="L211" s="2"/>
      <c r="M211" s="2"/>
      <c r="N211" s="2"/>
      <c r="O211" s="2"/>
      <c r="P211" s="2"/>
      <c r="Q211" s="2"/>
      <c r="R211" s="2"/>
      <c r="S211" s="2"/>
      <c r="T211" s="2"/>
      <c r="U211" s="2"/>
      <c r="V211" s="2"/>
      <c r="W211" s="2"/>
      <c r="X211" s="2"/>
      <c r="Y211" s="2"/>
      <c r="Z211" s="2"/>
    </row>
    <row r="212">
      <c r="A212" s="5"/>
      <c r="B212" s="5"/>
      <c r="C212" s="5"/>
      <c r="D212" s="5"/>
      <c r="E212" s="2"/>
      <c r="F212" s="2"/>
      <c r="G212" s="2"/>
      <c r="H212" s="2"/>
      <c r="I212" s="2"/>
      <c r="J212" s="2"/>
      <c r="K212" s="2"/>
      <c r="L212" s="2"/>
      <c r="M212" s="2"/>
      <c r="N212" s="2"/>
      <c r="O212" s="2"/>
      <c r="P212" s="2"/>
      <c r="Q212" s="2"/>
      <c r="R212" s="2"/>
      <c r="S212" s="2"/>
      <c r="T212" s="2"/>
      <c r="U212" s="2"/>
      <c r="V212" s="2"/>
      <c r="W212" s="2"/>
      <c r="X212" s="2"/>
      <c r="Y212" s="2"/>
      <c r="Z212" s="2"/>
    </row>
    <row r="213">
      <c r="A213" s="5"/>
      <c r="B213" s="5"/>
      <c r="C213" s="5"/>
      <c r="D213" s="5"/>
      <c r="E213" s="2"/>
      <c r="F213" s="2"/>
      <c r="G213" s="2"/>
      <c r="H213" s="2"/>
      <c r="I213" s="2"/>
      <c r="J213" s="2"/>
      <c r="K213" s="2"/>
      <c r="L213" s="2"/>
      <c r="M213" s="2"/>
      <c r="N213" s="2"/>
      <c r="O213" s="2"/>
      <c r="P213" s="2"/>
      <c r="Q213" s="2"/>
      <c r="R213" s="2"/>
      <c r="S213" s="2"/>
      <c r="T213" s="2"/>
      <c r="U213" s="2"/>
      <c r="V213" s="2"/>
      <c r="W213" s="2"/>
      <c r="X213" s="2"/>
      <c r="Y213" s="2"/>
      <c r="Z213" s="2"/>
    </row>
    <row r="214">
      <c r="A214" s="5"/>
      <c r="B214" s="5"/>
      <c r="C214" s="5"/>
      <c r="D214" s="5"/>
      <c r="E214" s="2"/>
      <c r="F214" s="2"/>
      <c r="G214" s="2"/>
      <c r="H214" s="2"/>
      <c r="I214" s="2"/>
      <c r="J214" s="2"/>
      <c r="K214" s="2"/>
      <c r="L214" s="2"/>
      <c r="M214" s="2"/>
      <c r="N214" s="2"/>
      <c r="O214" s="2"/>
      <c r="P214" s="2"/>
      <c r="Q214" s="2"/>
      <c r="R214" s="2"/>
      <c r="S214" s="2"/>
      <c r="T214" s="2"/>
      <c r="U214" s="2"/>
      <c r="V214" s="2"/>
      <c r="W214" s="2"/>
      <c r="X214" s="2"/>
      <c r="Y214" s="2"/>
      <c r="Z214" s="2"/>
    </row>
    <row r="215">
      <c r="A215" s="5"/>
      <c r="B215" s="5"/>
      <c r="C215" s="5"/>
      <c r="D215" s="5"/>
      <c r="E215" s="2"/>
      <c r="F215" s="2"/>
      <c r="G215" s="2"/>
      <c r="H215" s="2"/>
      <c r="I215" s="2"/>
      <c r="J215" s="2"/>
      <c r="K215" s="2"/>
      <c r="L215" s="2"/>
      <c r="M215" s="2"/>
      <c r="N215" s="2"/>
      <c r="O215" s="2"/>
      <c r="P215" s="2"/>
      <c r="Q215" s="2"/>
      <c r="R215" s="2"/>
      <c r="S215" s="2"/>
      <c r="T215" s="2"/>
      <c r="U215" s="2"/>
      <c r="V215" s="2"/>
      <c r="W215" s="2"/>
      <c r="X215" s="2"/>
      <c r="Y215" s="2"/>
      <c r="Z215" s="2"/>
    </row>
    <row r="216">
      <c r="A216" s="5"/>
      <c r="B216" s="5"/>
      <c r="C216" s="5"/>
      <c r="D216" s="5"/>
      <c r="E216" s="2"/>
      <c r="F216" s="2"/>
      <c r="G216" s="2"/>
      <c r="H216" s="2"/>
      <c r="I216" s="2"/>
      <c r="J216" s="2"/>
      <c r="K216" s="2"/>
      <c r="L216" s="2"/>
      <c r="M216" s="2"/>
      <c r="N216" s="2"/>
      <c r="O216" s="2"/>
      <c r="P216" s="2"/>
      <c r="Q216" s="2"/>
      <c r="R216" s="2"/>
      <c r="S216" s="2"/>
      <c r="T216" s="2"/>
      <c r="U216" s="2"/>
      <c r="V216" s="2"/>
      <c r="W216" s="2"/>
      <c r="X216" s="2"/>
      <c r="Y216" s="2"/>
      <c r="Z216" s="2"/>
    </row>
    <row r="217">
      <c r="A217" s="5"/>
      <c r="B217" s="5"/>
      <c r="C217" s="5"/>
      <c r="D217" s="5"/>
      <c r="E217" s="2"/>
      <c r="F217" s="2"/>
      <c r="G217" s="2"/>
      <c r="H217" s="2"/>
      <c r="I217" s="2"/>
      <c r="J217" s="2"/>
      <c r="K217" s="2"/>
      <c r="L217" s="2"/>
      <c r="M217" s="2"/>
      <c r="N217" s="2"/>
      <c r="O217" s="2"/>
      <c r="P217" s="2"/>
      <c r="Q217" s="2"/>
      <c r="R217" s="2"/>
      <c r="S217" s="2"/>
      <c r="T217" s="2"/>
      <c r="U217" s="2"/>
      <c r="V217" s="2"/>
      <c r="W217" s="2"/>
      <c r="X217" s="2"/>
      <c r="Y217" s="2"/>
      <c r="Z217" s="2"/>
    </row>
    <row r="218">
      <c r="A218" s="5"/>
      <c r="B218" s="5"/>
      <c r="C218" s="5"/>
      <c r="D218" s="5"/>
      <c r="E218" s="2"/>
      <c r="F218" s="2"/>
      <c r="G218" s="2"/>
      <c r="H218" s="2"/>
      <c r="I218" s="2"/>
      <c r="J218" s="2"/>
      <c r="K218" s="2"/>
      <c r="L218" s="2"/>
      <c r="M218" s="2"/>
      <c r="N218" s="2"/>
      <c r="O218" s="2"/>
      <c r="P218" s="2"/>
      <c r="Q218" s="2"/>
      <c r="R218" s="2"/>
      <c r="S218" s="2"/>
      <c r="T218" s="2"/>
      <c r="U218" s="2"/>
      <c r="V218" s="2"/>
      <c r="W218" s="2"/>
      <c r="X218" s="2"/>
      <c r="Y218" s="2"/>
      <c r="Z218" s="2"/>
    </row>
    <row r="219">
      <c r="A219" s="5"/>
      <c r="B219" s="5"/>
      <c r="C219" s="5"/>
      <c r="D219" s="5"/>
      <c r="E219" s="2"/>
      <c r="F219" s="2"/>
      <c r="G219" s="2"/>
      <c r="H219" s="2"/>
      <c r="I219" s="2"/>
      <c r="J219" s="2"/>
      <c r="K219" s="2"/>
      <c r="L219" s="2"/>
      <c r="M219" s="2"/>
      <c r="N219" s="2"/>
      <c r="O219" s="2"/>
      <c r="P219" s="2"/>
      <c r="Q219" s="2"/>
      <c r="R219" s="2"/>
      <c r="S219" s="2"/>
      <c r="T219" s="2"/>
      <c r="U219" s="2"/>
      <c r="V219" s="2"/>
      <c r="W219" s="2"/>
      <c r="X219" s="2"/>
      <c r="Y219" s="2"/>
      <c r="Z219" s="2"/>
    </row>
    <row r="220">
      <c r="A220" s="5"/>
      <c r="B220" s="5"/>
      <c r="C220" s="5"/>
      <c r="D220" s="5"/>
      <c r="E220" s="2"/>
      <c r="F220" s="2"/>
      <c r="G220" s="2"/>
      <c r="H220" s="2"/>
      <c r="I220" s="2"/>
      <c r="J220" s="2"/>
      <c r="K220" s="2"/>
      <c r="L220" s="2"/>
      <c r="M220" s="2"/>
      <c r="N220" s="2"/>
      <c r="O220" s="2"/>
      <c r="P220" s="2"/>
      <c r="Q220" s="2"/>
      <c r="R220" s="2"/>
      <c r="S220" s="2"/>
      <c r="T220" s="2"/>
      <c r="U220" s="2"/>
      <c r="V220" s="2"/>
      <c r="W220" s="2"/>
      <c r="X220" s="2"/>
      <c r="Y220" s="2"/>
      <c r="Z220" s="2"/>
    </row>
    <row r="221">
      <c r="A221" s="5"/>
      <c r="B221" s="5"/>
      <c r="C221" s="5"/>
      <c r="D221" s="5"/>
      <c r="E221" s="2"/>
      <c r="F221" s="2"/>
      <c r="G221" s="2"/>
      <c r="H221" s="2"/>
      <c r="I221" s="2"/>
      <c r="J221" s="2"/>
      <c r="K221" s="2"/>
      <c r="L221" s="2"/>
      <c r="M221" s="2"/>
      <c r="N221" s="2"/>
      <c r="O221" s="2"/>
      <c r="P221" s="2"/>
      <c r="Q221" s="2"/>
      <c r="R221" s="2"/>
      <c r="S221" s="2"/>
      <c r="T221" s="2"/>
      <c r="U221" s="2"/>
      <c r="V221" s="2"/>
      <c r="W221" s="2"/>
      <c r="X221" s="2"/>
      <c r="Y221" s="2"/>
      <c r="Z221" s="2"/>
    </row>
    <row r="222">
      <c r="A222" s="5"/>
      <c r="B222" s="5"/>
      <c r="C222" s="5"/>
      <c r="D222" s="5"/>
      <c r="E222" s="2"/>
      <c r="F222" s="2"/>
      <c r="G222" s="2"/>
      <c r="H222" s="2"/>
      <c r="I222" s="2"/>
      <c r="J222" s="2"/>
      <c r="K222" s="2"/>
      <c r="L222" s="2"/>
      <c r="M222" s="2"/>
      <c r="N222" s="2"/>
      <c r="O222" s="2"/>
      <c r="P222" s="2"/>
      <c r="Q222" s="2"/>
      <c r="R222" s="2"/>
      <c r="S222" s="2"/>
      <c r="T222" s="2"/>
      <c r="U222" s="2"/>
      <c r="V222" s="2"/>
      <c r="W222" s="2"/>
      <c r="X222" s="2"/>
      <c r="Y222" s="2"/>
      <c r="Z222" s="2"/>
    </row>
    <row r="223">
      <c r="A223" s="5"/>
      <c r="B223" s="5"/>
      <c r="C223" s="5"/>
      <c r="D223" s="5"/>
      <c r="E223" s="2"/>
      <c r="F223" s="2"/>
      <c r="G223" s="2"/>
      <c r="H223" s="2"/>
      <c r="I223" s="2"/>
      <c r="J223" s="2"/>
      <c r="K223" s="2"/>
      <c r="L223" s="2"/>
      <c r="M223" s="2"/>
      <c r="N223" s="2"/>
      <c r="O223" s="2"/>
      <c r="P223" s="2"/>
      <c r="Q223" s="2"/>
      <c r="R223" s="2"/>
      <c r="S223" s="2"/>
      <c r="T223" s="2"/>
      <c r="U223" s="2"/>
      <c r="V223" s="2"/>
      <c r="W223" s="2"/>
      <c r="X223" s="2"/>
      <c r="Y223" s="2"/>
      <c r="Z223" s="2"/>
    </row>
    <row r="224">
      <c r="A224" s="5"/>
      <c r="B224" s="5"/>
      <c r="C224" s="5"/>
      <c r="D224" s="5"/>
      <c r="E224" s="2"/>
      <c r="F224" s="2"/>
      <c r="G224" s="2"/>
      <c r="H224" s="2"/>
      <c r="I224" s="2"/>
      <c r="J224" s="2"/>
      <c r="K224" s="2"/>
      <c r="L224" s="2"/>
      <c r="M224" s="2"/>
      <c r="N224" s="2"/>
      <c r="O224" s="2"/>
      <c r="P224" s="2"/>
      <c r="Q224" s="2"/>
      <c r="R224" s="2"/>
      <c r="S224" s="2"/>
      <c r="T224" s="2"/>
      <c r="U224" s="2"/>
      <c r="V224" s="2"/>
      <c r="W224" s="2"/>
      <c r="X224" s="2"/>
      <c r="Y224" s="2"/>
      <c r="Z224" s="2"/>
    </row>
    <row r="225">
      <c r="A225" s="5"/>
      <c r="B225" s="5"/>
      <c r="C225" s="5"/>
      <c r="D225" s="5"/>
      <c r="E225" s="2"/>
      <c r="F225" s="2"/>
      <c r="G225" s="2"/>
      <c r="H225" s="2"/>
      <c r="I225" s="2"/>
      <c r="J225" s="2"/>
      <c r="K225" s="2"/>
      <c r="L225" s="2"/>
      <c r="M225" s="2"/>
      <c r="N225" s="2"/>
      <c r="O225" s="2"/>
      <c r="P225" s="2"/>
      <c r="Q225" s="2"/>
      <c r="R225" s="2"/>
      <c r="S225" s="2"/>
      <c r="T225" s="2"/>
      <c r="U225" s="2"/>
      <c r="V225" s="2"/>
      <c r="W225" s="2"/>
      <c r="X225" s="2"/>
      <c r="Y225" s="2"/>
      <c r="Z225" s="2"/>
    </row>
    <row r="226">
      <c r="A226" s="5"/>
      <c r="B226" s="5"/>
      <c r="C226" s="5"/>
      <c r="D226" s="5"/>
      <c r="E226" s="2"/>
      <c r="F226" s="2"/>
      <c r="G226" s="2"/>
      <c r="H226" s="2"/>
      <c r="I226" s="2"/>
      <c r="J226" s="2"/>
      <c r="K226" s="2"/>
      <c r="L226" s="2"/>
      <c r="M226" s="2"/>
      <c r="N226" s="2"/>
      <c r="O226" s="2"/>
      <c r="P226" s="2"/>
      <c r="Q226" s="2"/>
      <c r="R226" s="2"/>
      <c r="S226" s="2"/>
      <c r="T226" s="2"/>
      <c r="U226" s="2"/>
      <c r="V226" s="2"/>
      <c r="W226" s="2"/>
      <c r="X226" s="2"/>
      <c r="Y226" s="2"/>
      <c r="Z226" s="2"/>
    </row>
    <row r="227">
      <c r="A227" s="5"/>
      <c r="B227" s="5"/>
      <c r="C227" s="5"/>
      <c r="D227" s="5"/>
      <c r="E227" s="2"/>
      <c r="F227" s="2"/>
      <c r="G227" s="2"/>
      <c r="H227" s="2"/>
      <c r="I227" s="2"/>
      <c r="J227" s="2"/>
      <c r="K227" s="2"/>
      <c r="L227" s="2"/>
      <c r="M227" s="2"/>
      <c r="N227" s="2"/>
      <c r="O227" s="2"/>
      <c r="P227" s="2"/>
      <c r="Q227" s="2"/>
      <c r="R227" s="2"/>
      <c r="S227" s="2"/>
      <c r="T227" s="2"/>
      <c r="U227" s="2"/>
      <c r="V227" s="2"/>
      <c r="W227" s="2"/>
      <c r="X227" s="2"/>
      <c r="Y227" s="2"/>
      <c r="Z227" s="2"/>
    </row>
    <row r="228">
      <c r="A228" s="5"/>
      <c r="B228" s="5"/>
      <c r="C228" s="5"/>
      <c r="D228" s="5"/>
      <c r="E228" s="2"/>
      <c r="F228" s="2"/>
      <c r="G228" s="2"/>
      <c r="H228" s="2"/>
      <c r="I228" s="2"/>
      <c r="J228" s="2"/>
      <c r="K228" s="2"/>
      <c r="L228" s="2"/>
      <c r="M228" s="2"/>
      <c r="N228" s="2"/>
      <c r="O228" s="2"/>
      <c r="P228" s="2"/>
      <c r="Q228" s="2"/>
      <c r="R228" s="2"/>
      <c r="S228" s="2"/>
      <c r="T228" s="2"/>
      <c r="U228" s="2"/>
      <c r="V228" s="2"/>
      <c r="W228" s="2"/>
      <c r="X228" s="2"/>
      <c r="Y228" s="2"/>
      <c r="Z228" s="2"/>
    </row>
    <row r="229">
      <c r="A229" s="5"/>
      <c r="B229" s="5"/>
      <c r="C229" s="5"/>
      <c r="D229" s="5"/>
      <c r="E229" s="2"/>
      <c r="F229" s="2"/>
      <c r="G229" s="2"/>
      <c r="H229" s="2"/>
      <c r="I229" s="2"/>
      <c r="J229" s="2"/>
      <c r="K229" s="2"/>
      <c r="L229" s="2"/>
      <c r="M229" s="2"/>
      <c r="N229" s="2"/>
      <c r="O229" s="2"/>
      <c r="P229" s="2"/>
      <c r="Q229" s="2"/>
      <c r="R229" s="2"/>
      <c r="S229" s="2"/>
      <c r="T229" s="2"/>
      <c r="U229" s="2"/>
      <c r="V229" s="2"/>
      <c r="W229" s="2"/>
      <c r="X229" s="2"/>
      <c r="Y229" s="2"/>
      <c r="Z229" s="2"/>
    </row>
    <row r="230">
      <c r="A230" s="5"/>
      <c r="B230" s="5"/>
      <c r="C230" s="5"/>
      <c r="D230" s="5"/>
      <c r="E230" s="2"/>
      <c r="F230" s="2"/>
      <c r="G230" s="2"/>
      <c r="H230" s="2"/>
      <c r="I230" s="2"/>
      <c r="J230" s="2"/>
      <c r="K230" s="2"/>
      <c r="L230" s="2"/>
      <c r="M230" s="2"/>
      <c r="N230" s="2"/>
      <c r="O230" s="2"/>
      <c r="P230" s="2"/>
      <c r="Q230" s="2"/>
      <c r="R230" s="2"/>
      <c r="S230" s="2"/>
      <c r="T230" s="2"/>
      <c r="U230" s="2"/>
      <c r="V230" s="2"/>
      <c r="W230" s="2"/>
      <c r="X230" s="2"/>
      <c r="Y230" s="2"/>
      <c r="Z230" s="2"/>
    </row>
    <row r="231">
      <c r="A231" s="5"/>
      <c r="B231" s="5"/>
      <c r="C231" s="5"/>
      <c r="D231" s="5"/>
      <c r="E231" s="2"/>
      <c r="F231" s="2"/>
      <c r="G231" s="2"/>
      <c r="H231" s="2"/>
      <c r="I231" s="2"/>
      <c r="J231" s="2"/>
      <c r="K231" s="2"/>
      <c r="L231" s="2"/>
      <c r="M231" s="2"/>
      <c r="N231" s="2"/>
      <c r="O231" s="2"/>
      <c r="P231" s="2"/>
      <c r="Q231" s="2"/>
      <c r="R231" s="2"/>
      <c r="S231" s="2"/>
      <c r="T231" s="2"/>
      <c r="U231" s="2"/>
      <c r="V231" s="2"/>
      <c r="W231" s="2"/>
      <c r="X231" s="2"/>
      <c r="Y231" s="2"/>
      <c r="Z231" s="2"/>
    </row>
    <row r="232">
      <c r="A232" s="5"/>
      <c r="B232" s="5"/>
      <c r="C232" s="5"/>
      <c r="D232" s="5"/>
      <c r="E232" s="2"/>
      <c r="F232" s="2"/>
      <c r="G232" s="2"/>
      <c r="H232" s="2"/>
      <c r="I232" s="2"/>
      <c r="J232" s="2"/>
      <c r="K232" s="2"/>
      <c r="L232" s="2"/>
      <c r="M232" s="2"/>
      <c r="N232" s="2"/>
      <c r="O232" s="2"/>
      <c r="P232" s="2"/>
      <c r="Q232" s="2"/>
      <c r="R232" s="2"/>
      <c r="S232" s="2"/>
      <c r="T232" s="2"/>
      <c r="U232" s="2"/>
      <c r="V232" s="2"/>
      <c r="W232" s="2"/>
      <c r="X232" s="2"/>
      <c r="Y232" s="2"/>
      <c r="Z232" s="2"/>
    </row>
    <row r="233">
      <c r="A233" s="5"/>
      <c r="B233" s="5"/>
      <c r="C233" s="5"/>
      <c r="D233" s="5"/>
      <c r="E233" s="2"/>
      <c r="F233" s="2"/>
      <c r="G233" s="2"/>
      <c r="H233" s="2"/>
      <c r="I233" s="2"/>
      <c r="J233" s="2"/>
      <c r="K233" s="2"/>
      <c r="L233" s="2"/>
      <c r="M233" s="2"/>
      <c r="N233" s="2"/>
      <c r="O233" s="2"/>
      <c r="P233" s="2"/>
      <c r="Q233" s="2"/>
      <c r="R233" s="2"/>
      <c r="S233" s="2"/>
      <c r="T233" s="2"/>
      <c r="U233" s="2"/>
      <c r="V233" s="2"/>
      <c r="W233" s="2"/>
      <c r="X233" s="2"/>
      <c r="Y233" s="2"/>
      <c r="Z233" s="2"/>
    </row>
    <row r="234">
      <c r="A234" s="5"/>
      <c r="B234" s="5"/>
      <c r="C234" s="5"/>
      <c r="D234" s="5"/>
      <c r="E234" s="2"/>
      <c r="F234" s="2"/>
      <c r="G234" s="2"/>
      <c r="H234" s="2"/>
      <c r="I234" s="2"/>
      <c r="J234" s="2"/>
      <c r="K234" s="2"/>
      <c r="L234" s="2"/>
      <c r="M234" s="2"/>
      <c r="N234" s="2"/>
      <c r="O234" s="2"/>
      <c r="P234" s="2"/>
      <c r="Q234" s="2"/>
      <c r="R234" s="2"/>
      <c r="S234" s="2"/>
      <c r="T234" s="2"/>
      <c r="U234" s="2"/>
      <c r="V234" s="2"/>
      <c r="W234" s="2"/>
      <c r="X234" s="2"/>
      <c r="Y234" s="2"/>
      <c r="Z234" s="2"/>
    </row>
    <row r="235">
      <c r="A235" s="5"/>
      <c r="B235" s="5"/>
      <c r="C235" s="5"/>
      <c r="D235" s="5"/>
      <c r="E235" s="2"/>
      <c r="F235" s="2"/>
      <c r="G235" s="2"/>
      <c r="H235" s="2"/>
      <c r="I235" s="2"/>
      <c r="J235" s="2"/>
      <c r="K235" s="2"/>
      <c r="L235" s="2"/>
      <c r="M235" s="2"/>
      <c r="N235" s="2"/>
      <c r="O235" s="2"/>
      <c r="P235" s="2"/>
      <c r="Q235" s="2"/>
      <c r="R235" s="2"/>
      <c r="S235" s="2"/>
      <c r="T235" s="2"/>
      <c r="U235" s="2"/>
      <c r="V235" s="2"/>
      <c r="W235" s="2"/>
      <c r="X235" s="2"/>
      <c r="Y235" s="2"/>
      <c r="Z235" s="2"/>
    </row>
    <row r="236">
      <c r="A236" s="5"/>
      <c r="B236" s="5"/>
      <c r="C236" s="5"/>
      <c r="D236" s="5"/>
      <c r="E236" s="2"/>
      <c r="F236" s="2"/>
      <c r="G236" s="2"/>
      <c r="H236" s="2"/>
      <c r="I236" s="2"/>
      <c r="J236" s="2"/>
      <c r="K236" s="2"/>
      <c r="L236" s="2"/>
      <c r="M236" s="2"/>
      <c r="N236" s="2"/>
      <c r="O236" s="2"/>
      <c r="P236" s="2"/>
      <c r="Q236" s="2"/>
      <c r="R236" s="2"/>
      <c r="S236" s="2"/>
      <c r="T236" s="2"/>
      <c r="U236" s="2"/>
      <c r="V236" s="2"/>
      <c r="W236" s="2"/>
      <c r="X236" s="2"/>
      <c r="Y236" s="2"/>
      <c r="Z236" s="2"/>
    </row>
    <row r="237">
      <c r="A237" s="5"/>
      <c r="B237" s="5"/>
      <c r="C237" s="5"/>
      <c r="D237" s="5"/>
      <c r="E237" s="2"/>
      <c r="F237" s="2"/>
      <c r="G237" s="2"/>
      <c r="H237" s="2"/>
      <c r="I237" s="2"/>
      <c r="J237" s="2"/>
      <c r="K237" s="2"/>
      <c r="L237" s="2"/>
      <c r="M237" s="2"/>
      <c r="N237" s="2"/>
      <c r="O237" s="2"/>
      <c r="P237" s="2"/>
      <c r="Q237" s="2"/>
      <c r="R237" s="2"/>
      <c r="S237" s="2"/>
      <c r="T237" s="2"/>
      <c r="U237" s="2"/>
      <c r="V237" s="2"/>
      <c r="W237" s="2"/>
      <c r="X237" s="2"/>
      <c r="Y237" s="2"/>
      <c r="Z237" s="2"/>
    </row>
    <row r="238">
      <c r="A238" s="5"/>
      <c r="B238" s="5"/>
      <c r="C238" s="5"/>
      <c r="D238" s="5"/>
      <c r="E238" s="2"/>
      <c r="F238" s="2"/>
      <c r="G238" s="2"/>
      <c r="H238" s="2"/>
      <c r="I238" s="2"/>
      <c r="J238" s="2"/>
      <c r="K238" s="2"/>
      <c r="L238" s="2"/>
      <c r="M238" s="2"/>
      <c r="N238" s="2"/>
      <c r="O238" s="2"/>
      <c r="P238" s="2"/>
      <c r="Q238" s="2"/>
      <c r="R238" s="2"/>
      <c r="S238" s="2"/>
      <c r="T238" s="2"/>
      <c r="U238" s="2"/>
      <c r="V238" s="2"/>
      <c r="W238" s="2"/>
      <c r="X238" s="2"/>
      <c r="Y238" s="2"/>
      <c r="Z238" s="2"/>
    </row>
    <row r="239">
      <c r="A239" s="5"/>
      <c r="B239" s="5"/>
      <c r="C239" s="5"/>
      <c r="D239" s="5"/>
      <c r="E239" s="2"/>
      <c r="F239" s="2"/>
      <c r="G239" s="2"/>
      <c r="H239" s="2"/>
      <c r="I239" s="2"/>
      <c r="J239" s="2"/>
      <c r="K239" s="2"/>
      <c r="L239" s="2"/>
      <c r="M239" s="2"/>
      <c r="N239" s="2"/>
      <c r="O239" s="2"/>
      <c r="P239" s="2"/>
      <c r="Q239" s="2"/>
      <c r="R239" s="2"/>
      <c r="S239" s="2"/>
      <c r="T239" s="2"/>
      <c r="U239" s="2"/>
      <c r="V239" s="2"/>
      <c r="W239" s="2"/>
      <c r="X239" s="2"/>
      <c r="Y239" s="2"/>
      <c r="Z239" s="2"/>
    </row>
    <row r="240">
      <c r="A240" s="5"/>
      <c r="B240" s="5"/>
      <c r="C240" s="5"/>
      <c r="D240" s="5"/>
      <c r="E240" s="2"/>
      <c r="F240" s="2"/>
      <c r="G240" s="2"/>
      <c r="H240" s="2"/>
      <c r="I240" s="2"/>
      <c r="J240" s="2"/>
      <c r="K240" s="2"/>
      <c r="L240" s="2"/>
      <c r="M240" s="2"/>
      <c r="N240" s="2"/>
      <c r="O240" s="2"/>
      <c r="P240" s="2"/>
      <c r="Q240" s="2"/>
      <c r="R240" s="2"/>
      <c r="S240" s="2"/>
      <c r="T240" s="2"/>
      <c r="U240" s="2"/>
      <c r="V240" s="2"/>
      <c r="W240" s="2"/>
      <c r="X240" s="2"/>
      <c r="Y240" s="2"/>
      <c r="Z240" s="2"/>
    </row>
    <row r="241">
      <c r="A241" s="5"/>
      <c r="B241" s="5"/>
      <c r="C241" s="5"/>
      <c r="D241" s="5"/>
      <c r="E241" s="2"/>
      <c r="F241" s="2"/>
      <c r="G241" s="2"/>
      <c r="H241" s="2"/>
      <c r="I241" s="2"/>
      <c r="J241" s="2"/>
      <c r="K241" s="2"/>
      <c r="L241" s="2"/>
      <c r="M241" s="2"/>
      <c r="N241" s="2"/>
      <c r="O241" s="2"/>
      <c r="P241" s="2"/>
      <c r="Q241" s="2"/>
      <c r="R241" s="2"/>
      <c r="S241" s="2"/>
      <c r="T241" s="2"/>
      <c r="U241" s="2"/>
      <c r="V241" s="2"/>
      <c r="W241" s="2"/>
      <c r="X241" s="2"/>
      <c r="Y241" s="2"/>
      <c r="Z241" s="2"/>
    </row>
    <row r="242">
      <c r="A242" s="5"/>
      <c r="B242" s="5"/>
      <c r="C242" s="5"/>
      <c r="D242" s="5"/>
      <c r="E242" s="2"/>
      <c r="F242" s="2"/>
      <c r="G242" s="2"/>
      <c r="H242" s="2"/>
      <c r="I242" s="2"/>
      <c r="J242" s="2"/>
      <c r="K242" s="2"/>
      <c r="L242" s="2"/>
      <c r="M242" s="2"/>
      <c r="N242" s="2"/>
      <c r="O242" s="2"/>
      <c r="P242" s="2"/>
      <c r="Q242" s="2"/>
      <c r="R242" s="2"/>
      <c r="S242" s="2"/>
      <c r="T242" s="2"/>
      <c r="U242" s="2"/>
      <c r="V242" s="2"/>
      <c r="W242" s="2"/>
      <c r="X242" s="2"/>
      <c r="Y242" s="2"/>
      <c r="Z242" s="2"/>
    </row>
    <row r="243">
      <c r="A243" s="5"/>
      <c r="B243" s="5"/>
      <c r="C243" s="5"/>
      <c r="D243" s="5"/>
      <c r="E243" s="2"/>
      <c r="F243" s="2"/>
      <c r="G243" s="2"/>
      <c r="H243" s="2"/>
      <c r="I243" s="2"/>
      <c r="J243" s="2"/>
      <c r="K243" s="2"/>
      <c r="L243" s="2"/>
      <c r="M243" s="2"/>
      <c r="N243" s="2"/>
      <c r="O243" s="2"/>
      <c r="P243" s="2"/>
      <c r="Q243" s="2"/>
      <c r="R243" s="2"/>
      <c r="S243" s="2"/>
      <c r="T243" s="2"/>
      <c r="U243" s="2"/>
      <c r="V243" s="2"/>
      <c r="W243" s="2"/>
      <c r="X243" s="2"/>
      <c r="Y243" s="2"/>
      <c r="Z243" s="2"/>
    </row>
    <row r="244">
      <c r="A244" s="5"/>
      <c r="B244" s="5"/>
      <c r="C244" s="5"/>
      <c r="D244" s="5"/>
      <c r="E244" s="2"/>
      <c r="F244" s="2"/>
      <c r="G244" s="2"/>
      <c r="H244" s="2"/>
      <c r="I244" s="2"/>
      <c r="J244" s="2"/>
      <c r="K244" s="2"/>
      <c r="L244" s="2"/>
      <c r="M244" s="2"/>
      <c r="N244" s="2"/>
      <c r="O244" s="2"/>
      <c r="P244" s="2"/>
      <c r="Q244" s="2"/>
      <c r="R244" s="2"/>
      <c r="S244" s="2"/>
      <c r="T244" s="2"/>
      <c r="U244" s="2"/>
      <c r="V244" s="2"/>
      <c r="W244" s="2"/>
      <c r="X244" s="2"/>
      <c r="Y244" s="2"/>
      <c r="Z244" s="2"/>
    </row>
    <row r="245">
      <c r="A245" s="5"/>
      <c r="B245" s="5"/>
      <c r="C245" s="5"/>
      <c r="D245" s="5"/>
      <c r="E245" s="2"/>
      <c r="F245" s="2"/>
      <c r="G245" s="2"/>
      <c r="H245" s="2"/>
      <c r="I245" s="2"/>
      <c r="J245" s="2"/>
      <c r="K245" s="2"/>
      <c r="L245" s="2"/>
      <c r="M245" s="2"/>
      <c r="N245" s="2"/>
      <c r="O245" s="2"/>
      <c r="P245" s="2"/>
      <c r="Q245" s="2"/>
      <c r="R245" s="2"/>
      <c r="S245" s="2"/>
      <c r="T245" s="2"/>
      <c r="U245" s="2"/>
      <c r="V245" s="2"/>
      <c r="W245" s="2"/>
      <c r="X245" s="2"/>
      <c r="Y245" s="2"/>
      <c r="Z245" s="2"/>
    </row>
    <row r="246">
      <c r="A246" s="5"/>
      <c r="B246" s="5"/>
      <c r="C246" s="5"/>
      <c r="D246" s="5"/>
      <c r="E246" s="2"/>
      <c r="F246" s="2"/>
      <c r="G246" s="2"/>
      <c r="H246" s="2"/>
      <c r="I246" s="2"/>
      <c r="J246" s="2"/>
      <c r="K246" s="2"/>
      <c r="L246" s="2"/>
      <c r="M246" s="2"/>
      <c r="N246" s="2"/>
      <c r="O246" s="2"/>
      <c r="P246" s="2"/>
      <c r="Q246" s="2"/>
      <c r="R246" s="2"/>
      <c r="S246" s="2"/>
      <c r="T246" s="2"/>
      <c r="U246" s="2"/>
      <c r="V246" s="2"/>
      <c r="W246" s="2"/>
      <c r="X246" s="2"/>
      <c r="Y246" s="2"/>
      <c r="Z246" s="2"/>
    </row>
    <row r="247">
      <c r="A247" s="5"/>
      <c r="B247" s="5"/>
      <c r="C247" s="5"/>
      <c r="D247" s="5"/>
      <c r="E247" s="2"/>
      <c r="F247" s="2"/>
      <c r="G247" s="2"/>
      <c r="H247" s="2"/>
      <c r="I247" s="2"/>
      <c r="J247" s="2"/>
      <c r="K247" s="2"/>
      <c r="L247" s="2"/>
      <c r="M247" s="2"/>
      <c r="N247" s="2"/>
      <c r="O247" s="2"/>
      <c r="P247" s="2"/>
      <c r="Q247" s="2"/>
      <c r="R247" s="2"/>
      <c r="S247" s="2"/>
      <c r="T247" s="2"/>
      <c r="U247" s="2"/>
      <c r="V247" s="2"/>
      <c r="W247" s="2"/>
      <c r="X247" s="2"/>
      <c r="Y247" s="2"/>
      <c r="Z247" s="2"/>
    </row>
    <row r="248">
      <c r="A248" s="5"/>
      <c r="B248" s="5"/>
      <c r="C248" s="5"/>
      <c r="D248" s="5"/>
      <c r="E248" s="2"/>
      <c r="F248" s="2"/>
      <c r="G248" s="2"/>
      <c r="H248" s="2"/>
      <c r="I248" s="2"/>
      <c r="J248" s="2"/>
      <c r="K248" s="2"/>
      <c r="L248" s="2"/>
      <c r="M248" s="2"/>
      <c r="N248" s="2"/>
      <c r="O248" s="2"/>
      <c r="P248" s="2"/>
      <c r="Q248" s="2"/>
      <c r="R248" s="2"/>
      <c r="S248" s="2"/>
      <c r="T248" s="2"/>
      <c r="U248" s="2"/>
      <c r="V248" s="2"/>
      <c r="W248" s="2"/>
      <c r="X248" s="2"/>
      <c r="Y248" s="2"/>
      <c r="Z248" s="2"/>
    </row>
    <row r="249">
      <c r="A249" s="5"/>
      <c r="B249" s="5"/>
      <c r="C249" s="5"/>
      <c r="D249" s="5"/>
      <c r="E249" s="2"/>
      <c r="F249" s="2"/>
      <c r="G249" s="2"/>
      <c r="H249" s="2"/>
      <c r="I249" s="2"/>
      <c r="J249" s="2"/>
      <c r="K249" s="2"/>
      <c r="L249" s="2"/>
      <c r="M249" s="2"/>
      <c r="N249" s="2"/>
      <c r="O249" s="2"/>
      <c r="P249" s="2"/>
      <c r="Q249" s="2"/>
      <c r="R249" s="2"/>
      <c r="S249" s="2"/>
      <c r="T249" s="2"/>
      <c r="U249" s="2"/>
      <c r="V249" s="2"/>
      <c r="W249" s="2"/>
      <c r="X249" s="2"/>
      <c r="Y249" s="2"/>
      <c r="Z249" s="2"/>
    </row>
    <row r="250">
      <c r="A250" s="5"/>
      <c r="B250" s="5"/>
      <c r="C250" s="5"/>
      <c r="D250" s="5"/>
      <c r="E250" s="2"/>
      <c r="F250" s="2"/>
      <c r="G250" s="2"/>
      <c r="H250" s="2"/>
      <c r="I250" s="2"/>
      <c r="J250" s="2"/>
      <c r="K250" s="2"/>
      <c r="L250" s="2"/>
      <c r="M250" s="2"/>
      <c r="N250" s="2"/>
      <c r="O250" s="2"/>
      <c r="P250" s="2"/>
      <c r="Q250" s="2"/>
      <c r="R250" s="2"/>
      <c r="S250" s="2"/>
      <c r="T250" s="2"/>
      <c r="U250" s="2"/>
      <c r="V250" s="2"/>
      <c r="W250" s="2"/>
      <c r="X250" s="2"/>
      <c r="Y250" s="2"/>
      <c r="Z250" s="2"/>
    </row>
    <row r="251">
      <c r="A251" s="5"/>
      <c r="B251" s="5"/>
      <c r="C251" s="5"/>
      <c r="D251" s="5"/>
      <c r="E251" s="2"/>
      <c r="F251" s="2"/>
      <c r="G251" s="2"/>
      <c r="H251" s="2"/>
      <c r="I251" s="2"/>
      <c r="J251" s="2"/>
      <c r="K251" s="2"/>
      <c r="L251" s="2"/>
      <c r="M251" s="2"/>
      <c r="N251" s="2"/>
      <c r="O251" s="2"/>
      <c r="P251" s="2"/>
      <c r="Q251" s="2"/>
      <c r="R251" s="2"/>
      <c r="S251" s="2"/>
      <c r="T251" s="2"/>
      <c r="U251" s="2"/>
      <c r="V251" s="2"/>
      <c r="W251" s="2"/>
      <c r="X251" s="2"/>
      <c r="Y251" s="2"/>
      <c r="Z251" s="2"/>
    </row>
    <row r="252">
      <c r="A252" s="5"/>
      <c r="B252" s="5"/>
      <c r="C252" s="5"/>
      <c r="D252" s="5"/>
      <c r="E252" s="2"/>
      <c r="F252" s="2"/>
      <c r="G252" s="2"/>
      <c r="H252" s="2"/>
      <c r="I252" s="2"/>
      <c r="J252" s="2"/>
      <c r="K252" s="2"/>
      <c r="L252" s="2"/>
      <c r="M252" s="2"/>
      <c r="N252" s="2"/>
      <c r="O252" s="2"/>
      <c r="P252" s="2"/>
      <c r="Q252" s="2"/>
      <c r="R252" s="2"/>
      <c r="S252" s="2"/>
      <c r="T252" s="2"/>
      <c r="U252" s="2"/>
      <c r="V252" s="2"/>
      <c r="W252" s="2"/>
      <c r="X252" s="2"/>
      <c r="Y252" s="2"/>
      <c r="Z252" s="2"/>
    </row>
    <row r="253">
      <c r="A253" s="5"/>
      <c r="B253" s="5"/>
      <c r="C253" s="5"/>
      <c r="D253" s="5"/>
      <c r="E253" s="2"/>
      <c r="F253" s="2"/>
      <c r="G253" s="2"/>
      <c r="H253" s="2"/>
      <c r="I253" s="2"/>
      <c r="J253" s="2"/>
      <c r="K253" s="2"/>
      <c r="L253" s="2"/>
      <c r="M253" s="2"/>
      <c r="N253" s="2"/>
      <c r="O253" s="2"/>
      <c r="P253" s="2"/>
      <c r="Q253" s="2"/>
      <c r="R253" s="2"/>
      <c r="S253" s="2"/>
      <c r="T253" s="2"/>
      <c r="U253" s="2"/>
      <c r="V253" s="2"/>
      <c r="W253" s="2"/>
      <c r="X253" s="2"/>
      <c r="Y253" s="2"/>
      <c r="Z253" s="2"/>
    </row>
    <row r="254">
      <c r="A254" s="5"/>
      <c r="B254" s="5"/>
      <c r="C254" s="5"/>
      <c r="D254" s="5"/>
      <c r="E254" s="2"/>
      <c r="F254" s="2"/>
      <c r="G254" s="2"/>
      <c r="H254" s="2"/>
      <c r="I254" s="2"/>
      <c r="J254" s="2"/>
      <c r="K254" s="2"/>
      <c r="L254" s="2"/>
      <c r="M254" s="2"/>
      <c r="N254" s="2"/>
      <c r="O254" s="2"/>
      <c r="P254" s="2"/>
      <c r="Q254" s="2"/>
      <c r="R254" s="2"/>
      <c r="S254" s="2"/>
      <c r="T254" s="2"/>
      <c r="U254" s="2"/>
      <c r="V254" s="2"/>
      <c r="W254" s="2"/>
      <c r="X254" s="2"/>
      <c r="Y254" s="2"/>
      <c r="Z254" s="2"/>
    </row>
    <row r="255">
      <c r="A255" s="5"/>
      <c r="B255" s="5"/>
      <c r="C255" s="5"/>
      <c r="D255" s="5"/>
      <c r="E255" s="2"/>
      <c r="F255" s="2"/>
      <c r="G255" s="2"/>
      <c r="H255" s="2"/>
      <c r="I255" s="2"/>
      <c r="J255" s="2"/>
      <c r="K255" s="2"/>
      <c r="L255" s="2"/>
      <c r="M255" s="2"/>
      <c r="N255" s="2"/>
      <c r="O255" s="2"/>
      <c r="P255" s="2"/>
      <c r="Q255" s="2"/>
      <c r="R255" s="2"/>
      <c r="S255" s="2"/>
      <c r="T255" s="2"/>
      <c r="U255" s="2"/>
      <c r="V255" s="2"/>
      <c r="W255" s="2"/>
      <c r="X255" s="2"/>
      <c r="Y255" s="2"/>
      <c r="Z255" s="2"/>
    </row>
    <row r="256">
      <c r="A256" s="5"/>
      <c r="B256" s="5"/>
      <c r="C256" s="5"/>
      <c r="D256" s="5"/>
      <c r="E256" s="2"/>
      <c r="F256" s="2"/>
      <c r="G256" s="2"/>
      <c r="H256" s="2"/>
      <c r="I256" s="2"/>
      <c r="J256" s="2"/>
      <c r="K256" s="2"/>
      <c r="L256" s="2"/>
      <c r="M256" s="2"/>
      <c r="N256" s="2"/>
      <c r="O256" s="2"/>
      <c r="P256" s="2"/>
      <c r="Q256" s="2"/>
      <c r="R256" s="2"/>
      <c r="S256" s="2"/>
      <c r="T256" s="2"/>
      <c r="U256" s="2"/>
      <c r="V256" s="2"/>
      <c r="W256" s="2"/>
      <c r="X256" s="2"/>
      <c r="Y256" s="2"/>
      <c r="Z256" s="2"/>
    </row>
    <row r="257">
      <c r="A257" s="5"/>
      <c r="B257" s="5"/>
      <c r="C257" s="5"/>
      <c r="D257" s="5"/>
      <c r="E257" s="2"/>
      <c r="F257" s="2"/>
      <c r="G257" s="2"/>
      <c r="H257" s="2"/>
      <c r="I257" s="2"/>
      <c r="J257" s="2"/>
      <c r="K257" s="2"/>
      <c r="L257" s="2"/>
      <c r="M257" s="2"/>
      <c r="N257" s="2"/>
      <c r="O257" s="2"/>
      <c r="P257" s="2"/>
      <c r="Q257" s="2"/>
      <c r="R257" s="2"/>
      <c r="S257" s="2"/>
      <c r="T257" s="2"/>
      <c r="U257" s="2"/>
      <c r="V257" s="2"/>
      <c r="W257" s="2"/>
      <c r="X257" s="2"/>
      <c r="Y257" s="2"/>
      <c r="Z257" s="2"/>
    </row>
    <row r="258">
      <c r="A258" s="5"/>
      <c r="B258" s="5"/>
      <c r="C258" s="5"/>
      <c r="D258" s="5"/>
      <c r="E258" s="2"/>
      <c r="F258" s="2"/>
      <c r="G258" s="2"/>
      <c r="H258" s="2"/>
      <c r="I258" s="2"/>
      <c r="J258" s="2"/>
      <c r="K258" s="2"/>
      <c r="L258" s="2"/>
      <c r="M258" s="2"/>
      <c r="N258" s="2"/>
      <c r="O258" s="2"/>
      <c r="P258" s="2"/>
      <c r="Q258" s="2"/>
      <c r="R258" s="2"/>
      <c r="S258" s="2"/>
      <c r="T258" s="2"/>
      <c r="U258" s="2"/>
      <c r="V258" s="2"/>
      <c r="W258" s="2"/>
      <c r="X258" s="2"/>
      <c r="Y258" s="2"/>
      <c r="Z258" s="2"/>
    </row>
    <row r="259">
      <c r="A259" s="5"/>
      <c r="B259" s="5"/>
      <c r="C259" s="5"/>
      <c r="D259" s="5"/>
      <c r="E259" s="2"/>
      <c r="F259" s="2"/>
      <c r="G259" s="2"/>
      <c r="H259" s="2"/>
      <c r="I259" s="2"/>
      <c r="J259" s="2"/>
      <c r="K259" s="2"/>
      <c r="L259" s="2"/>
      <c r="M259" s="2"/>
      <c r="N259" s="2"/>
      <c r="O259" s="2"/>
      <c r="P259" s="2"/>
      <c r="Q259" s="2"/>
      <c r="R259" s="2"/>
      <c r="S259" s="2"/>
      <c r="T259" s="2"/>
      <c r="U259" s="2"/>
      <c r="V259" s="2"/>
      <c r="W259" s="2"/>
      <c r="X259" s="2"/>
      <c r="Y259" s="2"/>
      <c r="Z259" s="2"/>
    </row>
    <row r="260">
      <c r="A260" s="5"/>
      <c r="B260" s="5"/>
      <c r="C260" s="5"/>
      <c r="D260" s="5"/>
      <c r="E260" s="2"/>
      <c r="F260" s="2"/>
      <c r="G260" s="2"/>
      <c r="H260" s="2"/>
      <c r="I260" s="2"/>
      <c r="J260" s="2"/>
      <c r="K260" s="2"/>
      <c r="L260" s="2"/>
      <c r="M260" s="2"/>
      <c r="N260" s="2"/>
      <c r="O260" s="2"/>
      <c r="P260" s="2"/>
      <c r="Q260" s="2"/>
      <c r="R260" s="2"/>
      <c r="S260" s="2"/>
      <c r="T260" s="2"/>
      <c r="U260" s="2"/>
      <c r="V260" s="2"/>
      <c r="W260" s="2"/>
      <c r="X260" s="2"/>
      <c r="Y260" s="2"/>
      <c r="Z260" s="2"/>
    </row>
    <row r="261">
      <c r="A261" s="5"/>
      <c r="B261" s="5"/>
      <c r="C261" s="5"/>
      <c r="D261" s="5"/>
      <c r="E261" s="2"/>
      <c r="F261" s="2"/>
      <c r="G261" s="2"/>
      <c r="H261" s="2"/>
      <c r="I261" s="2"/>
      <c r="J261" s="2"/>
      <c r="K261" s="2"/>
      <c r="L261" s="2"/>
      <c r="M261" s="2"/>
      <c r="N261" s="2"/>
      <c r="O261" s="2"/>
      <c r="P261" s="2"/>
      <c r="Q261" s="2"/>
      <c r="R261" s="2"/>
      <c r="S261" s="2"/>
      <c r="T261" s="2"/>
      <c r="U261" s="2"/>
      <c r="V261" s="2"/>
      <c r="W261" s="2"/>
      <c r="X261" s="2"/>
      <c r="Y261" s="2"/>
      <c r="Z261" s="2"/>
    </row>
    <row r="262">
      <c r="A262" s="5"/>
      <c r="B262" s="5"/>
      <c r="C262" s="5"/>
      <c r="D262" s="5"/>
      <c r="E262" s="2"/>
      <c r="F262" s="2"/>
      <c r="G262" s="2"/>
      <c r="H262" s="2"/>
      <c r="I262" s="2"/>
      <c r="J262" s="2"/>
      <c r="K262" s="2"/>
      <c r="L262" s="2"/>
      <c r="M262" s="2"/>
      <c r="N262" s="2"/>
      <c r="O262" s="2"/>
      <c r="P262" s="2"/>
      <c r="Q262" s="2"/>
      <c r="R262" s="2"/>
      <c r="S262" s="2"/>
      <c r="T262" s="2"/>
      <c r="U262" s="2"/>
      <c r="V262" s="2"/>
      <c r="W262" s="2"/>
      <c r="X262" s="2"/>
      <c r="Y262" s="2"/>
      <c r="Z262" s="2"/>
    </row>
    <row r="263">
      <c r="A263" s="5"/>
      <c r="B263" s="5"/>
      <c r="C263" s="5"/>
      <c r="D263" s="5"/>
      <c r="E263" s="2"/>
      <c r="F263" s="2"/>
      <c r="G263" s="2"/>
      <c r="H263" s="2"/>
      <c r="I263" s="2"/>
      <c r="J263" s="2"/>
      <c r="K263" s="2"/>
      <c r="L263" s="2"/>
      <c r="M263" s="2"/>
      <c r="N263" s="2"/>
      <c r="O263" s="2"/>
      <c r="P263" s="2"/>
      <c r="Q263" s="2"/>
      <c r="R263" s="2"/>
      <c r="S263" s="2"/>
      <c r="T263" s="2"/>
      <c r="U263" s="2"/>
      <c r="V263" s="2"/>
      <c r="W263" s="2"/>
      <c r="X263" s="2"/>
      <c r="Y263" s="2"/>
      <c r="Z263" s="2"/>
    </row>
    <row r="264">
      <c r="A264" s="5"/>
      <c r="B264" s="5"/>
      <c r="C264" s="5"/>
      <c r="D264" s="5"/>
      <c r="E264" s="2"/>
      <c r="F264" s="2"/>
      <c r="G264" s="2"/>
      <c r="H264" s="2"/>
      <c r="I264" s="2"/>
      <c r="J264" s="2"/>
      <c r="K264" s="2"/>
      <c r="L264" s="2"/>
      <c r="M264" s="2"/>
      <c r="N264" s="2"/>
      <c r="O264" s="2"/>
      <c r="P264" s="2"/>
      <c r="Q264" s="2"/>
      <c r="R264" s="2"/>
      <c r="S264" s="2"/>
      <c r="T264" s="2"/>
      <c r="U264" s="2"/>
      <c r="V264" s="2"/>
      <c r="W264" s="2"/>
      <c r="X264" s="2"/>
      <c r="Y264" s="2"/>
      <c r="Z264" s="2"/>
    </row>
    <row r="265">
      <c r="A265" s="5"/>
      <c r="B265" s="5"/>
      <c r="C265" s="5"/>
      <c r="D265" s="5"/>
      <c r="E265" s="2"/>
      <c r="F265" s="2"/>
      <c r="G265" s="2"/>
      <c r="H265" s="2"/>
      <c r="I265" s="2"/>
      <c r="J265" s="2"/>
      <c r="K265" s="2"/>
      <c r="L265" s="2"/>
      <c r="M265" s="2"/>
      <c r="N265" s="2"/>
      <c r="O265" s="2"/>
      <c r="P265" s="2"/>
      <c r="Q265" s="2"/>
      <c r="R265" s="2"/>
      <c r="S265" s="2"/>
      <c r="T265" s="2"/>
      <c r="U265" s="2"/>
      <c r="V265" s="2"/>
      <c r="W265" s="2"/>
      <c r="X265" s="2"/>
      <c r="Y265" s="2"/>
      <c r="Z265" s="2"/>
    </row>
    <row r="266">
      <c r="A266" s="5"/>
      <c r="B266" s="5"/>
      <c r="C266" s="5"/>
      <c r="D266" s="5"/>
      <c r="E266" s="2"/>
      <c r="F266" s="2"/>
      <c r="G266" s="2"/>
      <c r="H266" s="2"/>
      <c r="I266" s="2"/>
      <c r="J266" s="2"/>
      <c r="K266" s="2"/>
      <c r="L266" s="2"/>
      <c r="M266" s="2"/>
      <c r="N266" s="2"/>
      <c r="O266" s="2"/>
      <c r="P266" s="2"/>
      <c r="Q266" s="2"/>
      <c r="R266" s="2"/>
      <c r="S266" s="2"/>
      <c r="T266" s="2"/>
      <c r="U266" s="2"/>
      <c r="V266" s="2"/>
      <c r="W266" s="2"/>
      <c r="X266" s="2"/>
      <c r="Y266" s="2"/>
      <c r="Z266" s="2"/>
    </row>
    <row r="267">
      <c r="A267" s="5"/>
      <c r="B267" s="5"/>
      <c r="C267" s="5"/>
      <c r="D267" s="5"/>
      <c r="E267" s="2"/>
      <c r="F267" s="2"/>
      <c r="G267" s="2"/>
      <c r="H267" s="2"/>
      <c r="I267" s="2"/>
      <c r="J267" s="2"/>
      <c r="K267" s="2"/>
      <c r="L267" s="2"/>
      <c r="M267" s="2"/>
      <c r="N267" s="2"/>
      <c r="O267" s="2"/>
      <c r="P267" s="2"/>
      <c r="Q267" s="2"/>
      <c r="R267" s="2"/>
      <c r="S267" s="2"/>
      <c r="T267" s="2"/>
      <c r="U267" s="2"/>
      <c r="V267" s="2"/>
      <c r="W267" s="2"/>
      <c r="X267" s="2"/>
      <c r="Y267" s="2"/>
      <c r="Z267" s="2"/>
    </row>
    <row r="268">
      <c r="A268" s="5"/>
      <c r="B268" s="5"/>
      <c r="C268" s="5"/>
      <c r="D268" s="5"/>
      <c r="E268" s="2"/>
      <c r="F268" s="2"/>
      <c r="G268" s="2"/>
      <c r="H268" s="2"/>
      <c r="I268" s="2"/>
      <c r="J268" s="2"/>
      <c r="K268" s="2"/>
      <c r="L268" s="2"/>
      <c r="M268" s="2"/>
      <c r="N268" s="2"/>
      <c r="O268" s="2"/>
      <c r="P268" s="2"/>
      <c r="Q268" s="2"/>
      <c r="R268" s="2"/>
      <c r="S268" s="2"/>
      <c r="T268" s="2"/>
      <c r="U268" s="2"/>
      <c r="V268" s="2"/>
      <c r="W268" s="2"/>
      <c r="X268" s="2"/>
      <c r="Y268" s="2"/>
      <c r="Z268" s="2"/>
    </row>
    <row r="269">
      <c r="A269" s="5"/>
      <c r="B269" s="5"/>
      <c r="C269" s="5"/>
      <c r="D269" s="5"/>
      <c r="E269" s="2"/>
      <c r="F269" s="2"/>
      <c r="G269" s="2"/>
      <c r="H269" s="2"/>
      <c r="I269" s="2"/>
      <c r="J269" s="2"/>
      <c r="K269" s="2"/>
      <c r="L269" s="2"/>
      <c r="M269" s="2"/>
      <c r="N269" s="2"/>
      <c r="O269" s="2"/>
      <c r="P269" s="2"/>
      <c r="Q269" s="2"/>
      <c r="R269" s="2"/>
      <c r="S269" s="2"/>
      <c r="T269" s="2"/>
      <c r="U269" s="2"/>
      <c r="V269" s="2"/>
      <c r="W269" s="2"/>
      <c r="X269" s="2"/>
      <c r="Y269" s="2"/>
      <c r="Z269" s="2"/>
    </row>
    <row r="270">
      <c r="A270" s="5"/>
      <c r="B270" s="5"/>
      <c r="C270" s="5"/>
      <c r="D270" s="5"/>
      <c r="E270" s="2"/>
      <c r="F270" s="2"/>
      <c r="G270" s="2"/>
      <c r="H270" s="2"/>
      <c r="I270" s="2"/>
      <c r="J270" s="2"/>
      <c r="K270" s="2"/>
      <c r="L270" s="2"/>
      <c r="M270" s="2"/>
      <c r="N270" s="2"/>
      <c r="O270" s="2"/>
      <c r="P270" s="2"/>
      <c r="Q270" s="2"/>
      <c r="R270" s="2"/>
      <c r="S270" s="2"/>
      <c r="T270" s="2"/>
      <c r="U270" s="2"/>
      <c r="V270" s="2"/>
      <c r="W270" s="2"/>
      <c r="X270" s="2"/>
      <c r="Y270" s="2"/>
      <c r="Z270" s="2"/>
    </row>
    <row r="271">
      <c r="A271" s="5"/>
      <c r="B271" s="5"/>
      <c r="C271" s="5"/>
      <c r="D271" s="5"/>
      <c r="E271" s="2"/>
      <c r="F271" s="2"/>
      <c r="G271" s="2"/>
      <c r="H271" s="2"/>
      <c r="I271" s="2"/>
      <c r="J271" s="2"/>
      <c r="K271" s="2"/>
      <c r="L271" s="2"/>
      <c r="M271" s="2"/>
      <c r="N271" s="2"/>
      <c r="O271" s="2"/>
      <c r="P271" s="2"/>
      <c r="Q271" s="2"/>
      <c r="R271" s="2"/>
      <c r="S271" s="2"/>
      <c r="T271" s="2"/>
      <c r="U271" s="2"/>
      <c r="V271" s="2"/>
      <c r="W271" s="2"/>
      <c r="X271" s="2"/>
      <c r="Y271" s="2"/>
      <c r="Z271" s="2"/>
    </row>
    <row r="272">
      <c r="A272" s="5"/>
      <c r="B272" s="5"/>
      <c r="C272" s="5"/>
      <c r="D272" s="5"/>
      <c r="E272" s="2"/>
      <c r="F272" s="2"/>
      <c r="G272" s="2"/>
      <c r="H272" s="2"/>
      <c r="I272" s="2"/>
      <c r="J272" s="2"/>
      <c r="K272" s="2"/>
      <c r="L272" s="2"/>
      <c r="M272" s="2"/>
      <c r="N272" s="2"/>
      <c r="O272" s="2"/>
      <c r="P272" s="2"/>
      <c r="Q272" s="2"/>
      <c r="R272" s="2"/>
      <c r="S272" s="2"/>
      <c r="T272" s="2"/>
      <c r="U272" s="2"/>
      <c r="V272" s="2"/>
      <c r="W272" s="2"/>
      <c r="X272" s="2"/>
      <c r="Y272" s="2"/>
      <c r="Z272" s="2"/>
    </row>
    <row r="273">
      <c r="A273" s="5"/>
      <c r="B273" s="5"/>
      <c r="C273" s="5"/>
      <c r="D273" s="5"/>
      <c r="E273" s="2"/>
      <c r="F273" s="2"/>
      <c r="G273" s="2"/>
      <c r="H273" s="2"/>
      <c r="I273" s="2"/>
      <c r="J273" s="2"/>
      <c r="K273" s="2"/>
      <c r="L273" s="2"/>
      <c r="M273" s="2"/>
      <c r="N273" s="2"/>
      <c r="O273" s="2"/>
      <c r="P273" s="2"/>
      <c r="Q273" s="2"/>
      <c r="R273" s="2"/>
      <c r="S273" s="2"/>
      <c r="T273" s="2"/>
      <c r="U273" s="2"/>
      <c r="V273" s="2"/>
      <c r="W273" s="2"/>
      <c r="X273" s="2"/>
      <c r="Y273" s="2"/>
      <c r="Z273" s="2"/>
    </row>
    <row r="274">
      <c r="A274" s="5"/>
      <c r="B274" s="5"/>
      <c r="C274" s="5"/>
      <c r="D274" s="5"/>
      <c r="E274" s="2"/>
      <c r="F274" s="2"/>
      <c r="G274" s="2"/>
      <c r="H274" s="2"/>
      <c r="I274" s="2"/>
      <c r="J274" s="2"/>
      <c r="K274" s="2"/>
      <c r="L274" s="2"/>
      <c r="M274" s="2"/>
      <c r="N274" s="2"/>
      <c r="O274" s="2"/>
      <c r="P274" s="2"/>
      <c r="Q274" s="2"/>
      <c r="R274" s="2"/>
      <c r="S274" s="2"/>
      <c r="T274" s="2"/>
      <c r="U274" s="2"/>
      <c r="V274" s="2"/>
      <c r="W274" s="2"/>
      <c r="X274" s="2"/>
      <c r="Y274" s="2"/>
      <c r="Z274" s="2"/>
    </row>
    <row r="275">
      <c r="A275" s="5"/>
      <c r="B275" s="5"/>
      <c r="C275" s="5"/>
      <c r="D275" s="5"/>
      <c r="E275" s="2"/>
      <c r="F275" s="2"/>
      <c r="G275" s="2"/>
      <c r="H275" s="2"/>
      <c r="I275" s="2"/>
      <c r="J275" s="2"/>
      <c r="K275" s="2"/>
      <c r="L275" s="2"/>
      <c r="M275" s="2"/>
      <c r="N275" s="2"/>
      <c r="O275" s="2"/>
      <c r="P275" s="2"/>
      <c r="Q275" s="2"/>
      <c r="R275" s="2"/>
      <c r="S275" s="2"/>
      <c r="T275" s="2"/>
      <c r="U275" s="2"/>
      <c r="V275" s="2"/>
      <c r="W275" s="2"/>
      <c r="X275" s="2"/>
      <c r="Y275" s="2"/>
      <c r="Z275" s="2"/>
    </row>
    <row r="276">
      <c r="A276" s="5"/>
      <c r="B276" s="5"/>
      <c r="C276" s="5"/>
      <c r="D276" s="5"/>
      <c r="E276" s="2"/>
      <c r="F276" s="2"/>
      <c r="G276" s="2"/>
      <c r="H276" s="2"/>
      <c r="I276" s="2"/>
      <c r="J276" s="2"/>
      <c r="K276" s="2"/>
      <c r="L276" s="2"/>
      <c r="M276" s="2"/>
      <c r="N276" s="2"/>
      <c r="O276" s="2"/>
      <c r="P276" s="2"/>
      <c r="Q276" s="2"/>
      <c r="R276" s="2"/>
      <c r="S276" s="2"/>
      <c r="T276" s="2"/>
      <c r="U276" s="2"/>
      <c r="V276" s="2"/>
      <c r="W276" s="2"/>
      <c r="X276" s="2"/>
      <c r="Y276" s="2"/>
      <c r="Z276" s="2"/>
    </row>
    <row r="277">
      <c r="A277" s="5"/>
      <c r="B277" s="5"/>
      <c r="C277" s="5"/>
      <c r="D277" s="5"/>
      <c r="E277" s="2"/>
      <c r="F277" s="2"/>
      <c r="G277" s="2"/>
      <c r="H277" s="2"/>
      <c r="I277" s="2"/>
      <c r="J277" s="2"/>
      <c r="K277" s="2"/>
      <c r="L277" s="2"/>
      <c r="M277" s="2"/>
      <c r="N277" s="2"/>
      <c r="O277" s="2"/>
      <c r="P277" s="2"/>
      <c r="Q277" s="2"/>
      <c r="R277" s="2"/>
      <c r="S277" s="2"/>
      <c r="T277" s="2"/>
      <c r="U277" s="2"/>
      <c r="V277" s="2"/>
      <c r="W277" s="2"/>
      <c r="X277" s="2"/>
      <c r="Y277" s="2"/>
      <c r="Z277" s="2"/>
    </row>
    <row r="278">
      <c r="A278" s="5"/>
      <c r="B278" s="5"/>
      <c r="C278" s="5"/>
      <c r="D278" s="5"/>
      <c r="E278" s="2"/>
      <c r="F278" s="2"/>
      <c r="G278" s="2"/>
      <c r="H278" s="2"/>
      <c r="I278" s="2"/>
      <c r="J278" s="2"/>
      <c r="K278" s="2"/>
      <c r="L278" s="2"/>
      <c r="M278" s="2"/>
      <c r="N278" s="2"/>
      <c r="O278" s="2"/>
      <c r="P278" s="2"/>
      <c r="Q278" s="2"/>
      <c r="R278" s="2"/>
      <c r="S278" s="2"/>
      <c r="T278" s="2"/>
      <c r="U278" s="2"/>
      <c r="V278" s="2"/>
      <c r="W278" s="2"/>
      <c r="X278" s="2"/>
      <c r="Y278" s="2"/>
      <c r="Z278" s="2"/>
    </row>
    <row r="279">
      <c r="A279" s="5"/>
      <c r="B279" s="5"/>
      <c r="C279" s="5"/>
      <c r="D279" s="5"/>
      <c r="E279" s="2"/>
      <c r="F279" s="2"/>
      <c r="G279" s="2"/>
      <c r="H279" s="2"/>
      <c r="I279" s="2"/>
      <c r="J279" s="2"/>
      <c r="K279" s="2"/>
      <c r="L279" s="2"/>
      <c r="M279" s="2"/>
      <c r="N279" s="2"/>
      <c r="O279" s="2"/>
      <c r="P279" s="2"/>
      <c r="Q279" s="2"/>
      <c r="R279" s="2"/>
      <c r="S279" s="2"/>
      <c r="T279" s="2"/>
      <c r="U279" s="2"/>
      <c r="V279" s="2"/>
      <c r="W279" s="2"/>
      <c r="X279" s="2"/>
      <c r="Y279" s="2"/>
      <c r="Z279" s="2"/>
    </row>
    <row r="280">
      <c r="A280" s="5"/>
      <c r="B280" s="5"/>
      <c r="C280" s="5"/>
      <c r="D280" s="5"/>
      <c r="E280" s="2"/>
      <c r="F280" s="2"/>
      <c r="G280" s="2"/>
      <c r="H280" s="2"/>
      <c r="I280" s="2"/>
      <c r="J280" s="2"/>
      <c r="K280" s="2"/>
      <c r="L280" s="2"/>
      <c r="M280" s="2"/>
      <c r="N280" s="2"/>
      <c r="O280" s="2"/>
      <c r="P280" s="2"/>
      <c r="Q280" s="2"/>
      <c r="R280" s="2"/>
      <c r="S280" s="2"/>
      <c r="T280" s="2"/>
      <c r="U280" s="2"/>
      <c r="V280" s="2"/>
      <c r="W280" s="2"/>
      <c r="X280" s="2"/>
      <c r="Y280" s="2"/>
      <c r="Z280" s="2"/>
    </row>
    <row r="281">
      <c r="A281" s="5"/>
      <c r="B281" s="5"/>
      <c r="C281" s="5"/>
      <c r="D281" s="5"/>
      <c r="E281" s="2"/>
      <c r="F281" s="2"/>
      <c r="G281" s="2"/>
      <c r="H281" s="2"/>
      <c r="I281" s="2"/>
      <c r="J281" s="2"/>
      <c r="K281" s="2"/>
      <c r="L281" s="2"/>
      <c r="M281" s="2"/>
      <c r="N281" s="2"/>
      <c r="O281" s="2"/>
      <c r="P281" s="2"/>
      <c r="Q281" s="2"/>
      <c r="R281" s="2"/>
      <c r="S281" s="2"/>
      <c r="T281" s="2"/>
      <c r="U281" s="2"/>
      <c r="V281" s="2"/>
      <c r="W281" s="2"/>
      <c r="X281" s="2"/>
      <c r="Y281" s="2"/>
      <c r="Z281" s="2"/>
    </row>
    <row r="282">
      <c r="A282" s="5"/>
      <c r="B282" s="5"/>
      <c r="C282" s="5"/>
      <c r="D282" s="5"/>
      <c r="E282" s="2"/>
      <c r="F282" s="2"/>
      <c r="G282" s="2"/>
      <c r="H282" s="2"/>
      <c r="I282" s="2"/>
      <c r="J282" s="2"/>
      <c r="K282" s="2"/>
      <c r="L282" s="2"/>
      <c r="M282" s="2"/>
      <c r="N282" s="2"/>
      <c r="O282" s="2"/>
      <c r="P282" s="2"/>
      <c r="Q282" s="2"/>
      <c r="R282" s="2"/>
      <c r="S282" s="2"/>
      <c r="T282" s="2"/>
      <c r="U282" s="2"/>
      <c r="V282" s="2"/>
      <c r="W282" s="2"/>
      <c r="X282" s="2"/>
      <c r="Y282" s="2"/>
      <c r="Z282" s="2"/>
    </row>
    <row r="283">
      <c r="A283" s="5"/>
      <c r="B283" s="5"/>
      <c r="C283" s="5"/>
      <c r="D283" s="5"/>
      <c r="E283" s="2"/>
      <c r="F283" s="2"/>
      <c r="G283" s="2"/>
      <c r="H283" s="2"/>
      <c r="I283" s="2"/>
      <c r="J283" s="2"/>
      <c r="K283" s="2"/>
      <c r="L283" s="2"/>
      <c r="M283" s="2"/>
      <c r="N283" s="2"/>
      <c r="O283" s="2"/>
      <c r="P283" s="2"/>
      <c r="Q283" s="2"/>
      <c r="R283" s="2"/>
      <c r="S283" s="2"/>
      <c r="T283" s="2"/>
      <c r="U283" s="2"/>
      <c r="V283" s="2"/>
      <c r="W283" s="2"/>
      <c r="X283" s="2"/>
      <c r="Y283" s="2"/>
      <c r="Z283" s="2"/>
    </row>
    <row r="284">
      <c r="A284" s="5"/>
      <c r="B284" s="5"/>
      <c r="C284" s="5"/>
      <c r="D284" s="5"/>
      <c r="E284" s="2"/>
      <c r="F284" s="2"/>
      <c r="G284" s="2"/>
      <c r="H284" s="2"/>
      <c r="I284" s="2"/>
      <c r="J284" s="2"/>
      <c r="K284" s="2"/>
      <c r="L284" s="2"/>
      <c r="M284" s="2"/>
      <c r="N284" s="2"/>
      <c r="O284" s="2"/>
      <c r="P284" s="2"/>
      <c r="Q284" s="2"/>
      <c r="R284" s="2"/>
      <c r="S284" s="2"/>
      <c r="T284" s="2"/>
      <c r="U284" s="2"/>
      <c r="V284" s="2"/>
      <c r="W284" s="2"/>
      <c r="X284" s="2"/>
      <c r="Y284" s="2"/>
      <c r="Z284" s="2"/>
    </row>
    <row r="285">
      <c r="A285" s="5"/>
      <c r="B285" s="5"/>
      <c r="C285" s="5"/>
      <c r="D285" s="5"/>
      <c r="E285" s="2"/>
      <c r="F285" s="2"/>
      <c r="G285" s="2"/>
      <c r="H285" s="2"/>
      <c r="I285" s="2"/>
      <c r="J285" s="2"/>
      <c r="K285" s="2"/>
      <c r="L285" s="2"/>
      <c r="M285" s="2"/>
      <c r="N285" s="2"/>
      <c r="O285" s="2"/>
      <c r="P285" s="2"/>
      <c r="Q285" s="2"/>
      <c r="R285" s="2"/>
      <c r="S285" s="2"/>
      <c r="T285" s="2"/>
      <c r="U285" s="2"/>
      <c r="V285" s="2"/>
      <c r="W285" s="2"/>
      <c r="X285" s="2"/>
      <c r="Y285" s="2"/>
      <c r="Z285" s="2"/>
    </row>
    <row r="286">
      <c r="A286" s="5"/>
      <c r="B286" s="5"/>
      <c r="C286" s="5"/>
      <c r="D286" s="5"/>
      <c r="E286" s="2"/>
      <c r="F286" s="2"/>
      <c r="G286" s="2"/>
      <c r="H286" s="2"/>
      <c r="I286" s="2"/>
      <c r="J286" s="2"/>
      <c r="K286" s="2"/>
      <c r="L286" s="2"/>
      <c r="M286" s="2"/>
      <c r="N286" s="2"/>
      <c r="O286" s="2"/>
      <c r="P286" s="2"/>
      <c r="Q286" s="2"/>
      <c r="R286" s="2"/>
      <c r="S286" s="2"/>
      <c r="T286" s="2"/>
      <c r="U286" s="2"/>
      <c r="V286" s="2"/>
      <c r="W286" s="2"/>
      <c r="X286" s="2"/>
      <c r="Y286" s="2"/>
      <c r="Z286" s="2"/>
    </row>
    <row r="287">
      <c r="A287" s="5"/>
      <c r="B287" s="5"/>
      <c r="C287" s="5"/>
      <c r="D287" s="5"/>
      <c r="E287" s="2"/>
      <c r="F287" s="2"/>
      <c r="G287" s="2"/>
      <c r="H287" s="2"/>
      <c r="I287" s="2"/>
      <c r="J287" s="2"/>
      <c r="K287" s="2"/>
      <c r="L287" s="2"/>
      <c r="M287" s="2"/>
      <c r="N287" s="2"/>
      <c r="O287" s="2"/>
      <c r="P287" s="2"/>
      <c r="Q287" s="2"/>
      <c r="R287" s="2"/>
      <c r="S287" s="2"/>
      <c r="T287" s="2"/>
      <c r="U287" s="2"/>
      <c r="V287" s="2"/>
      <c r="W287" s="2"/>
      <c r="X287" s="2"/>
      <c r="Y287" s="2"/>
      <c r="Z287" s="2"/>
    </row>
    <row r="288">
      <c r="A288" s="5"/>
      <c r="B288" s="5"/>
      <c r="C288" s="5"/>
      <c r="D288" s="5"/>
      <c r="E288" s="2"/>
      <c r="F288" s="2"/>
      <c r="G288" s="2"/>
      <c r="H288" s="2"/>
      <c r="I288" s="2"/>
      <c r="J288" s="2"/>
      <c r="K288" s="2"/>
      <c r="L288" s="2"/>
      <c r="M288" s="2"/>
      <c r="N288" s="2"/>
      <c r="O288" s="2"/>
      <c r="P288" s="2"/>
      <c r="Q288" s="2"/>
      <c r="R288" s="2"/>
      <c r="S288" s="2"/>
      <c r="T288" s="2"/>
      <c r="U288" s="2"/>
      <c r="V288" s="2"/>
      <c r="W288" s="2"/>
      <c r="X288" s="2"/>
      <c r="Y288" s="2"/>
      <c r="Z288" s="2"/>
    </row>
    <row r="289">
      <c r="A289" s="5"/>
      <c r="B289" s="5"/>
      <c r="C289" s="5"/>
      <c r="D289" s="5"/>
      <c r="E289" s="2"/>
      <c r="F289" s="2"/>
      <c r="G289" s="2"/>
      <c r="H289" s="2"/>
      <c r="I289" s="2"/>
      <c r="J289" s="2"/>
      <c r="K289" s="2"/>
      <c r="L289" s="2"/>
      <c r="M289" s="2"/>
      <c r="N289" s="2"/>
      <c r="O289" s="2"/>
      <c r="P289" s="2"/>
      <c r="Q289" s="2"/>
      <c r="R289" s="2"/>
      <c r="S289" s="2"/>
      <c r="T289" s="2"/>
      <c r="U289" s="2"/>
      <c r="V289" s="2"/>
      <c r="W289" s="2"/>
      <c r="X289" s="2"/>
      <c r="Y289" s="2"/>
      <c r="Z289" s="2"/>
    </row>
    <row r="290">
      <c r="A290" s="5"/>
      <c r="B290" s="5"/>
      <c r="C290" s="5"/>
      <c r="D290" s="5"/>
      <c r="E290" s="2"/>
      <c r="F290" s="2"/>
      <c r="G290" s="2"/>
      <c r="H290" s="2"/>
      <c r="I290" s="2"/>
      <c r="J290" s="2"/>
      <c r="K290" s="2"/>
      <c r="L290" s="2"/>
      <c r="M290" s="2"/>
      <c r="N290" s="2"/>
      <c r="O290" s="2"/>
      <c r="P290" s="2"/>
      <c r="Q290" s="2"/>
      <c r="R290" s="2"/>
      <c r="S290" s="2"/>
      <c r="T290" s="2"/>
      <c r="U290" s="2"/>
      <c r="V290" s="2"/>
      <c r="W290" s="2"/>
      <c r="X290" s="2"/>
      <c r="Y290" s="2"/>
      <c r="Z290" s="2"/>
    </row>
    <row r="291">
      <c r="A291" s="5"/>
      <c r="B291" s="5"/>
      <c r="C291" s="5"/>
      <c r="D291" s="5"/>
      <c r="E291" s="2"/>
      <c r="F291" s="2"/>
      <c r="G291" s="2"/>
      <c r="H291" s="2"/>
      <c r="I291" s="2"/>
      <c r="J291" s="2"/>
      <c r="K291" s="2"/>
      <c r="L291" s="2"/>
      <c r="M291" s="2"/>
      <c r="N291" s="2"/>
      <c r="O291" s="2"/>
      <c r="P291" s="2"/>
      <c r="Q291" s="2"/>
      <c r="R291" s="2"/>
      <c r="S291" s="2"/>
      <c r="T291" s="2"/>
      <c r="U291" s="2"/>
      <c r="V291" s="2"/>
      <c r="W291" s="2"/>
      <c r="X291" s="2"/>
      <c r="Y291" s="2"/>
      <c r="Z291" s="2"/>
    </row>
    <row r="292">
      <c r="A292" s="5"/>
      <c r="B292" s="5"/>
      <c r="C292" s="5"/>
      <c r="D292" s="5"/>
      <c r="E292" s="2"/>
      <c r="F292" s="2"/>
      <c r="G292" s="2"/>
      <c r="H292" s="2"/>
      <c r="I292" s="2"/>
      <c r="J292" s="2"/>
      <c r="K292" s="2"/>
      <c r="L292" s="2"/>
      <c r="M292" s="2"/>
      <c r="N292" s="2"/>
      <c r="O292" s="2"/>
      <c r="P292" s="2"/>
      <c r="Q292" s="2"/>
      <c r="R292" s="2"/>
      <c r="S292" s="2"/>
      <c r="T292" s="2"/>
      <c r="U292" s="2"/>
      <c r="V292" s="2"/>
      <c r="W292" s="2"/>
      <c r="X292" s="2"/>
      <c r="Y292" s="2"/>
      <c r="Z292" s="2"/>
    </row>
    <row r="293">
      <c r="A293" s="5"/>
      <c r="B293" s="5"/>
      <c r="C293" s="5"/>
      <c r="D293" s="5"/>
      <c r="E293" s="2"/>
      <c r="F293" s="2"/>
      <c r="G293" s="2"/>
      <c r="H293" s="2"/>
      <c r="I293" s="2"/>
      <c r="J293" s="2"/>
      <c r="K293" s="2"/>
      <c r="L293" s="2"/>
      <c r="M293" s="2"/>
      <c r="N293" s="2"/>
      <c r="O293" s="2"/>
      <c r="P293" s="2"/>
      <c r="Q293" s="2"/>
      <c r="R293" s="2"/>
      <c r="S293" s="2"/>
      <c r="T293" s="2"/>
      <c r="U293" s="2"/>
      <c r="V293" s="2"/>
      <c r="W293" s="2"/>
      <c r="X293" s="2"/>
      <c r="Y293" s="2"/>
      <c r="Z293" s="2"/>
    </row>
    <row r="294">
      <c r="A294" s="5"/>
      <c r="B294" s="5"/>
      <c r="C294" s="5"/>
      <c r="D294" s="5"/>
      <c r="E294" s="2"/>
      <c r="F294" s="2"/>
      <c r="G294" s="2"/>
      <c r="H294" s="2"/>
      <c r="I294" s="2"/>
      <c r="J294" s="2"/>
      <c r="K294" s="2"/>
      <c r="L294" s="2"/>
      <c r="M294" s="2"/>
      <c r="N294" s="2"/>
      <c r="O294" s="2"/>
      <c r="P294" s="2"/>
      <c r="Q294" s="2"/>
      <c r="R294" s="2"/>
      <c r="S294" s="2"/>
      <c r="T294" s="2"/>
      <c r="U294" s="2"/>
      <c r="V294" s="2"/>
      <c r="W294" s="2"/>
      <c r="X294" s="2"/>
      <c r="Y294" s="2"/>
      <c r="Z294" s="2"/>
    </row>
    <row r="295">
      <c r="A295" s="5"/>
      <c r="B295" s="5"/>
      <c r="C295" s="5"/>
      <c r="D295" s="5"/>
      <c r="E295" s="2"/>
      <c r="F295" s="2"/>
      <c r="G295" s="2"/>
      <c r="H295" s="2"/>
      <c r="I295" s="2"/>
      <c r="J295" s="2"/>
      <c r="K295" s="2"/>
      <c r="L295" s="2"/>
      <c r="M295" s="2"/>
      <c r="N295" s="2"/>
      <c r="O295" s="2"/>
      <c r="P295" s="2"/>
      <c r="Q295" s="2"/>
      <c r="R295" s="2"/>
      <c r="S295" s="2"/>
      <c r="T295" s="2"/>
      <c r="U295" s="2"/>
      <c r="V295" s="2"/>
      <c r="W295" s="2"/>
      <c r="X295" s="2"/>
      <c r="Y295" s="2"/>
      <c r="Z295" s="2"/>
    </row>
    <row r="296">
      <c r="A296" s="5"/>
      <c r="B296" s="5"/>
      <c r="C296" s="5"/>
      <c r="D296" s="5"/>
      <c r="E296" s="2"/>
      <c r="F296" s="2"/>
      <c r="G296" s="2"/>
      <c r="H296" s="2"/>
      <c r="I296" s="2"/>
      <c r="J296" s="2"/>
      <c r="K296" s="2"/>
      <c r="L296" s="2"/>
      <c r="M296" s="2"/>
      <c r="N296" s="2"/>
      <c r="O296" s="2"/>
      <c r="P296" s="2"/>
      <c r="Q296" s="2"/>
      <c r="R296" s="2"/>
      <c r="S296" s="2"/>
      <c r="T296" s="2"/>
      <c r="U296" s="2"/>
      <c r="V296" s="2"/>
      <c r="W296" s="2"/>
      <c r="X296" s="2"/>
      <c r="Y296" s="2"/>
      <c r="Z296" s="2"/>
    </row>
    <row r="297">
      <c r="A297" s="5"/>
      <c r="B297" s="5"/>
      <c r="C297" s="5"/>
      <c r="D297" s="5"/>
      <c r="E297" s="2"/>
      <c r="F297" s="2"/>
      <c r="G297" s="2"/>
      <c r="H297" s="2"/>
      <c r="I297" s="2"/>
      <c r="J297" s="2"/>
      <c r="K297" s="2"/>
      <c r="L297" s="2"/>
      <c r="M297" s="2"/>
      <c r="N297" s="2"/>
      <c r="O297" s="2"/>
      <c r="P297" s="2"/>
      <c r="Q297" s="2"/>
      <c r="R297" s="2"/>
      <c r="S297" s="2"/>
      <c r="T297" s="2"/>
      <c r="U297" s="2"/>
      <c r="V297" s="2"/>
      <c r="W297" s="2"/>
      <c r="X297" s="2"/>
      <c r="Y297" s="2"/>
      <c r="Z297" s="2"/>
    </row>
    <row r="298">
      <c r="A298" s="5"/>
      <c r="B298" s="5"/>
      <c r="C298" s="5"/>
      <c r="D298" s="5"/>
      <c r="E298" s="2"/>
      <c r="F298" s="2"/>
      <c r="G298" s="2"/>
      <c r="H298" s="2"/>
      <c r="I298" s="2"/>
      <c r="J298" s="2"/>
      <c r="K298" s="2"/>
      <c r="L298" s="2"/>
      <c r="M298" s="2"/>
      <c r="N298" s="2"/>
      <c r="O298" s="2"/>
      <c r="P298" s="2"/>
      <c r="Q298" s="2"/>
      <c r="R298" s="2"/>
      <c r="S298" s="2"/>
      <c r="T298" s="2"/>
      <c r="U298" s="2"/>
      <c r="V298" s="2"/>
      <c r="W298" s="2"/>
      <c r="X298" s="2"/>
      <c r="Y298" s="2"/>
      <c r="Z298" s="2"/>
    </row>
    <row r="299">
      <c r="A299" s="5"/>
      <c r="B299" s="5"/>
      <c r="C299" s="5"/>
      <c r="D299" s="5"/>
      <c r="E299" s="2"/>
      <c r="F299" s="2"/>
      <c r="G299" s="2"/>
      <c r="H299" s="2"/>
      <c r="I299" s="2"/>
      <c r="J299" s="2"/>
      <c r="K299" s="2"/>
      <c r="L299" s="2"/>
      <c r="M299" s="2"/>
      <c r="N299" s="2"/>
      <c r="O299" s="2"/>
      <c r="P299" s="2"/>
      <c r="Q299" s="2"/>
      <c r="R299" s="2"/>
      <c r="S299" s="2"/>
      <c r="T299" s="2"/>
      <c r="U299" s="2"/>
      <c r="V299" s="2"/>
      <c r="W299" s="2"/>
      <c r="X299" s="2"/>
      <c r="Y299" s="2"/>
      <c r="Z299" s="2"/>
    </row>
    <row r="300">
      <c r="A300" s="5"/>
      <c r="B300" s="5"/>
      <c r="C300" s="5"/>
      <c r="D300" s="5"/>
      <c r="E300" s="2"/>
      <c r="F300" s="2"/>
      <c r="G300" s="2"/>
      <c r="H300" s="2"/>
      <c r="I300" s="2"/>
      <c r="J300" s="2"/>
      <c r="K300" s="2"/>
      <c r="L300" s="2"/>
      <c r="M300" s="2"/>
      <c r="N300" s="2"/>
      <c r="O300" s="2"/>
      <c r="P300" s="2"/>
      <c r="Q300" s="2"/>
      <c r="R300" s="2"/>
      <c r="S300" s="2"/>
      <c r="T300" s="2"/>
      <c r="U300" s="2"/>
      <c r="V300" s="2"/>
      <c r="W300" s="2"/>
      <c r="X300" s="2"/>
      <c r="Y300" s="2"/>
      <c r="Z300" s="2"/>
    </row>
    <row r="301">
      <c r="A301" s="5"/>
      <c r="B301" s="5"/>
      <c r="C301" s="5"/>
      <c r="D301" s="5"/>
      <c r="E301" s="2"/>
      <c r="F301" s="2"/>
      <c r="G301" s="2"/>
      <c r="H301" s="2"/>
      <c r="I301" s="2"/>
      <c r="J301" s="2"/>
      <c r="K301" s="2"/>
      <c r="L301" s="2"/>
      <c r="M301" s="2"/>
      <c r="N301" s="2"/>
      <c r="O301" s="2"/>
      <c r="P301" s="2"/>
      <c r="Q301" s="2"/>
      <c r="R301" s="2"/>
      <c r="S301" s="2"/>
      <c r="T301" s="2"/>
      <c r="U301" s="2"/>
      <c r="V301" s="2"/>
      <c r="W301" s="2"/>
      <c r="X301" s="2"/>
      <c r="Y301" s="2"/>
      <c r="Z301" s="2"/>
    </row>
    <row r="302">
      <c r="A302" s="5"/>
      <c r="B302" s="5"/>
      <c r="C302" s="5"/>
      <c r="D302" s="5"/>
      <c r="E302" s="2"/>
      <c r="F302" s="2"/>
      <c r="G302" s="2"/>
      <c r="H302" s="2"/>
      <c r="I302" s="2"/>
      <c r="J302" s="2"/>
      <c r="K302" s="2"/>
      <c r="L302" s="2"/>
      <c r="M302" s="2"/>
      <c r="N302" s="2"/>
      <c r="O302" s="2"/>
      <c r="P302" s="2"/>
      <c r="Q302" s="2"/>
      <c r="R302" s="2"/>
      <c r="S302" s="2"/>
      <c r="T302" s="2"/>
      <c r="U302" s="2"/>
      <c r="V302" s="2"/>
      <c r="W302" s="2"/>
      <c r="X302" s="2"/>
      <c r="Y302" s="2"/>
      <c r="Z302" s="2"/>
    </row>
    <row r="303">
      <c r="A303" s="5"/>
      <c r="B303" s="5"/>
      <c r="C303" s="5"/>
      <c r="D303" s="5"/>
      <c r="E303" s="2"/>
      <c r="F303" s="2"/>
      <c r="G303" s="2"/>
      <c r="H303" s="2"/>
      <c r="I303" s="2"/>
      <c r="J303" s="2"/>
      <c r="K303" s="2"/>
      <c r="L303" s="2"/>
      <c r="M303" s="2"/>
      <c r="N303" s="2"/>
      <c r="O303" s="2"/>
      <c r="P303" s="2"/>
      <c r="Q303" s="2"/>
      <c r="R303" s="2"/>
      <c r="S303" s="2"/>
      <c r="T303" s="2"/>
      <c r="U303" s="2"/>
      <c r="V303" s="2"/>
      <c r="W303" s="2"/>
      <c r="X303" s="2"/>
      <c r="Y303" s="2"/>
      <c r="Z303" s="2"/>
    </row>
    <row r="304">
      <c r="A304" s="5"/>
      <c r="B304" s="5"/>
      <c r="C304" s="5"/>
      <c r="D304" s="5"/>
      <c r="E304" s="2"/>
      <c r="F304" s="2"/>
      <c r="G304" s="2"/>
      <c r="H304" s="2"/>
      <c r="I304" s="2"/>
      <c r="J304" s="2"/>
      <c r="K304" s="2"/>
      <c r="L304" s="2"/>
      <c r="M304" s="2"/>
      <c r="N304" s="2"/>
      <c r="O304" s="2"/>
      <c r="P304" s="2"/>
      <c r="Q304" s="2"/>
      <c r="R304" s="2"/>
      <c r="S304" s="2"/>
      <c r="T304" s="2"/>
      <c r="U304" s="2"/>
      <c r="V304" s="2"/>
      <c r="W304" s="2"/>
      <c r="X304" s="2"/>
      <c r="Y304" s="2"/>
      <c r="Z304" s="2"/>
    </row>
    <row r="305">
      <c r="A305" s="5"/>
      <c r="B305" s="5"/>
      <c r="C305" s="5"/>
      <c r="D305" s="5"/>
      <c r="E305" s="2"/>
      <c r="F305" s="2"/>
      <c r="G305" s="2"/>
      <c r="H305" s="2"/>
      <c r="I305" s="2"/>
      <c r="J305" s="2"/>
      <c r="K305" s="2"/>
      <c r="L305" s="2"/>
      <c r="M305" s="2"/>
      <c r="N305" s="2"/>
      <c r="O305" s="2"/>
      <c r="P305" s="2"/>
      <c r="Q305" s="2"/>
      <c r="R305" s="2"/>
      <c r="S305" s="2"/>
      <c r="T305" s="2"/>
      <c r="U305" s="2"/>
      <c r="V305" s="2"/>
      <c r="W305" s="2"/>
      <c r="X305" s="2"/>
      <c r="Y305" s="2"/>
      <c r="Z305" s="2"/>
    </row>
    <row r="306">
      <c r="A306" s="5"/>
      <c r="B306" s="5"/>
      <c r="C306" s="5"/>
      <c r="D306" s="5"/>
      <c r="E306" s="2"/>
      <c r="F306" s="2"/>
      <c r="G306" s="2"/>
      <c r="H306" s="2"/>
      <c r="I306" s="2"/>
      <c r="J306" s="2"/>
      <c r="K306" s="2"/>
      <c r="L306" s="2"/>
      <c r="M306" s="2"/>
      <c r="N306" s="2"/>
      <c r="O306" s="2"/>
      <c r="P306" s="2"/>
      <c r="Q306" s="2"/>
      <c r="R306" s="2"/>
      <c r="S306" s="2"/>
      <c r="T306" s="2"/>
      <c r="U306" s="2"/>
      <c r="V306" s="2"/>
      <c r="W306" s="2"/>
      <c r="X306" s="2"/>
      <c r="Y306" s="2"/>
      <c r="Z306" s="2"/>
    </row>
    <row r="307">
      <c r="A307" s="5"/>
      <c r="B307" s="5"/>
      <c r="C307" s="5"/>
      <c r="D307" s="5"/>
      <c r="E307" s="2"/>
      <c r="F307" s="2"/>
      <c r="G307" s="2"/>
      <c r="H307" s="2"/>
      <c r="I307" s="2"/>
      <c r="J307" s="2"/>
      <c r="K307" s="2"/>
      <c r="L307" s="2"/>
      <c r="M307" s="2"/>
      <c r="N307" s="2"/>
      <c r="O307" s="2"/>
      <c r="P307" s="2"/>
      <c r="Q307" s="2"/>
      <c r="R307" s="2"/>
      <c r="S307" s="2"/>
      <c r="T307" s="2"/>
      <c r="U307" s="2"/>
      <c r="V307" s="2"/>
      <c r="W307" s="2"/>
      <c r="X307" s="2"/>
      <c r="Y307" s="2"/>
      <c r="Z307" s="2"/>
    </row>
    <row r="308">
      <c r="A308" s="5"/>
      <c r="B308" s="5"/>
      <c r="C308" s="5"/>
      <c r="D308" s="5"/>
      <c r="E308" s="2"/>
      <c r="F308" s="2"/>
      <c r="G308" s="2"/>
      <c r="H308" s="2"/>
      <c r="I308" s="2"/>
      <c r="J308" s="2"/>
      <c r="K308" s="2"/>
      <c r="L308" s="2"/>
      <c r="M308" s="2"/>
      <c r="N308" s="2"/>
      <c r="O308" s="2"/>
      <c r="P308" s="2"/>
      <c r="Q308" s="2"/>
      <c r="R308" s="2"/>
      <c r="S308" s="2"/>
      <c r="T308" s="2"/>
      <c r="U308" s="2"/>
      <c r="V308" s="2"/>
      <c r="W308" s="2"/>
      <c r="X308" s="2"/>
      <c r="Y308" s="2"/>
      <c r="Z308" s="2"/>
    </row>
    <row r="309">
      <c r="A309" s="5"/>
      <c r="B309" s="5"/>
      <c r="C309" s="5"/>
      <c r="D309" s="5"/>
      <c r="E309" s="2"/>
      <c r="F309" s="2"/>
      <c r="G309" s="2"/>
      <c r="H309" s="2"/>
      <c r="I309" s="2"/>
      <c r="J309" s="2"/>
      <c r="K309" s="2"/>
      <c r="L309" s="2"/>
      <c r="M309" s="2"/>
      <c r="N309" s="2"/>
      <c r="O309" s="2"/>
      <c r="P309" s="2"/>
      <c r="Q309" s="2"/>
      <c r="R309" s="2"/>
      <c r="S309" s="2"/>
      <c r="T309" s="2"/>
      <c r="U309" s="2"/>
      <c r="V309" s="2"/>
      <c r="W309" s="2"/>
      <c r="X309" s="2"/>
      <c r="Y309" s="2"/>
      <c r="Z309" s="2"/>
    </row>
    <row r="310">
      <c r="A310" s="5"/>
      <c r="B310" s="5"/>
      <c r="C310" s="5"/>
      <c r="D310" s="5"/>
      <c r="E310" s="2"/>
      <c r="F310" s="2"/>
      <c r="G310" s="2"/>
      <c r="H310" s="2"/>
      <c r="I310" s="2"/>
      <c r="J310" s="2"/>
      <c r="K310" s="2"/>
      <c r="L310" s="2"/>
      <c r="M310" s="2"/>
      <c r="N310" s="2"/>
      <c r="O310" s="2"/>
      <c r="P310" s="2"/>
      <c r="Q310" s="2"/>
      <c r="R310" s="2"/>
      <c r="S310" s="2"/>
      <c r="T310" s="2"/>
      <c r="U310" s="2"/>
      <c r="V310" s="2"/>
      <c r="W310" s="2"/>
      <c r="X310" s="2"/>
      <c r="Y310" s="2"/>
      <c r="Z310" s="2"/>
    </row>
    <row r="311">
      <c r="A311" s="5"/>
      <c r="B311" s="5"/>
      <c r="C311" s="5"/>
      <c r="D311" s="5"/>
      <c r="E311" s="2"/>
      <c r="F311" s="2"/>
      <c r="G311" s="2"/>
      <c r="H311" s="2"/>
      <c r="I311" s="2"/>
      <c r="J311" s="2"/>
      <c r="K311" s="2"/>
      <c r="L311" s="2"/>
      <c r="M311" s="2"/>
      <c r="N311" s="2"/>
      <c r="O311" s="2"/>
      <c r="P311" s="2"/>
      <c r="Q311" s="2"/>
      <c r="R311" s="2"/>
      <c r="S311" s="2"/>
      <c r="T311" s="2"/>
      <c r="U311" s="2"/>
      <c r="V311" s="2"/>
      <c r="W311" s="2"/>
      <c r="X311" s="2"/>
      <c r="Y311" s="2"/>
      <c r="Z311" s="2"/>
    </row>
    <row r="312">
      <c r="A312" s="5"/>
      <c r="B312" s="5"/>
      <c r="C312" s="5"/>
      <c r="D312" s="5"/>
      <c r="E312" s="2"/>
      <c r="F312" s="2"/>
      <c r="G312" s="2"/>
      <c r="H312" s="2"/>
      <c r="I312" s="2"/>
      <c r="J312" s="2"/>
      <c r="K312" s="2"/>
      <c r="L312" s="2"/>
      <c r="M312" s="2"/>
      <c r="N312" s="2"/>
      <c r="O312" s="2"/>
      <c r="P312" s="2"/>
      <c r="Q312" s="2"/>
      <c r="R312" s="2"/>
      <c r="S312" s="2"/>
      <c r="T312" s="2"/>
      <c r="U312" s="2"/>
      <c r="V312" s="2"/>
      <c r="W312" s="2"/>
      <c r="X312" s="2"/>
      <c r="Y312" s="2"/>
      <c r="Z312" s="2"/>
    </row>
    <row r="313">
      <c r="A313" s="5"/>
      <c r="B313" s="5"/>
      <c r="C313" s="5"/>
      <c r="D313" s="5"/>
      <c r="E313" s="2"/>
      <c r="F313" s="2"/>
      <c r="G313" s="2"/>
      <c r="H313" s="2"/>
      <c r="I313" s="2"/>
      <c r="J313" s="2"/>
      <c r="K313" s="2"/>
      <c r="L313" s="2"/>
      <c r="M313" s="2"/>
      <c r="N313" s="2"/>
      <c r="O313" s="2"/>
      <c r="P313" s="2"/>
      <c r="Q313" s="2"/>
      <c r="R313" s="2"/>
      <c r="S313" s="2"/>
      <c r="T313" s="2"/>
      <c r="U313" s="2"/>
      <c r="V313" s="2"/>
      <c r="W313" s="2"/>
      <c r="X313" s="2"/>
      <c r="Y313" s="2"/>
      <c r="Z313" s="2"/>
    </row>
    <row r="314">
      <c r="A314" s="5"/>
      <c r="B314" s="5"/>
      <c r="C314" s="5"/>
      <c r="D314" s="5"/>
      <c r="E314" s="2"/>
      <c r="F314" s="2"/>
      <c r="G314" s="2"/>
      <c r="H314" s="2"/>
      <c r="I314" s="2"/>
      <c r="J314" s="2"/>
      <c r="K314" s="2"/>
      <c r="L314" s="2"/>
      <c r="M314" s="2"/>
      <c r="N314" s="2"/>
      <c r="O314" s="2"/>
      <c r="P314" s="2"/>
      <c r="Q314" s="2"/>
      <c r="R314" s="2"/>
      <c r="S314" s="2"/>
      <c r="T314" s="2"/>
      <c r="U314" s="2"/>
      <c r="V314" s="2"/>
      <c r="W314" s="2"/>
      <c r="X314" s="2"/>
      <c r="Y314" s="2"/>
      <c r="Z314" s="2"/>
    </row>
    <row r="315">
      <c r="A315" s="5"/>
      <c r="B315" s="5"/>
      <c r="C315" s="5"/>
      <c r="D315" s="5"/>
      <c r="E315" s="2"/>
      <c r="F315" s="2"/>
      <c r="G315" s="2"/>
      <c r="H315" s="2"/>
      <c r="I315" s="2"/>
      <c r="J315" s="2"/>
      <c r="K315" s="2"/>
      <c r="L315" s="2"/>
      <c r="M315" s="2"/>
      <c r="N315" s="2"/>
      <c r="O315" s="2"/>
      <c r="P315" s="2"/>
      <c r="Q315" s="2"/>
      <c r="R315" s="2"/>
      <c r="S315" s="2"/>
      <c r="T315" s="2"/>
      <c r="U315" s="2"/>
      <c r="V315" s="2"/>
      <c r="W315" s="2"/>
      <c r="X315" s="2"/>
      <c r="Y315" s="2"/>
      <c r="Z315" s="2"/>
    </row>
    <row r="316">
      <c r="A316" s="5"/>
      <c r="B316" s="5"/>
      <c r="C316" s="5"/>
      <c r="D316" s="5"/>
      <c r="E316" s="2"/>
      <c r="F316" s="2"/>
      <c r="G316" s="2"/>
      <c r="H316" s="2"/>
      <c r="I316" s="2"/>
      <c r="J316" s="2"/>
      <c r="K316" s="2"/>
      <c r="L316" s="2"/>
      <c r="M316" s="2"/>
      <c r="N316" s="2"/>
      <c r="O316" s="2"/>
      <c r="P316" s="2"/>
      <c r="Q316" s="2"/>
      <c r="R316" s="2"/>
      <c r="S316" s="2"/>
      <c r="T316" s="2"/>
      <c r="U316" s="2"/>
      <c r="V316" s="2"/>
      <c r="W316" s="2"/>
      <c r="X316" s="2"/>
      <c r="Y316" s="2"/>
      <c r="Z316" s="2"/>
    </row>
    <row r="317">
      <c r="A317" s="5"/>
      <c r="B317" s="5"/>
      <c r="C317" s="5"/>
      <c r="D317" s="5"/>
      <c r="E317" s="2"/>
      <c r="F317" s="2"/>
      <c r="G317" s="2"/>
      <c r="H317" s="2"/>
      <c r="I317" s="2"/>
      <c r="J317" s="2"/>
      <c r="K317" s="2"/>
      <c r="L317" s="2"/>
      <c r="M317" s="2"/>
      <c r="N317" s="2"/>
      <c r="O317" s="2"/>
      <c r="P317" s="2"/>
      <c r="Q317" s="2"/>
      <c r="R317" s="2"/>
      <c r="S317" s="2"/>
      <c r="T317" s="2"/>
      <c r="U317" s="2"/>
      <c r="V317" s="2"/>
      <c r="W317" s="2"/>
      <c r="X317" s="2"/>
      <c r="Y317" s="2"/>
      <c r="Z317" s="2"/>
    </row>
    <row r="318">
      <c r="A318" s="5"/>
      <c r="B318" s="5"/>
      <c r="C318" s="5"/>
      <c r="D318" s="5"/>
      <c r="E318" s="2"/>
      <c r="F318" s="2"/>
      <c r="G318" s="2"/>
      <c r="H318" s="2"/>
      <c r="I318" s="2"/>
      <c r="J318" s="2"/>
      <c r="K318" s="2"/>
      <c r="L318" s="2"/>
      <c r="M318" s="2"/>
      <c r="N318" s="2"/>
      <c r="O318" s="2"/>
      <c r="P318" s="2"/>
      <c r="Q318" s="2"/>
      <c r="R318" s="2"/>
      <c r="S318" s="2"/>
      <c r="T318" s="2"/>
      <c r="U318" s="2"/>
      <c r="V318" s="2"/>
      <c r="W318" s="2"/>
      <c r="X318" s="2"/>
      <c r="Y318" s="2"/>
      <c r="Z318" s="2"/>
    </row>
    <row r="319">
      <c r="A319" s="5"/>
      <c r="B319" s="5"/>
      <c r="C319" s="5"/>
      <c r="D319" s="5"/>
      <c r="E319" s="2"/>
      <c r="F319" s="2"/>
      <c r="G319" s="2"/>
      <c r="H319" s="2"/>
      <c r="I319" s="2"/>
      <c r="J319" s="2"/>
      <c r="K319" s="2"/>
      <c r="L319" s="2"/>
      <c r="M319" s="2"/>
      <c r="N319" s="2"/>
      <c r="O319" s="2"/>
      <c r="P319" s="2"/>
      <c r="Q319" s="2"/>
      <c r="R319" s="2"/>
      <c r="S319" s="2"/>
      <c r="T319" s="2"/>
      <c r="U319" s="2"/>
      <c r="V319" s="2"/>
      <c r="W319" s="2"/>
      <c r="X319" s="2"/>
      <c r="Y319" s="2"/>
      <c r="Z319" s="2"/>
    </row>
    <row r="320">
      <c r="A320" s="5"/>
      <c r="B320" s="5"/>
      <c r="C320" s="5"/>
      <c r="D320" s="5"/>
      <c r="E320" s="2"/>
      <c r="F320" s="2"/>
      <c r="G320" s="2"/>
      <c r="H320" s="2"/>
      <c r="I320" s="2"/>
      <c r="J320" s="2"/>
      <c r="K320" s="2"/>
      <c r="L320" s="2"/>
      <c r="M320" s="2"/>
      <c r="N320" s="2"/>
      <c r="O320" s="2"/>
      <c r="P320" s="2"/>
      <c r="Q320" s="2"/>
      <c r="R320" s="2"/>
      <c r="S320" s="2"/>
      <c r="T320" s="2"/>
      <c r="U320" s="2"/>
      <c r="V320" s="2"/>
      <c r="W320" s="2"/>
      <c r="X320" s="2"/>
      <c r="Y320" s="2"/>
      <c r="Z320" s="2"/>
    </row>
    <row r="321">
      <c r="A321" s="5"/>
      <c r="B321" s="5"/>
      <c r="C321" s="5"/>
      <c r="D321" s="5"/>
      <c r="E321" s="2"/>
      <c r="F321" s="2"/>
      <c r="G321" s="2"/>
      <c r="H321" s="2"/>
      <c r="I321" s="2"/>
      <c r="J321" s="2"/>
      <c r="K321" s="2"/>
      <c r="L321" s="2"/>
      <c r="M321" s="2"/>
      <c r="N321" s="2"/>
      <c r="O321" s="2"/>
      <c r="P321" s="2"/>
      <c r="Q321" s="2"/>
      <c r="R321" s="2"/>
      <c r="S321" s="2"/>
      <c r="T321" s="2"/>
      <c r="U321" s="2"/>
      <c r="V321" s="2"/>
      <c r="W321" s="2"/>
      <c r="X321" s="2"/>
      <c r="Y321" s="2"/>
      <c r="Z321" s="2"/>
    </row>
    <row r="322">
      <c r="A322" s="5"/>
      <c r="B322" s="5"/>
      <c r="C322" s="5"/>
      <c r="D322" s="5"/>
      <c r="E322" s="2"/>
      <c r="F322" s="2"/>
      <c r="G322" s="2"/>
      <c r="H322" s="2"/>
      <c r="I322" s="2"/>
      <c r="J322" s="2"/>
      <c r="K322" s="2"/>
      <c r="L322" s="2"/>
      <c r="M322" s="2"/>
      <c r="N322" s="2"/>
      <c r="O322" s="2"/>
      <c r="P322" s="2"/>
      <c r="Q322" s="2"/>
      <c r="R322" s="2"/>
      <c r="S322" s="2"/>
      <c r="T322" s="2"/>
      <c r="U322" s="2"/>
      <c r="V322" s="2"/>
      <c r="W322" s="2"/>
      <c r="X322" s="2"/>
      <c r="Y322" s="2"/>
      <c r="Z322" s="2"/>
    </row>
    <row r="323">
      <c r="A323" s="5"/>
      <c r="B323" s="5"/>
      <c r="C323" s="5"/>
      <c r="D323" s="5"/>
      <c r="E323" s="2"/>
      <c r="F323" s="2"/>
      <c r="G323" s="2"/>
      <c r="H323" s="2"/>
      <c r="I323" s="2"/>
      <c r="J323" s="2"/>
      <c r="K323" s="2"/>
      <c r="L323" s="2"/>
      <c r="M323" s="2"/>
      <c r="N323" s="2"/>
      <c r="O323" s="2"/>
      <c r="P323" s="2"/>
      <c r="Q323" s="2"/>
      <c r="R323" s="2"/>
      <c r="S323" s="2"/>
      <c r="T323" s="2"/>
      <c r="U323" s="2"/>
      <c r="V323" s="2"/>
      <c r="W323" s="2"/>
      <c r="X323" s="2"/>
      <c r="Y323" s="2"/>
      <c r="Z323" s="2"/>
    </row>
    <row r="324">
      <c r="A324" s="5"/>
      <c r="B324" s="5"/>
      <c r="C324" s="5"/>
      <c r="D324" s="5"/>
      <c r="E324" s="2"/>
      <c r="F324" s="2"/>
      <c r="G324" s="2"/>
      <c r="H324" s="2"/>
      <c r="I324" s="2"/>
      <c r="J324" s="2"/>
      <c r="K324" s="2"/>
      <c r="L324" s="2"/>
      <c r="M324" s="2"/>
      <c r="N324" s="2"/>
      <c r="O324" s="2"/>
      <c r="P324" s="2"/>
      <c r="Q324" s="2"/>
      <c r="R324" s="2"/>
      <c r="S324" s="2"/>
      <c r="T324" s="2"/>
      <c r="U324" s="2"/>
      <c r="V324" s="2"/>
      <c r="W324" s="2"/>
      <c r="X324" s="2"/>
      <c r="Y324" s="2"/>
      <c r="Z324" s="2"/>
    </row>
    <row r="325">
      <c r="A325" s="5"/>
      <c r="B325" s="5"/>
      <c r="C325" s="5"/>
      <c r="D325" s="5"/>
      <c r="E325" s="2"/>
      <c r="F325" s="2"/>
      <c r="G325" s="2"/>
      <c r="H325" s="2"/>
      <c r="I325" s="2"/>
      <c r="J325" s="2"/>
      <c r="K325" s="2"/>
      <c r="L325" s="2"/>
      <c r="M325" s="2"/>
      <c r="N325" s="2"/>
      <c r="O325" s="2"/>
      <c r="P325" s="2"/>
      <c r="Q325" s="2"/>
      <c r="R325" s="2"/>
      <c r="S325" s="2"/>
      <c r="T325" s="2"/>
      <c r="U325" s="2"/>
      <c r="V325" s="2"/>
      <c r="W325" s="2"/>
      <c r="X325" s="2"/>
      <c r="Y325" s="2"/>
      <c r="Z325" s="2"/>
    </row>
    <row r="326">
      <c r="A326" s="5"/>
      <c r="B326" s="5"/>
      <c r="C326" s="5"/>
      <c r="D326" s="5"/>
      <c r="E326" s="2"/>
      <c r="F326" s="2"/>
      <c r="G326" s="2"/>
      <c r="H326" s="2"/>
      <c r="I326" s="2"/>
      <c r="J326" s="2"/>
      <c r="K326" s="2"/>
      <c r="L326" s="2"/>
      <c r="M326" s="2"/>
      <c r="N326" s="2"/>
      <c r="O326" s="2"/>
      <c r="P326" s="2"/>
      <c r="Q326" s="2"/>
      <c r="R326" s="2"/>
      <c r="S326" s="2"/>
      <c r="T326" s="2"/>
      <c r="U326" s="2"/>
      <c r="V326" s="2"/>
      <c r="W326" s="2"/>
      <c r="X326" s="2"/>
      <c r="Y326" s="2"/>
      <c r="Z326" s="2"/>
    </row>
    <row r="327">
      <c r="A327" s="5"/>
      <c r="B327" s="5"/>
      <c r="C327" s="5"/>
      <c r="D327" s="5"/>
      <c r="E327" s="2"/>
      <c r="F327" s="2"/>
      <c r="G327" s="2"/>
      <c r="H327" s="2"/>
      <c r="I327" s="2"/>
      <c r="J327" s="2"/>
      <c r="K327" s="2"/>
      <c r="L327" s="2"/>
      <c r="M327" s="2"/>
      <c r="N327" s="2"/>
      <c r="O327" s="2"/>
      <c r="P327" s="2"/>
      <c r="Q327" s="2"/>
      <c r="R327" s="2"/>
      <c r="S327" s="2"/>
      <c r="T327" s="2"/>
      <c r="U327" s="2"/>
      <c r="V327" s="2"/>
      <c r="W327" s="2"/>
      <c r="X327" s="2"/>
      <c r="Y327" s="2"/>
      <c r="Z327" s="2"/>
    </row>
    <row r="328">
      <c r="A328" s="5"/>
      <c r="B328" s="5"/>
      <c r="C328" s="5"/>
      <c r="D328" s="5"/>
      <c r="E328" s="2"/>
      <c r="F328" s="2"/>
      <c r="G328" s="2"/>
      <c r="H328" s="2"/>
      <c r="I328" s="2"/>
      <c r="J328" s="2"/>
      <c r="K328" s="2"/>
      <c r="L328" s="2"/>
      <c r="M328" s="2"/>
      <c r="N328" s="2"/>
      <c r="O328" s="2"/>
      <c r="P328" s="2"/>
      <c r="Q328" s="2"/>
      <c r="R328" s="2"/>
      <c r="S328" s="2"/>
      <c r="T328" s="2"/>
      <c r="U328" s="2"/>
      <c r="V328" s="2"/>
      <c r="W328" s="2"/>
      <c r="X328" s="2"/>
      <c r="Y328" s="2"/>
      <c r="Z328" s="2"/>
    </row>
    <row r="329">
      <c r="A329" s="5"/>
      <c r="B329" s="5"/>
      <c r="C329" s="5"/>
      <c r="D329" s="5"/>
      <c r="E329" s="2"/>
      <c r="F329" s="2"/>
      <c r="G329" s="2"/>
      <c r="H329" s="2"/>
      <c r="I329" s="2"/>
      <c r="J329" s="2"/>
      <c r="K329" s="2"/>
      <c r="L329" s="2"/>
      <c r="M329" s="2"/>
      <c r="N329" s="2"/>
      <c r="O329" s="2"/>
      <c r="P329" s="2"/>
      <c r="Q329" s="2"/>
      <c r="R329" s="2"/>
      <c r="S329" s="2"/>
      <c r="T329" s="2"/>
      <c r="U329" s="2"/>
      <c r="V329" s="2"/>
      <c r="W329" s="2"/>
      <c r="X329" s="2"/>
      <c r="Y329" s="2"/>
      <c r="Z329" s="2"/>
    </row>
    <row r="330">
      <c r="A330" s="5"/>
      <c r="B330" s="5"/>
      <c r="C330" s="5"/>
      <c r="D330" s="5"/>
      <c r="E330" s="2"/>
      <c r="F330" s="2"/>
      <c r="G330" s="2"/>
      <c r="H330" s="2"/>
      <c r="I330" s="2"/>
      <c r="J330" s="2"/>
      <c r="K330" s="2"/>
      <c r="L330" s="2"/>
      <c r="M330" s="2"/>
      <c r="N330" s="2"/>
      <c r="O330" s="2"/>
      <c r="P330" s="2"/>
      <c r="Q330" s="2"/>
      <c r="R330" s="2"/>
      <c r="S330" s="2"/>
      <c r="T330" s="2"/>
      <c r="U330" s="2"/>
      <c r="V330" s="2"/>
      <c r="W330" s="2"/>
      <c r="X330" s="2"/>
      <c r="Y330" s="2"/>
      <c r="Z330" s="2"/>
    </row>
    <row r="331">
      <c r="A331" s="5"/>
      <c r="B331" s="5"/>
      <c r="C331" s="5"/>
      <c r="D331" s="5"/>
      <c r="E331" s="2"/>
      <c r="F331" s="2"/>
      <c r="G331" s="2"/>
      <c r="H331" s="2"/>
      <c r="I331" s="2"/>
      <c r="J331" s="2"/>
      <c r="K331" s="2"/>
      <c r="L331" s="2"/>
      <c r="M331" s="2"/>
      <c r="N331" s="2"/>
      <c r="O331" s="2"/>
      <c r="P331" s="2"/>
      <c r="Q331" s="2"/>
      <c r="R331" s="2"/>
      <c r="S331" s="2"/>
      <c r="T331" s="2"/>
      <c r="U331" s="2"/>
      <c r="V331" s="2"/>
      <c r="W331" s="2"/>
      <c r="X331" s="2"/>
      <c r="Y331" s="2"/>
      <c r="Z331" s="2"/>
    </row>
    <row r="332">
      <c r="A332" s="5"/>
      <c r="B332" s="5"/>
      <c r="C332" s="5"/>
      <c r="D332" s="5"/>
      <c r="E332" s="2"/>
      <c r="F332" s="2"/>
      <c r="G332" s="2"/>
      <c r="H332" s="2"/>
      <c r="I332" s="2"/>
      <c r="J332" s="2"/>
      <c r="K332" s="2"/>
      <c r="L332" s="2"/>
      <c r="M332" s="2"/>
      <c r="N332" s="2"/>
      <c r="O332" s="2"/>
      <c r="P332" s="2"/>
      <c r="Q332" s="2"/>
      <c r="R332" s="2"/>
      <c r="S332" s="2"/>
      <c r="T332" s="2"/>
      <c r="U332" s="2"/>
      <c r="V332" s="2"/>
      <c r="W332" s="2"/>
      <c r="X332" s="2"/>
      <c r="Y332" s="2"/>
      <c r="Z332" s="2"/>
    </row>
    <row r="333">
      <c r="A333" s="5"/>
      <c r="B333" s="5"/>
      <c r="C333" s="5"/>
      <c r="D333" s="5"/>
      <c r="E333" s="2"/>
      <c r="F333" s="2"/>
      <c r="G333" s="2"/>
      <c r="H333" s="2"/>
      <c r="I333" s="2"/>
      <c r="J333" s="2"/>
      <c r="K333" s="2"/>
      <c r="L333" s="2"/>
      <c r="M333" s="2"/>
      <c r="N333" s="2"/>
      <c r="O333" s="2"/>
      <c r="P333" s="2"/>
      <c r="Q333" s="2"/>
      <c r="R333" s="2"/>
      <c r="S333" s="2"/>
      <c r="T333" s="2"/>
      <c r="U333" s="2"/>
      <c r="V333" s="2"/>
      <c r="W333" s="2"/>
      <c r="X333" s="2"/>
      <c r="Y333" s="2"/>
      <c r="Z333" s="2"/>
    </row>
    <row r="334">
      <c r="A334" s="5"/>
      <c r="B334" s="5"/>
      <c r="C334" s="5"/>
      <c r="D334" s="5"/>
      <c r="E334" s="2"/>
      <c r="F334" s="2"/>
      <c r="G334" s="2"/>
      <c r="H334" s="2"/>
      <c r="I334" s="2"/>
      <c r="J334" s="2"/>
      <c r="K334" s="2"/>
      <c r="L334" s="2"/>
      <c r="M334" s="2"/>
      <c r="N334" s="2"/>
      <c r="O334" s="2"/>
      <c r="P334" s="2"/>
      <c r="Q334" s="2"/>
      <c r="R334" s="2"/>
      <c r="S334" s="2"/>
      <c r="T334" s="2"/>
      <c r="U334" s="2"/>
      <c r="V334" s="2"/>
      <c r="W334" s="2"/>
      <c r="X334" s="2"/>
      <c r="Y334" s="2"/>
      <c r="Z334" s="2"/>
    </row>
    <row r="335">
      <c r="A335" s="5"/>
      <c r="B335" s="5"/>
      <c r="C335" s="5"/>
      <c r="D335" s="5"/>
      <c r="E335" s="2"/>
      <c r="F335" s="2"/>
      <c r="G335" s="2"/>
      <c r="H335" s="2"/>
      <c r="I335" s="2"/>
      <c r="J335" s="2"/>
      <c r="K335" s="2"/>
      <c r="L335" s="2"/>
      <c r="M335" s="2"/>
      <c r="N335" s="2"/>
      <c r="O335" s="2"/>
      <c r="P335" s="2"/>
      <c r="Q335" s="2"/>
      <c r="R335" s="2"/>
      <c r="S335" s="2"/>
      <c r="T335" s="2"/>
      <c r="U335" s="2"/>
      <c r="V335" s="2"/>
      <c r="W335" s="2"/>
      <c r="X335" s="2"/>
      <c r="Y335" s="2"/>
      <c r="Z335" s="2"/>
    </row>
    <row r="336">
      <c r="A336" s="5"/>
      <c r="B336" s="5"/>
      <c r="C336" s="5"/>
      <c r="D336" s="5"/>
      <c r="E336" s="2"/>
      <c r="F336" s="2"/>
      <c r="G336" s="2"/>
      <c r="H336" s="2"/>
      <c r="I336" s="2"/>
      <c r="J336" s="2"/>
      <c r="K336" s="2"/>
      <c r="L336" s="2"/>
      <c r="M336" s="2"/>
      <c r="N336" s="2"/>
      <c r="O336" s="2"/>
      <c r="P336" s="2"/>
      <c r="Q336" s="2"/>
      <c r="R336" s="2"/>
      <c r="S336" s="2"/>
      <c r="T336" s="2"/>
      <c r="U336" s="2"/>
      <c r="V336" s="2"/>
      <c r="W336" s="2"/>
      <c r="X336" s="2"/>
      <c r="Y336" s="2"/>
      <c r="Z336" s="2"/>
    </row>
    <row r="337">
      <c r="A337" s="5"/>
      <c r="B337" s="5"/>
      <c r="C337" s="5"/>
      <c r="D337" s="5"/>
      <c r="E337" s="2"/>
      <c r="F337" s="2"/>
      <c r="G337" s="2"/>
      <c r="H337" s="2"/>
      <c r="I337" s="2"/>
      <c r="J337" s="2"/>
      <c r="K337" s="2"/>
      <c r="L337" s="2"/>
      <c r="M337" s="2"/>
      <c r="N337" s="2"/>
      <c r="O337" s="2"/>
      <c r="P337" s="2"/>
      <c r="Q337" s="2"/>
      <c r="R337" s="2"/>
      <c r="S337" s="2"/>
      <c r="T337" s="2"/>
      <c r="U337" s="2"/>
      <c r="V337" s="2"/>
      <c r="W337" s="2"/>
      <c r="X337" s="2"/>
      <c r="Y337" s="2"/>
      <c r="Z337" s="2"/>
    </row>
    <row r="338">
      <c r="A338" s="5"/>
      <c r="B338" s="5"/>
      <c r="C338" s="5"/>
      <c r="D338" s="5"/>
      <c r="E338" s="2"/>
      <c r="F338" s="2"/>
      <c r="G338" s="2"/>
      <c r="H338" s="2"/>
      <c r="I338" s="2"/>
      <c r="J338" s="2"/>
      <c r="K338" s="2"/>
      <c r="L338" s="2"/>
      <c r="M338" s="2"/>
      <c r="N338" s="2"/>
      <c r="O338" s="2"/>
      <c r="P338" s="2"/>
      <c r="Q338" s="2"/>
      <c r="R338" s="2"/>
      <c r="S338" s="2"/>
      <c r="T338" s="2"/>
      <c r="U338" s="2"/>
      <c r="V338" s="2"/>
      <c r="W338" s="2"/>
      <c r="X338" s="2"/>
      <c r="Y338" s="2"/>
      <c r="Z338" s="2"/>
    </row>
    <row r="339">
      <c r="A339" s="5"/>
      <c r="B339" s="5"/>
      <c r="C339" s="5"/>
      <c r="D339" s="5"/>
      <c r="E339" s="2"/>
      <c r="F339" s="2"/>
      <c r="G339" s="2"/>
      <c r="H339" s="2"/>
      <c r="I339" s="2"/>
      <c r="J339" s="2"/>
      <c r="K339" s="2"/>
      <c r="L339" s="2"/>
      <c r="M339" s="2"/>
      <c r="N339" s="2"/>
      <c r="O339" s="2"/>
      <c r="P339" s="2"/>
      <c r="Q339" s="2"/>
      <c r="R339" s="2"/>
      <c r="S339" s="2"/>
      <c r="T339" s="2"/>
      <c r="U339" s="2"/>
      <c r="V339" s="2"/>
      <c r="W339" s="2"/>
      <c r="X339" s="2"/>
      <c r="Y339" s="2"/>
      <c r="Z339" s="2"/>
    </row>
    <row r="340">
      <c r="A340" s="5"/>
      <c r="B340" s="5"/>
      <c r="C340" s="5"/>
      <c r="D340" s="5"/>
      <c r="E340" s="2"/>
      <c r="F340" s="2"/>
      <c r="G340" s="2"/>
      <c r="H340" s="2"/>
      <c r="I340" s="2"/>
      <c r="J340" s="2"/>
      <c r="K340" s="2"/>
      <c r="L340" s="2"/>
      <c r="M340" s="2"/>
      <c r="N340" s="2"/>
      <c r="O340" s="2"/>
      <c r="P340" s="2"/>
      <c r="Q340" s="2"/>
      <c r="R340" s="2"/>
      <c r="S340" s="2"/>
      <c r="T340" s="2"/>
      <c r="U340" s="2"/>
      <c r="V340" s="2"/>
      <c r="W340" s="2"/>
      <c r="X340" s="2"/>
      <c r="Y340" s="2"/>
      <c r="Z340" s="2"/>
    </row>
    <row r="341">
      <c r="A341" s="5"/>
      <c r="B341" s="5"/>
      <c r="C341" s="5"/>
      <c r="D341" s="5"/>
      <c r="E341" s="2"/>
      <c r="F341" s="2"/>
      <c r="G341" s="2"/>
      <c r="H341" s="2"/>
      <c r="I341" s="2"/>
      <c r="J341" s="2"/>
      <c r="K341" s="2"/>
      <c r="L341" s="2"/>
      <c r="M341" s="2"/>
      <c r="N341" s="2"/>
      <c r="O341" s="2"/>
      <c r="P341" s="2"/>
      <c r="Q341" s="2"/>
      <c r="R341" s="2"/>
      <c r="S341" s="2"/>
      <c r="T341" s="2"/>
      <c r="U341" s="2"/>
      <c r="V341" s="2"/>
      <c r="W341" s="2"/>
      <c r="X341" s="2"/>
      <c r="Y341" s="2"/>
      <c r="Z341" s="2"/>
    </row>
    <row r="342">
      <c r="A342" s="5"/>
      <c r="B342" s="5"/>
      <c r="C342" s="5"/>
      <c r="D342" s="5"/>
      <c r="E342" s="2"/>
      <c r="F342" s="2"/>
      <c r="G342" s="2"/>
      <c r="H342" s="2"/>
      <c r="I342" s="2"/>
      <c r="J342" s="2"/>
      <c r="K342" s="2"/>
      <c r="L342" s="2"/>
      <c r="M342" s="2"/>
      <c r="N342" s="2"/>
      <c r="O342" s="2"/>
      <c r="P342" s="2"/>
      <c r="Q342" s="2"/>
      <c r="R342" s="2"/>
      <c r="S342" s="2"/>
      <c r="T342" s="2"/>
      <c r="U342" s="2"/>
      <c r="V342" s="2"/>
      <c r="W342" s="2"/>
      <c r="X342" s="2"/>
      <c r="Y342" s="2"/>
      <c r="Z342" s="2"/>
    </row>
    <row r="343">
      <c r="A343" s="5"/>
      <c r="B343" s="5"/>
      <c r="C343" s="5"/>
      <c r="D343" s="5"/>
      <c r="E343" s="2"/>
      <c r="F343" s="2"/>
      <c r="G343" s="2"/>
      <c r="H343" s="2"/>
      <c r="I343" s="2"/>
      <c r="J343" s="2"/>
      <c r="K343" s="2"/>
      <c r="L343" s="2"/>
      <c r="M343" s="2"/>
      <c r="N343" s="2"/>
      <c r="O343" s="2"/>
      <c r="P343" s="2"/>
      <c r="Q343" s="2"/>
      <c r="R343" s="2"/>
      <c r="S343" s="2"/>
      <c r="T343" s="2"/>
      <c r="U343" s="2"/>
      <c r="V343" s="2"/>
      <c r="W343" s="2"/>
      <c r="X343" s="2"/>
      <c r="Y343" s="2"/>
      <c r="Z343" s="2"/>
    </row>
    <row r="344">
      <c r="A344" s="5"/>
      <c r="B344" s="5"/>
      <c r="C344" s="5"/>
      <c r="D344" s="5"/>
      <c r="E344" s="2"/>
      <c r="F344" s="2"/>
      <c r="G344" s="2"/>
      <c r="H344" s="2"/>
      <c r="I344" s="2"/>
      <c r="J344" s="2"/>
      <c r="K344" s="2"/>
      <c r="L344" s="2"/>
      <c r="M344" s="2"/>
      <c r="N344" s="2"/>
      <c r="O344" s="2"/>
      <c r="P344" s="2"/>
      <c r="Q344" s="2"/>
      <c r="R344" s="2"/>
      <c r="S344" s="2"/>
      <c r="T344" s="2"/>
      <c r="U344" s="2"/>
      <c r="V344" s="2"/>
      <c r="W344" s="2"/>
      <c r="X344" s="2"/>
      <c r="Y344" s="2"/>
      <c r="Z344" s="2"/>
    </row>
    <row r="345">
      <c r="A345" s="5"/>
      <c r="B345" s="5"/>
      <c r="C345" s="5"/>
      <c r="D345" s="5"/>
      <c r="E345" s="2"/>
      <c r="F345" s="2"/>
      <c r="G345" s="2"/>
      <c r="H345" s="2"/>
      <c r="I345" s="2"/>
      <c r="J345" s="2"/>
      <c r="K345" s="2"/>
      <c r="L345" s="2"/>
      <c r="M345" s="2"/>
      <c r="N345" s="2"/>
      <c r="O345" s="2"/>
      <c r="P345" s="2"/>
      <c r="Q345" s="2"/>
      <c r="R345" s="2"/>
      <c r="S345" s="2"/>
      <c r="T345" s="2"/>
      <c r="U345" s="2"/>
      <c r="V345" s="2"/>
      <c r="W345" s="2"/>
      <c r="X345" s="2"/>
      <c r="Y345" s="2"/>
      <c r="Z345" s="2"/>
    </row>
    <row r="346">
      <c r="A346" s="5"/>
      <c r="B346" s="5"/>
      <c r="C346" s="5"/>
      <c r="D346" s="5"/>
      <c r="E346" s="2"/>
      <c r="F346" s="2"/>
      <c r="G346" s="2"/>
      <c r="H346" s="2"/>
      <c r="I346" s="2"/>
      <c r="J346" s="2"/>
      <c r="K346" s="2"/>
      <c r="L346" s="2"/>
      <c r="M346" s="2"/>
      <c r="N346" s="2"/>
      <c r="O346" s="2"/>
      <c r="P346" s="2"/>
      <c r="Q346" s="2"/>
      <c r="R346" s="2"/>
      <c r="S346" s="2"/>
      <c r="T346" s="2"/>
      <c r="U346" s="2"/>
      <c r="V346" s="2"/>
      <c r="W346" s="2"/>
      <c r="X346" s="2"/>
      <c r="Y346" s="2"/>
      <c r="Z346" s="2"/>
    </row>
    <row r="347">
      <c r="A347" s="5"/>
      <c r="B347" s="5"/>
      <c r="C347" s="5"/>
      <c r="D347" s="5"/>
      <c r="E347" s="2"/>
      <c r="F347" s="2"/>
      <c r="G347" s="2"/>
      <c r="H347" s="2"/>
      <c r="I347" s="2"/>
      <c r="J347" s="2"/>
      <c r="K347" s="2"/>
      <c r="L347" s="2"/>
      <c r="M347" s="2"/>
      <c r="N347" s="2"/>
      <c r="O347" s="2"/>
      <c r="P347" s="2"/>
      <c r="Q347" s="2"/>
      <c r="R347" s="2"/>
      <c r="S347" s="2"/>
      <c r="T347" s="2"/>
      <c r="U347" s="2"/>
      <c r="V347" s="2"/>
      <c r="W347" s="2"/>
      <c r="X347" s="2"/>
      <c r="Y347" s="2"/>
      <c r="Z347" s="2"/>
    </row>
    <row r="348">
      <c r="A348" s="5"/>
      <c r="B348" s="5"/>
      <c r="C348" s="5"/>
      <c r="D348" s="5"/>
      <c r="E348" s="2"/>
      <c r="F348" s="2"/>
      <c r="G348" s="2"/>
      <c r="H348" s="2"/>
      <c r="I348" s="2"/>
      <c r="J348" s="2"/>
      <c r="K348" s="2"/>
      <c r="L348" s="2"/>
      <c r="M348" s="2"/>
      <c r="N348" s="2"/>
      <c r="O348" s="2"/>
      <c r="P348" s="2"/>
      <c r="Q348" s="2"/>
      <c r="R348" s="2"/>
      <c r="S348" s="2"/>
      <c r="T348" s="2"/>
      <c r="U348" s="2"/>
      <c r="V348" s="2"/>
      <c r="W348" s="2"/>
      <c r="X348" s="2"/>
      <c r="Y348" s="2"/>
      <c r="Z348" s="2"/>
    </row>
    <row r="349">
      <c r="A349" s="5"/>
      <c r="B349" s="5"/>
      <c r="C349" s="5"/>
      <c r="D349" s="5"/>
      <c r="E349" s="2"/>
      <c r="F349" s="2"/>
      <c r="G349" s="2"/>
      <c r="H349" s="2"/>
      <c r="I349" s="2"/>
      <c r="J349" s="2"/>
      <c r="K349" s="2"/>
      <c r="L349" s="2"/>
      <c r="M349" s="2"/>
      <c r="N349" s="2"/>
      <c r="O349" s="2"/>
      <c r="P349" s="2"/>
      <c r="Q349" s="2"/>
      <c r="R349" s="2"/>
      <c r="S349" s="2"/>
      <c r="T349" s="2"/>
      <c r="U349" s="2"/>
      <c r="V349" s="2"/>
      <c r="W349" s="2"/>
      <c r="X349" s="2"/>
      <c r="Y349" s="2"/>
      <c r="Z349" s="2"/>
    </row>
    <row r="350">
      <c r="A350" s="5"/>
      <c r="B350" s="5"/>
      <c r="C350" s="5"/>
      <c r="D350" s="5"/>
      <c r="E350" s="2"/>
      <c r="F350" s="2"/>
      <c r="G350" s="2"/>
      <c r="H350" s="2"/>
      <c r="I350" s="2"/>
      <c r="J350" s="2"/>
      <c r="K350" s="2"/>
      <c r="L350" s="2"/>
      <c r="M350" s="2"/>
      <c r="N350" s="2"/>
      <c r="O350" s="2"/>
      <c r="P350" s="2"/>
      <c r="Q350" s="2"/>
      <c r="R350" s="2"/>
      <c r="S350" s="2"/>
      <c r="T350" s="2"/>
      <c r="U350" s="2"/>
      <c r="V350" s="2"/>
      <c r="W350" s="2"/>
      <c r="X350" s="2"/>
      <c r="Y350" s="2"/>
      <c r="Z350" s="2"/>
    </row>
    <row r="351">
      <c r="A351" s="5"/>
      <c r="B351" s="5"/>
      <c r="C351" s="5"/>
      <c r="D351" s="5"/>
      <c r="E351" s="2"/>
      <c r="F351" s="2"/>
      <c r="G351" s="2"/>
      <c r="H351" s="2"/>
      <c r="I351" s="2"/>
      <c r="J351" s="2"/>
      <c r="K351" s="2"/>
      <c r="L351" s="2"/>
      <c r="M351" s="2"/>
      <c r="N351" s="2"/>
      <c r="O351" s="2"/>
      <c r="P351" s="2"/>
      <c r="Q351" s="2"/>
      <c r="R351" s="2"/>
      <c r="S351" s="2"/>
      <c r="T351" s="2"/>
      <c r="U351" s="2"/>
      <c r="V351" s="2"/>
      <c r="W351" s="2"/>
      <c r="X351" s="2"/>
      <c r="Y351" s="2"/>
      <c r="Z351" s="2"/>
    </row>
    <row r="352">
      <c r="A352" s="5"/>
      <c r="B352" s="5"/>
      <c r="C352" s="5"/>
      <c r="D352" s="5"/>
      <c r="E352" s="2"/>
      <c r="F352" s="2"/>
      <c r="G352" s="2"/>
      <c r="H352" s="2"/>
      <c r="I352" s="2"/>
      <c r="J352" s="2"/>
      <c r="K352" s="2"/>
      <c r="L352" s="2"/>
      <c r="M352" s="2"/>
      <c r="N352" s="2"/>
      <c r="O352" s="2"/>
      <c r="P352" s="2"/>
      <c r="Q352" s="2"/>
      <c r="R352" s="2"/>
      <c r="S352" s="2"/>
      <c r="T352" s="2"/>
      <c r="U352" s="2"/>
      <c r="V352" s="2"/>
      <c r="W352" s="2"/>
      <c r="X352" s="2"/>
      <c r="Y352" s="2"/>
      <c r="Z352" s="2"/>
    </row>
    <row r="353">
      <c r="A353" s="5"/>
      <c r="B353" s="5"/>
      <c r="C353" s="5"/>
      <c r="D353" s="5"/>
      <c r="E353" s="2"/>
      <c r="F353" s="2"/>
      <c r="G353" s="2"/>
      <c r="H353" s="2"/>
      <c r="I353" s="2"/>
      <c r="J353" s="2"/>
      <c r="K353" s="2"/>
      <c r="L353" s="2"/>
      <c r="M353" s="2"/>
      <c r="N353" s="2"/>
      <c r="O353" s="2"/>
      <c r="P353" s="2"/>
      <c r="Q353" s="2"/>
      <c r="R353" s="2"/>
      <c r="S353" s="2"/>
      <c r="T353" s="2"/>
      <c r="U353" s="2"/>
      <c r="V353" s="2"/>
      <c r="W353" s="2"/>
      <c r="X353" s="2"/>
      <c r="Y353" s="2"/>
      <c r="Z353" s="2"/>
    </row>
    <row r="354">
      <c r="A354" s="5"/>
      <c r="B354" s="5"/>
      <c r="C354" s="5"/>
      <c r="D354" s="5"/>
      <c r="E354" s="2"/>
      <c r="F354" s="2"/>
      <c r="G354" s="2"/>
      <c r="H354" s="2"/>
      <c r="I354" s="2"/>
      <c r="J354" s="2"/>
      <c r="K354" s="2"/>
      <c r="L354" s="2"/>
      <c r="M354" s="2"/>
      <c r="N354" s="2"/>
      <c r="O354" s="2"/>
      <c r="P354" s="2"/>
      <c r="Q354" s="2"/>
      <c r="R354" s="2"/>
      <c r="S354" s="2"/>
      <c r="T354" s="2"/>
      <c r="U354" s="2"/>
      <c r="V354" s="2"/>
      <c r="W354" s="2"/>
      <c r="X354" s="2"/>
      <c r="Y354" s="2"/>
      <c r="Z354" s="2"/>
    </row>
    <row r="355">
      <c r="A355" s="5"/>
      <c r="B355" s="5"/>
      <c r="C355" s="5"/>
      <c r="D355" s="5"/>
      <c r="E355" s="2"/>
      <c r="F355" s="2"/>
      <c r="G355" s="2"/>
      <c r="H355" s="2"/>
      <c r="I355" s="2"/>
      <c r="J355" s="2"/>
      <c r="K355" s="2"/>
      <c r="L355" s="2"/>
      <c r="M355" s="2"/>
      <c r="N355" s="2"/>
      <c r="O355" s="2"/>
      <c r="P355" s="2"/>
      <c r="Q355" s="2"/>
      <c r="R355" s="2"/>
      <c r="S355" s="2"/>
      <c r="T355" s="2"/>
      <c r="U355" s="2"/>
      <c r="V355" s="2"/>
      <c r="W355" s="2"/>
      <c r="X355" s="2"/>
      <c r="Y355" s="2"/>
      <c r="Z355" s="2"/>
    </row>
    <row r="356">
      <c r="A356" s="5"/>
      <c r="B356" s="5"/>
      <c r="C356" s="5"/>
      <c r="D356" s="5"/>
      <c r="E356" s="2"/>
      <c r="F356" s="2"/>
      <c r="G356" s="2"/>
      <c r="H356" s="2"/>
      <c r="I356" s="2"/>
      <c r="J356" s="2"/>
      <c r="K356" s="2"/>
      <c r="L356" s="2"/>
      <c r="M356" s="2"/>
      <c r="N356" s="2"/>
      <c r="O356" s="2"/>
      <c r="P356" s="2"/>
      <c r="Q356" s="2"/>
      <c r="R356" s="2"/>
      <c r="S356" s="2"/>
      <c r="T356" s="2"/>
      <c r="U356" s="2"/>
      <c r="V356" s="2"/>
      <c r="W356" s="2"/>
      <c r="X356" s="2"/>
      <c r="Y356" s="2"/>
      <c r="Z356" s="2"/>
    </row>
    <row r="357">
      <c r="A357" s="5"/>
      <c r="B357" s="5"/>
      <c r="C357" s="5"/>
      <c r="D357" s="5"/>
      <c r="E357" s="2"/>
      <c r="F357" s="2"/>
      <c r="G357" s="2"/>
      <c r="H357" s="2"/>
      <c r="I357" s="2"/>
      <c r="J357" s="2"/>
      <c r="K357" s="2"/>
      <c r="L357" s="2"/>
      <c r="M357" s="2"/>
      <c r="N357" s="2"/>
      <c r="O357" s="2"/>
      <c r="P357" s="2"/>
      <c r="Q357" s="2"/>
      <c r="R357" s="2"/>
      <c r="S357" s="2"/>
      <c r="T357" s="2"/>
      <c r="U357" s="2"/>
      <c r="V357" s="2"/>
      <c r="W357" s="2"/>
      <c r="X357" s="2"/>
      <c r="Y357" s="2"/>
      <c r="Z357" s="2"/>
    </row>
    <row r="358">
      <c r="A358" s="5"/>
      <c r="B358" s="5"/>
      <c r="C358" s="5"/>
      <c r="D358" s="5"/>
      <c r="E358" s="2"/>
      <c r="F358" s="2"/>
      <c r="G358" s="2"/>
      <c r="H358" s="2"/>
      <c r="I358" s="2"/>
      <c r="J358" s="2"/>
      <c r="K358" s="2"/>
      <c r="L358" s="2"/>
      <c r="M358" s="2"/>
      <c r="N358" s="2"/>
      <c r="O358" s="2"/>
      <c r="P358" s="2"/>
      <c r="Q358" s="2"/>
      <c r="R358" s="2"/>
      <c r="S358" s="2"/>
      <c r="T358" s="2"/>
      <c r="U358" s="2"/>
      <c r="V358" s="2"/>
      <c r="W358" s="2"/>
      <c r="X358" s="2"/>
      <c r="Y358" s="2"/>
      <c r="Z358" s="2"/>
    </row>
    <row r="359">
      <c r="A359" s="5"/>
      <c r="B359" s="5"/>
      <c r="C359" s="5"/>
      <c r="D359" s="5"/>
      <c r="E359" s="2"/>
      <c r="F359" s="2"/>
      <c r="G359" s="2"/>
      <c r="H359" s="2"/>
      <c r="I359" s="2"/>
      <c r="J359" s="2"/>
      <c r="K359" s="2"/>
      <c r="L359" s="2"/>
      <c r="M359" s="2"/>
      <c r="N359" s="2"/>
      <c r="O359" s="2"/>
      <c r="P359" s="2"/>
      <c r="Q359" s="2"/>
      <c r="R359" s="2"/>
      <c r="S359" s="2"/>
      <c r="T359" s="2"/>
      <c r="U359" s="2"/>
      <c r="V359" s="2"/>
      <c r="W359" s="2"/>
      <c r="X359" s="2"/>
      <c r="Y359" s="2"/>
      <c r="Z359" s="2"/>
    </row>
    <row r="360">
      <c r="A360" s="5"/>
      <c r="B360" s="5"/>
      <c r="C360" s="5"/>
      <c r="D360" s="5"/>
      <c r="E360" s="2"/>
      <c r="F360" s="2"/>
      <c r="G360" s="2"/>
      <c r="H360" s="2"/>
      <c r="I360" s="2"/>
      <c r="J360" s="2"/>
      <c r="K360" s="2"/>
      <c r="L360" s="2"/>
      <c r="M360" s="2"/>
      <c r="N360" s="2"/>
      <c r="O360" s="2"/>
      <c r="P360" s="2"/>
      <c r="Q360" s="2"/>
      <c r="R360" s="2"/>
      <c r="S360" s="2"/>
      <c r="T360" s="2"/>
      <c r="U360" s="2"/>
      <c r="V360" s="2"/>
      <c r="W360" s="2"/>
      <c r="X360" s="2"/>
      <c r="Y360" s="2"/>
      <c r="Z360" s="2"/>
    </row>
    <row r="361">
      <c r="A361" s="5"/>
      <c r="B361" s="5"/>
      <c r="C361" s="5"/>
      <c r="D361" s="5"/>
      <c r="E361" s="2"/>
      <c r="F361" s="2"/>
      <c r="G361" s="2"/>
      <c r="H361" s="2"/>
      <c r="I361" s="2"/>
      <c r="J361" s="2"/>
      <c r="K361" s="2"/>
      <c r="L361" s="2"/>
      <c r="M361" s="2"/>
      <c r="N361" s="2"/>
      <c r="O361" s="2"/>
      <c r="P361" s="2"/>
      <c r="Q361" s="2"/>
      <c r="R361" s="2"/>
      <c r="S361" s="2"/>
      <c r="T361" s="2"/>
      <c r="U361" s="2"/>
      <c r="V361" s="2"/>
      <c r="W361" s="2"/>
      <c r="X361" s="2"/>
      <c r="Y361" s="2"/>
      <c r="Z361" s="2"/>
    </row>
    <row r="362">
      <c r="A362" s="5"/>
      <c r="B362" s="5"/>
      <c r="C362" s="5"/>
      <c r="D362" s="5"/>
      <c r="E362" s="2"/>
      <c r="F362" s="2"/>
      <c r="G362" s="2"/>
      <c r="H362" s="2"/>
      <c r="I362" s="2"/>
      <c r="J362" s="2"/>
      <c r="K362" s="2"/>
      <c r="L362" s="2"/>
      <c r="M362" s="2"/>
      <c r="N362" s="2"/>
      <c r="O362" s="2"/>
      <c r="P362" s="2"/>
      <c r="Q362" s="2"/>
      <c r="R362" s="2"/>
      <c r="S362" s="2"/>
      <c r="T362" s="2"/>
      <c r="U362" s="2"/>
      <c r="V362" s="2"/>
      <c r="W362" s="2"/>
      <c r="X362" s="2"/>
      <c r="Y362" s="2"/>
      <c r="Z362" s="2"/>
    </row>
    <row r="363">
      <c r="A363" s="5"/>
      <c r="B363" s="5"/>
      <c r="C363" s="5"/>
      <c r="D363" s="5"/>
      <c r="E363" s="2"/>
      <c r="F363" s="2"/>
      <c r="G363" s="2"/>
      <c r="H363" s="2"/>
      <c r="I363" s="2"/>
      <c r="J363" s="2"/>
      <c r="K363" s="2"/>
      <c r="L363" s="2"/>
      <c r="M363" s="2"/>
      <c r="N363" s="2"/>
      <c r="O363" s="2"/>
      <c r="P363" s="2"/>
      <c r="Q363" s="2"/>
      <c r="R363" s="2"/>
      <c r="S363" s="2"/>
      <c r="T363" s="2"/>
      <c r="U363" s="2"/>
      <c r="V363" s="2"/>
      <c r="W363" s="2"/>
      <c r="X363" s="2"/>
      <c r="Y363" s="2"/>
      <c r="Z363" s="2"/>
    </row>
    <row r="364">
      <c r="A364" s="5"/>
      <c r="B364" s="5"/>
      <c r="C364" s="5"/>
      <c r="D364" s="5"/>
      <c r="E364" s="2"/>
      <c r="F364" s="2"/>
      <c r="G364" s="2"/>
      <c r="H364" s="2"/>
      <c r="I364" s="2"/>
      <c r="J364" s="2"/>
      <c r="K364" s="2"/>
      <c r="L364" s="2"/>
      <c r="M364" s="2"/>
      <c r="N364" s="2"/>
      <c r="O364" s="2"/>
      <c r="P364" s="2"/>
      <c r="Q364" s="2"/>
      <c r="R364" s="2"/>
      <c r="S364" s="2"/>
      <c r="T364" s="2"/>
      <c r="U364" s="2"/>
      <c r="V364" s="2"/>
      <c r="W364" s="2"/>
      <c r="X364" s="2"/>
      <c r="Y364" s="2"/>
      <c r="Z364" s="2"/>
    </row>
    <row r="365">
      <c r="A365" s="5"/>
      <c r="B365" s="5"/>
      <c r="C365" s="5"/>
      <c r="D365" s="5"/>
      <c r="E365" s="2"/>
      <c r="F365" s="2"/>
      <c r="G365" s="2"/>
      <c r="H365" s="2"/>
      <c r="I365" s="2"/>
      <c r="J365" s="2"/>
      <c r="K365" s="2"/>
      <c r="L365" s="2"/>
      <c r="M365" s="2"/>
      <c r="N365" s="2"/>
      <c r="O365" s="2"/>
      <c r="P365" s="2"/>
      <c r="Q365" s="2"/>
      <c r="R365" s="2"/>
      <c r="S365" s="2"/>
      <c r="T365" s="2"/>
      <c r="U365" s="2"/>
      <c r="V365" s="2"/>
      <c r="W365" s="2"/>
      <c r="X365" s="2"/>
      <c r="Y365" s="2"/>
      <c r="Z365" s="2"/>
    </row>
    <row r="366">
      <c r="A366" s="5"/>
      <c r="B366" s="5"/>
      <c r="C366" s="5"/>
      <c r="D366" s="5"/>
      <c r="E366" s="2"/>
      <c r="F366" s="2"/>
      <c r="G366" s="2"/>
      <c r="H366" s="2"/>
      <c r="I366" s="2"/>
      <c r="J366" s="2"/>
      <c r="K366" s="2"/>
      <c r="L366" s="2"/>
      <c r="M366" s="2"/>
      <c r="N366" s="2"/>
      <c r="O366" s="2"/>
      <c r="P366" s="2"/>
      <c r="Q366" s="2"/>
      <c r="R366" s="2"/>
      <c r="S366" s="2"/>
      <c r="T366" s="2"/>
      <c r="U366" s="2"/>
      <c r="V366" s="2"/>
      <c r="W366" s="2"/>
      <c r="X366" s="2"/>
      <c r="Y366" s="2"/>
      <c r="Z366" s="2"/>
    </row>
    <row r="367">
      <c r="A367" s="5"/>
      <c r="B367" s="5"/>
      <c r="C367" s="5"/>
      <c r="D367" s="5"/>
      <c r="E367" s="2"/>
      <c r="F367" s="2"/>
      <c r="G367" s="2"/>
      <c r="H367" s="2"/>
      <c r="I367" s="2"/>
      <c r="J367" s="2"/>
      <c r="K367" s="2"/>
      <c r="L367" s="2"/>
      <c r="M367" s="2"/>
      <c r="N367" s="2"/>
      <c r="O367" s="2"/>
      <c r="P367" s="2"/>
      <c r="Q367" s="2"/>
      <c r="R367" s="2"/>
      <c r="S367" s="2"/>
      <c r="T367" s="2"/>
      <c r="U367" s="2"/>
      <c r="V367" s="2"/>
      <c r="W367" s="2"/>
      <c r="X367" s="2"/>
      <c r="Y367" s="2"/>
      <c r="Z367" s="2"/>
    </row>
    <row r="368">
      <c r="A368" s="5"/>
      <c r="B368" s="5"/>
      <c r="C368" s="5"/>
      <c r="D368" s="5"/>
      <c r="E368" s="2"/>
      <c r="F368" s="2"/>
      <c r="G368" s="2"/>
      <c r="H368" s="2"/>
      <c r="I368" s="2"/>
      <c r="J368" s="2"/>
      <c r="K368" s="2"/>
      <c r="L368" s="2"/>
      <c r="M368" s="2"/>
      <c r="N368" s="2"/>
      <c r="O368" s="2"/>
      <c r="P368" s="2"/>
      <c r="Q368" s="2"/>
      <c r="R368" s="2"/>
      <c r="S368" s="2"/>
      <c r="T368" s="2"/>
      <c r="U368" s="2"/>
      <c r="V368" s="2"/>
      <c r="W368" s="2"/>
      <c r="X368" s="2"/>
      <c r="Y368" s="2"/>
      <c r="Z368" s="2"/>
    </row>
    <row r="369">
      <c r="A369" s="5"/>
      <c r="B369" s="5"/>
      <c r="C369" s="5"/>
      <c r="D369" s="5"/>
      <c r="E369" s="2"/>
      <c r="F369" s="2"/>
      <c r="G369" s="2"/>
      <c r="H369" s="2"/>
      <c r="I369" s="2"/>
      <c r="J369" s="2"/>
      <c r="K369" s="2"/>
      <c r="L369" s="2"/>
      <c r="M369" s="2"/>
      <c r="N369" s="2"/>
      <c r="O369" s="2"/>
      <c r="P369" s="2"/>
      <c r="Q369" s="2"/>
      <c r="R369" s="2"/>
      <c r="S369" s="2"/>
      <c r="T369" s="2"/>
      <c r="U369" s="2"/>
      <c r="V369" s="2"/>
      <c r="W369" s="2"/>
      <c r="X369" s="2"/>
      <c r="Y369" s="2"/>
      <c r="Z369" s="2"/>
    </row>
    <row r="370">
      <c r="A370" s="5"/>
      <c r="B370" s="5"/>
      <c r="C370" s="5"/>
      <c r="D370" s="5"/>
      <c r="E370" s="2"/>
      <c r="F370" s="2"/>
      <c r="G370" s="2"/>
      <c r="H370" s="2"/>
      <c r="I370" s="2"/>
      <c r="J370" s="2"/>
      <c r="K370" s="2"/>
      <c r="L370" s="2"/>
      <c r="M370" s="2"/>
      <c r="N370" s="2"/>
      <c r="O370" s="2"/>
      <c r="P370" s="2"/>
      <c r="Q370" s="2"/>
      <c r="R370" s="2"/>
      <c r="S370" s="2"/>
      <c r="T370" s="2"/>
      <c r="U370" s="2"/>
      <c r="V370" s="2"/>
      <c r="W370" s="2"/>
      <c r="X370" s="2"/>
      <c r="Y370" s="2"/>
      <c r="Z370" s="2"/>
    </row>
    <row r="371">
      <c r="A371" s="5"/>
      <c r="B371" s="5"/>
      <c r="C371" s="5"/>
      <c r="D371" s="5"/>
      <c r="E371" s="2"/>
      <c r="F371" s="2"/>
      <c r="G371" s="2"/>
      <c r="H371" s="2"/>
      <c r="I371" s="2"/>
      <c r="J371" s="2"/>
      <c r="K371" s="2"/>
      <c r="L371" s="2"/>
      <c r="M371" s="2"/>
      <c r="N371" s="2"/>
      <c r="O371" s="2"/>
      <c r="P371" s="2"/>
      <c r="Q371" s="2"/>
      <c r="R371" s="2"/>
      <c r="S371" s="2"/>
      <c r="T371" s="2"/>
      <c r="U371" s="2"/>
      <c r="V371" s="2"/>
      <c r="W371" s="2"/>
      <c r="X371" s="2"/>
      <c r="Y371" s="2"/>
      <c r="Z371" s="2"/>
    </row>
    <row r="372">
      <c r="A372" s="5"/>
      <c r="B372" s="5"/>
      <c r="C372" s="5"/>
      <c r="D372" s="5"/>
      <c r="E372" s="2"/>
      <c r="F372" s="2"/>
      <c r="G372" s="2"/>
      <c r="H372" s="2"/>
      <c r="I372" s="2"/>
      <c r="J372" s="2"/>
      <c r="K372" s="2"/>
      <c r="L372" s="2"/>
      <c r="M372" s="2"/>
      <c r="N372" s="2"/>
      <c r="O372" s="2"/>
      <c r="P372" s="2"/>
      <c r="Q372" s="2"/>
      <c r="R372" s="2"/>
      <c r="S372" s="2"/>
      <c r="T372" s="2"/>
      <c r="U372" s="2"/>
      <c r="V372" s="2"/>
      <c r="W372" s="2"/>
      <c r="X372" s="2"/>
      <c r="Y372" s="2"/>
      <c r="Z372" s="2"/>
    </row>
    <row r="373">
      <c r="A373" s="5"/>
      <c r="B373" s="5"/>
      <c r="C373" s="5"/>
      <c r="D373" s="5"/>
      <c r="E373" s="2"/>
      <c r="F373" s="2"/>
      <c r="G373" s="2"/>
      <c r="H373" s="2"/>
      <c r="I373" s="2"/>
      <c r="J373" s="2"/>
      <c r="K373" s="2"/>
      <c r="L373" s="2"/>
      <c r="M373" s="2"/>
      <c r="N373" s="2"/>
      <c r="O373" s="2"/>
      <c r="P373" s="2"/>
      <c r="Q373" s="2"/>
      <c r="R373" s="2"/>
      <c r="S373" s="2"/>
      <c r="T373" s="2"/>
      <c r="U373" s="2"/>
      <c r="V373" s="2"/>
      <c r="W373" s="2"/>
      <c r="X373" s="2"/>
      <c r="Y373" s="2"/>
      <c r="Z373" s="2"/>
    </row>
    <row r="374">
      <c r="A374" s="5"/>
      <c r="B374" s="5"/>
      <c r="C374" s="5"/>
      <c r="D374" s="5"/>
      <c r="E374" s="2"/>
      <c r="F374" s="2"/>
      <c r="G374" s="2"/>
      <c r="H374" s="2"/>
      <c r="I374" s="2"/>
      <c r="J374" s="2"/>
      <c r="K374" s="2"/>
      <c r="L374" s="2"/>
      <c r="M374" s="2"/>
      <c r="N374" s="2"/>
      <c r="O374" s="2"/>
      <c r="P374" s="2"/>
      <c r="Q374" s="2"/>
      <c r="R374" s="2"/>
      <c r="S374" s="2"/>
      <c r="T374" s="2"/>
      <c r="U374" s="2"/>
      <c r="V374" s="2"/>
      <c r="W374" s="2"/>
      <c r="X374" s="2"/>
      <c r="Y374" s="2"/>
      <c r="Z374" s="2"/>
    </row>
    <row r="375">
      <c r="A375" s="5"/>
      <c r="B375" s="5"/>
      <c r="C375" s="5"/>
      <c r="D375" s="5"/>
      <c r="E375" s="2"/>
      <c r="F375" s="2"/>
      <c r="G375" s="2"/>
      <c r="H375" s="2"/>
      <c r="I375" s="2"/>
      <c r="J375" s="2"/>
      <c r="K375" s="2"/>
      <c r="L375" s="2"/>
      <c r="M375" s="2"/>
      <c r="N375" s="2"/>
      <c r="O375" s="2"/>
      <c r="P375" s="2"/>
      <c r="Q375" s="2"/>
      <c r="R375" s="2"/>
      <c r="S375" s="2"/>
      <c r="T375" s="2"/>
      <c r="U375" s="2"/>
      <c r="V375" s="2"/>
      <c r="W375" s="2"/>
      <c r="X375" s="2"/>
      <c r="Y375" s="2"/>
      <c r="Z375" s="2"/>
    </row>
    <row r="376">
      <c r="A376" s="5"/>
      <c r="B376" s="5"/>
      <c r="C376" s="5"/>
      <c r="D376" s="5"/>
      <c r="E376" s="2"/>
      <c r="F376" s="2"/>
      <c r="G376" s="2"/>
      <c r="H376" s="2"/>
      <c r="I376" s="2"/>
      <c r="J376" s="2"/>
      <c r="K376" s="2"/>
      <c r="L376" s="2"/>
      <c r="M376" s="2"/>
      <c r="N376" s="2"/>
      <c r="O376" s="2"/>
      <c r="P376" s="2"/>
      <c r="Q376" s="2"/>
      <c r="R376" s="2"/>
      <c r="S376" s="2"/>
      <c r="T376" s="2"/>
      <c r="U376" s="2"/>
      <c r="V376" s="2"/>
      <c r="W376" s="2"/>
      <c r="X376" s="2"/>
      <c r="Y376" s="2"/>
      <c r="Z376" s="2"/>
    </row>
    <row r="377">
      <c r="A377" s="5"/>
      <c r="B377" s="5"/>
      <c r="C377" s="5"/>
      <c r="D377" s="5"/>
      <c r="E377" s="2"/>
      <c r="F377" s="2"/>
      <c r="G377" s="2"/>
      <c r="H377" s="2"/>
      <c r="I377" s="2"/>
      <c r="J377" s="2"/>
      <c r="K377" s="2"/>
      <c r="L377" s="2"/>
      <c r="M377" s="2"/>
      <c r="N377" s="2"/>
      <c r="O377" s="2"/>
      <c r="P377" s="2"/>
      <c r="Q377" s="2"/>
      <c r="R377" s="2"/>
      <c r="S377" s="2"/>
      <c r="T377" s="2"/>
      <c r="U377" s="2"/>
      <c r="V377" s="2"/>
      <c r="W377" s="2"/>
      <c r="X377" s="2"/>
      <c r="Y377" s="2"/>
      <c r="Z377" s="2"/>
    </row>
    <row r="378">
      <c r="A378" s="5"/>
      <c r="B378" s="5"/>
      <c r="C378" s="5"/>
      <c r="D378" s="5"/>
      <c r="E378" s="2"/>
      <c r="F378" s="2"/>
      <c r="G378" s="2"/>
      <c r="H378" s="2"/>
      <c r="I378" s="2"/>
      <c r="J378" s="2"/>
      <c r="K378" s="2"/>
      <c r="L378" s="2"/>
      <c r="M378" s="2"/>
      <c r="N378" s="2"/>
      <c r="O378" s="2"/>
      <c r="P378" s="2"/>
      <c r="Q378" s="2"/>
      <c r="R378" s="2"/>
      <c r="S378" s="2"/>
      <c r="T378" s="2"/>
      <c r="U378" s="2"/>
      <c r="V378" s="2"/>
      <c r="W378" s="2"/>
      <c r="X378" s="2"/>
      <c r="Y378" s="2"/>
      <c r="Z378" s="2"/>
    </row>
    <row r="379">
      <c r="A379" s="5"/>
      <c r="B379" s="5"/>
      <c r="C379" s="5"/>
      <c r="D379" s="5"/>
      <c r="E379" s="2"/>
      <c r="F379" s="2"/>
      <c r="G379" s="2"/>
      <c r="H379" s="2"/>
      <c r="I379" s="2"/>
      <c r="J379" s="2"/>
      <c r="K379" s="2"/>
      <c r="L379" s="2"/>
      <c r="M379" s="2"/>
      <c r="N379" s="2"/>
      <c r="O379" s="2"/>
      <c r="P379" s="2"/>
      <c r="Q379" s="2"/>
      <c r="R379" s="2"/>
      <c r="S379" s="2"/>
      <c r="T379" s="2"/>
      <c r="U379" s="2"/>
      <c r="V379" s="2"/>
      <c r="W379" s="2"/>
      <c r="X379" s="2"/>
      <c r="Y379" s="2"/>
      <c r="Z379" s="2"/>
    </row>
    <row r="380">
      <c r="A380" s="5"/>
      <c r="B380" s="5"/>
      <c r="C380" s="5"/>
      <c r="D380" s="5"/>
      <c r="E380" s="2"/>
      <c r="F380" s="2"/>
      <c r="G380" s="2"/>
      <c r="H380" s="2"/>
      <c r="I380" s="2"/>
      <c r="J380" s="2"/>
      <c r="K380" s="2"/>
      <c r="L380" s="2"/>
      <c r="M380" s="2"/>
      <c r="N380" s="2"/>
      <c r="O380" s="2"/>
      <c r="P380" s="2"/>
      <c r="Q380" s="2"/>
      <c r="R380" s="2"/>
      <c r="S380" s="2"/>
      <c r="T380" s="2"/>
      <c r="U380" s="2"/>
      <c r="V380" s="2"/>
      <c r="W380" s="2"/>
      <c r="X380" s="2"/>
      <c r="Y380" s="2"/>
      <c r="Z380" s="2"/>
    </row>
    <row r="381">
      <c r="A381" s="5"/>
      <c r="B381" s="5"/>
      <c r="C381" s="5"/>
      <c r="D381" s="5"/>
      <c r="E381" s="2"/>
      <c r="F381" s="2"/>
      <c r="G381" s="2"/>
      <c r="H381" s="2"/>
      <c r="I381" s="2"/>
      <c r="J381" s="2"/>
      <c r="K381" s="2"/>
      <c r="L381" s="2"/>
      <c r="M381" s="2"/>
      <c r="N381" s="2"/>
      <c r="O381" s="2"/>
      <c r="P381" s="2"/>
      <c r="Q381" s="2"/>
      <c r="R381" s="2"/>
      <c r="S381" s="2"/>
      <c r="T381" s="2"/>
      <c r="U381" s="2"/>
      <c r="V381" s="2"/>
      <c r="W381" s="2"/>
      <c r="X381" s="2"/>
      <c r="Y381" s="2"/>
      <c r="Z381" s="2"/>
    </row>
    <row r="382">
      <c r="A382" s="5"/>
      <c r="B382" s="5"/>
      <c r="C382" s="5"/>
      <c r="D382" s="5"/>
      <c r="E382" s="2"/>
      <c r="F382" s="2"/>
      <c r="G382" s="2"/>
      <c r="H382" s="2"/>
      <c r="I382" s="2"/>
      <c r="J382" s="2"/>
      <c r="K382" s="2"/>
      <c r="L382" s="2"/>
      <c r="M382" s="2"/>
      <c r="N382" s="2"/>
      <c r="O382" s="2"/>
      <c r="P382" s="2"/>
      <c r="Q382" s="2"/>
      <c r="R382" s="2"/>
      <c r="S382" s="2"/>
      <c r="T382" s="2"/>
      <c r="U382" s="2"/>
      <c r="V382" s="2"/>
      <c r="W382" s="2"/>
      <c r="X382" s="2"/>
      <c r="Y382" s="2"/>
      <c r="Z382" s="2"/>
    </row>
    <row r="383">
      <c r="A383" s="5"/>
      <c r="B383" s="5"/>
      <c r="C383" s="5"/>
      <c r="D383" s="5"/>
      <c r="E383" s="2"/>
      <c r="F383" s="2"/>
      <c r="G383" s="2"/>
      <c r="H383" s="2"/>
      <c r="I383" s="2"/>
      <c r="J383" s="2"/>
      <c r="K383" s="2"/>
      <c r="L383" s="2"/>
      <c r="M383" s="2"/>
      <c r="N383" s="2"/>
      <c r="O383" s="2"/>
      <c r="P383" s="2"/>
      <c r="Q383" s="2"/>
      <c r="R383" s="2"/>
      <c r="S383" s="2"/>
      <c r="T383" s="2"/>
      <c r="U383" s="2"/>
      <c r="V383" s="2"/>
      <c r="W383" s="2"/>
      <c r="X383" s="2"/>
      <c r="Y383" s="2"/>
      <c r="Z383" s="2"/>
    </row>
    <row r="384">
      <c r="A384" s="5"/>
      <c r="B384" s="5"/>
      <c r="C384" s="5"/>
      <c r="D384" s="5"/>
      <c r="E384" s="2"/>
      <c r="F384" s="2"/>
      <c r="G384" s="2"/>
      <c r="H384" s="2"/>
      <c r="I384" s="2"/>
      <c r="J384" s="2"/>
      <c r="K384" s="2"/>
      <c r="L384" s="2"/>
      <c r="M384" s="2"/>
      <c r="N384" s="2"/>
      <c r="O384" s="2"/>
      <c r="P384" s="2"/>
      <c r="Q384" s="2"/>
      <c r="R384" s="2"/>
      <c r="S384" s="2"/>
      <c r="T384" s="2"/>
      <c r="U384" s="2"/>
      <c r="V384" s="2"/>
      <c r="W384" s="2"/>
      <c r="X384" s="2"/>
      <c r="Y384" s="2"/>
      <c r="Z384" s="2"/>
    </row>
    <row r="385">
      <c r="A385" s="5"/>
      <c r="B385" s="5"/>
      <c r="C385" s="5"/>
      <c r="D385" s="5"/>
      <c r="E385" s="2"/>
      <c r="F385" s="2"/>
      <c r="G385" s="2"/>
      <c r="H385" s="2"/>
      <c r="I385" s="2"/>
      <c r="J385" s="2"/>
      <c r="K385" s="2"/>
      <c r="L385" s="2"/>
      <c r="M385" s="2"/>
      <c r="N385" s="2"/>
      <c r="O385" s="2"/>
      <c r="P385" s="2"/>
      <c r="Q385" s="2"/>
      <c r="R385" s="2"/>
      <c r="S385" s="2"/>
      <c r="T385" s="2"/>
      <c r="U385" s="2"/>
      <c r="V385" s="2"/>
      <c r="W385" s="2"/>
      <c r="X385" s="2"/>
      <c r="Y385" s="2"/>
      <c r="Z385" s="2"/>
    </row>
    <row r="386">
      <c r="A386" s="5"/>
      <c r="B386" s="5"/>
      <c r="C386" s="5"/>
      <c r="D386" s="5"/>
      <c r="E386" s="2"/>
      <c r="F386" s="2"/>
      <c r="G386" s="2"/>
      <c r="H386" s="2"/>
      <c r="I386" s="2"/>
      <c r="J386" s="2"/>
      <c r="K386" s="2"/>
      <c r="L386" s="2"/>
      <c r="M386" s="2"/>
      <c r="N386" s="2"/>
      <c r="O386" s="2"/>
      <c r="P386" s="2"/>
      <c r="Q386" s="2"/>
      <c r="R386" s="2"/>
      <c r="S386" s="2"/>
      <c r="T386" s="2"/>
      <c r="U386" s="2"/>
      <c r="V386" s="2"/>
      <c r="W386" s="2"/>
      <c r="X386" s="2"/>
      <c r="Y386" s="2"/>
      <c r="Z386" s="2"/>
    </row>
    <row r="387">
      <c r="A387" s="5"/>
      <c r="B387" s="5"/>
      <c r="C387" s="5"/>
      <c r="D387" s="5"/>
      <c r="E387" s="2"/>
      <c r="F387" s="2"/>
      <c r="G387" s="2"/>
      <c r="H387" s="2"/>
      <c r="I387" s="2"/>
      <c r="J387" s="2"/>
      <c r="K387" s="2"/>
      <c r="L387" s="2"/>
      <c r="M387" s="2"/>
      <c r="N387" s="2"/>
      <c r="O387" s="2"/>
      <c r="P387" s="2"/>
      <c r="Q387" s="2"/>
      <c r="R387" s="2"/>
      <c r="S387" s="2"/>
      <c r="T387" s="2"/>
      <c r="U387" s="2"/>
      <c r="V387" s="2"/>
      <c r="W387" s="2"/>
      <c r="X387" s="2"/>
      <c r="Y387" s="2"/>
      <c r="Z387" s="2"/>
    </row>
    <row r="388">
      <c r="A388" s="5"/>
      <c r="B388" s="5"/>
      <c r="C388" s="5"/>
      <c r="D388" s="5"/>
      <c r="E388" s="2"/>
      <c r="F388" s="2"/>
      <c r="G388" s="2"/>
      <c r="H388" s="2"/>
      <c r="I388" s="2"/>
      <c r="J388" s="2"/>
      <c r="K388" s="2"/>
      <c r="L388" s="2"/>
      <c r="M388" s="2"/>
      <c r="N388" s="2"/>
      <c r="O388" s="2"/>
      <c r="P388" s="2"/>
      <c r="Q388" s="2"/>
      <c r="R388" s="2"/>
      <c r="S388" s="2"/>
      <c r="T388" s="2"/>
      <c r="U388" s="2"/>
      <c r="V388" s="2"/>
      <c r="W388" s="2"/>
      <c r="X388" s="2"/>
      <c r="Y388" s="2"/>
      <c r="Z388" s="2"/>
    </row>
    <row r="389">
      <c r="A389" s="5"/>
      <c r="B389" s="5"/>
      <c r="C389" s="5"/>
      <c r="D389" s="5"/>
      <c r="E389" s="2"/>
      <c r="F389" s="2"/>
      <c r="G389" s="2"/>
      <c r="H389" s="2"/>
      <c r="I389" s="2"/>
      <c r="J389" s="2"/>
      <c r="K389" s="2"/>
      <c r="L389" s="2"/>
      <c r="M389" s="2"/>
      <c r="N389" s="2"/>
      <c r="O389" s="2"/>
      <c r="P389" s="2"/>
      <c r="Q389" s="2"/>
      <c r="R389" s="2"/>
      <c r="S389" s="2"/>
      <c r="T389" s="2"/>
      <c r="U389" s="2"/>
      <c r="V389" s="2"/>
      <c r="W389" s="2"/>
      <c r="X389" s="2"/>
      <c r="Y389" s="2"/>
      <c r="Z389" s="2"/>
    </row>
    <row r="390">
      <c r="A390" s="5"/>
      <c r="B390" s="5"/>
      <c r="C390" s="5"/>
      <c r="D390" s="5"/>
      <c r="E390" s="2"/>
      <c r="F390" s="2"/>
      <c r="G390" s="2"/>
      <c r="H390" s="2"/>
      <c r="I390" s="2"/>
      <c r="J390" s="2"/>
      <c r="K390" s="2"/>
      <c r="L390" s="2"/>
      <c r="M390" s="2"/>
      <c r="N390" s="2"/>
      <c r="O390" s="2"/>
      <c r="P390" s="2"/>
      <c r="Q390" s="2"/>
      <c r="R390" s="2"/>
      <c r="S390" s="2"/>
      <c r="T390" s="2"/>
      <c r="U390" s="2"/>
      <c r="V390" s="2"/>
      <c r="W390" s="2"/>
      <c r="X390" s="2"/>
      <c r="Y390" s="2"/>
      <c r="Z390" s="2"/>
    </row>
    <row r="391">
      <c r="A391" s="5"/>
      <c r="B391" s="5"/>
      <c r="C391" s="5"/>
      <c r="D391" s="5"/>
      <c r="E391" s="2"/>
      <c r="F391" s="2"/>
      <c r="G391" s="2"/>
      <c r="H391" s="2"/>
      <c r="I391" s="2"/>
      <c r="J391" s="2"/>
      <c r="K391" s="2"/>
      <c r="L391" s="2"/>
      <c r="M391" s="2"/>
      <c r="N391" s="2"/>
      <c r="O391" s="2"/>
      <c r="P391" s="2"/>
      <c r="Q391" s="2"/>
      <c r="R391" s="2"/>
      <c r="S391" s="2"/>
      <c r="T391" s="2"/>
      <c r="U391" s="2"/>
      <c r="V391" s="2"/>
      <c r="W391" s="2"/>
      <c r="X391" s="2"/>
      <c r="Y391" s="2"/>
      <c r="Z391" s="2"/>
    </row>
    <row r="392">
      <c r="A392" s="5"/>
      <c r="B392" s="5"/>
      <c r="C392" s="5"/>
      <c r="D392" s="5"/>
      <c r="E392" s="2"/>
      <c r="F392" s="2"/>
      <c r="G392" s="2"/>
      <c r="H392" s="2"/>
      <c r="I392" s="2"/>
      <c r="J392" s="2"/>
      <c r="K392" s="2"/>
      <c r="L392" s="2"/>
      <c r="M392" s="2"/>
      <c r="N392" s="2"/>
      <c r="O392" s="2"/>
      <c r="P392" s="2"/>
      <c r="Q392" s="2"/>
      <c r="R392" s="2"/>
      <c r="S392" s="2"/>
      <c r="T392" s="2"/>
      <c r="U392" s="2"/>
      <c r="V392" s="2"/>
      <c r="W392" s="2"/>
      <c r="X392" s="2"/>
      <c r="Y392" s="2"/>
      <c r="Z392" s="2"/>
    </row>
    <row r="393">
      <c r="A393" s="5"/>
      <c r="B393" s="5"/>
      <c r="C393" s="5"/>
      <c r="D393" s="5"/>
      <c r="E393" s="2"/>
      <c r="F393" s="2"/>
      <c r="G393" s="2"/>
      <c r="H393" s="2"/>
      <c r="I393" s="2"/>
      <c r="J393" s="2"/>
      <c r="K393" s="2"/>
      <c r="L393" s="2"/>
      <c r="M393" s="2"/>
      <c r="N393" s="2"/>
      <c r="O393" s="2"/>
      <c r="P393" s="2"/>
      <c r="Q393" s="2"/>
      <c r="R393" s="2"/>
      <c r="S393" s="2"/>
      <c r="T393" s="2"/>
      <c r="U393" s="2"/>
      <c r="V393" s="2"/>
      <c r="W393" s="2"/>
      <c r="X393" s="2"/>
      <c r="Y393" s="2"/>
      <c r="Z393" s="2"/>
    </row>
    <row r="394">
      <c r="A394" s="5"/>
      <c r="B394" s="5"/>
      <c r="C394" s="5"/>
      <c r="D394" s="5"/>
      <c r="E394" s="2"/>
      <c r="F394" s="2"/>
      <c r="G394" s="2"/>
      <c r="H394" s="2"/>
      <c r="I394" s="2"/>
      <c r="J394" s="2"/>
      <c r="K394" s="2"/>
      <c r="L394" s="2"/>
      <c r="M394" s="2"/>
      <c r="N394" s="2"/>
      <c r="O394" s="2"/>
      <c r="P394" s="2"/>
      <c r="Q394" s="2"/>
      <c r="R394" s="2"/>
      <c r="S394" s="2"/>
      <c r="T394" s="2"/>
      <c r="U394" s="2"/>
      <c r="V394" s="2"/>
      <c r="W394" s="2"/>
      <c r="X394" s="2"/>
      <c r="Y394" s="2"/>
      <c r="Z394" s="2"/>
    </row>
    <row r="395">
      <c r="A395" s="5"/>
      <c r="B395" s="5"/>
      <c r="C395" s="5"/>
      <c r="D395" s="5"/>
      <c r="E395" s="2"/>
      <c r="F395" s="2"/>
      <c r="G395" s="2"/>
      <c r="H395" s="2"/>
      <c r="I395" s="2"/>
      <c r="J395" s="2"/>
      <c r="K395" s="2"/>
      <c r="L395" s="2"/>
      <c r="M395" s="2"/>
      <c r="N395" s="2"/>
      <c r="O395" s="2"/>
      <c r="P395" s="2"/>
      <c r="Q395" s="2"/>
      <c r="R395" s="2"/>
      <c r="S395" s="2"/>
      <c r="T395" s="2"/>
      <c r="U395" s="2"/>
      <c r="V395" s="2"/>
      <c r="W395" s="2"/>
      <c r="X395" s="2"/>
      <c r="Y395" s="2"/>
      <c r="Z395" s="2"/>
    </row>
    <row r="396">
      <c r="A396" s="5"/>
      <c r="B396" s="5"/>
      <c r="C396" s="5"/>
      <c r="D396" s="5"/>
      <c r="E396" s="2"/>
      <c r="F396" s="2"/>
      <c r="G396" s="2"/>
      <c r="H396" s="2"/>
      <c r="I396" s="2"/>
      <c r="J396" s="2"/>
      <c r="K396" s="2"/>
      <c r="L396" s="2"/>
      <c r="M396" s="2"/>
      <c r="N396" s="2"/>
      <c r="O396" s="2"/>
      <c r="P396" s="2"/>
      <c r="Q396" s="2"/>
      <c r="R396" s="2"/>
      <c r="S396" s="2"/>
      <c r="T396" s="2"/>
      <c r="U396" s="2"/>
      <c r="V396" s="2"/>
      <c r="W396" s="2"/>
      <c r="X396" s="2"/>
      <c r="Y396" s="2"/>
      <c r="Z396" s="2"/>
    </row>
    <row r="397">
      <c r="A397" s="5"/>
      <c r="B397" s="5"/>
      <c r="C397" s="5"/>
      <c r="D397" s="5"/>
      <c r="E397" s="2"/>
      <c r="F397" s="2"/>
      <c r="G397" s="2"/>
      <c r="H397" s="2"/>
      <c r="I397" s="2"/>
      <c r="J397" s="2"/>
      <c r="K397" s="2"/>
      <c r="L397" s="2"/>
      <c r="M397" s="2"/>
      <c r="N397" s="2"/>
      <c r="O397" s="2"/>
      <c r="P397" s="2"/>
      <c r="Q397" s="2"/>
      <c r="R397" s="2"/>
      <c r="S397" s="2"/>
      <c r="T397" s="2"/>
      <c r="U397" s="2"/>
      <c r="V397" s="2"/>
      <c r="W397" s="2"/>
      <c r="X397" s="2"/>
      <c r="Y397" s="2"/>
      <c r="Z397" s="2"/>
    </row>
    <row r="398">
      <c r="A398" s="5"/>
      <c r="B398" s="5"/>
      <c r="C398" s="5"/>
      <c r="D398" s="5"/>
      <c r="E398" s="2"/>
      <c r="F398" s="2"/>
      <c r="G398" s="2"/>
      <c r="H398" s="2"/>
      <c r="I398" s="2"/>
      <c r="J398" s="2"/>
      <c r="K398" s="2"/>
      <c r="L398" s="2"/>
      <c r="M398" s="2"/>
      <c r="N398" s="2"/>
      <c r="O398" s="2"/>
      <c r="P398" s="2"/>
      <c r="Q398" s="2"/>
      <c r="R398" s="2"/>
      <c r="S398" s="2"/>
      <c r="T398" s="2"/>
      <c r="U398" s="2"/>
      <c r="V398" s="2"/>
      <c r="W398" s="2"/>
      <c r="X398" s="2"/>
      <c r="Y398" s="2"/>
      <c r="Z398" s="2"/>
    </row>
    <row r="399">
      <c r="A399" s="5"/>
      <c r="B399" s="5"/>
      <c r="C399" s="5"/>
      <c r="D399" s="5"/>
      <c r="E399" s="2"/>
      <c r="F399" s="2"/>
      <c r="G399" s="2"/>
      <c r="H399" s="2"/>
      <c r="I399" s="2"/>
      <c r="J399" s="2"/>
      <c r="K399" s="2"/>
      <c r="L399" s="2"/>
      <c r="M399" s="2"/>
      <c r="N399" s="2"/>
      <c r="O399" s="2"/>
      <c r="P399" s="2"/>
      <c r="Q399" s="2"/>
      <c r="R399" s="2"/>
      <c r="S399" s="2"/>
      <c r="T399" s="2"/>
      <c r="U399" s="2"/>
      <c r="V399" s="2"/>
      <c r="W399" s="2"/>
      <c r="X399" s="2"/>
      <c r="Y399" s="2"/>
      <c r="Z399" s="2"/>
    </row>
    <row r="400">
      <c r="A400" s="5"/>
      <c r="B400" s="5"/>
      <c r="C400" s="5"/>
      <c r="D400" s="5"/>
      <c r="E400" s="2"/>
      <c r="F400" s="2"/>
      <c r="G400" s="2"/>
      <c r="H400" s="2"/>
      <c r="I400" s="2"/>
      <c r="J400" s="2"/>
      <c r="K400" s="2"/>
      <c r="L400" s="2"/>
      <c r="M400" s="2"/>
      <c r="N400" s="2"/>
      <c r="O400" s="2"/>
      <c r="P400" s="2"/>
      <c r="Q400" s="2"/>
      <c r="R400" s="2"/>
      <c r="S400" s="2"/>
      <c r="T400" s="2"/>
      <c r="U400" s="2"/>
      <c r="V400" s="2"/>
      <c r="W400" s="2"/>
      <c r="X400" s="2"/>
      <c r="Y400" s="2"/>
      <c r="Z400" s="2"/>
    </row>
    <row r="401">
      <c r="A401" s="5"/>
      <c r="B401" s="5"/>
      <c r="C401" s="5"/>
      <c r="D401" s="5"/>
      <c r="E401" s="2"/>
      <c r="F401" s="2"/>
      <c r="G401" s="2"/>
      <c r="H401" s="2"/>
      <c r="I401" s="2"/>
      <c r="J401" s="2"/>
      <c r="K401" s="2"/>
      <c r="L401" s="2"/>
      <c r="M401" s="2"/>
      <c r="N401" s="2"/>
      <c r="O401" s="2"/>
      <c r="P401" s="2"/>
      <c r="Q401" s="2"/>
      <c r="R401" s="2"/>
      <c r="S401" s="2"/>
      <c r="T401" s="2"/>
      <c r="U401" s="2"/>
      <c r="V401" s="2"/>
      <c r="W401" s="2"/>
      <c r="X401" s="2"/>
      <c r="Y401" s="2"/>
      <c r="Z401" s="2"/>
    </row>
    <row r="402">
      <c r="A402" s="5"/>
      <c r="B402" s="5"/>
      <c r="C402" s="5"/>
      <c r="D402" s="5"/>
      <c r="E402" s="2"/>
      <c r="F402" s="2"/>
      <c r="G402" s="2"/>
      <c r="H402" s="2"/>
      <c r="I402" s="2"/>
      <c r="J402" s="2"/>
      <c r="K402" s="2"/>
      <c r="L402" s="2"/>
      <c r="M402" s="2"/>
      <c r="N402" s="2"/>
      <c r="O402" s="2"/>
      <c r="P402" s="2"/>
      <c r="Q402" s="2"/>
      <c r="R402" s="2"/>
      <c r="S402" s="2"/>
      <c r="T402" s="2"/>
      <c r="U402" s="2"/>
      <c r="V402" s="2"/>
      <c r="W402" s="2"/>
      <c r="X402" s="2"/>
      <c r="Y402" s="2"/>
      <c r="Z402" s="2"/>
    </row>
    <row r="403">
      <c r="A403" s="5"/>
      <c r="B403" s="5"/>
      <c r="C403" s="5"/>
      <c r="D403" s="5"/>
      <c r="E403" s="2"/>
      <c r="F403" s="2"/>
      <c r="G403" s="2"/>
      <c r="H403" s="2"/>
      <c r="I403" s="2"/>
      <c r="J403" s="2"/>
      <c r="K403" s="2"/>
      <c r="L403" s="2"/>
      <c r="M403" s="2"/>
      <c r="N403" s="2"/>
      <c r="O403" s="2"/>
      <c r="P403" s="2"/>
      <c r="Q403" s="2"/>
      <c r="R403" s="2"/>
      <c r="S403" s="2"/>
      <c r="T403" s="2"/>
      <c r="U403" s="2"/>
      <c r="V403" s="2"/>
      <c r="W403" s="2"/>
      <c r="X403" s="2"/>
      <c r="Y403" s="2"/>
      <c r="Z403" s="2"/>
    </row>
    <row r="404">
      <c r="A404" s="5"/>
      <c r="B404" s="5"/>
      <c r="C404" s="5"/>
      <c r="D404" s="5"/>
      <c r="E404" s="2"/>
      <c r="F404" s="2"/>
      <c r="G404" s="2"/>
      <c r="H404" s="2"/>
      <c r="I404" s="2"/>
      <c r="J404" s="2"/>
      <c r="K404" s="2"/>
      <c r="L404" s="2"/>
      <c r="M404" s="2"/>
      <c r="N404" s="2"/>
      <c r="O404" s="2"/>
      <c r="P404" s="2"/>
      <c r="Q404" s="2"/>
      <c r="R404" s="2"/>
      <c r="S404" s="2"/>
      <c r="T404" s="2"/>
      <c r="U404" s="2"/>
      <c r="V404" s="2"/>
      <c r="W404" s="2"/>
      <c r="X404" s="2"/>
      <c r="Y404" s="2"/>
      <c r="Z404" s="2"/>
    </row>
    <row r="405">
      <c r="A405" s="5"/>
      <c r="B405" s="5"/>
      <c r="C405" s="5"/>
      <c r="D405" s="5"/>
      <c r="E405" s="2"/>
      <c r="F405" s="2"/>
      <c r="G405" s="2"/>
      <c r="H405" s="2"/>
      <c r="I405" s="2"/>
      <c r="J405" s="2"/>
      <c r="K405" s="2"/>
      <c r="L405" s="2"/>
      <c r="M405" s="2"/>
      <c r="N405" s="2"/>
      <c r="O405" s="2"/>
      <c r="P405" s="2"/>
      <c r="Q405" s="2"/>
      <c r="R405" s="2"/>
      <c r="S405" s="2"/>
      <c r="T405" s="2"/>
      <c r="U405" s="2"/>
      <c r="V405" s="2"/>
      <c r="W405" s="2"/>
      <c r="X405" s="2"/>
      <c r="Y405" s="2"/>
      <c r="Z405" s="2"/>
    </row>
    <row r="406">
      <c r="A406" s="5"/>
      <c r="B406" s="5"/>
      <c r="C406" s="5"/>
      <c r="D406" s="5"/>
      <c r="E406" s="2"/>
      <c r="F406" s="2"/>
      <c r="G406" s="2"/>
      <c r="H406" s="2"/>
      <c r="I406" s="2"/>
      <c r="J406" s="2"/>
      <c r="K406" s="2"/>
      <c r="L406" s="2"/>
      <c r="M406" s="2"/>
      <c r="N406" s="2"/>
      <c r="O406" s="2"/>
      <c r="P406" s="2"/>
      <c r="Q406" s="2"/>
      <c r="R406" s="2"/>
      <c r="S406" s="2"/>
      <c r="T406" s="2"/>
      <c r="U406" s="2"/>
      <c r="V406" s="2"/>
      <c r="W406" s="2"/>
      <c r="X406" s="2"/>
      <c r="Y406" s="2"/>
      <c r="Z406" s="2"/>
    </row>
    <row r="407">
      <c r="A407" s="5"/>
      <c r="B407" s="5"/>
      <c r="C407" s="5"/>
      <c r="D407" s="5"/>
      <c r="E407" s="2"/>
      <c r="F407" s="2"/>
      <c r="G407" s="2"/>
      <c r="H407" s="2"/>
      <c r="I407" s="2"/>
      <c r="J407" s="2"/>
      <c r="K407" s="2"/>
      <c r="L407" s="2"/>
      <c r="M407" s="2"/>
      <c r="N407" s="2"/>
      <c r="O407" s="2"/>
      <c r="P407" s="2"/>
      <c r="Q407" s="2"/>
      <c r="R407" s="2"/>
      <c r="S407" s="2"/>
      <c r="T407" s="2"/>
      <c r="U407" s="2"/>
      <c r="V407" s="2"/>
      <c r="W407" s="2"/>
      <c r="X407" s="2"/>
      <c r="Y407" s="2"/>
      <c r="Z407" s="2"/>
    </row>
    <row r="408">
      <c r="A408" s="5"/>
      <c r="B408" s="5"/>
      <c r="C408" s="5"/>
      <c r="D408" s="5"/>
      <c r="E408" s="2"/>
      <c r="F408" s="2"/>
      <c r="G408" s="2"/>
      <c r="H408" s="2"/>
      <c r="I408" s="2"/>
      <c r="J408" s="2"/>
      <c r="K408" s="2"/>
      <c r="L408" s="2"/>
      <c r="M408" s="2"/>
      <c r="N408" s="2"/>
      <c r="O408" s="2"/>
      <c r="P408" s="2"/>
      <c r="Q408" s="2"/>
      <c r="R408" s="2"/>
      <c r="S408" s="2"/>
      <c r="T408" s="2"/>
      <c r="U408" s="2"/>
      <c r="V408" s="2"/>
      <c r="W408" s="2"/>
      <c r="X408" s="2"/>
      <c r="Y408" s="2"/>
      <c r="Z408" s="2"/>
    </row>
    <row r="409">
      <c r="A409" s="5"/>
      <c r="B409" s="5"/>
      <c r="C409" s="5"/>
      <c r="D409" s="5"/>
      <c r="E409" s="2"/>
      <c r="F409" s="2"/>
      <c r="G409" s="2"/>
      <c r="H409" s="2"/>
      <c r="I409" s="2"/>
      <c r="J409" s="2"/>
      <c r="K409" s="2"/>
      <c r="L409" s="2"/>
      <c r="M409" s="2"/>
      <c r="N409" s="2"/>
      <c r="O409" s="2"/>
      <c r="P409" s="2"/>
      <c r="Q409" s="2"/>
      <c r="R409" s="2"/>
      <c r="S409" s="2"/>
      <c r="T409" s="2"/>
      <c r="U409" s="2"/>
      <c r="V409" s="2"/>
      <c r="W409" s="2"/>
      <c r="X409" s="2"/>
      <c r="Y409" s="2"/>
      <c r="Z409" s="2"/>
    </row>
    <row r="410">
      <c r="A410" s="5"/>
      <c r="B410" s="5"/>
      <c r="C410" s="5"/>
      <c r="D410" s="5"/>
      <c r="E410" s="2"/>
      <c r="F410" s="2"/>
      <c r="G410" s="2"/>
      <c r="H410" s="2"/>
      <c r="I410" s="2"/>
      <c r="J410" s="2"/>
      <c r="K410" s="2"/>
      <c r="L410" s="2"/>
      <c r="M410" s="2"/>
      <c r="N410" s="2"/>
      <c r="O410" s="2"/>
      <c r="P410" s="2"/>
      <c r="Q410" s="2"/>
      <c r="R410" s="2"/>
      <c r="S410" s="2"/>
      <c r="T410" s="2"/>
      <c r="U410" s="2"/>
      <c r="V410" s="2"/>
      <c r="W410" s="2"/>
      <c r="X410" s="2"/>
      <c r="Y410" s="2"/>
      <c r="Z410" s="2"/>
    </row>
    <row r="411">
      <c r="A411" s="5"/>
      <c r="B411" s="5"/>
      <c r="C411" s="5"/>
      <c r="D411" s="5"/>
      <c r="E411" s="2"/>
      <c r="F411" s="2"/>
      <c r="G411" s="2"/>
      <c r="H411" s="2"/>
      <c r="I411" s="2"/>
      <c r="J411" s="2"/>
      <c r="K411" s="2"/>
      <c r="L411" s="2"/>
      <c r="M411" s="2"/>
      <c r="N411" s="2"/>
      <c r="O411" s="2"/>
      <c r="P411" s="2"/>
      <c r="Q411" s="2"/>
      <c r="R411" s="2"/>
      <c r="S411" s="2"/>
      <c r="T411" s="2"/>
      <c r="U411" s="2"/>
      <c r="V411" s="2"/>
      <c r="W411" s="2"/>
      <c r="X411" s="2"/>
      <c r="Y411" s="2"/>
      <c r="Z411" s="2"/>
    </row>
    <row r="412">
      <c r="A412" s="5"/>
      <c r="B412" s="5"/>
      <c r="C412" s="5"/>
      <c r="D412" s="5"/>
      <c r="E412" s="2"/>
      <c r="F412" s="2"/>
      <c r="G412" s="2"/>
      <c r="H412" s="2"/>
      <c r="I412" s="2"/>
      <c r="J412" s="2"/>
      <c r="K412" s="2"/>
      <c r="L412" s="2"/>
      <c r="M412" s="2"/>
      <c r="N412" s="2"/>
      <c r="O412" s="2"/>
      <c r="P412" s="2"/>
      <c r="Q412" s="2"/>
      <c r="R412" s="2"/>
      <c r="S412" s="2"/>
      <c r="T412" s="2"/>
      <c r="U412" s="2"/>
      <c r="V412" s="2"/>
      <c r="W412" s="2"/>
      <c r="X412" s="2"/>
      <c r="Y412" s="2"/>
      <c r="Z412" s="2"/>
    </row>
    <row r="413">
      <c r="A413" s="5"/>
      <c r="B413" s="5"/>
      <c r="C413" s="5"/>
      <c r="D413" s="5"/>
      <c r="E413" s="2"/>
      <c r="F413" s="2"/>
      <c r="G413" s="2"/>
      <c r="H413" s="2"/>
      <c r="I413" s="2"/>
      <c r="J413" s="2"/>
      <c r="K413" s="2"/>
      <c r="L413" s="2"/>
      <c r="M413" s="2"/>
      <c r="N413" s="2"/>
      <c r="O413" s="2"/>
      <c r="P413" s="2"/>
      <c r="Q413" s="2"/>
      <c r="R413" s="2"/>
      <c r="S413" s="2"/>
      <c r="T413" s="2"/>
      <c r="U413" s="2"/>
      <c r="V413" s="2"/>
      <c r="W413" s="2"/>
      <c r="X413" s="2"/>
      <c r="Y413" s="2"/>
      <c r="Z413" s="2"/>
    </row>
    <row r="414">
      <c r="A414" s="5"/>
      <c r="B414" s="5"/>
      <c r="C414" s="5"/>
      <c r="D414" s="5"/>
      <c r="E414" s="2"/>
      <c r="F414" s="2"/>
      <c r="G414" s="2"/>
      <c r="H414" s="2"/>
      <c r="I414" s="2"/>
      <c r="J414" s="2"/>
      <c r="K414" s="2"/>
      <c r="L414" s="2"/>
      <c r="M414" s="2"/>
      <c r="N414" s="2"/>
      <c r="O414" s="2"/>
      <c r="P414" s="2"/>
      <c r="Q414" s="2"/>
      <c r="R414" s="2"/>
      <c r="S414" s="2"/>
      <c r="T414" s="2"/>
      <c r="U414" s="2"/>
      <c r="V414" s="2"/>
      <c r="W414" s="2"/>
      <c r="X414" s="2"/>
      <c r="Y414" s="2"/>
      <c r="Z414" s="2"/>
    </row>
    <row r="415">
      <c r="A415" s="5"/>
      <c r="B415" s="5"/>
      <c r="C415" s="5"/>
      <c r="D415" s="5"/>
      <c r="E415" s="2"/>
      <c r="F415" s="2"/>
      <c r="G415" s="2"/>
      <c r="H415" s="2"/>
      <c r="I415" s="2"/>
      <c r="J415" s="2"/>
      <c r="K415" s="2"/>
      <c r="L415" s="2"/>
      <c r="M415" s="2"/>
      <c r="N415" s="2"/>
      <c r="O415" s="2"/>
      <c r="P415" s="2"/>
      <c r="Q415" s="2"/>
      <c r="R415" s="2"/>
      <c r="S415" s="2"/>
      <c r="T415" s="2"/>
      <c r="U415" s="2"/>
      <c r="V415" s="2"/>
      <c r="W415" s="2"/>
      <c r="X415" s="2"/>
      <c r="Y415" s="2"/>
      <c r="Z415" s="2"/>
    </row>
    <row r="416">
      <c r="A416" s="5"/>
      <c r="B416" s="5"/>
      <c r="C416" s="5"/>
      <c r="D416" s="5"/>
      <c r="E416" s="2"/>
      <c r="F416" s="2"/>
      <c r="G416" s="2"/>
      <c r="H416" s="2"/>
      <c r="I416" s="2"/>
      <c r="J416" s="2"/>
      <c r="K416" s="2"/>
      <c r="L416" s="2"/>
      <c r="M416" s="2"/>
      <c r="N416" s="2"/>
      <c r="O416" s="2"/>
      <c r="P416" s="2"/>
      <c r="Q416" s="2"/>
      <c r="R416" s="2"/>
      <c r="S416" s="2"/>
      <c r="T416" s="2"/>
      <c r="U416" s="2"/>
      <c r="V416" s="2"/>
      <c r="W416" s="2"/>
      <c r="X416" s="2"/>
      <c r="Y416" s="2"/>
      <c r="Z416" s="2"/>
    </row>
    <row r="417">
      <c r="A417" s="5"/>
      <c r="B417" s="5"/>
      <c r="C417" s="5"/>
      <c r="D417" s="5"/>
      <c r="E417" s="2"/>
      <c r="F417" s="2"/>
      <c r="G417" s="2"/>
      <c r="H417" s="2"/>
      <c r="I417" s="2"/>
      <c r="J417" s="2"/>
      <c r="K417" s="2"/>
      <c r="L417" s="2"/>
      <c r="M417" s="2"/>
      <c r="N417" s="2"/>
      <c r="O417" s="2"/>
      <c r="P417" s="2"/>
      <c r="Q417" s="2"/>
      <c r="R417" s="2"/>
      <c r="S417" s="2"/>
      <c r="T417" s="2"/>
      <c r="U417" s="2"/>
      <c r="V417" s="2"/>
      <c r="W417" s="2"/>
      <c r="X417" s="2"/>
      <c r="Y417" s="2"/>
      <c r="Z417" s="2"/>
    </row>
    <row r="418">
      <c r="A418" s="5"/>
      <c r="B418" s="5"/>
      <c r="C418" s="5"/>
      <c r="D418" s="5"/>
      <c r="E418" s="2"/>
      <c r="F418" s="2"/>
      <c r="G418" s="2"/>
      <c r="H418" s="2"/>
      <c r="I418" s="2"/>
      <c r="J418" s="2"/>
      <c r="K418" s="2"/>
      <c r="L418" s="2"/>
      <c r="M418" s="2"/>
      <c r="N418" s="2"/>
      <c r="O418" s="2"/>
      <c r="P418" s="2"/>
      <c r="Q418" s="2"/>
      <c r="R418" s="2"/>
      <c r="S418" s="2"/>
      <c r="T418" s="2"/>
      <c r="U418" s="2"/>
      <c r="V418" s="2"/>
      <c r="W418" s="2"/>
      <c r="X418" s="2"/>
      <c r="Y418" s="2"/>
      <c r="Z418" s="2"/>
    </row>
    <row r="419">
      <c r="A419" s="5"/>
      <c r="B419" s="5"/>
      <c r="C419" s="5"/>
      <c r="D419" s="5"/>
      <c r="E419" s="2"/>
      <c r="F419" s="2"/>
      <c r="G419" s="2"/>
      <c r="H419" s="2"/>
      <c r="I419" s="2"/>
      <c r="J419" s="2"/>
      <c r="K419" s="2"/>
      <c r="L419" s="2"/>
      <c r="M419" s="2"/>
      <c r="N419" s="2"/>
      <c r="O419" s="2"/>
      <c r="P419" s="2"/>
      <c r="Q419" s="2"/>
      <c r="R419" s="2"/>
      <c r="S419" s="2"/>
      <c r="T419" s="2"/>
      <c r="U419" s="2"/>
      <c r="V419" s="2"/>
      <c r="W419" s="2"/>
      <c r="X419" s="2"/>
      <c r="Y419" s="2"/>
      <c r="Z419" s="2"/>
    </row>
    <row r="420">
      <c r="A420" s="5"/>
      <c r="B420" s="5"/>
      <c r="C420" s="5"/>
      <c r="D420" s="5"/>
      <c r="E420" s="2"/>
      <c r="F420" s="2"/>
      <c r="G420" s="2"/>
      <c r="H420" s="2"/>
      <c r="I420" s="2"/>
      <c r="J420" s="2"/>
      <c r="K420" s="2"/>
      <c r="L420" s="2"/>
      <c r="M420" s="2"/>
      <c r="N420" s="2"/>
      <c r="O420" s="2"/>
      <c r="P420" s="2"/>
      <c r="Q420" s="2"/>
      <c r="R420" s="2"/>
      <c r="S420" s="2"/>
      <c r="T420" s="2"/>
      <c r="U420" s="2"/>
      <c r="V420" s="2"/>
      <c r="W420" s="2"/>
      <c r="X420" s="2"/>
      <c r="Y420" s="2"/>
      <c r="Z420" s="2"/>
    </row>
    <row r="421">
      <c r="A421" s="5"/>
      <c r="B421" s="5"/>
      <c r="C421" s="5"/>
      <c r="D421" s="5"/>
      <c r="E421" s="2"/>
      <c r="F421" s="2"/>
      <c r="G421" s="2"/>
      <c r="H421" s="2"/>
      <c r="I421" s="2"/>
      <c r="J421" s="2"/>
      <c r="K421" s="2"/>
      <c r="L421" s="2"/>
      <c r="M421" s="2"/>
      <c r="N421" s="2"/>
      <c r="O421" s="2"/>
      <c r="P421" s="2"/>
      <c r="Q421" s="2"/>
      <c r="R421" s="2"/>
      <c r="S421" s="2"/>
      <c r="T421" s="2"/>
      <c r="U421" s="2"/>
      <c r="V421" s="2"/>
      <c r="W421" s="2"/>
      <c r="X421" s="2"/>
      <c r="Y421" s="2"/>
      <c r="Z421" s="2"/>
    </row>
    <row r="422">
      <c r="A422" s="5"/>
      <c r="B422" s="5"/>
      <c r="C422" s="5"/>
      <c r="D422" s="5"/>
      <c r="E422" s="2"/>
      <c r="F422" s="2"/>
      <c r="G422" s="2"/>
      <c r="H422" s="2"/>
      <c r="I422" s="2"/>
      <c r="J422" s="2"/>
      <c r="K422" s="2"/>
      <c r="L422" s="2"/>
      <c r="M422" s="2"/>
      <c r="N422" s="2"/>
      <c r="O422" s="2"/>
      <c r="P422" s="2"/>
      <c r="Q422" s="2"/>
      <c r="R422" s="2"/>
      <c r="S422" s="2"/>
      <c r="T422" s="2"/>
      <c r="U422" s="2"/>
      <c r="V422" s="2"/>
      <c r="W422" s="2"/>
      <c r="X422" s="2"/>
      <c r="Y422" s="2"/>
      <c r="Z422" s="2"/>
    </row>
    <row r="423">
      <c r="A423" s="5"/>
      <c r="B423" s="5"/>
      <c r="C423" s="5"/>
      <c r="D423" s="5"/>
      <c r="E423" s="2"/>
      <c r="F423" s="2"/>
      <c r="G423" s="2"/>
      <c r="H423" s="2"/>
      <c r="I423" s="2"/>
      <c r="J423" s="2"/>
      <c r="K423" s="2"/>
      <c r="L423" s="2"/>
      <c r="M423" s="2"/>
      <c r="N423" s="2"/>
      <c r="O423" s="2"/>
      <c r="P423" s="2"/>
      <c r="Q423" s="2"/>
      <c r="R423" s="2"/>
      <c r="S423" s="2"/>
      <c r="T423" s="2"/>
      <c r="U423" s="2"/>
      <c r="V423" s="2"/>
      <c r="W423" s="2"/>
      <c r="X423" s="2"/>
      <c r="Y423" s="2"/>
      <c r="Z423" s="2"/>
    </row>
    <row r="424">
      <c r="A424" s="5"/>
      <c r="B424" s="5"/>
      <c r="C424" s="5"/>
      <c r="D424" s="5"/>
      <c r="E424" s="2"/>
      <c r="F424" s="2"/>
      <c r="G424" s="2"/>
      <c r="H424" s="2"/>
      <c r="I424" s="2"/>
      <c r="J424" s="2"/>
      <c r="K424" s="2"/>
      <c r="L424" s="2"/>
      <c r="M424" s="2"/>
      <c r="N424" s="2"/>
      <c r="O424" s="2"/>
      <c r="P424" s="2"/>
      <c r="Q424" s="2"/>
      <c r="R424" s="2"/>
      <c r="S424" s="2"/>
      <c r="T424" s="2"/>
      <c r="U424" s="2"/>
      <c r="V424" s="2"/>
      <c r="W424" s="2"/>
      <c r="X424" s="2"/>
      <c r="Y424" s="2"/>
      <c r="Z424" s="2"/>
    </row>
    <row r="425">
      <c r="A425" s="5"/>
      <c r="B425" s="5"/>
      <c r="C425" s="5"/>
      <c r="D425" s="5"/>
      <c r="E425" s="2"/>
      <c r="F425" s="2"/>
      <c r="G425" s="2"/>
      <c r="H425" s="2"/>
      <c r="I425" s="2"/>
      <c r="J425" s="2"/>
      <c r="K425" s="2"/>
      <c r="L425" s="2"/>
      <c r="M425" s="2"/>
      <c r="N425" s="2"/>
      <c r="O425" s="2"/>
      <c r="P425" s="2"/>
      <c r="Q425" s="2"/>
      <c r="R425" s="2"/>
      <c r="S425" s="2"/>
      <c r="T425" s="2"/>
      <c r="U425" s="2"/>
      <c r="V425" s="2"/>
      <c r="W425" s="2"/>
      <c r="X425" s="2"/>
      <c r="Y425" s="2"/>
      <c r="Z425" s="2"/>
    </row>
    <row r="426">
      <c r="A426" s="5"/>
      <c r="B426" s="5"/>
      <c r="C426" s="5"/>
      <c r="D426" s="5"/>
      <c r="E426" s="2"/>
      <c r="F426" s="2"/>
      <c r="G426" s="2"/>
      <c r="H426" s="2"/>
      <c r="I426" s="2"/>
      <c r="J426" s="2"/>
      <c r="K426" s="2"/>
      <c r="L426" s="2"/>
      <c r="M426" s="2"/>
      <c r="N426" s="2"/>
      <c r="O426" s="2"/>
      <c r="P426" s="2"/>
      <c r="Q426" s="2"/>
      <c r="R426" s="2"/>
      <c r="S426" s="2"/>
      <c r="T426" s="2"/>
      <c r="U426" s="2"/>
      <c r="V426" s="2"/>
      <c r="W426" s="2"/>
      <c r="X426" s="2"/>
      <c r="Y426" s="2"/>
      <c r="Z426" s="2"/>
    </row>
    <row r="427">
      <c r="A427" s="5"/>
      <c r="B427" s="5"/>
      <c r="C427" s="5"/>
      <c r="D427" s="5"/>
      <c r="E427" s="2"/>
      <c r="F427" s="2"/>
      <c r="G427" s="2"/>
      <c r="H427" s="2"/>
      <c r="I427" s="2"/>
      <c r="J427" s="2"/>
      <c r="K427" s="2"/>
      <c r="L427" s="2"/>
      <c r="M427" s="2"/>
      <c r="N427" s="2"/>
      <c r="O427" s="2"/>
      <c r="P427" s="2"/>
      <c r="Q427" s="2"/>
      <c r="R427" s="2"/>
      <c r="S427" s="2"/>
      <c r="T427" s="2"/>
      <c r="U427" s="2"/>
      <c r="V427" s="2"/>
      <c r="W427" s="2"/>
      <c r="X427" s="2"/>
      <c r="Y427" s="2"/>
      <c r="Z427" s="2"/>
    </row>
    <row r="428">
      <c r="A428" s="5"/>
      <c r="B428" s="5"/>
      <c r="C428" s="5"/>
      <c r="D428" s="5"/>
      <c r="E428" s="2"/>
      <c r="F428" s="2"/>
      <c r="G428" s="2"/>
      <c r="H428" s="2"/>
      <c r="I428" s="2"/>
      <c r="J428" s="2"/>
      <c r="K428" s="2"/>
      <c r="L428" s="2"/>
      <c r="M428" s="2"/>
      <c r="N428" s="2"/>
      <c r="O428" s="2"/>
      <c r="P428" s="2"/>
      <c r="Q428" s="2"/>
      <c r="R428" s="2"/>
      <c r="S428" s="2"/>
      <c r="T428" s="2"/>
      <c r="U428" s="2"/>
      <c r="V428" s="2"/>
      <c r="W428" s="2"/>
      <c r="X428" s="2"/>
      <c r="Y428" s="2"/>
      <c r="Z428" s="2"/>
    </row>
    <row r="429">
      <c r="A429" s="5"/>
      <c r="B429" s="5"/>
      <c r="C429" s="5"/>
      <c r="D429" s="5"/>
      <c r="E429" s="2"/>
      <c r="F429" s="2"/>
      <c r="G429" s="2"/>
      <c r="H429" s="2"/>
      <c r="I429" s="2"/>
      <c r="J429" s="2"/>
      <c r="K429" s="2"/>
      <c r="L429" s="2"/>
      <c r="M429" s="2"/>
      <c r="N429" s="2"/>
      <c r="O429" s="2"/>
      <c r="P429" s="2"/>
      <c r="Q429" s="2"/>
      <c r="R429" s="2"/>
      <c r="S429" s="2"/>
      <c r="T429" s="2"/>
      <c r="U429" s="2"/>
      <c r="V429" s="2"/>
      <c r="W429" s="2"/>
      <c r="X429" s="2"/>
      <c r="Y429" s="2"/>
      <c r="Z429" s="2"/>
    </row>
    <row r="430">
      <c r="A430" s="5"/>
      <c r="B430" s="5"/>
      <c r="C430" s="5"/>
      <c r="D430" s="5"/>
      <c r="E430" s="2"/>
      <c r="F430" s="2"/>
      <c r="G430" s="2"/>
      <c r="H430" s="2"/>
      <c r="I430" s="2"/>
      <c r="J430" s="2"/>
      <c r="K430" s="2"/>
      <c r="L430" s="2"/>
      <c r="M430" s="2"/>
      <c r="N430" s="2"/>
      <c r="O430" s="2"/>
      <c r="P430" s="2"/>
      <c r="Q430" s="2"/>
      <c r="R430" s="2"/>
      <c r="S430" s="2"/>
      <c r="T430" s="2"/>
      <c r="U430" s="2"/>
      <c r="V430" s="2"/>
      <c r="W430" s="2"/>
      <c r="X430" s="2"/>
      <c r="Y430" s="2"/>
      <c r="Z430" s="2"/>
    </row>
    <row r="431">
      <c r="A431" s="5"/>
      <c r="B431" s="5"/>
      <c r="C431" s="5"/>
      <c r="D431" s="5"/>
      <c r="E431" s="2"/>
      <c r="F431" s="2"/>
      <c r="G431" s="2"/>
      <c r="H431" s="2"/>
      <c r="I431" s="2"/>
      <c r="J431" s="2"/>
      <c r="K431" s="2"/>
      <c r="L431" s="2"/>
      <c r="M431" s="2"/>
      <c r="N431" s="2"/>
      <c r="O431" s="2"/>
      <c r="P431" s="2"/>
      <c r="Q431" s="2"/>
      <c r="R431" s="2"/>
      <c r="S431" s="2"/>
      <c r="T431" s="2"/>
      <c r="U431" s="2"/>
      <c r="V431" s="2"/>
      <c r="W431" s="2"/>
      <c r="X431" s="2"/>
      <c r="Y431" s="2"/>
      <c r="Z431" s="2"/>
    </row>
    <row r="432">
      <c r="A432" s="5"/>
      <c r="B432" s="5"/>
      <c r="C432" s="5"/>
      <c r="D432" s="5"/>
      <c r="E432" s="2"/>
      <c r="F432" s="2"/>
      <c r="G432" s="2"/>
      <c r="H432" s="2"/>
      <c r="I432" s="2"/>
      <c r="J432" s="2"/>
      <c r="K432" s="2"/>
      <c r="L432" s="2"/>
      <c r="M432" s="2"/>
      <c r="N432" s="2"/>
      <c r="O432" s="2"/>
      <c r="P432" s="2"/>
      <c r="Q432" s="2"/>
      <c r="R432" s="2"/>
      <c r="S432" s="2"/>
      <c r="T432" s="2"/>
      <c r="U432" s="2"/>
      <c r="V432" s="2"/>
      <c r="W432" s="2"/>
      <c r="X432" s="2"/>
      <c r="Y432" s="2"/>
      <c r="Z432" s="2"/>
    </row>
    <row r="433">
      <c r="A433" s="5"/>
      <c r="B433" s="5"/>
      <c r="C433" s="5"/>
      <c r="D433" s="5"/>
      <c r="E433" s="2"/>
      <c r="F433" s="2"/>
      <c r="G433" s="2"/>
      <c r="H433" s="2"/>
      <c r="I433" s="2"/>
      <c r="J433" s="2"/>
      <c r="K433" s="2"/>
      <c r="L433" s="2"/>
      <c r="M433" s="2"/>
      <c r="N433" s="2"/>
      <c r="O433" s="2"/>
      <c r="P433" s="2"/>
      <c r="Q433" s="2"/>
      <c r="R433" s="2"/>
      <c r="S433" s="2"/>
      <c r="T433" s="2"/>
      <c r="U433" s="2"/>
      <c r="V433" s="2"/>
      <c r="W433" s="2"/>
      <c r="X433" s="2"/>
      <c r="Y433" s="2"/>
      <c r="Z433" s="2"/>
    </row>
    <row r="434">
      <c r="A434" s="5"/>
      <c r="B434" s="5"/>
      <c r="C434" s="5"/>
      <c r="D434" s="5"/>
      <c r="E434" s="2"/>
      <c r="F434" s="2"/>
      <c r="G434" s="2"/>
      <c r="H434" s="2"/>
      <c r="I434" s="2"/>
      <c r="J434" s="2"/>
      <c r="K434" s="2"/>
      <c r="L434" s="2"/>
      <c r="M434" s="2"/>
      <c r="N434" s="2"/>
      <c r="O434" s="2"/>
      <c r="P434" s="2"/>
      <c r="Q434" s="2"/>
      <c r="R434" s="2"/>
      <c r="S434" s="2"/>
      <c r="T434" s="2"/>
      <c r="U434" s="2"/>
      <c r="V434" s="2"/>
      <c r="W434" s="2"/>
      <c r="X434" s="2"/>
      <c r="Y434" s="2"/>
      <c r="Z434" s="2"/>
    </row>
    <row r="435">
      <c r="A435" s="5"/>
      <c r="B435" s="5"/>
      <c r="C435" s="5"/>
      <c r="D435" s="5"/>
      <c r="E435" s="2"/>
      <c r="F435" s="2"/>
      <c r="G435" s="2"/>
      <c r="H435" s="2"/>
      <c r="I435" s="2"/>
      <c r="J435" s="2"/>
      <c r="K435" s="2"/>
      <c r="L435" s="2"/>
      <c r="M435" s="2"/>
      <c r="N435" s="2"/>
      <c r="O435" s="2"/>
      <c r="P435" s="2"/>
      <c r="Q435" s="2"/>
      <c r="R435" s="2"/>
      <c r="S435" s="2"/>
      <c r="T435" s="2"/>
      <c r="U435" s="2"/>
      <c r="V435" s="2"/>
      <c r="W435" s="2"/>
      <c r="X435" s="2"/>
      <c r="Y435" s="2"/>
      <c r="Z435" s="2"/>
    </row>
    <row r="436">
      <c r="A436" s="5"/>
      <c r="B436" s="5"/>
      <c r="C436" s="5"/>
      <c r="D436" s="5"/>
      <c r="E436" s="2"/>
      <c r="F436" s="2"/>
      <c r="G436" s="2"/>
      <c r="H436" s="2"/>
      <c r="I436" s="2"/>
      <c r="J436" s="2"/>
      <c r="K436" s="2"/>
      <c r="L436" s="2"/>
      <c r="M436" s="2"/>
      <c r="N436" s="2"/>
      <c r="O436" s="2"/>
      <c r="P436" s="2"/>
      <c r="Q436" s="2"/>
      <c r="R436" s="2"/>
      <c r="S436" s="2"/>
      <c r="T436" s="2"/>
      <c r="U436" s="2"/>
      <c r="V436" s="2"/>
      <c r="W436" s="2"/>
      <c r="X436" s="2"/>
      <c r="Y436" s="2"/>
      <c r="Z436" s="2"/>
    </row>
    <row r="437">
      <c r="A437" s="5"/>
      <c r="B437" s="5"/>
      <c r="C437" s="5"/>
      <c r="D437" s="5"/>
      <c r="E437" s="2"/>
      <c r="F437" s="2"/>
      <c r="G437" s="2"/>
      <c r="H437" s="2"/>
      <c r="I437" s="2"/>
      <c r="J437" s="2"/>
      <c r="K437" s="2"/>
      <c r="L437" s="2"/>
      <c r="M437" s="2"/>
      <c r="N437" s="2"/>
      <c r="O437" s="2"/>
      <c r="P437" s="2"/>
      <c r="Q437" s="2"/>
      <c r="R437" s="2"/>
      <c r="S437" s="2"/>
      <c r="T437" s="2"/>
      <c r="U437" s="2"/>
      <c r="V437" s="2"/>
      <c r="W437" s="2"/>
      <c r="X437" s="2"/>
      <c r="Y437" s="2"/>
      <c r="Z437" s="2"/>
    </row>
    <row r="438">
      <c r="A438" s="5"/>
      <c r="B438" s="5"/>
      <c r="C438" s="5"/>
      <c r="D438" s="5"/>
      <c r="E438" s="2"/>
      <c r="F438" s="2"/>
      <c r="G438" s="2"/>
      <c r="H438" s="2"/>
      <c r="I438" s="2"/>
      <c r="J438" s="2"/>
      <c r="K438" s="2"/>
      <c r="L438" s="2"/>
      <c r="M438" s="2"/>
      <c r="N438" s="2"/>
      <c r="O438" s="2"/>
      <c r="P438" s="2"/>
      <c r="Q438" s="2"/>
      <c r="R438" s="2"/>
      <c r="S438" s="2"/>
      <c r="T438" s="2"/>
      <c r="U438" s="2"/>
      <c r="V438" s="2"/>
      <c r="W438" s="2"/>
      <c r="X438" s="2"/>
      <c r="Y438" s="2"/>
      <c r="Z438" s="2"/>
    </row>
    <row r="439">
      <c r="A439" s="5"/>
      <c r="B439" s="5"/>
      <c r="C439" s="5"/>
      <c r="D439" s="5"/>
      <c r="E439" s="2"/>
      <c r="F439" s="2"/>
      <c r="G439" s="2"/>
      <c r="H439" s="2"/>
      <c r="I439" s="2"/>
      <c r="J439" s="2"/>
      <c r="K439" s="2"/>
      <c r="L439" s="2"/>
      <c r="M439" s="2"/>
      <c r="N439" s="2"/>
      <c r="O439" s="2"/>
      <c r="P439" s="2"/>
      <c r="Q439" s="2"/>
      <c r="R439" s="2"/>
      <c r="S439" s="2"/>
      <c r="T439" s="2"/>
      <c r="U439" s="2"/>
      <c r="V439" s="2"/>
      <c r="W439" s="2"/>
      <c r="X439" s="2"/>
      <c r="Y439" s="2"/>
      <c r="Z439" s="2"/>
    </row>
    <row r="440">
      <c r="A440" s="5"/>
      <c r="B440" s="5"/>
      <c r="C440" s="5"/>
      <c r="D440" s="5"/>
      <c r="E440" s="2"/>
      <c r="F440" s="2"/>
      <c r="G440" s="2"/>
      <c r="H440" s="2"/>
      <c r="I440" s="2"/>
      <c r="J440" s="2"/>
      <c r="K440" s="2"/>
      <c r="L440" s="2"/>
      <c r="M440" s="2"/>
      <c r="N440" s="2"/>
      <c r="O440" s="2"/>
      <c r="P440" s="2"/>
      <c r="Q440" s="2"/>
      <c r="R440" s="2"/>
      <c r="S440" s="2"/>
      <c r="T440" s="2"/>
      <c r="U440" s="2"/>
      <c r="V440" s="2"/>
      <c r="W440" s="2"/>
      <c r="X440" s="2"/>
      <c r="Y440" s="2"/>
      <c r="Z440" s="2"/>
    </row>
    <row r="441">
      <c r="A441" s="5"/>
      <c r="B441" s="5"/>
      <c r="C441" s="5"/>
      <c r="D441" s="5"/>
      <c r="E441" s="2"/>
      <c r="F441" s="2"/>
      <c r="G441" s="2"/>
      <c r="H441" s="2"/>
      <c r="I441" s="2"/>
      <c r="J441" s="2"/>
      <c r="K441" s="2"/>
      <c r="L441" s="2"/>
      <c r="M441" s="2"/>
      <c r="N441" s="2"/>
      <c r="O441" s="2"/>
      <c r="P441" s="2"/>
      <c r="Q441" s="2"/>
      <c r="R441" s="2"/>
      <c r="S441" s="2"/>
      <c r="T441" s="2"/>
      <c r="U441" s="2"/>
      <c r="V441" s="2"/>
      <c r="W441" s="2"/>
      <c r="X441" s="2"/>
      <c r="Y441" s="2"/>
      <c r="Z441" s="2"/>
    </row>
    <row r="442">
      <c r="A442" s="5"/>
      <c r="B442" s="5"/>
      <c r="C442" s="5"/>
      <c r="D442" s="5"/>
      <c r="E442" s="2"/>
      <c r="F442" s="2"/>
      <c r="G442" s="2"/>
      <c r="H442" s="2"/>
      <c r="I442" s="2"/>
      <c r="J442" s="2"/>
      <c r="K442" s="2"/>
      <c r="L442" s="2"/>
      <c r="M442" s="2"/>
      <c r="N442" s="2"/>
      <c r="O442" s="2"/>
      <c r="P442" s="2"/>
      <c r="Q442" s="2"/>
      <c r="R442" s="2"/>
      <c r="S442" s="2"/>
      <c r="T442" s="2"/>
      <c r="U442" s="2"/>
      <c r="V442" s="2"/>
      <c r="W442" s="2"/>
      <c r="X442" s="2"/>
      <c r="Y442" s="2"/>
      <c r="Z442" s="2"/>
    </row>
    <row r="443">
      <c r="A443" s="5"/>
      <c r="B443" s="5"/>
      <c r="C443" s="5"/>
      <c r="D443" s="5"/>
      <c r="E443" s="2"/>
      <c r="F443" s="2"/>
      <c r="G443" s="2"/>
      <c r="H443" s="2"/>
      <c r="I443" s="2"/>
      <c r="J443" s="2"/>
      <c r="K443" s="2"/>
      <c r="L443" s="2"/>
      <c r="M443" s="2"/>
      <c r="N443" s="2"/>
      <c r="O443" s="2"/>
      <c r="P443" s="2"/>
      <c r="Q443" s="2"/>
      <c r="R443" s="2"/>
      <c r="S443" s="2"/>
      <c r="T443" s="2"/>
      <c r="U443" s="2"/>
      <c r="V443" s="2"/>
      <c r="W443" s="2"/>
      <c r="X443" s="2"/>
      <c r="Y443" s="2"/>
      <c r="Z443" s="2"/>
    </row>
    <row r="444">
      <c r="A444" s="5"/>
      <c r="B444" s="5"/>
      <c r="C444" s="5"/>
      <c r="D444" s="5"/>
      <c r="E444" s="2"/>
      <c r="F444" s="2"/>
      <c r="G444" s="2"/>
      <c r="H444" s="2"/>
      <c r="I444" s="2"/>
      <c r="J444" s="2"/>
      <c r="K444" s="2"/>
      <c r="L444" s="2"/>
      <c r="M444" s="2"/>
      <c r="N444" s="2"/>
      <c r="O444" s="2"/>
      <c r="P444" s="2"/>
      <c r="Q444" s="2"/>
      <c r="R444" s="2"/>
      <c r="S444" s="2"/>
      <c r="T444" s="2"/>
      <c r="U444" s="2"/>
      <c r="V444" s="2"/>
      <c r="W444" s="2"/>
      <c r="X444" s="2"/>
      <c r="Y444" s="2"/>
      <c r="Z444" s="2"/>
    </row>
    <row r="445">
      <c r="A445" s="5"/>
      <c r="B445" s="5"/>
      <c r="C445" s="5"/>
      <c r="D445" s="5"/>
      <c r="E445" s="2"/>
      <c r="F445" s="2"/>
      <c r="G445" s="2"/>
      <c r="H445" s="2"/>
      <c r="I445" s="2"/>
      <c r="J445" s="2"/>
      <c r="K445" s="2"/>
      <c r="L445" s="2"/>
      <c r="M445" s="2"/>
      <c r="N445" s="2"/>
      <c r="O445" s="2"/>
      <c r="P445" s="2"/>
      <c r="Q445" s="2"/>
      <c r="R445" s="2"/>
      <c r="S445" s="2"/>
      <c r="T445" s="2"/>
      <c r="U445" s="2"/>
      <c r="V445" s="2"/>
      <c r="W445" s="2"/>
      <c r="X445" s="2"/>
      <c r="Y445" s="2"/>
      <c r="Z445" s="2"/>
    </row>
    <row r="446">
      <c r="A446" s="5"/>
      <c r="B446" s="5"/>
      <c r="C446" s="5"/>
      <c r="D446" s="5"/>
      <c r="E446" s="2"/>
      <c r="F446" s="2"/>
      <c r="G446" s="2"/>
      <c r="H446" s="2"/>
      <c r="I446" s="2"/>
      <c r="J446" s="2"/>
      <c r="K446" s="2"/>
      <c r="L446" s="2"/>
      <c r="M446" s="2"/>
      <c r="N446" s="2"/>
      <c r="O446" s="2"/>
      <c r="P446" s="2"/>
      <c r="Q446" s="2"/>
      <c r="R446" s="2"/>
      <c r="S446" s="2"/>
      <c r="T446" s="2"/>
      <c r="U446" s="2"/>
      <c r="V446" s="2"/>
      <c r="W446" s="2"/>
      <c r="X446" s="2"/>
      <c r="Y446" s="2"/>
      <c r="Z446" s="2"/>
    </row>
    <row r="447">
      <c r="A447" s="5"/>
      <c r="B447" s="5"/>
      <c r="C447" s="5"/>
      <c r="D447" s="5"/>
      <c r="E447" s="2"/>
      <c r="F447" s="2"/>
      <c r="G447" s="2"/>
      <c r="H447" s="2"/>
      <c r="I447" s="2"/>
      <c r="J447" s="2"/>
      <c r="K447" s="2"/>
      <c r="L447" s="2"/>
      <c r="M447" s="2"/>
      <c r="N447" s="2"/>
      <c r="O447" s="2"/>
      <c r="P447" s="2"/>
      <c r="Q447" s="2"/>
      <c r="R447" s="2"/>
      <c r="S447" s="2"/>
      <c r="T447" s="2"/>
      <c r="U447" s="2"/>
      <c r="V447" s="2"/>
      <c r="W447" s="2"/>
      <c r="X447" s="2"/>
      <c r="Y447" s="2"/>
      <c r="Z447" s="2"/>
    </row>
    <row r="448">
      <c r="A448" s="5"/>
      <c r="B448" s="5"/>
      <c r="C448" s="5"/>
      <c r="D448" s="5"/>
      <c r="E448" s="2"/>
      <c r="F448" s="2"/>
      <c r="G448" s="2"/>
      <c r="H448" s="2"/>
      <c r="I448" s="2"/>
      <c r="J448" s="2"/>
      <c r="K448" s="2"/>
      <c r="L448" s="2"/>
      <c r="M448" s="2"/>
      <c r="N448" s="2"/>
      <c r="O448" s="2"/>
      <c r="P448" s="2"/>
      <c r="Q448" s="2"/>
      <c r="R448" s="2"/>
      <c r="S448" s="2"/>
      <c r="T448" s="2"/>
      <c r="U448" s="2"/>
      <c r="V448" s="2"/>
      <c r="W448" s="2"/>
      <c r="X448" s="2"/>
      <c r="Y448" s="2"/>
      <c r="Z448" s="2"/>
    </row>
    <row r="449">
      <c r="A449" s="5"/>
      <c r="B449" s="5"/>
      <c r="C449" s="5"/>
      <c r="D449" s="5"/>
      <c r="E449" s="2"/>
      <c r="F449" s="2"/>
      <c r="G449" s="2"/>
      <c r="H449" s="2"/>
      <c r="I449" s="2"/>
      <c r="J449" s="2"/>
      <c r="K449" s="2"/>
      <c r="L449" s="2"/>
      <c r="M449" s="2"/>
      <c r="N449" s="2"/>
      <c r="O449" s="2"/>
      <c r="P449" s="2"/>
      <c r="Q449" s="2"/>
      <c r="R449" s="2"/>
      <c r="S449" s="2"/>
      <c r="T449" s="2"/>
      <c r="U449" s="2"/>
      <c r="V449" s="2"/>
      <c r="W449" s="2"/>
      <c r="X449" s="2"/>
      <c r="Y449" s="2"/>
      <c r="Z449" s="2"/>
    </row>
    <row r="450">
      <c r="A450" s="5"/>
      <c r="B450" s="5"/>
      <c r="C450" s="5"/>
      <c r="D450" s="5"/>
      <c r="E450" s="2"/>
      <c r="F450" s="2"/>
      <c r="G450" s="2"/>
      <c r="H450" s="2"/>
      <c r="I450" s="2"/>
      <c r="J450" s="2"/>
      <c r="K450" s="2"/>
      <c r="L450" s="2"/>
      <c r="M450" s="2"/>
      <c r="N450" s="2"/>
      <c r="O450" s="2"/>
      <c r="P450" s="2"/>
      <c r="Q450" s="2"/>
      <c r="R450" s="2"/>
      <c r="S450" s="2"/>
      <c r="T450" s="2"/>
      <c r="U450" s="2"/>
      <c r="V450" s="2"/>
      <c r="W450" s="2"/>
      <c r="X450" s="2"/>
      <c r="Y450" s="2"/>
      <c r="Z450" s="2"/>
    </row>
    <row r="451">
      <c r="A451" s="5"/>
      <c r="B451" s="5"/>
      <c r="C451" s="5"/>
      <c r="D451" s="5"/>
      <c r="E451" s="2"/>
      <c r="F451" s="2"/>
      <c r="G451" s="2"/>
      <c r="H451" s="2"/>
      <c r="I451" s="2"/>
      <c r="J451" s="2"/>
      <c r="K451" s="2"/>
      <c r="L451" s="2"/>
      <c r="M451" s="2"/>
      <c r="N451" s="2"/>
      <c r="O451" s="2"/>
      <c r="P451" s="2"/>
      <c r="Q451" s="2"/>
      <c r="R451" s="2"/>
      <c r="S451" s="2"/>
      <c r="T451" s="2"/>
      <c r="U451" s="2"/>
      <c r="V451" s="2"/>
      <c r="W451" s="2"/>
      <c r="X451" s="2"/>
      <c r="Y451" s="2"/>
      <c r="Z451" s="2"/>
    </row>
    <row r="452">
      <c r="A452" s="5"/>
      <c r="B452" s="5"/>
      <c r="C452" s="5"/>
      <c r="D452" s="5"/>
      <c r="E452" s="2"/>
      <c r="F452" s="2"/>
      <c r="G452" s="2"/>
      <c r="H452" s="2"/>
      <c r="I452" s="2"/>
      <c r="J452" s="2"/>
      <c r="K452" s="2"/>
      <c r="L452" s="2"/>
      <c r="M452" s="2"/>
      <c r="N452" s="2"/>
      <c r="O452" s="2"/>
      <c r="P452" s="2"/>
      <c r="Q452" s="2"/>
      <c r="R452" s="2"/>
      <c r="S452" s="2"/>
      <c r="T452" s="2"/>
      <c r="U452" s="2"/>
      <c r="V452" s="2"/>
      <c r="W452" s="2"/>
      <c r="X452" s="2"/>
      <c r="Y452" s="2"/>
      <c r="Z452" s="2"/>
    </row>
    <row r="453">
      <c r="A453" s="5"/>
      <c r="B453" s="5"/>
      <c r="C453" s="5"/>
      <c r="D453" s="5"/>
      <c r="E453" s="2"/>
      <c r="F453" s="2"/>
      <c r="G453" s="2"/>
      <c r="H453" s="2"/>
      <c r="I453" s="2"/>
      <c r="J453" s="2"/>
      <c r="K453" s="2"/>
      <c r="L453" s="2"/>
      <c r="M453" s="2"/>
      <c r="N453" s="2"/>
      <c r="O453" s="2"/>
      <c r="P453" s="2"/>
      <c r="Q453" s="2"/>
      <c r="R453" s="2"/>
      <c r="S453" s="2"/>
      <c r="T453" s="2"/>
      <c r="U453" s="2"/>
      <c r="V453" s="2"/>
      <c r="W453" s="2"/>
      <c r="X453" s="2"/>
      <c r="Y453" s="2"/>
      <c r="Z453" s="2"/>
    </row>
    <row r="454">
      <c r="A454" s="5"/>
      <c r="B454" s="5"/>
      <c r="C454" s="5"/>
      <c r="D454" s="5"/>
      <c r="E454" s="2"/>
      <c r="F454" s="2"/>
      <c r="G454" s="2"/>
      <c r="H454" s="2"/>
      <c r="I454" s="2"/>
      <c r="J454" s="2"/>
      <c r="K454" s="2"/>
      <c r="L454" s="2"/>
      <c r="M454" s="2"/>
      <c r="N454" s="2"/>
      <c r="O454" s="2"/>
      <c r="P454" s="2"/>
      <c r="Q454" s="2"/>
      <c r="R454" s="2"/>
      <c r="S454" s="2"/>
      <c r="T454" s="2"/>
      <c r="U454" s="2"/>
      <c r="V454" s="2"/>
      <c r="W454" s="2"/>
      <c r="X454" s="2"/>
      <c r="Y454" s="2"/>
      <c r="Z454" s="2"/>
    </row>
    <row r="455">
      <c r="A455" s="5"/>
      <c r="B455" s="5"/>
      <c r="C455" s="5"/>
      <c r="D455" s="5"/>
      <c r="E455" s="2"/>
      <c r="F455" s="2"/>
      <c r="G455" s="2"/>
      <c r="H455" s="2"/>
      <c r="I455" s="2"/>
      <c r="J455" s="2"/>
      <c r="K455" s="2"/>
      <c r="L455" s="2"/>
      <c r="M455" s="2"/>
      <c r="N455" s="2"/>
      <c r="O455" s="2"/>
      <c r="P455" s="2"/>
      <c r="Q455" s="2"/>
      <c r="R455" s="2"/>
      <c r="S455" s="2"/>
      <c r="T455" s="2"/>
      <c r="U455" s="2"/>
      <c r="V455" s="2"/>
      <c r="W455" s="2"/>
      <c r="X455" s="2"/>
      <c r="Y455" s="2"/>
      <c r="Z455" s="2"/>
    </row>
    <row r="456">
      <c r="A456" s="5"/>
      <c r="B456" s="5"/>
      <c r="C456" s="5"/>
      <c r="D456" s="5"/>
      <c r="E456" s="2"/>
      <c r="F456" s="2"/>
      <c r="G456" s="2"/>
      <c r="H456" s="2"/>
      <c r="I456" s="2"/>
      <c r="J456" s="2"/>
      <c r="K456" s="2"/>
      <c r="L456" s="2"/>
      <c r="M456" s="2"/>
      <c r="N456" s="2"/>
      <c r="O456" s="2"/>
      <c r="P456" s="2"/>
      <c r="Q456" s="2"/>
      <c r="R456" s="2"/>
      <c r="S456" s="2"/>
      <c r="T456" s="2"/>
      <c r="U456" s="2"/>
      <c r="V456" s="2"/>
      <c r="W456" s="2"/>
      <c r="X456" s="2"/>
      <c r="Y456" s="2"/>
      <c r="Z456" s="2"/>
    </row>
    <row r="457">
      <c r="A457" s="5"/>
      <c r="B457" s="5"/>
      <c r="C457" s="5"/>
      <c r="D457" s="5"/>
      <c r="E457" s="2"/>
      <c r="F457" s="2"/>
      <c r="G457" s="2"/>
      <c r="H457" s="2"/>
      <c r="I457" s="2"/>
      <c r="J457" s="2"/>
      <c r="K457" s="2"/>
      <c r="L457" s="2"/>
      <c r="M457" s="2"/>
      <c r="N457" s="2"/>
      <c r="O457" s="2"/>
      <c r="P457" s="2"/>
      <c r="Q457" s="2"/>
      <c r="R457" s="2"/>
      <c r="S457" s="2"/>
      <c r="T457" s="2"/>
      <c r="U457" s="2"/>
      <c r="V457" s="2"/>
      <c r="W457" s="2"/>
      <c r="X457" s="2"/>
      <c r="Y457" s="2"/>
      <c r="Z457" s="2"/>
    </row>
    <row r="458">
      <c r="A458" s="5"/>
      <c r="B458" s="5"/>
      <c r="C458" s="5"/>
      <c r="D458" s="5"/>
      <c r="E458" s="2"/>
      <c r="F458" s="2"/>
      <c r="G458" s="2"/>
      <c r="H458" s="2"/>
      <c r="I458" s="2"/>
      <c r="J458" s="2"/>
      <c r="K458" s="2"/>
      <c r="L458" s="2"/>
      <c r="M458" s="2"/>
      <c r="N458" s="2"/>
      <c r="O458" s="2"/>
      <c r="P458" s="2"/>
      <c r="Q458" s="2"/>
      <c r="R458" s="2"/>
      <c r="S458" s="2"/>
      <c r="T458" s="2"/>
      <c r="U458" s="2"/>
      <c r="V458" s="2"/>
      <c r="W458" s="2"/>
      <c r="X458" s="2"/>
      <c r="Y458" s="2"/>
      <c r="Z458" s="2"/>
    </row>
    <row r="459">
      <c r="A459" s="5"/>
      <c r="B459" s="5"/>
      <c r="C459" s="5"/>
      <c r="D459" s="5"/>
      <c r="E459" s="2"/>
      <c r="F459" s="2"/>
      <c r="G459" s="2"/>
      <c r="H459" s="2"/>
      <c r="I459" s="2"/>
      <c r="J459" s="2"/>
      <c r="K459" s="2"/>
      <c r="L459" s="2"/>
      <c r="M459" s="2"/>
      <c r="N459" s="2"/>
      <c r="O459" s="2"/>
      <c r="P459" s="2"/>
      <c r="Q459" s="2"/>
      <c r="R459" s="2"/>
      <c r="S459" s="2"/>
      <c r="T459" s="2"/>
      <c r="U459" s="2"/>
      <c r="V459" s="2"/>
      <c r="W459" s="2"/>
      <c r="X459" s="2"/>
      <c r="Y459" s="2"/>
      <c r="Z459" s="2"/>
    </row>
    <row r="460">
      <c r="A460" s="5"/>
      <c r="B460" s="5"/>
      <c r="C460" s="5"/>
      <c r="D460" s="5"/>
      <c r="E460" s="2"/>
      <c r="F460" s="2"/>
      <c r="G460" s="2"/>
      <c r="H460" s="2"/>
      <c r="I460" s="2"/>
      <c r="J460" s="2"/>
      <c r="K460" s="2"/>
      <c r="L460" s="2"/>
      <c r="M460" s="2"/>
      <c r="N460" s="2"/>
      <c r="O460" s="2"/>
      <c r="P460" s="2"/>
      <c r="Q460" s="2"/>
      <c r="R460" s="2"/>
      <c r="S460" s="2"/>
      <c r="T460" s="2"/>
      <c r="U460" s="2"/>
      <c r="V460" s="2"/>
      <c r="W460" s="2"/>
      <c r="X460" s="2"/>
      <c r="Y460" s="2"/>
      <c r="Z460" s="2"/>
    </row>
    <row r="461">
      <c r="A461" s="5"/>
      <c r="B461" s="5"/>
      <c r="C461" s="5"/>
      <c r="D461" s="5"/>
      <c r="E461" s="2"/>
      <c r="F461" s="2"/>
      <c r="G461" s="2"/>
      <c r="H461" s="2"/>
      <c r="I461" s="2"/>
      <c r="J461" s="2"/>
      <c r="K461" s="2"/>
      <c r="L461" s="2"/>
      <c r="M461" s="2"/>
      <c r="N461" s="2"/>
      <c r="O461" s="2"/>
      <c r="P461" s="2"/>
      <c r="Q461" s="2"/>
      <c r="R461" s="2"/>
      <c r="S461" s="2"/>
      <c r="T461" s="2"/>
      <c r="U461" s="2"/>
      <c r="V461" s="2"/>
      <c r="W461" s="2"/>
      <c r="X461" s="2"/>
      <c r="Y461" s="2"/>
      <c r="Z461" s="2"/>
    </row>
    <row r="462">
      <c r="A462" s="5"/>
      <c r="B462" s="5"/>
      <c r="C462" s="5"/>
      <c r="D462" s="5"/>
      <c r="E462" s="2"/>
      <c r="F462" s="2"/>
      <c r="G462" s="2"/>
      <c r="H462" s="2"/>
      <c r="I462" s="2"/>
      <c r="J462" s="2"/>
      <c r="K462" s="2"/>
      <c r="L462" s="2"/>
      <c r="M462" s="2"/>
      <c r="N462" s="2"/>
      <c r="O462" s="2"/>
      <c r="P462" s="2"/>
      <c r="Q462" s="2"/>
      <c r="R462" s="2"/>
      <c r="S462" s="2"/>
      <c r="T462" s="2"/>
      <c r="U462" s="2"/>
      <c r="V462" s="2"/>
      <c r="W462" s="2"/>
      <c r="X462" s="2"/>
      <c r="Y462" s="2"/>
      <c r="Z462" s="2"/>
    </row>
    <row r="463">
      <c r="A463" s="5"/>
      <c r="B463" s="5"/>
      <c r="C463" s="5"/>
      <c r="D463" s="5"/>
      <c r="E463" s="2"/>
      <c r="F463" s="2"/>
      <c r="G463" s="2"/>
      <c r="H463" s="2"/>
      <c r="I463" s="2"/>
      <c r="J463" s="2"/>
      <c r="K463" s="2"/>
      <c r="L463" s="2"/>
      <c r="M463" s="2"/>
      <c r="N463" s="2"/>
      <c r="O463" s="2"/>
      <c r="P463" s="2"/>
      <c r="Q463" s="2"/>
      <c r="R463" s="2"/>
      <c r="S463" s="2"/>
      <c r="T463" s="2"/>
      <c r="U463" s="2"/>
      <c r="V463" s="2"/>
      <c r="W463" s="2"/>
      <c r="X463" s="2"/>
      <c r="Y463" s="2"/>
      <c r="Z463" s="2"/>
    </row>
    <row r="464">
      <c r="A464" s="5"/>
      <c r="B464" s="5"/>
      <c r="C464" s="5"/>
      <c r="D464" s="5"/>
      <c r="E464" s="2"/>
      <c r="F464" s="2"/>
      <c r="G464" s="2"/>
      <c r="H464" s="2"/>
      <c r="I464" s="2"/>
      <c r="J464" s="2"/>
      <c r="K464" s="2"/>
      <c r="L464" s="2"/>
      <c r="M464" s="2"/>
      <c r="N464" s="2"/>
      <c r="O464" s="2"/>
      <c r="P464" s="2"/>
      <c r="Q464" s="2"/>
      <c r="R464" s="2"/>
      <c r="S464" s="2"/>
      <c r="T464" s="2"/>
      <c r="U464" s="2"/>
      <c r="V464" s="2"/>
      <c r="W464" s="2"/>
      <c r="X464" s="2"/>
      <c r="Y464" s="2"/>
      <c r="Z464" s="2"/>
    </row>
    <row r="465">
      <c r="A465" s="5"/>
      <c r="B465" s="5"/>
      <c r="C465" s="5"/>
      <c r="D465" s="5"/>
      <c r="E465" s="2"/>
      <c r="F465" s="2"/>
      <c r="G465" s="2"/>
      <c r="H465" s="2"/>
      <c r="I465" s="2"/>
      <c r="J465" s="2"/>
      <c r="K465" s="2"/>
      <c r="L465" s="2"/>
      <c r="M465" s="2"/>
      <c r="N465" s="2"/>
      <c r="O465" s="2"/>
      <c r="P465" s="2"/>
      <c r="Q465" s="2"/>
      <c r="R465" s="2"/>
      <c r="S465" s="2"/>
      <c r="T465" s="2"/>
      <c r="U465" s="2"/>
      <c r="V465" s="2"/>
      <c r="W465" s="2"/>
      <c r="X465" s="2"/>
      <c r="Y465" s="2"/>
      <c r="Z465" s="2"/>
    </row>
    <row r="466">
      <c r="A466" s="5"/>
      <c r="B466" s="5"/>
      <c r="C466" s="5"/>
      <c r="D466" s="5"/>
      <c r="E466" s="2"/>
      <c r="F466" s="2"/>
      <c r="G466" s="2"/>
      <c r="H466" s="2"/>
      <c r="I466" s="2"/>
      <c r="J466" s="2"/>
      <c r="K466" s="2"/>
      <c r="L466" s="2"/>
      <c r="M466" s="2"/>
      <c r="N466" s="2"/>
      <c r="O466" s="2"/>
      <c r="P466" s="2"/>
      <c r="Q466" s="2"/>
      <c r="R466" s="2"/>
      <c r="S466" s="2"/>
      <c r="T466" s="2"/>
      <c r="U466" s="2"/>
      <c r="V466" s="2"/>
      <c r="W466" s="2"/>
      <c r="X466" s="2"/>
      <c r="Y466" s="2"/>
      <c r="Z466" s="2"/>
    </row>
    <row r="467">
      <c r="A467" s="5"/>
      <c r="B467" s="5"/>
      <c r="C467" s="5"/>
      <c r="D467" s="5"/>
      <c r="E467" s="2"/>
      <c r="F467" s="2"/>
      <c r="G467" s="2"/>
      <c r="H467" s="2"/>
      <c r="I467" s="2"/>
      <c r="J467" s="2"/>
      <c r="K467" s="2"/>
      <c r="L467" s="2"/>
      <c r="M467" s="2"/>
      <c r="N467" s="2"/>
      <c r="O467" s="2"/>
      <c r="P467" s="2"/>
      <c r="Q467" s="2"/>
      <c r="R467" s="2"/>
      <c r="S467" s="2"/>
      <c r="T467" s="2"/>
      <c r="U467" s="2"/>
      <c r="V467" s="2"/>
      <c r="W467" s="2"/>
      <c r="X467" s="2"/>
      <c r="Y467" s="2"/>
      <c r="Z467" s="2"/>
    </row>
    <row r="468">
      <c r="A468" s="5"/>
      <c r="B468" s="5"/>
      <c r="C468" s="5"/>
      <c r="D468" s="5"/>
      <c r="E468" s="2"/>
      <c r="F468" s="2"/>
      <c r="G468" s="2"/>
      <c r="H468" s="2"/>
      <c r="I468" s="2"/>
      <c r="J468" s="2"/>
      <c r="K468" s="2"/>
      <c r="L468" s="2"/>
      <c r="M468" s="2"/>
      <c r="N468" s="2"/>
      <c r="O468" s="2"/>
      <c r="P468" s="2"/>
      <c r="Q468" s="2"/>
      <c r="R468" s="2"/>
      <c r="S468" s="2"/>
      <c r="T468" s="2"/>
      <c r="U468" s="2"/>
      <c r="V468" s="2"/>
      <c r="W468" s="2"/>
      <c r="X468" s="2"/>
      <c r="Y468" s="2"/>
      <c r="Z468" s="2"/>
    </row>
    <row r="469">
      <c r="A469" s="5"/>
      <c r="B469" s="5"/>
      <c r="C469" s="5"/>
      <c r="D469" s="5"/>
      <c r="E469" s="2"/>
      <c r="F469" s="2"/>
      <c r="G469" s="2"/>
      <c r="H469" s="2"/>
      <c r="I469" s="2"/>
      <c r="J469" s="2"/>
      <c r="K469" s="2"/>
      <c r="L469" s="2"/>
      <c r="M469" s="2"/>
      <c r="N469" s="2"/>
      <c r="O469" s="2"/>
      <c r="P469" s="2"/>
      <c r="Q469" s="2"/>
      <c r="R469" s="2"/>
      <c r="S469" s="2"/>
      <c r="T469" s="2"/>
      <c r="U469" s="2"/>
      <c r="V469" s="2"/>
      <c r="W469" s="2"/>
      <c r="X469" s="2"/>
      <c r="Y469" s="2"/>
      <c r="Z469" s="2"/>
    </row>
    <row r="470">
      <c r="A470" s="5"/>
      <c r="B470" s="5"/>
      <c r="C470" s="5"/>
      <c r="D470" s="5"/>
      <c r="E470" s="2"/>
      <c r="F470" s="2"/>
      <c r="G470" s="2"/>
      <c r="H470" s="2"/>
      <c r="I470" s="2"/>
      <c r="J470" s="2"/>
      <c r="K470" s="2"/>
      <c r="L470" s="2"/>
      <c r="M470" s="2"/>
      <c r="N470" s="2"/>
      <c r="O470" s="2"/>
      <c r="P470" s="2"/>
      <c r="Q470" s="2"/>
      <c r="R470" s="2"/>
      <c r="S470" s="2"/>
      <c r="T470" s="2"/>
      <c r="U470" s="2"/>
      <c r="V470" s="2"/>
      <c r="W470" s="2"/>
      <c r="X470" s="2"/>
      <c r="Y470" s="2"/>
      <c r="Z470" s="2"/>
    </row>
    <row r="471">
      <c r="A471" s="5"/>
      <c r="B471" s="5"/>
      <c r="C471" s="5"/>
      <c r="D471" s="5"/>
      <c r="E471" s="2"/>
      <c r="F471" s="2"/>
      <c r="G471" s="2"/>
      <c r="H471" s="2"/>
      <c r="I471" s="2"/>
      <c r="J471" s="2"/>
      <c r="K471" s="2"/>
      <c r="L471" s="2"/>
      <c r="M471" s="2"/>
      <c r="N471" s="2"/>
      <c r="O471" s="2"/>
      <c r="P471" s="2"/>
      <c r="Q471" s="2"/>
      <c r="R471" s="2"/>
      <c r="S471" s="2"/>
      <c r="T471" s="2"/>
      <c r="U471" s="2"/>
      <c r="V471" s="2"/>
      <c r="W471" s="2"/>
      <c r="X471" s="2"/>
      <c r="Y471" s="2"/>
      <c r="Z471" s="2"/>
    </row>
    <row r="472">
      <c r="A472" s="5"/>
      <c r="B472" s="5"/>
      <c r="C472" s="5"/>
      <c r="D472" s="5"/>
      <c r="E472" s="2"/>
      <c r="F472" s="2"/>
      <c r="G472" s="2"/>
      <c r="H472" s="2"/>
      <c r="I472" s="2"/>
      <c r="J472" s="2"/>
      <c r="K472" s="2"/>
      <c r="L472" s="2"/>
      <c r="M472" s="2"/>
      <c r="N472" s="2"/>
      <c r="O472" s="2"/>
      <c r="P472" s="2"/>
      <c r="Q472" s="2"/>
      <c r="R472" s="2"/>
      <c r="S472" s="2"/>
      <c r="T472" s="2"/>
      <c r="U472" s="2"/>
      <c r="V472" s="2"/>
      <c r="W472" s="2"/>
      <c r="X472" s="2"/>
      <c r="Y472" s="2"/>
      <c r="Z472" s="2"/>
    </row>
    <row r="473">
      <c r="A473" s="5"/>
      <c r="B473" s="5"/>
      <c r="C473" s="5"/>
      <c r="D473" s="5"/>
      <c r="E473" s="2"/>
      <c r="F473" s="2"/>
      <c r="G473" s="2"/>
      <c r="H473" s="2"/>
      <c r="I473" s="2"/>
      <c r="J473" s="2"/>
      <c r="K473" s="2"/>
      <c r="L473" s="2"/>
      <c r="M473" s="2"/>
      <c r="N473" s="2"/>
      <c r="O473" s="2"/>
      <c r="P473" s="2"/>
      <c r="Q473" s="2"/>
      <c r="R473" s="2"/>
      <c r="S473" s="2"/>
      <c r="T473" s="2"/>
      <c r="U473" s="2"/>
      <c r="V473" s="2"/>
      <c r="W473" s="2"/>
      <c r="X473" s="2"/>
      <c r="Y473" s="2"/>
      <c r="Z473" s="2"/>
    </row>
    <row r="474">
      <c r="A474" s="5"/>
      <c r="B474" s="5"/>
      <c r="C474" s="5"/>
      <c r="D474" s="5"/>
      <c r="E474" s="2"/>
      <c r="F474" s="2"/>
      <c r="G474" s="2"/>
      <c r="H474" s="2"/>
      <c r="I474" s="2"/>
      <c r="J474" s="2"/>
      <c r="K474" s="2"/>
      <c r="L474" s="2"/>
      <c r="M474" s="2"/>
      <c r="N474" s="2"/>
      <c r="O474" s="2"/>
      <c r="P474" s="2"/>
      <c r="Q474" s="2"/>
      <c r="R474" s="2"/>
      <c r="S474" s="2"/>
      <c r="T474" s="2"/>
      <c r="U474" s="2"/>
      <c r="V474" s="2"/>
      <c r="W474" s="2"/>
      <c r="X474" s="2"/>
      <c r="Y474" s="2"/>
      <c r="Z474" s="2"/>
    </row>
    <row r="475">
      <c r="A475" s="5"/>
      <c r="B475" s="5"/>
      <c r="C475" s="5"/>
      <c r="D475" s="5"/>
      <c r="E475" s="2"/>
      <c r="F475" s="2"/>
      <c r="G475" s="2"/>
      <c r="H475" s="2"/>
      <c r="I475" s="2"/>
      <c r="J475" s="2"/>
      <c r="K475" s="2"/>
      <c r="L475" s="2"/>
      <c r="M475" s="2"/>
      <c r="N475" s="2"/>
      <c r="O475" s="2"/>
      <c r="P475" s="2"/>
      <c r="Q475" s="2"/>
      <c r="R475" s="2"/>
      <c r="S475" s="2"/>
      <c r="T475" s="2"/>
      <c r="U475" s="2"/>
      <c r="V475" s="2"/>
      <c r="W475" s="2"/>
      <c r="X475" s="2"/>
      <c r="Y475" s="2"/>
      <c r="Z475" s="2"/>
    </row>
    <row r="476">
      <c r="A476" s="5"/>
      <c r="B476" s="5"/>
      <c r="C476" s="5"/>
      <c r="D476" s="5"/>
      <c r="E476" s="2"/>
      <c r="F476" s="2"/>
      <c r="G476" s="2"/>
      <c r="H476" s="2"/>
      <c r="I476" s="2"/>
      <c r="J476" s="2"/>
      <c r="K476" s="2"/>
      <c r="L476" s="2"/>
      <c r="M476" s="2"/>
      <c r="N476" s="2"/>
      <c r="O476" s="2"/>
      <c r="P476" s="2"/>
      <c r="Q476" s="2"/>
      <c r="R476" s="2"/>
      <c r="S476" s="2"/>
      <c r="T476" s="2"/>
      <c r="U476" s="2"/>
      <c r="V476" s="2"/>
      <c r="W476" s="2"/>
      <c r="X476" s="2"/>
      <c r="Y476" s="2"/>
      <c r="Z476" s="2"/>
    </row>
    <row r="477">
      <c r="A477" s="5"/>
      <c r="B477" s="5"/>
      <c r="C477" s="5"/>
      <c r="D477" s="5"/>
      <c r="E477" s="2"/>
      <c r="F477" s="2"/>
      <c r="G477" s="2"/>
      <c r="H477" s="2"/>
      <c r="I477" s="2"/>
      <c r="J477" s="2"/>
      <c r="K477" s="2"/>
      <c r="L477" s="2"/>
      <c r="M477" s="2"/>
      <c r="N477" s="2"/>
      <c r="O477" s="2"/>
      <c r="P477" s="2"/>
      <c r="Q477" s="2"/>
      <c r="R477" s="2"/>
      <c r="S477" s="2"/>
      <c r="T477" s="2"/>
      <c r="U477" s="2"/>
      <c r="V477" s="2"/>
      <c r="W477" s="2"/>
      <c r="X477" s="2"/>
      <c r="Y477" s="2"/>
      <c r="Z477" s="2"/>
    </row>
    <row r="478">
      <c r="A478" s="5"/>
      <c r="B478" s="5"/>
      <c r="C478" s="5"/>
      <c r="D478" s="5"/>
      <c r="E478" s="2"/>
      <c r="F478" s="2"/>
      <c r="G478" s="2"/>
      <c r="H478" s="2"/>
      <c r="I478" s="2"/>
      <c r="J478" s="2"/>
      <c r="K478" s="2"/>
      <c r="L478" s="2"/>
      <c r="M478" s="2"/>
      <c r="N478" s="2"/>
      <c r="O478" s="2"/>
      <c r="P478" s="2"/>
      <c r="Q478" s="2"/>
      <c r="R478" s="2"/>
      <c r="S478" s="2"/>
      <c r="T478" s="2"/>
      <c r="U478" s="2"/>
      <c r="V478" s="2"/>
      <c r="W478" s="2"/>
      <c r="X478" s="2"/>
      <c r="Y478" s="2"/>
      <c r="Z478" s="2"/>
    </row>
    <row r="479">
      <c r="A479" s="5"/>
      <c r="B479" s="5"/>
      <c r="C479" s="5"/>
      <c r="D479" s="5"/>
      <c r="E479" s="2"/>
      <c r="F479" s="2"/>
      <c r="G479" s="2"/>
      <c r="H479" s="2"/>
      <c r="I479" s="2"/>
      <c r="J479" s="2"/>
      <c r="K479" s="2"/>
      <c r="L479" s="2"/>
      <c r="M479" s="2"/>
      <c r="N479" s="2"/>
      <c r="O479" s="2"/>
      <c r="P479" s="2"/>
      <c r="Q479" s="2"/>
      <c r="R479" s="2"/>
      <c r="S479" s="2"/>
      <c r="T479" s="2"/>
      <c r="U479" s="2"/>
      <c r="V479" s="2"/>
      <c r="W479" s="2"/>
      <c r="X479" s="2"/>
      <c r="Y479" s="2"/>
      <c r="Z479" s="2"/>
    </row>
    <row r="480">
      <c r="A480" s="5"/>
      <c r="B480" s="5"/>
      <c r="C480" s="5"/>
      <c r="D480" s="5"/>
      <c r="E480" s="2"/>
      <c r="F480" s="2"/>
      <c r="G480" s="2"/>
      <c r="H480" s="2"/>
      <c r="I480" s="2"/>
      <c r="J480" s="2"/>
      <c r="K480" s="2"/>
      <c r="L480" s="2"/>
      <c r="M480" s="2"/>
      <c r="N480" s="2"/>
      <c r="O480" s="2"/>
      <c r="P480" s="2"/>
      <c r="Q480" s="2"/>
      <c r="R480" s="2"/>
      <c r="S480" s="2"/>
      <c r="T480" s="2"/>
      <c r="U480" s="2"/>
      <c r="V480" s="2"/>
      <c r="W480" s="2"/>
      <c r="X480" s="2"/>
      <c r="Y480" s="2"/>
      <c r="Z480" s="2"/>
    </row>
    <row r="481">
      <c r="A481" s="5"/>
      <c r="B481" s="5"/>
      <c r="C481" s="5"/>
      <c r="D481" s="5"/>
      <c r="E481" s="2"/>
      <c r="F481" s="2"/>
      <c r="G481" s="2"/>
      <c r="H481" s="2"/>
      <c r="I481" s="2"/>
      <c r="J481" s="2"/>
      <c r="K481" s="2"/>
      <c r="L481" s="2"/>
      <c r="M481" s="2"/>
      <c r="N481" s="2"/>
      <c r="O481" s="2"/>
      <c r="P481" s="2"/>
      <c r="Q481" s="2"/>
      <c r="R481" s="2"/>
      <c r="S481" s="2"/>
      <c r="T481" s="2"/>
      <c r="U481" s="2"/>
      <c r="V481" s="2"/>
      <c r="W481" s="2"/>
      <c r="X481" s="2"/>
      <c r="Y481" s="2"/>
      <c r="Z481" s="2"/>
    </row>
    <row r="482">
      <c r="A482" s="5"/>
      <c r="B482" s="5"/>
      <c r="C482" s="5"/>
      <c r="D482" s="5"/>
      <c r="E482" s="2"/>
      <c r="F482" s="2"/>
      <c r="G482" s="2"/>
      <c r="H482" s="2"/>
      <c r="I482" s="2"/>
      <c r="J482" s="2"/>
      <c r="K482" s="2"/>
      <c r="L482" s="2"/>
      <c r="M482" s="2"/>
      <c r="N482" s="2"/>
      <c r="O482" s="2"/>
      <c r="P482" s="2"/>
      <c r="Q482" s="2"/>
      <c r="R482" s="2"/>
      <c r="S482" s="2"/>
      <c r="T482" s="2"/>
      <c r="U482" s="2"/>
      <c r="V482" s="2"/>
      <c r="W482" s="2"/>
      <c r="X482" s="2"/>
      <c r="Y482" s="2"/>
      <c r="Z482" s="2"/>
    </row>
    <row r="483">
      <c r="A483" s="5"/>
      <c r="B483" s="5"/>
      <c r="C483" s="5"/>
      <c r="D483" s="5"/>
      <c r="E483" s="2"/>
      <c r="F483" s="2"/>
      <c r="G483" s="2"/>
      <c r="H483" s="2"/>
      <c r="I483" s="2"/>
      <c r="J483" s="2"/>
      <c r="K483" s="2"/>
      <c r="L483" s="2"/>
      <c r="M483" s="2"/>
      <c r="N483" s="2"/>
      <c r="O483" s="2"/>
      <c r="P483" s="2"/>
      <c r="Q483" s="2"/>
      <c r="R483" s="2"/>
      <c r="S483" s="2"/>
      <c r="T483" s="2"/>
      <c r="U483" s="2"/>
      <c r="V483" s="2"/>
      <c r="W483" s="2"/>
      <c r="X483" s="2"/>
      <c r="Y483" s="2"/>
      <c r="Z483" s="2"/>
    </row>
    <row r="484">
      <c r="A484" s="5"/>
      <c r="B484" s="5"/>
      <c r="C484" s="5"/>
      <c r="D484" s="5"/>
      <c r="E484" s="2"/>
      <c r="F484" s="2"/>
      <c r="G484" s="2"/>
      <c r="H484" s="2"/>
      <c r="I484" s="2"/>
      <c r="J484" s="2"/>
      <c r="K484" s="2"/>
      <c r="L484" s="2"/>
      <c r="M484" s="2"/>
      <c r="N484" s="2"/>
      <c r="O484" s="2"/>
      <c r="P484" s="2"/>
      <c r="Q484" s="2"/>
      <c r="R484" s="2"/>
      <c r="S484" s="2"/>
      <c r="T484" s="2"/>
      <c r="U484" s="2"/>
      <c r="V484" s="2"/>
      <c r="W484" s="2"/>
      <c r="X484" s="2"/>
      <c r="Y484" s="2"/>
      <c r="Z484" s="2"/>
    </row>
    <row r="485">
      <c r="A485" s="5"/>
      <c r="B485" s="5"/>
      <c r="C485" s="5"/>
      <c r="D485" s="5"/>
      <c r="E485" s="2"/>
      <c r="F485" s="2"/>
      <c r="G485" s="2"/>
      <c r="H485" s="2"/>
      <c r="I485" s="2"/>
      <c r="J485" s="2"/>
      <c r="K485" s="2"/>
      <c r="L485" s="2"/>
      <c r="M485" s="2"/>
      <c r="N485" s="2"/>
      <c r="O485" s="2"/>
      <c r="P485" s="2"/>
      <c r="Q485" s="2"/>
      <c r="R485" s="2"/>
      <c r="S485" s="2"/>
      <c r="T485" s="2"/>
      <c r="U485" s="2"/>
      <c r="V485" s="2"/>
      <c r="W485" s="2"/>
      <c r="X485" s="2"/>
      <c r="Y485" s="2"/>
      <c r="Z485" s="2"/>
    </row>
    <row r="486">
      <c r="A486" s="5"/>
      <c r="B486" s="5"/>
      <c r="C486" s="5"/>
      <c r="D486" s="5"/>
      <c r="E486" s="2"/>
      <c r="F486" s="2"/>
      <c r="G486" s="2"/>
      <c r="H486" s="2"/>
      <c r="I486" s="2"/>
      <c r="J486" s="2"/>
      <c r="K486" s="2"/>
      <c r="L486" s="2"/>
      <c r="M486" s="2"/>
      <c r="N486" s="2"/>
      <c r="O486" s="2"/>
      <c r="P486" s="2"/>
      <c r="Q486" s="2"/>
      <c r="R486" s="2"/>
      <c r="S486" s="2"/>
      <c r="T486" s="2"/>
      <c r="U486" s="2"/>
      <c r="V486" s="2"/>
      <c r="W486" s="2"/>
      <c r="X486" s="2"/>
      <c r="Y486" s="2"/>
      <c r="Z486" s="2"/>
    </row>
    <row r="487">
      <c r="A487" s="5"/>
      <c r="B487" s="5"/>
      <c r="C487" s="5"/>
      <c r="D487" s="5"/>
      <c r="E487" s="2"/>
      <c r="F487" s="2"/>
      <c r="G487" s="2"/>
      <c r="H487" s="2"/>
      <c r="I487" s="2"/>
      <c r="J487" s="2"/>
      <c r="K487" s="2"/>
      <c r="L487" s="2"/>
      <c r="M487" s="2"/>
      <c r="N487" s="2"/>
      <c r="O487" s="2"/>
      <c r="P487" s="2"/>
      <c r="Q487" s="2"/>
      <c r="R487" s="2"/>
      <c r="S487" s="2"/>
      <c r="T487" s="2"/>
      <c r="U487" s="2"/>
      <c r="V487" s="2"/>
      <c r="W487" s="2"/>
      <c r="X487" s="2"/>
      <c r="Y487" s="2"/>
      <c r="Z487" s="2"/>
    </row>
    <row r="488">
      <c r="A488" s="5"/>
      <c r="B488" s="5"/>
      <c r="C488" s="5"/>
      <c r="D488" s="5"/>
      <c r="E488" s="2"/>
      <c r="F488" s="2"/>
      <c r="G488" s="2"/>
      <c r="H488" s="2"/>
      <c r="I488" s="2"/>
      <c r="J488" s="2"/>
      <c r="K488" s="2"/>
      <c r="L488" s="2"/>
      <c r="M488" s="2"/>
      <c r="N488" s="2"/>
      <c r="O488" s="2"/>
      <c r="P488" s="2"/>
      <c r="Q488" s="2"/>
      <c r="R488" s="2"/>
      <c r="S488" s="2"/>
      <c r="T488" s="2"/>
      <c r="U488" s="2"/>
      <c r="V488" s="2"/>
      <c r="W488" s="2"/>
      <c r="X488" s="2"/>
      <c r="Y488" s="2"/>
      <c r="Z488" s="2"/>
    </row>
    <row r="489">
      <c r="A489" s="5"/>
      <c r="B489" s="5"/>
      <c r="C489" s="5"/>
      <c r="D489" s="5"/>
      <c r="E489" s="2"/>
      <c r="F489" s="2"/>
      <c r="G489" s="2"/>
      <c r="H489" s="2"/>
      <c r="I489" s="2"/>
      <c r="J489" s="2"/>
      <c r="K489" s="2"/>
      <c r="L489" s="2"/>
      <c r="M489" s="2"/>
      <c r="N489" s="2"/>
      <c r="O489" s="2"/>
      <c r="P489" s="2"/>
      <c r="Q489" s="2"/>
      <c r="R489" s="2"/>
      <c r="S489" s="2"/>
      <c r="T489" s="2"/>
      <c r="U489" s="2"/>
      <c r="V489" s="2"/>
      <c r="W489" s="2"/>
      <c r="X489" s="2"/>
      <c r="Y489" s="2"/>
      <c r="Z489" s="2"/>
    </row>
    <row r="490">
      <c r="A490" s="5"/>
      <c r="B490" s="5"/>
      <c r="C490" s="5"/>
      <c r="D490" s="5"/>
      <c r="E490" s="2"/>
      <c r="F490" s="2"/>
      <c r="G490" s="2"/>
      <c r="H490" s="2"/>
      <c r="I490" s="2"/>
      <c r="J490" s="2"/>
      <c r="K490" s="2"/>
      <c r="L490" s="2"/>
      <c r="M490" s="2"/>
      <c r="N490" s="2"/>
      <c r="O490" s="2"/>
      <c r="P490" s="2"/>
      <c r="Q490" s="2"/>
      <c r="R490" s="2"/>
      <c r="S490" s="2"/>
      <c r="T490" s="2"/>
      <c r="U490" s="2"/>
      <c r="V490" s="2"/>
      <c r="W490" s="2"/>
      <c r="X490" s="2"/>
      <c r="Y490" s="2"/>
      <c r="Z490" s="2"/>
    </row>
    <row r="491">
      <c r="A491" s="5"/>
      <c r="B491" s="5"/>
      <c r="C491" s="5"/>
      <c r="D491" s="5"/>
      <c r="E491" s="2"/>
      <c r="F491" s="2"/>
      <c r="G491" s="2"/>
      <c r="H491" s="2"/>
      <c r="I491" s="2"/>
      <c r="J491" s="2"/>
      <c r="K491" s="2"/>
      <c r="L491" s="2"/>
      <c r="M491" s="2"/>
      <c r="N491" s="2"/>
      <c r="O491" s="2"/>
      <c r="P491" s="2"/>
      <c r="Q491" s="2"/>
      <c r="R491" s="2"/>
      <c r="S491" s="2"/>
      <c r="T491" s="2"/>
      <c r="U491" s="2"/>
      <c r="V491" s="2"/>
      <c r="W491" s="2"/>
      <c r="X491" s="2"/>
      <c r="Y491" s="2"/>
      <c r="Z491" s="2"/>
    </row>
    <row r="492">
      <c r="A492" s="5"/>
      <c r="B492" s="5"/>
      <c r="C492" s="5"/>
      <c r="D492" s="5"/>
      <c r="E492" s="2"/>
      <c r="F492" s="2"/>
      <c r="G492" s="2"/>
      <c r="H492" s="2"/>
      <c r="I492" s="2"/>
      <c r="J492" s="2"/>
      <c r="K492" s="2"/>
      <c r="L492" s="2"/>
      <c r="M492" s="2"/>
      <c r="N492" s="2"/>
      <c r="O492" s="2"/>
      <c r="P492" s="2"/>
      <c r="Q492" s="2"/>
      <c r="R492" s="2"/>
      <c r="S492" s="2"/>
      <c r="T492" s="2"/>
      <c r="U492" s="2"/>
      <c r="V492" s="2"/>
      <c r="W492" s="2"/>
      <c r="X492" s="2"/>
      <c r="Y492" s="2"/>
      <c r="Z492" s="2"/>
    </row>
    <row r="493">
      <c r="A493" s="5"/>
      <c r="B493" s="5"/>
      <c r="C493" s="5"/>
      <c r="D493" s="5"/>
      <c r="E493" s="2"/>
      <c r="F493" s="2"/>
      <c r="G493" s="2"/>
      <c r="H493" s="2"/>
      <c r="I493" s="2"/>
      <c r="J493" s="2"/>
      <c r="K493" s="2"/>
      <c r="L493" s="2"/>
      <c r="M493" s="2"/>
      <c r="N493" s="2"/>
      <c r="O493" s="2"/>
      <c r="P493" s="2"/>
      <c r="Q493" s="2"/>
      <c r="R493" s="2"/>
      <c r="S493" s="2"/>
      <c r="T493" s="2"/>
      <c r="U493" s="2"/>
      <c r="V493" s="2"/>
      <c r="W493" s="2"/>
      <c r="X493" s="2"/>
      <c r="Y493" s="2"/>
      <c r="Z493" s="2"/>
    </row>
    <row r="494">
      <c r="A494" s="5"/>
      <c r="B494" s="5"/>
      <c r="C494" s="5"/>
      <c r="D494" s="5"/>
      <c r="E494" s="2"/>
      <c r="F494" s="2"/>
      <c r="G494" s="2"/>
      <c r="H494" s="2"/>
      <c r="I494" s="2"/>
      <c r="J494" s="2"/>
      <c r="K494" s="2"/>
      <c r="L494" s="2"/>
      <c r="M494" s="2"/>
      <c r="N494" s="2"/>
      <c r="O494" s="2"/>
      <c r="P494" s="2"/>
      <c r="Q494" s="2"/>
      <c r="R494" s="2"/>
      <c r="S494" s="2"/>
      <c r="T494" s="2"/>
      <c r="U494" s="2"/>
      <c r="V494" s="2"/>
      <c r="W494" s="2"/>
      <c r="X494" s="2"/>
      <c r="Y494" s="2"/>
      <c r="Z494" s="2"/>
    </row>
    <row r="495">
      <c r="A495" s="5"/>
      <c r="B495" s="5"/>
      <c r="C495" s="5"/>
      <c r="D495" s="5"/>
      <c r="E495" s="2"/>
      <c r="F495" s="2"/>
      <c r="G495" s="2"/>
      <c r="H495" s="2"/>
      <c r="I495" s="2"/>
      <c r="J495" s="2"/>
      <c r="K495" s="2"/>
      <c r="L495" s="2"/>
      <c r="M495" s="2"/>
      <c r="N495" s="2"/>
      <c r="O495" s="2"/>
      <c r="P495" s="2"/>
      <c r="Q495" s="2"/>
      <c r="R495" s="2"/>
      <c r="S495" s="2"/>
      <c r="T495" s="2"/>
      <c r="U495" s="2"/>
      <c r="V495" s="2"/>
      <c r="W495" s="2"/>
      <c r="X495" s="2"/>
      <c r="Y495" s="2"/>
      <c r="Z495" s="2"/>
    </row>
    <row r="496">
      <c r="A496" s="5"/>
      <c r="B496" s="5"/>
      <c r="C496" s="5"/>
      <c r="D496" s="5"/>
      <c r="E496" s="2"/>
      <c r="F496" s="2"/>
      <c r="G496" s="2"/>
      <c r="H496" s="2"/>
      <c r="I496" s="2"/>
      <c r="J496" s="2"/>
      <c r="K496" s="2"/>
      <c r="L496" s="2"/>
      <c r="M496" s="2"/>
      <c r="N496" s="2"/>
      <c r="O496" s="2"/>
      <c r="P496" s="2"/>
      <c r="Q496" s="2"/>
      <c r="R496" s="2"/>
      <c r="S496" s="2"/>
      <c r="T496" s="2"/>
      <c r="U496" s="2"/>
      <c r="V496" s="2"/>
      <c r="W496" s="2"/>
      <c r="X496" s="2"/>
      <c r="Y496" s="2"/>
      <c r="Z496" s="2"/>
    </row>
    <row r="497">
      <c r="A497" s="5"/>
      <c r="B497" s="5"/>
      <c r="C497" s="5"/>
      <c r="D497" s="5"/>
      <c r="E497" s="2"/>
      <c r="F497" s="2"/>
      <c r="G497" s="2"/>
      <c r="H497" s="2"/>
      <c r="I497" s="2"/>
      <c r="J497" s="2"/>
      <c r="K497" s="2"/>
      <c r="L497" s="2"/>
      <c r="M497" s="2"/>
      <c r="N497" s="2"/>
      <c r="O497" s="2"/>
      <c r="P497" s="2"/>
      <c r="Q497" s="2"/>
      <c r="R497" s="2"/>
      <c r="S497" s="2"/>
      <c r="T497" s="2"/>
      <c r="U497" s="2"/>
      <c r="V497" s="2"/>
      <c r="W497" s="2"/>
      <c r="X497" s="2"/>
      <c r="Y497" s="2"/>
      <c r="Z497" s="2"/>
    </row>
    <row r="498">
      <c r="A498" s="5"/>
      <c r="B498" s="5"/>
      <c r="C498" s="5"/>
      <c r="D498" s="5"/>
      <c r="E498" s="2"/>
      <c r="F498" s="2"/>
      <c r="G498" s="2"/>
      <c r="H498" s="2"/>
      <c r="I498" s="2"/>
      <c r="J498" s="2"/>
      <c r="K498" s="2"/>
      <c r="L498" s="2"/>
      <c r="M498" s="2"/>
      <c r="N498" s="2"/>
      <c r="O498" s="2"/>
      <c r="P498" s="2"/>
      <c r="Q498" s="2"/>
      <c r="R498" s="2"/>
      <c r="S498" s="2"/>
      <c r="T498" s="2"/>
      <c r="U498" s="2"/>
      <c r="V498" s="2"/>
      <c r="W498" s="2"/>
      <c r="X498" s="2"/>
      <c r="Y498" s="2"/>
      <c r="Z498" s="2"/>
    </row>
    <row r="499">
      <c r="A499" s="5"/>
      <c r="B499" s="5"/>
      <c r="C499" s="5"/>
      <c r="D499" s="5"/>
      <c r="E499" s="2"/>
      <c r="F499" s="2"/>
      <c r="G499" s="2"/>
      <c r="H499" s="2"/>
      <c r="I499" s="2"/>
      <c r="J499" s="2"/>
      <c r="K499" s="2"/>
      <c r="L499" s="2"/>
      <c r="M499" s="2"/>
      <c r="N499" s="2"/>
      <c r="O499" s="2"/>
      <c r="P499" s="2"/>
      <c r="Q499" s="2"/>
      <c r="R499" s="2"/>
      <c r="S499" s="2"/>
      <c r="T499" s="2"/>
      <c r="U499" s="2"/>
      <c r="V499" s="2"/>
      <c r="W499" s="2"/>
      <c r="X499" s="2"/>
      <c r="Y499" s="2"/>
      <c r="Z499" s="2"/>
    </row>
    <row r="500">
      <c r="A500" s="5"/>
      <c r="B500" s="5"/>
      <c r="C500" s="5"/>
      <c r="D500" s="5"/>
      <c r="E500" s="2"/>
      <c r="F500" s="2"/>
      <c r="G500" s="2"/>
      <c r="H500" s="2"/>
      <c r="I500" s="2"/>
      <c r="J500" s="2"/>
      <c r="K500" s="2"/>
      <c r="L500" s="2"/>
      <c r="M500" s="2"/>
      <c r="N500" s="2"/>
      <c r="O500" s="2"/>
      <c r="P500" s="2"/>
      <c r="Q500" s="2"/>
      <c r="R500" s="2"/>
      <c r="S500" s="2"/>
      <c r="T500" s="2"/>
      <c r="U500" s="2"/>
      <c r="V500" s="2"/>
      <c r="W500" s="2"/>
      <c r="X500" s="2"/>
      <c r="Y500" s="2"/>
      <c r="Z500" s="2"/>
    </row>
    <row r="501">
      <c r="A501" s="5"/>
      <c r="B501" s="5"/>
      <c r="C501" s="5"/>
      <c r="D501" s="5"/>
      <c r="E501" s="2"/>
      <c r="F501" s="2"/>
      <c r="G501" s="2"/>
      <c r="H501" s="2"/>
      <c r="I501" s="2"/>
      <c r="J501" s="2"/>
      <c r="K501" s="2"/>
      <c r="L501" s="2"/>
      <c r="M501" s="2"/>
      <c r="N501" s="2"/>
      <c r="O501" s="2"/>
      <c r="P501" s="2"/>
      <c r="Q501" s="2"/>
      <c r="R501" s="2"/>
      <c r="S501" s="2"/>
      <c r="T501" s="2"/>
      <c r="U501" s="2"/>
      <c r="V501" s="2"/>
      <c r="W501" s="2"/>
      <c r="X501" s="2"/>
      <c r="Y501" s="2"/>
      <c r="Z501" s="2"/>
    </row>
    <row r="502">
      <c r="A502" s="5"/>
      <c r="B502" s="5"/>
      <c r="C502" s="5"/>
      <c r="D502" s="5"/>
      <c r="E502" s="2"/>
      <c r="F502" s="2"/>
      <c r="G502" s="2"/>
      <c r="H502" s="2"/>
      <c r="I502" s="2"/>
      <c r="J502" s="2"/>
      <c r="K502" s="2"/>
      <c r="L502" s="2"/>
      <c r="M502" s="2"/>
      <c r="N502" s="2"/>
      <c r="O502" s="2"/>
      <c r="P502" s="2"/>
      <c r="Q502" s="2"/>
      <c r="R502" s="2"/>
      <c r="S502" s="2"/>
      <c r="T502" s="2"/>
      <c r="U502" s="2"/>
      <c r="V502" s="2"/>
      <c r="W502" s="2"/>
      <c r="X502" s="2"/>
      <c r="Y502" s="2"/>
      <c r="Z502" s="2"/>
    </row>
    <row r="503">
      <c r="A503" s="5"/>
      <c r="B503" s="5"/>
      <c r="C503" s="5"/>
      <c r="D503" s="5"/>
      <c r="E503" s="2"/>
      <c r="F503" s="2"/>
      <c r="G503" s="2"/>
      <c r="H503" s="2"/>
      <c r="I503" s="2"/>
      <c r="J503" s="2"/>
      <c r="K503" s="2"/>
      <c r="L503" s="2"/>
      <c r="M503" s="2"/>
      <c r="N503" s="2"/>
      <c r="O503" s="2"/>
      <c r="P503" s="2"/>
      <c r="Q503" s="2"/>
      <c r="R503" s="2"/>
      <c r="S503" s="2"/>
      <c r="T503" s="2"/>
      <c r="U503" s="2"/>
      <c r="V503" s="2"/>
      <c r="W503" s="2"/>
      <c r="X503" s="2"/>
      <c r="Y503" s="2"/>
      <c r="Z503" s="2"/>
    </row>
    <row r="504">
      <c r="A504" s="5"/>
      <c r="B504" s="5"/>
      <c r="C504" s="5"/>
      <c r="D504" s="5"/>
      <c r="E504" s="2"/>
      <c r="F504" s="2"/>
      <c r="G504" s="2"/>
      <c r="H504" s="2"/>
      <c r="I504" s="2"/>
      <c r="J504" s="2"/>
      <c r="K504" s="2"/>
      <c r="L504" s="2"/>
      <c r="M504" s="2"/>
      <c r="N504" s="2"/>
      <c r="O504" s="2"/>
      <c r="P504" s="2"/>
      <c r="Q504" s="2"/>
      <c r="R504" s="2"/>
      <c r="S504" s="2"/>
      <c r="T504" s="2"/>
      <c r="U504" s="2"/>
      <c r="V504" s="2"/>
      <c r="W504" s="2"/>
      <c r="X504" s="2"/>
      <c r="Y504" s="2"/>
      <c r="Z504" s="2"/>
    </row>
    <row r="505">
      <c r="A505" s="5"/>
      <c r="B505" s="5"/>
      <c r="C505" s="5"/>
      <c r="D505" s="5"/>
      <c r="E505" s="2"/>
      <c r="F505" s="2"/>
      <c r="G505" s="2"/>
      <c r="H505" s="2"/>
      <c r="I505" s="2"/>
      <c r="J505" s="2"/>
      <c r="K505" s="2"/>
      <c r="L505" s="2"/>
      <c r="M505" s="2"/>
      <c r="N505" s="2"/>
      <c r="O505" s="2"/>
      <c r="P505" s="2"/>
      <c r="Q505" s="2"/>
      <c r="R505" s="2"/>
      <c r="S505" s="2"/>
      <c r="T505" s="2"/>
      <c r="U505" s="2"/>
      <c r="V505" s="2"/>
      <c r="W505" s="2"/>
      <c r="X505" s="2"/>
      <c r="Y505" s="2"/>
      <c r="Z505" s="2"/>
    </row>
    <row r="506">
      <c r="A506" s="5"/>
      <c r="B506" s="5"/>
      <c r="C506" s="5"/>
      <c r="D506" s="5"/>
      <c r="E506" s="2"/>
      <c r="F506" s="2"/>
      <c r="G506" s="2"/>
      <c r="H506" s="2"/>
      <c r="I506" s="2"/>
      <c r="J506" s="2"/>
      <c r="K506" s="2"/>
      <c r="L506" s="2"/>
      <c r="M506" s="2"/>
      <c r="N506" s="2"/>
      <c r="O506" s="2"/>
      <c r="P506" s="2"/>
      <c r="Q506" s="2"/>
      <c r="R506" s="2"/>
      <c r="S506" s="2"/>
      <c r="T506" s="2"/>
      <c r="U506" s="2"/>
      <c r="V506" s="2"/>
      <c r="W506" s="2"/>
      <c r="X506" s="2"/>
      <c r="Y506" s="2"/>
      <c r="Z506" s="2"/>
    </row>
    <row r="507">
      <c r="A507" s="5"/>
      <c r="B507" s="5"/>
      <c r="C507" s="5"/>
      <c r="D507" s="5"/>
      <c r="E507" s="2"/>
      <c r="F507" s="2"/>
      <c r="G507" s="2"/>
      <c r="H507" s="2"/>
      <c r="I507" s="2"/>
      <c r="J507" s="2"/>
      <c r="K507" s="2"/>
      <c r="L507" s="2"/>
      <c r="M507" s="2"/>
      <c r="N507" s="2"/>
      <c r="O507" s="2"/>
      <c r="P507" s="2"/>
      <c r="Q507" s="2"/>
      <c r="R507" s="2"/>
      <c r="S507" s="2"/>
      <c r="T507" s="2"/>
      <c r="U507" s="2"/>
      <c r="V507" s="2"/>
      <c r="W507" s="2"/>
      <c r="X507" s="2"/>
      <c r="Y507" s="2"/>
      <c r="Z507" s="2"/>
    </row>
    <row r="508">
      <c r="A508" s="5"/>
      <c r="B508" s="5"/>
      <c r="C508" s="5"/>
      <c r="D508" s="5"/>
      <c r="E508" s="2"/>
      <c r="F508" s="2"/>
      <c r="G508" s="2"/>
      <c r="H508" s="2"/>
      <c r="I508" s="2"/>
      <c r="J508" s="2"/>
      <c r="K508" s="2"/>
      <c r="L508" s="2"/>
      <c r="M508" s="2"/>
      <c r="N508" s="2"/>
      <c r="O508" s="2"/>
      <c r="P508" s="2"/>
      <c r="Q508" s="2"/>
      <c r="R508" s="2"/>
      <c r="S508" s="2"/>
      <c r="T508" s="2"/>
      <c r="U508" s="2"/>
      <c r="V508" s="2"/>
      <c r="W508" s="2"/>
      <c r="X508" s="2"/>
      <c r="Y508" s="2"/>
      <c r="Z508" s="2"/>
    </row>
    <row r="509">
      <c r="A509" s="5"/>
      <c r="B509" s="5"/>
      <c r="C509" s="5"/>
      <c r="D509" s="5"/>
      <c r="E509" s="2"/>
      <c r="F509" s="2"/>
      <c r="G509" s="2"/>
      <c r="H509" s="2"/>
      <c r="I509" s="2"/>
      <c r="J509" s="2"/>
      <c r="K509" s="2"/>
      <c r="L509" s="2"/>
      <c r="M509" s="2"/>
      <c r="N509" s="2"/>
      <c r="O509" s="2"/>
      <c r="P509" s="2"/>
      <c r="Q509" s="2"/>
      <c r="R509" s="2"/>
      <c r="S509" s="2"/>
      <c r="T509" s="2"/>
      <c r="U509" s="2"/>
      <c r="V509" s="2"/>
      <c r="W509" s="2"/>
      <c r="X509" s="2"/>
      <c r="Y509" s="2"/>
      <c r="Z509" s="2"/>
    </row>
    <row r="510">
      <c r="A510" s="5"/>
      <c r="B510" s="5"/>
      <c r="C510" s="5"/>
      <c r="D510" s="5"/>
      <c r="E510" s="2"/>
      <c r="F510" s="2"/>
      <c r="G510" s="2"/>
      <c r="H510" s="2"/>
      <c r="I510" s="2"/>
      <c r="J510" s="2"/>
      <c r="K510" s="2"/>
      <c r="L510" s="2"/>
      <c r="M510" s="2"/>
      <c r="N510" s="2"/>
      <c r="O510" s="2"/>
      <c r="P510" s="2"/>
      <c r="Q510" s="2"/>
      <c r="R510" s="2"/>
      <c r="S510" s="2"/>
      <c r="T510" s="2"/>
      <c r="U510" s="2"/>
      <c r="V510" s="2"/>
      <c r="W510" s="2"/>
      <c r="X510" s="2"/>
      <c r="Y510" s="2"/>
      <c r="Z510" s="2"/>
    </row>
    <row r="511">
      <c r="A511" s="5"/>
      <c r="B511" s="5"/>
      <c r="C511" s="5"/>
      <c r="D511" s="5"/>
      <c r="E511" s="2"/>
      <c r="F511" s="2"/>
      <c r="G511" s="2"/>
      <c r="H511" s="2"/>
      <c r="I511" s="2"/>
      <c r="J511" s="2"/>
      <c r="K511" s="2"/>
      <c r="L511" s="2"/>
      <c r="M511" s="2"/>
      <c r="N511" s="2"/>
      <c r="O511" s="2"/>
      <c r="P511" s="2"/>
      <c r="Q511" s="2"/>
      <c r="R511" s="2"/>
      <c r="S511" s="2"/>
      <c r="T511" s="2"/>
      <c r="U511" s="2"/>
      <c r="V511" s="2"/>
      <c r="W511" s="2"/>
      <c r="X511" s="2"/>
      <c r="Y511" s="2"/>
      <c r="Z511" s="2"/>
    </row>
    <row r="512">
      <c r="A512" s="5"/>
      <c r="B512" s="5"/>
      <c r="C512" s="5"/>
      <c r="D512" s="5"/>
      <c r="E512" s="2"/>
      <c r="F512" s="2"/>
      <c r="G512" s="2"/>
      <c r="H512" s="2"/>
      <c r="I512" s="2"/>
      <c r="J512" s="2"/>
      <c r="K512" s="2"/>
      <c r="L512" s="2"/>
      <c r="M512" s="2"/>
      <c r="N512" s="2"/>
      <c r="O512" s="2"/>
      <c r="P512" s="2"/>
      <c r="Q512" s="2"/>
      <c r="R512" s="2"/>
      <c r="S512" s="2"/>
      <c r="T512" s="2"/>
      <c r="U512" s="2"/>
      <c r="V512" s="2"/>
      <c r="W512" s="2"/>
      <c r="X512" s="2"/>
      <c r="Y512" s="2"/>
      <c r="Z512" s="2"/>
    </row>
    <row r="513">
      <c r="A513" s="5"/>
      <c r="B513" s="5"/>
      <c r="C513" s="5"/>
      <c r="D513" s="5"/>
      <c r="E513" s="2"/>
      <c r="F513" s="2"/>
      <c r="G513" s="2"/>
      <c r="H513" s="2"/>
      <c r="I513" s="2"/>
      <c r="J513" s="2"/>
      <c r="K513" s="2"/>
      <c r="L513" s="2"/>
      <c r="M513" s="2"/>
      <c r="N513" s="2"/>
      <c r="O513" s="2"/>
      <c r="P513" s="2"/>
      <c r="Q513" s="2"/>
      <c r="R513" s="2"/>
      <c r="S513" s="2"/>
      <c r="T513" s="2"/>
      <c r="U513" s="2"/>
      <c r="V513" s="2"/>
      <c r="W513" s="2"/>
      <c r="X513" s="2"/>
      <c r="Y513" s="2"/>
      <c r="Z513" s="2"/>
    </row>
    <row r="514">
      <c r="A514" s="5"/>
      <c r="B514" s="5"/>
      <c r="C514" s="5"/>
      <c r="D514" s="5"/>
      <c r="E514" s="2"/>
      <c r="F514" s="2"/>
      <c r="G514" s="2"/>
      <c r="H514" s="2"/>
      <c r="I514" s="2"/>
      <c r="J514" s="2"/>
      <c r="K514" s="2"/>
      <c r="L514" s="2"/>
      <c r="M514" s="2"/>
      <c r="N514" s="2"/>
      <c r="O514" s="2"/>
      <c r="P514" s="2"/>
      <c r="Q514" s="2"/>
      <c r="R514" s="2"/>
      <c r="S514" s="2"/>
      <c r="T514" s="2"/>
      <c r="U514" s="2"/>
      <c r="V514" s="2"/>
      <c r="W514" s="2"/>
      <c r="X514" s="2"/>
      <c r="Y514" s="2"/>
      <c r="Z514" s="2"/>
    </row>
    <row r="515">
      <c r="A515" s="5"/>
      <c r="B515" s="5"/>
      <c r="C515" s="5"/>
      <c r="D515" s="5"/>
      <c r="E515" s="2"/>
      <c r="F515" s="2"/>
      <c r="G515" s="2"/>
      <c r="H515" s="2"/>
      <c r="I515" s="2"/>
      <c r="J515" s="2"/>
      <c r="K515" s="2"/>
      <c r="L515" s="2"/>
      <c r="M515" s="2"/>
      <c r="N515" s="2"/>
      <c r="O515" s="2"/>
      <c r="P515" s="2"/>
      <c r="Q515" s="2"/>
      <c r="R515" s="2"/>
      <c r="S515" s="2"/>
      <c r="T515" s="2"/>
      <c r="U515" s="2"/>
      <c r="V515" s="2"/>
      <c r="W515" s="2"/>
      <c r="X515" s="2"/>
      <c r="Y515" s="2"/>
      <c r="Z515" s="2"/>
    </row>
    <row r="516">
      <c r="A516" s="5"/>
      <c r="B516" s="5"/>
      <c r="C516" s="5"/>
      <c r="D516" s="5"/>
      <c r="E516" s="2"/>
      <c r="F516" s="2"/>
      <c r="G516" s="2"/>
      <c r="H516" s="2"/>
      <c r="I516" s="2"/>
      <c r="J516" s="2"/>
      <c r="K516" s="2"/>
      <c r="L516" s="2"/>
      <c r="M516" s="2"/>
      <c r="N516" s="2"/>
      <c r="O516" s="2"/>
      <c r="P516" s="2"/>
      <c r="Q516" s="2"/>
      <c r="R516" s="2"/>
      <c r="S516" s="2"/>
      <c r="T516" s="2"/>
      <c r="U516" s="2"/>
      <c r="V516" s="2"/>
      <c r="W516" s="2"/>
      <c r="X516" s="2"/>
      <c r="Y516" s="2"/>
      <c r="Z516" s="2"/>
    </row>
    <row r="517">
      <c r="A517" s="5"/>
      <c r="B517" s="5"/>
      <c r="C517" s="5"/>
      <c r="D517" s="5"/>
      <c r="E517" s="2"/>
      <c r="F517" s="2"/>
      <c r="G517" s="2"/>
      <c r="H517" s="2"/>
      <c r="I517" s="2"/>
      <c r="J517" s="2"/>
      <c r="K517" s="2"/>
      <c r="L517" s="2"/>
      <c r="M517" s="2"/>
      <c r="N517" s="2"/>
      <c r="O517" s="2"/>
      <c r="P517" s="2"/>
      <c r="Q517" s="2"/>
      <c r="R517" s="2"/>
      <c r="S517" s="2"/>
      <c r="T517" s="2"/>
      <c r="U517" s="2"/>
      <c r="V517" s="2"/>
      <c r="W517" s="2"/>
      <c r="X517" s="2"/>
      <c r="Y517" s="2"/>
      <c r="Z517" s="2"/>
    </row>
    <row r="518">
      <c r="A518" s="5"/>
      <c r="B518" s="5"/>
      <c r="C518" s="5"/>
      <c r="D518" s="5"/>
      <c r="E518" s="2"/>
      <c r="F518" s="2"/>
      <c r="G518" s="2"/>
      <c r="H518" s="2"/>
      <c r="I518" s="2"/>
      <c r="J518" s="2"/>
      <c r="K518" s="2"/>
      <c r="L518" s="2"/>
      <c r="M518" s="2"/>
      <c r="N518" s="2"/>
      <c r="O518" s="2"/>
      <c r="P518" s="2"/>
      <c r="Q518" s="2"/>
      <c r="R518" s="2"/>
      <c r="S518" s="2"/>
      <c r="T518" s="2"/>
      <c r="U518" s="2"/>
      <c r="V518" s="2"/>
      <c r="W518" s="2"/>
      <c r="X518" s="2"/>
      <c r="Y518" s="2"/>
      <c r="Z518" s="2"/>
    </row>
    <row r="519">
      <c r="A519" s="5"/>
      <c r="B519" s="5"/>
      <c r="C519" s="5"/>
      <c r="D519" s="5"/>
      <c r="E519" s="2"/>
      <c r="F519" s="2"/>
      <c r="G519" s="2"/>
      <c r="H519" s="2"/>
      <c r="I519" s="2"/>
      <c r="J519" s="2"/>
      <c r="K519" s="2"/>
      <c r="L519" s="2"/>
      <c r="M519" s="2"/>
      <c r="N519" s="2"/>
      <c r="O519" s="2"/>
      <c r="P519" s="2"/>
      <c r="Q519" s="2"/>
      <c r="R519" s="2"/>
      <c r="S519" s="2"/>
      <c r="T519" s="2"/>
      <c r="U519" s="2"/>
      <c r="V519" s="2"/>
      <c r="W519" s="2"/>
      <c r="X519" s="2"/>
      <c r="Y519" s="2"/>
      <c r="Z519" s="2"/>
    </row>
    <row r="520">
      <c r="A520" s="5"/>
      <c r="B520" s="5"/>
      <c r="C520" s="5"/>
      <c r="D520" s="5"/>
      <c r="E520" s="2"/>
      <c r="F520" s="2"/>
      <c r="G520" s="2"/>
      <c r="H520" s="2"/>
      <c r="I520" s="2"/>
      <c r="J520" s="2"/>
      <c r="K520" s="2"/>
      <c r="L520" s="2"/>
      <c r="M520" s="2"/>
      <c r="N520" s="2"/>
      <c r="O520" s="2"/>
      <c r="P520" s="2"/>
      <c r="Q520" s="2"/>
      <c r="R520" s="2"/>
      <c r="S520" s="2"/>
      <c r="T520" s="2"/>
      <c r="U520" s="2"/>
      <c r="V520" s="2"/>
      <c r="W520" s="2"/>
      <c r="X520" s="2"/>
      <c r="Y520" s="2"/>
      <c r="Z520" s="2"/>
    </row>
    <row r="521">
      <c r="A521" s="5"/>
      <c r="B521" s="5"/>
      <c r="C521" s="5"/>
      <c r="D521" s="5"/>
      <c r="E521" s="2"/>
      <c r="F521" s="2"/>
      <c r="G521" s="2"/>
      <c r="H521" s="2"/>
      <c r="I521" s="2"/>
      <c r="J521" s="2"/>
      <c r="K521" s="2"/>
      <c r="L521" s="2"/>
      <c r="M521" s="2"/>
      <c r="N521" s="2"/>
      <c r="O521" s="2"/>
      <c r="P521" s="2"/>
      <c r="Q521" s="2"/>
      <c r="R521" s="2"/>
      <c r="S521" s="2"/>
      <c r="T521" s="2"/>
      <c r="U521" s="2"/>
      <c r="V521" s="2"/>
      <c r="W521" s="2"/>
      <c r="X521" s="2"/>
      <c r="Y521" s="2"/>
      <c r="Z521" s="2"/>
    </row>
    <row r="522">
      <c r="A522" s="5"/>
      <c r="B522" s="5"/>
      <c r="C522" s="5"/>
      <c r="D522" s="5"/>
      <c r="E522" s="2"/>
      <c r="F522" s="2"/>
      <c r="G522" s="2"/>
      <c r="H522" s="2"/>
      <c r="I522" s="2"/>
      <c r="J522" s="2"/>
      <c r="K522" s="2"/>
      <c r="L522" s="2"/>
      <c r="M522" s="2"/>
      <c r="N522" s="2"/>
      <c r="O522" s="2"/>
      <c r="P522" s="2"/>
      <c r="Q522" s="2"/>
      <c r="R522" s="2"/>
      <c r="S522" s="2"/>
      <c r="T522" s="2"/>
      <c r="U522" s="2"/>
      <c r="V522" s="2"/>
      <c r="W522" s="2"/>
      <c r="X522" s="2"/>
      <c r="Y522" s="2"/>
      <c r="Z522" s="2"/>
    </row>
    <row r="523">
      <c r="A523" s="5"/>
      <c r="B523" s="5"/>
      <c r="C523" s="5"/>
      <c r="D523" s="5"/>
      <c r="E523" s="2"/>
      <c r="F523" s="2"/>
      <c r="G523" s="2"/>
      <c r="H523" s="2"/>
      <c r="I523" s="2"/>
      <c r="J523" s="2"/>
      <c r="K523" s="2"/>
      <c r="L523" s="2"/>
      <c r="M523" s="2"/>
      <c r="N523" s="2"/>
      <c r="O523" s="2"/>
      <c r="P523" s="2"/>
      <c r="Q523" s="2"/>
      <c r="R523" s="2"/>
      <c r="S523" s="2"/>
      <c r="T523" s="2"/>
      <c r="U523" s="2"/>
      <c r="V523" s="2"/>
      <c r="W523" s="2"/>
      <c r="X523" s="2"/>
      <c r="Y523" s="2"/>
      <c r="Z523" s="2"/>
    </row>
    <row r="524">
      <c r="A524" s="5"/>
      <c r="B524" s="5"/>
      <c r="C524" s="5"/>
      <c r="D524" s="5"/>
      <c r="E524" s="2"/>
      <c r="F524" s="2"/>
      <c r="G524" s="2"/>
      <c r="H524" s="2"/>
      <c r="I524" s="2"/>
      <c r="J524" s="2"/>
      <c r="K524" s="2"/>
      <c r="L524" s="2"/>
      <c r="M524" s="2"/>
      <c r="N524" s="2"/>
      <c r="O524" s="2"/>
      <c r="P524" s="2"/>
      <c r="Q524" s="2"/>
      <c r="R524" s="2"/>
      <c r="S524" s="2"/>
      <c r="T524" s="2"/>
      <c r="U524" s="2"/>
      <c r="V524" s="2"/>
      <c r="W524" s="2"/>
      <c r="X524" s="2"/>
      <c r="Y524" s="2"/>
      <c r="Z524" s="2"/>
    </row>
    <row r="525">
      <c r="A525" s="5"/>
      <c r="B525" s="5"/>
      <c r="C525" s="5"/>
      <c r="D525" s="5"/>
      <c r="E525" s="2"/>
      <c r="F525" s="2"/>
      <c r="G525" s="2"/>
      <c r="H525" s="2"/>
      <c r="I525" s="2"/>
      <c r="J525" s="2"/>
      <c r="K525" s="2"/>
      <c r="L525" s="2"/>
      <c r="M525" s="2"/>
      <c r="N525" s="2"/>
      <c r="O525" s="2"/>
      <c r="P525" s="2"/>
      <c r="Q525" s="2"/>
      <c r="R525" s="2"/>
      <c r="S525" s="2"/>
      <c r="T525" s="2"/>
      <c r="U525" s="2"/>
      <c r="V525" s="2"/>
      <c r="W525" s="2"/>
      <c r="X525" s="2"/>
      <c r="Y525" s="2"/>
      <c r="Z525" s="2"/>
    </row>
    <row r="526">
      <c r="A526" s="5"/>
      <c r="B526" s="5"/>
      <c r="C526" s="5"/>
      <c r="D526" s="5"/>
      <c r="E526" s="2"/>
      <c r="F526" s="2"/>
      <c r="G526" s="2"/>
      <c r="H526" s="2"/>
      <c r="I526" s="2"/>
      <c r="J526" s="2"/>
      <c r="K526" s="2"/>
      <c r="L526" s="2"/>
      <c r="M526" s="2"/>
      <c r="N526" s="2"/>
      <c r="O526" s="2"/>
      <c r="P526" s="2"/>
      <c r="Q526" s="2"/>
      <c r="R526" s="2"/>
      <c r="S526" s="2"/>
      <c r="T526" s="2"/>
      <c r="U526" s="2"/>
      <c r="V526" s="2"/>
      <c r="W526" s="2"/>
      <c r="X526" s="2"/>
      <c r="Y526" s="2"/>
      <c r="Z526" s="2"/>
    </row>
    <row r="527">
      <c r="A527" s="5"/>
      <c r="B527" s="5"/>
      <c r="C527" s="5"/>
      <c r="D527" s="5"/>
      <c r="E527" s="2"/>
      <c r="F527" s="2"/>
      <c r="G527" s="2"/>
      <c r="H527" s="2"/>
      <c r="I527" s="2"/>
      <c r="J527" s="2"/>
      <c r="K527" s="2"/>
      <c r="L527" s="2"/>
      <c r="M527" s="2"/>
      <c r="N527" s="2"/>
      <c r="O527" s="2"/>
      <c r="P527" s="2"/>
      <c r="Q527" s="2"/>
      <c r="R527" s="2"/>
      <c r="S527" s="2"/>
      <c r="T527" s="2"/>
      <c r="U527" s="2"/>
      <c r="V527" s="2"/>
      <c r="W527" s="2"/>
      <c r="X527" s="2"/>
      <c r="Y527" s="2"/>
      <c r="Z527" s="2"/>
    </row>
    <row r="528">
      <c r="A528" s="5"/>
      <c r="B528" s="5"/>
      <c r="C528" s="5"/>
      <c r="D528" s="5"/>
      <c r="E528" s="2"/>
      <c r="F528" s="2"/>
      <c r="G528" s="2"/>
      <c r="H528" s="2"/>
      <c r="I528" s="2"/>
      <c r="J528" s="2"/>
      <c r="K528" s="2"/>
      <c r="L528" s="2"/>
      <c r="M528" s="2"/>
      <c r="N528" s="2"/>
      <c r="O528" s="2"/>
      <c r="P528" s="2"/>
      <c r="Q528" s="2"/>
      <c r="R528" s="2"/>
      <c r="S528" s="2"/>
      <c r="T528" s="2"/>
      <c r="U528" s="2"/>
      <c r="V528" s="2"/>
      <c r="W528" s="2"/>
      <c r="X528" s="2"/>
      <c r="Y528" s="2"/>
      <c r="Z528" s="2"/>
    </row>
    <row r="529">
      <c r="A529" s="5"/>
      <c r="B529" s="5"/>
      <c r="C529" s="5"/>
      <c r="D529" s="5"/>
      <c r="E529" s="2"/>
      <c r="F529" s="2"/>
      <c r="G529" s="2"/>
      <c r="H529" s="2"/>
      <c r="I529" s="2"/>
      <c r="J529" s="2"/>
      <c r="K529" s="2"/>
      <c r="L529" s="2"/>
      <c r="M529" s="2"/>
      <c r="N529" s="2"/>
      <c r="O529" s="2"/>
      <c r="P529" s="2"/>
      <c r="Q529" s="2"/>
      <c r="R529" s="2"/>
      <c r="S529" s="2"/>
      <c r="T529" s="2"/>
      <c r="U529" s="2"/>
      <c r="V529" s="2"/>
      <c r="W529" s="2"/>
      <c r="X529" s="2"/>
      <c r="Y529" s="2"/>
      <c r="Z529" s="2"/>
    </row>
    <row r="530">
      <c r="A530" s="5"/>
      <c r="B530" s="5"/>
      <c r="C530" s="5"/>
      <c r="D530" s="5"/>
      <c r="E530" s="2"/>
      <c r="F530" s="2"/>
      <c r="G530" s="2"/>
      <c r="H530" s="2"/>
      <c r="I530" s="2"/>
      <c r="J530" s="2"/>
      <c r="K530" s="2"/>
      <c r="L530" s="2"/>
      <c r="M530" s="2"/>
      <c r="N530" s="2"/>
      <c r="O530" s="2"/>
      <c r="P530" s="2"/>
      <c r="Q530" s="2"/>
      <c r="R530" s="2"/>
      <c r="S530" s="2"/>
      <c r="T530" s="2"/>
      <c r="U530" s="2"/>
      <c r="V530" s="2"/>
      <c r="W530" s="2"/>
      <c r="X530" s="2"/>
      <c r="Y530" s="2"/>
      <c r="Z530" s="2"/>
    </row>
    <row r="531">
      <c r="A531" s="5"/>
      <c r="B531" s="5"/>
      <c r="C531" s="5"/>
      <c r="D531" s="5"/>
      <c r="E531" s="2"/>
      <c r="F531" s="2"/>
      <c r="G531" s="2"/>
      <c r="H531" s="2"/>
      <c r="I531" s="2"/>
      <c r="J531" s="2"/>
      <c r="K531" s="2"/>
      <c r="L531" s="2"/>
      <c r="M531" s="2"/>
      <c r="N531" s="2"/>
      <c r="O531" s="2"/>
      <c r="P531" s="2"/>
      <c r="Q531" s="2"/>
      <c r="R531" s="2"/>
      <c r="S531" s="2"/>
      <c r="T531" s="2"/>
      <c r="U531" s="2"/>
      <c r="V531" s="2"/>
      <c r="W531" s="2"/>
      <c r="X531" s="2"/>
      <c r="Y531" s="2"/>
      <c r="Z531" s="2"/>
    </row>
    <row r="532">
      <c r="A532" s="5"/>
      <c r="B532" s="5"/>
      <c r="C532" s="5"/>
      <c r="D532" s="5"/>
      <c r="E532" s="2"/>
      <c r="F532" s="2"/>
      <c r="G532" s="2"/>
      <c r="H532" s="2"/>
      <c r="I532" s="2"/>
      <c r="J532" s="2"/>
      <c r="K532" s="2"/>
      <c r="L532" s="2"/>
      <c r="M532" s="2"/>
      <c r="N532" s="2"/>
      <c r="O532" s="2"/>
      <c r="P532" s="2"/>
      <c r="Q532" s="2"/>
      <c r="R532" s="2"/>
      <c r="S532" s="2"/>
      <c r="T532" s="2"/>
      <c r="U532" s="2"/>
      <c r="V532" s="2"/>
      <c r="W532" s="2"/>
      <c r="X532" s="2"/>
      <c r="Y532" s="2"/>
      <c r="Z532" s="2"/>
    </row>
    <row r="533">
      <c r="A533" s="5"/>
      <c r="B533" s="5"/>
      <c r="C533" s="5"/>
      <c r="D533" s="5"/>
      <c r="E533" s="2"/>
      <c r="F533" s="2"/>
      <c r="G533" s="2"/>
      <c r="H533" s="2"/>
      <c r="I533" s="2"/>
      <c r="J533" s="2"/>
      <c r="K533" s="2"/>
      <c r="L533" s="2"/>
      <c r="M533" s="2"/>
      <c r="N533" s="2"/>
      <c r="O533" s="2"/>
      <c r="P533" s="2"/>
      <c r="Q533" s="2"/>
      <c r="R533" s="2"/>
      <c r="S533" s="2"/>
      <c r="T533" s="2"/>
      <c r="U533" s="2"/>
      <c r="V533" s="2"/>
      <c r="W533" s="2"/>
      <c r="X533" s="2"/>
      <c r="Y533" s="2"/>
      <c r="Z533" s="2"/>
    </row>
    <row r="534">
      <c r="A534" s="5"/>
      <c r="B534" s="5"/>
      <c r="C534" s="5"/>
      <c r="D534" s="5"/>
      <c r="E534" s="2"/>
      <c r="F534" s="2"/>
      <c r="G534" s="2"/>
      <c r="H534" s="2"/>
      <c r="I534" s="2"/>
      <c r="J534" s="2"/>
      <c r="K534" s="2"/>
      <c r="L534" s="2"/>
      <c r="M534" s="2"/>
      <c r="N534" s="2"/>
      <c r="O534" s="2"/>
      <c r="P534" s="2"/>
      <c r="Q534" s="2"/>
      <c r="R534" s="2"/>
      <c r="S534" s="2"/>
      <c r="T534" s="2"/>
      <c r="U534" s="2"/>
      <c r="V534" s="2"/>
      <c r="W534" s="2"/>
      <c r="X534" s="2"/>
      <c r="Y534" s="2"/>
      <c r="Z534" s="2"/>
    </row>
    <row r="535">
      <c r="A535" s="5"/>
      <c r="B535" s="5"/>
      <c r="C535" s="5"/>
      <c r="D535" s="5"/>
      <c r="E535" s="2"/>
      <c r="F535" s="2"/>
      <c r="G535" s="2"/>
      <c r="H535" s="2"/>
      <c r="I535" s="2"/>
      <c r="J535" s="2"/>
      <c r="K535" s="2"/>
      <c r="L535" s="2"/>
      <c r="M535" s="2"/>
      <c r="N535" s="2"/>
      <c r="O535" s="2"/>
      <c r="P535" s="2"/>
      <c r="Q535" s="2"/>
      <c r="R535" s="2"/>
      <c r="S535" s="2"/>
      <c r="T535" s="2"/>
      <c r="U535" s="2"/>
      <c r="V535" s="2"/>
      <c r="W535" s="2"/>
      <c r="X535" s="2"/>
      <c r="Y535" s="2"/>
      <c r="Z535" s="2"/>
    </row>
    <row r="536">
      <c r="A536" s="5"/>
      <c r="B536" s="5"/>
      <c r="C536" s="5"/>
      <c r="D536" s="5"/>
      <c r="E536" s="2"/>
      <c r="F536" s="2"/>
      <c r="G536" s="2"/>
      <c r="H536" s="2"/>
      <c r="I536" s="2"/>
      <c r="J536" s="2"/>
      <c r="K536" s="2"/>
      <c r="L536" s="2"/>
      <c r="M536" s="2"/>
      <c r="N536" s="2"/>
      <c r="O536" s="2"/>
      <c r="P536" s="2"/>
      <c r="Q536" s="2"/>
      <c r="R536" s="2"/>
      <c r="S536" s="2"/>
      <c r="T536" s="2"/>
      <c r="U536" s="2"/>
      <c r="V536" s="2"/>
      <c r="W536" s="2"/>
      <c r="X536" s="2"/>
      <c r="Y536" s="2"/>
      <c r="Z536" s="2"/>
    </row>
    <row r="537">
      <c r="A537" s="5"/>
      <c r="B537" s="5"/>
      <c r="C537" s="5"/>
      <c r="D537" s="5"/>
      <c r="E537" s="2"/>
      <c r="F537" s="2"/>
      <c r="G537" s="2"/>
      <c r="H537" s="2"/>
      <c r="I537" s="2"/>
      <c r="J537" s="2"/>
      <c r="K537" s="2"/>
      <c r="L537" s="2"/>
      <c r="M537" s="2"/>
      <c r="N537" s="2"/>
      <c r="O537" s="2"/>
      <c r="P537" s="2"/>
      <c r="Q537" s="2"/>
      <c r="R537" s="2"/>
      <c r="S537" s="2"/>
      <c r="T537" s="2"/>
      <c r="U537" s="2"/>
      <c r="V537" s="2"/>
      <c r="W537" s="2"/>
      <c r="X537" s="2"/>
      <c r="Y537" s="2"/>
      <c r="Z537" s="2"/>
    </row>
    <row r="538">
      <c r="A538" s="5"/>
      <c r="B538" s="5"/>
      <c r="C538" s="5"/>
      <c r="D538" s="5"/>
      <c r="E538" s="2"/>
      <c r="F538" s="2"/>
      <c r="G538" s="2"/>
      <c r="H538" s="2"/>
      <c r="I538" s="2"/>
      <c r="J538" s="2"/>
      <c r="K538" s="2"/>
      <c r="L538" s="2"/>
      <c r="M538" s="2"/>
      <c r="N538" s="2"/>
      <c r="O538" s="2"/>
      <c r="P538" s="2"/>
      <c r="Q538" s="2"/>
      <c r="R538" s="2"/>
      <c r="S538" s="2"/>
      <c r="T538" s="2"/>
      <c r="U538" s="2"/>
      <c r="V538" s="2"/>
      <c r="W538" s="2"/>
      <c r="X538" s="2"/>
      <c r="Y538" s="2"/>
      <c r="Z538" s="2"/>
    </row>
    <row r="539">
      <c r="A539" s="5"/>
      <c r="B539" s="5"/>
      <c r="C539" s="5"/>
      <c r="D539" s="5"/>
      <c r="E539" s="2"/>
      <c r="F539" s="2"/>
      <c r="G539" s="2"/>
      <c r="H539" s="2"/>
      <c r="I539" s="2"/>
      <c r="J539" s="2"/>
      <c r="K539" s="2"/>
      <c r="L539" s="2"/>
      <c r="M539" s="2"/>
      <c r="N539" s="2"/>
      <c r="O539" s="2"/>
      <c r="P539" s="2"/>
      <c r="Q539" s="2"/>
      <c r="R539" s="2"/>
      <c r="S539" s="2"/>
      <c r="T539" s="2"/>
      <c r="U539" s="2"/>
      <c r="V539" s="2"/>
      <c r="W539" s="2"/>
      <c r="X539" s="2"/>
      <c r="Y539" s="2"/>
      <c r="Z539" s="2"/>
    </row>
    <row r="540">
      <c r="A540" s="5"/>
      <c r="B540" s="5"/>
      <c r="C540" s="5"/>
      <c r="D540" s="5"/>
      <c r="E540" s="2"/>
      <c r="F540" s="2"/>
      <c r="G540" s="2"/>
      <c r="H540" s="2"/>
      <c r="I540" s="2"/>
      <c r="J540" s="2"/>
      <c r="K540" s="2"/>
      <c r="L540" s="2"/>
      <c r="M540" s="2"/>
      <c r="N540" s="2"/>
      <c r="O540" s="2"/>
      <c r="P540" s="2"/>
      <c r="Q540" s="2"/>
      <c r="R540" s="2"/>
      <c r="S540" s="2"/>
      <c r="T540" s="2"/>
      <c r="U540" s="2"/>
      <c r="V540" s="2"/>
      <c r="W540" s="2"/>
      <c r="X540" s="2"/>
      <c r="Y540" s="2"/>
      <c r="Z540" s="2"/>
    </row>
    <row r="541">
      <c r="A541" s="5"/>
      <c r="B541" s="5"/>
      <c r="C541" s="5"/>
      <c r="D541" s="5"/>
      <c r="E541" s="2"/>
      <c r="F541" s="2"/>
      <c r="G541" s="2"/>
      <c r="H541" s="2"/>
      <c r="I541" s="2"/>
      <c r="J541" s="2"/>
      <c r="K541" s="2"/>
      <c r="L541" s="2"/>
      <c r="M541" s="2"/>
      <c r="N541" s="2"/>
      <c r="O541" s="2"/>
      <c r="P541" s="2"/>
      <c r="Q541" s="2"/>
      <c r="R541" s="2"/>
      <c r="S541" s="2"/>
      <c r="T541" s="2"/>
      <c r="U541" s="2"/>
      <c r="V541" s="2"/>
      <c r="W541" s="2"/>
      <c r="X541" s="2"/>
      <c r="Y541" s="2"/>
      <c r="Z541" s="2"/>
    </row>
    <row r="542">
      <c r="A542" s="5"/>
      <c r="B542" s="5"/>
      <c r="C542" s="5"/>
      <c r="D542" s="5"/>
      <c r="E542" s="2"/>
      <c r="F542" s="2"/>
      <c r="G542" s="2"/>
      <c r="H542" s="2"/>
      <c r="I542" s="2"/>
      <c r="J542" s="2"/>
      <c r="K542" s="2"/>
      <c r="L542" s="2"/>
      <c r="M542" s="2"/>
      <c r="N542" s="2"/>
      <c r="O542" s="2"/>
      <c r="P542" s="2"/>
      <c r="Q542" s="2"/>
      <c r="R542" s="2"/>
      <c r="S542" s="2"/>
      <c r="T542" s="2"/>
      <c r="U542" s="2"/>
      <c r="V542" s="2"/>
      <c r="W542" s="2"/>
      <c r="X542" s="2"/>
      <c r="Y542" s="2"/>
      <c r="Z542" s="2"/>
    </row>
    <row r="543">
      <c r="A543" s="5"/>
      <c r="B543" s="5"/>
      <c r="C543" s="5"/>
      <c r="D543" s="5"/>
      <c r="E543" s="2"/>
      <c r="F543" s="2"/>
      <c r="G543" s="2"/>
      <c r="H543" s="2"/>
      <c r="I543" s="2"/>
      <c r="J543" s="2"/>
      <c r="K543" s="2"/>
      <c r="L543" s="2"/>
      <c r="M543" s="2"/>
      <c r="N543" s="2"/>
      <c r="O543" s="2"/>
      <c r="P543" s="2"/>
      <c r="Q543" s="2"/>
      <c r="R543" s="2"/>
      <c r="S543" s="2"/>
      <c r="T543" s="2"/>
      <c r="U543" s="2"/>
      <c r="V543" s="2"/>
      <c r="W543" s="2"/>
      <c r="X543" s="2"/>
      <c r="Y543" s="2"/>
      <c r="Z543" s="2"/>
    </row>
    <row r="544">
      <c r="A544" s="5"/>
      <c r="B544" s="5"/>
      <c r="C544" s="5"/>
      <c r="D544" s="5"/>
      <c r="E544" s="2"/>
      <c r="F544" s="2"/>
      <c r="G544" s="2"/>
      <c r="H544" s="2"/>
      <c r="I544" s="2"/>
      <c r="J544" s="2"/>
      <c r="K544" s="2"/>
      <c r="L544" s="2"/>
      <c r="M544" s="2"/>
      <c r="N544" s="2"/>
      <c r="O544" s="2"/>
      <c r="P544" s="2"/>
      <c r="Q544" s="2"/>
      <c r="R544" s="2"/>
      <c r="S544" s="2"/>
      <c r="T544" s="2"/>
      <c r="U544" s="2"/>
      <c r="V544" s="2"/>
      <c r="W544" s="2"/>
      <c r="X544" s="2"/>
      <c r="Y544" s="2"/>
      <c r="Z544" s="2"/>
    </row>
    <row r="545">
      <c r="A545" s="5"/>
      <c r="B545" s="5"/>
      <c r="C545" s="5"/>
      <c r="D545" s="5"/>
      <c r="E545" s="2"/>
      <c r="F545" s="2"/>
      <c r="G545" s="2"/>
      <c r="H545" s="2"/>
      <c r="I545" s="2"/>
      <c r="J545" s="2"/>
      <c r="K545" s="2"/>
      <c r="L545" s="2"/>
      <c r="M545" s="2"/>
      <c r="N545" s="2"/>
      <c r="O545" s="2"/>
      <c r="P545" s="2"/>
      <c r="Q545" s="2"/>
      <c r="R545" s="2"/>
      <c r="S545" s="2"/>
      <c r="T545" s="2"/>
      <c r="U545" s="2"/>
      <c r="V545" s="2"/>
      <c r="W545" s="2"/>
      <c r="X545" s="2"/>
      <c r="Y545" s="2"/>
      <c r="Z545" s="2"/>
    </row>
    <row r="546">
      <c r="A546" s="5"/>
      <c r="B546" s="5"/>
      <c r="C546" s="5"/>
      <c r="D546" s="5"/>
      <c r="E546" s="2"/>
      <c r="F546" s="2"/>
      <c r="G546" s="2"/>
      <c r="H546" s="2"/>
      <c r="I546" s="2"/>
      <c r="J546" s="2"/>
      <c r="K546" s="2"/>
      <c r="L546" s="2"/>
      <c r="M546" s="2"/>
      <c r="N546" s="2"/>
      <c r="O546" s="2"/>
      <c r="P546" s="2"/>
      <c r="Q546" s="2"/>
      <c r="R546" s="2"/>
      <c r="S546" s="2"/>
      <c r="T546" s="2"/>
      <c r="U546" s="2"/>
      <c r="V546" s="2"/>
      <c r="W546" s="2"/>
      <c r="X546" s="2"/>
      <c r="Y546" s="2"/>
      <c r="Z546" s="2"/>
    </row>
    <row r="547">
      <c r="A547" s="5"/>
      <c r="B547" s="5"/>
      <c r="C547" s="5"/>
      <c r="D547" s="5"/>
      <c r="E547" s="2"/>
      <c r="F547" s="2"/>
      <c r="G547" s="2"/>
      <c r="H547" s="2"/>
      <c r="I547" s="2"/>
      <c r="J547" s="2"/>
      <c r="K547" s="2"/>
      <c r="L547" s="2"/>
      <c r="M547" s="2"/>
      <c r="N547" s="2"/>
      <c r="O547" s="2"/>
      <c r="P547" s="2"/>
      <c r="Q547" s="2"/>
      <c r="R547" s="2"/>
      <c r="S547" s="2"/>
      <c r="T547" s="2"/>
      <c r="U547" s="2"/>
      <c r="V547" s="2"/>
      <c r="W547" s="2"/>
      <c r="X547" s="2"/>
      <c r="Y547" s="2"/>
      <c r="Z547" s="2"/>
    </row>
    <row r="548">
      <c r="A548" s="5"/>
      <c r="B548" s="5"/>
      <c r="C548" s="5"/>
      <c r="D548" s="5"/>
      <c r="E548" s="2"/>
      <c r="F548" s="2"/>
      <c r="G548" s="2"/>
      <c r="H548" s="2"/>
      <c r="I548" s="2"/>
      <c r="J548" s="2"/>
      <c r="K548" s="2"/>
      <c r="L548" s="2"/>
      <c r="M548" s="2"/>
      <c r="N548" s="2"/>
      <c r="O548" s="2"/>
      <c r="P548" s="2"/>
      <c r="Q548" s="2"/>
      <c r="R548" s="2"/>
      <c r="S548" s="2"/>
      <c r="T548" s="2"/>
      <c r="U548" s="2"/>
      <c r="V548" s="2"/>
      <c r="W548" s="2"/>
      <c r="X548" s="2"/>
      <c r="Y548" s="2"/>
      <c r="Z548" s="2"/>
    </row>
    <row r="549">
      <c r="A549" s="5"/>
      <c r="B549" s="5"/>
      <c r="C549" s="5"/>
      <c r="D549" s="5"/>
      <c r="E549" s="2"/>
      <c r="F549" s="2"/>
      <c r="G549" s="2"/>
      <c r="H549" s="2"/>
      <c r="I549" s="2"/>
      <c r="J549" s="2"/>
      <c r="K549" s="2"/>
      <c r="L549" s="2"/>
      <c r="M549" s="2"/>
      <c r="N549" s="2"/>
      <c r="O549" s="2"/>
      <c r="P549" s="2"/>
      <c r="Q549" s="2"/>
      <c r="R549" s="2"/>
      <c r="S549" s="2"/>
      <c r="T549" s="2"/>
      <c r="U549" s="2"/>
      <c r="V549" s="2"/>
      <c r="W549" s="2"/>
      <c r="X549" s="2"/>
      <c r="Y549" s="2"/>
      <c r="Z549" s="2"/>
    </row>
    <row r="550">
      <c r="A550" s="5"/>
      <c r="B550" s="5"/>
      <c r="C550" s="5"/>
      <c r="D550" s="5"/>
      <c r="E550" s="2"/>
      <c r="F550" s="2"/>
      <c r="G550" s="2"/>
      <c r="H550" s="2"/>
      <c r="I550" s="2"/>
      <c r="J550" s="2"/>
      <c r="K550" s="2"/>
      <c r="L550" s="2"/>
      <c r="M550" s="2"/>
      <c r="N550" s="2"/>
      <c r="O550" s="2"/>
      <c r="P550" s="2"/>
      <c r="Q550" s="2"/>
      <c r="R550" s="2"/>
      <c r="S550" s="2"/>
      <c r="T550" s="2"/>
      <c r="U550" s="2"/>
      <c r="V550" s="2"/>
      <c r="W550" s="2"/>
      <c r="X550" s="2"/>
      <c r="Y550" s="2"/>
      <c r="Z550" s="2"/>
    </row>
    <row r="551">
      <c r="A551" s="5"/>
      <c r="B551" s="5"/>
      <c r="C551" s="5"/>
      <c r="D551" s="5"/>
      <c r="E551" s="2"/>
      <c r="F551" s="2"/>
      <c r="G551" s="2"/>
      <c r="H551" s="2"/>
      <c r="I551" s="2"/>
      <c r="J551" s="2"/>
      <c r="K551" s="2"/>
      <c r="L551" s="2"/>
      <c r="M551" s="2"/>
      <c r="N551" s="2"/>
      <c r="O551" s="2"/>
      <c r="P551" s="2"/>
      <c r="Q551" s="2"/>
      <c r="R551" s="2"/>
      <c r="S551" s="2"/>
      <c r="T551" s="2"/>
      <c r="U551" s="2"/>
      <c r="V551" s="2"/>
      <c r="W551" s="2"/>
      <c r="X551" s="2"/>
      <c r="Y551" s="2"/>
      <c r="Z551" s="2"/>
    </row>
    <row r="552">
      <c r="A552" s="5"/>
      <c r="B552" s="5"/>
      <c r="C552" s="5"/>
      <c r="D552" s="5"/>
      <c r="E552" s="2"/>
      <c r="F552" s="2"/>
      <c r="G552" s="2"/>
      <c r="H552" s="2"/>
      <c r="I552" s="2"/>
      <c r="J552" s="2"/>
      <c r="K552" s="2"/>
      <c r="L552" s="2"/>
      <c r="M552" s="2"/>
      <c r="N552" s="2"/>
      <c r="O552" s="2"/>
      <c r="P552" s="2"/>
      <c r="Q552" s="2"/>
      <c r="R552" s="2"/>
      <c r="S552" s="2"/>
      <c r="T552" s="2"/>
      <c r="U552" s="2"/>
      <c r="V552" s="2"/>
      <c r="W552" s="2"/>
      <c r="X552" s="2"/>
      <c r="Y552" s="2"/>
      <c r="Z552" s="2"/>
    </row>
    <row r="553">
      <c r="A553" s="5"/>
      <c r="B553" s="5"/>
      <c r="C553" s="5"/>
      <c r="D553" s="5"/>
      <c r="E553" s="2"/>
      <c r="F553" s="2"/>
      <c r="G553" s="2"/>
      <c r="H553" s="2"/>
      <c r="I553" s="2"/>
      <c r="J553" s="2"/>
      <c r="K553" s="2"/>
      <c r="L553" s="2"/>
      <c r="M553" s="2"/>
      <c r="N553" s="2"/>
      <c r="O553" s="2"/>
      <c r="P553" s="2"/>
      <c r="Q553" s="2"/>
      <c r="R553" s="2"/>
      <c r="S553" s="2"/>
      <c r="T553" s="2"/>
      <c r="U553" s="2"/>
      <c r="V553" s="2"/>
      <c r="W553" s="2"/>
      <c r="X553" s="2"/>
      <c r="Y553" s="2"/>
      <c r="Z553" s="2"/>
    </row>
    <row r="554">
      <c r="A554" s="5"/>
      <c r="B554" s="5"/>
      <c r="C554" s="5"/>
      <c r="D554" s="5"/>
      <c r="E554" s="2"/>
      <c r="F554" s="2"/>
      <c r="G554" s="2"/>
      <c r="H554" s="2"/>
      <c r="I554" s="2"/>
      <c r="J554" s="2"/>
      <c r="K554" s="2"/>
      <c r="L554" s="2"/>
      <c r="M554" s="2"/>
      <c r="N554" s="2"/>
      <c r="O554" s="2"/>
      <c r="P554" s="2"/>
      <c r="Q554" s="2"/>
      <c r="R554" s="2"/>
      <c r="S554" s="2"/>
      <c r="T554" s="2"/>
      <c r="U554" s="2"/>
      <c r="V554" s="2"/>
      <c r="W554" s="2"/>
      <c r="X554" s="2"/>
      <c r="Y554" s="2"/>
      <c r="Z554" s="2"/>
    </row>
    <row r="555">
      <c r="A555" s="5"/>
      <c r="B555" s="5"/>
      <c r="C555" s="5"/>
      <c r="D555" s="5"/>
      <c r="E555" s="2"/>
      <c r="F555" s="2"/>
      <c r="G555" s="2"/>
      <c r="H555" s="2"/>
      <c r="I555" s="2"/>
      <c r="J555" s="2"/>
      <c r="K555" s="2"/>
      <c r="L555" s="2"/>
      <c r="M555" s="2"/>
      <c r="N555" s="2"/>
      <c r="O555" s="2"/>
      <c r="P555" s="2"/>
      <c r="Q555" s="2"/>
      <c r="R555" s="2"/>
      <c r="S555" s="2"/>
      <c r="T555" s="2"/>
      <c r="U555" s="2"/>
      <c r="V555" s="2"/>
      <c r="W555" s="2"/>
      <c r="X555" s="2"/>
      <c r="Y555" s="2"/>
      <c r="Z555" s="2"/>
    </row>
    <row r="556">
      <c r="A556" s="5"/>
      <c r="B556" s="5"/>
      <c r="C556" s="5"/>
      <c r="D556" s="5"/>
      <c r="E556" s="2"/>
      <c r="F556" s="2"/>
      <c r="G556" s="2"/>
      <c r="H556" s="2"/>
      <c r="I556" s="2"/>
      <c r="J556" s="2"/>
      <c r="K556" s="2"/>
      <c r="L556" s="2"/>
      <c r="M556" s="2"/>
      <c r="N556" s="2"/>
      <c r="O556" s="2"/>
      <c r="P556" s="2"/>
      <c r="Q556" s="2"/>
      <c r="R556" s="2"/>
      <c r="S556" s="2"/>
      <c r="T556" s="2"/>
      <c r="U556" s="2"/>
      <c r="V556" s="2"/>
      <c r="W556" s="2"/>
      <c r="X556" s="2"/>
      <c r="Y556" s="2"/>
      <c r="Z556" s="2"/>
    </row>
    <row r="557">
      <c r="A557" s="5"/>
      <c r="B557" s="5"/>
      <c r="C557" s="5"/>
      <c r="D557" s="5"/>
      <c r="E557" s="2"/>
      <c r="F557" s="2"/>
      <c r="G557" s="2"/>
      <c r="H557" s="2"/>
      <c r="I557" s="2"/>
      <c r="J557" s="2"/>
      <c r="K557" s="2"/>
      <c r="L557" s="2"/>
      <c r="M557" s="2"/>
      <c r="N557" s="2"/>
      <c r="O557" s="2"/>
      <c r="P557" s="2"/>
      <c r="Q557" s="2"/>
      <c r="R557" s="2"/>
      <c r="S557" s="2"/>
      <c r="T557" s="2"/>
      <c r="U557" s="2"/>
      <c r="V557" s="2"/>
      <c r="W557" s="2"/>
      <c r="X557" s="2"/>
      <c r="Y557" s="2"/>
      <c r="Z557" s="2"/>
    </row>
    <row r="558">
      <c r="A558" s="5"/>
      <c r="B558" s="5"/>
      <c r="C558" s="5"/>
      <c r="D558" s="5"/>
      <c r="E558" s="2"/>
      <c r="F558" s="2"/>
      <c r="G558" s="2"/>
      <c r="H558" s="2"/>
      <c r="I558" s="2"/>
      <c r="J558" s="2"/>
      <c r="K558" s="2"/>
      <c r="L558" s="2"/>
      <c r="M558" s="2"/>
      <c r="N558" s="2"/>
      <c r="O558" s="2"/>
      <c r="P558" s="2"/>
      <c r="Q558" s="2"/>
      <c r="R558" s="2"/>
      <c r="S558" s="2"/>
      <c r="T558" s="2"/>
      <c r="U558" s="2"/>
      <c r="V558" s="2"/>
      <c r="W558" s="2"/>
      <c r="X558" s="2"/>
      <c r="Y558" s="2"/>
      <c r="Z558" s="2"/>
    </row>
    <row r="559">
      <c r="A559" s="5"/>
      <c r="B559" s="5"/>
      <c r="C559" s="5"/>
      <c r="D559" s="5"/>
      <c r="E559" s="2"/>
      <c r="F559" s="2"/>
      <c r="G559" s="2"/>
      <c r="H559" s="2"/>
      <c r="I559" s="2"/>
      <c r="J559" s="2"/>
      <c r="K559" s="2"/>
      <c r="L559" s="2"/>
      <c r="M559" s="2"/>
      <c r="N559" s="2"/>
      <c r="O559" s="2"/>
      <c r="P559" s="2"/>
      <c r="Q559" s="2"/>
      <c r="R559" s="2"/>
      <c r="S559" s="2"/>
      <c r="T559" s="2"/>
      <c r="U559" s="2"/>
      <c r="V559" s="2"/>
      <c r="W559" s="2"/>
      <c r="X559" s="2"/>
      <c r="Y559" s="2"/>
      <c r="Z559" s="2"/>
    </row>
    <row r="560">
      <c r="A560" s="5"/>
      <c r="B560" s="5"/>
      <c r="C560" s="5"/>
      <c r="D560" s="5"/>
      <c r="E560" s="2"/>
      <c r="F560" s="2"/>
      <c r="G560" s="2"/>
      <c r="H560" s="2"/>
      <c r="I560" s="2"/>
      <c r="J560" s="2"/>
      <c r="K560" s="2"/>
      <c r="L560" s="2"/>
      <c r="M560" s="2"/>
      <c r="N560" s="2"/>
      <c r="O560" s="2"/>
      <c r="P560" s="2"/>
      <c r="Q560" s="2"/>
      <c r="R560" s="2"/>
      <c r="S560" s="2"/>
      <c r="T560" s="2"/>
      <c r="U560" s="2"/>
      <c r="V560" s="2"/>
      <c r="W560" s="2"/>
      <c r="X560" s="2"/>
      <c r="Y560" s="2"/>
      <c r="Z560" s="2"/>
    </row>
    <row r="561">
      <c r="A561" s="5"/>
      <c r="B561" s="5"/>
      <c r="C561" s="5"/>
      <c r="D561" s="5"/>
      <c r="E561" s="2"/>
      <c r="F561" s="2"/>
      <c r="G561" s="2"/>
      <c r="H561" s="2"/>
      <c r="I561" s="2"/>
      <c r="J561" s="2"/>
      <c r="K561" s="2"/>
      <c r="L561" s="2"/>
      <c r="M561" s="2"/>
      <c r="N561" s="2"/>
      <c r="O561" s="2"/>
      <c r="P561" s="2"/>
      <c r="Q561" s="2"/>
      <c r="R561" s="2"/>
      <c r="S561" s="2"/>
      <c r="T561" s="2"/>
      <c r="U561" s="2"/>
      <c r="V561" s="2"/>
      <c r="W561" s="2"/>
      <c r="X561" s="2"/>
      <c r="Y561" s="2"/>
      <c r="Z561" s="2"/>
    </row>
    <row r="562">
      <c r="A562" s="5"/>
      <c r="B562" s="5"/>
      <c r="C562" s="5"/>
      <c r="D562" s="5"/>
      <c r="E562" s="2"/>
      <c r="F562" s="2"/>
      <c r="G562" s="2"/>
      <c r="H562" s="2"/>
      <c r="I562" s="2"/>
      <c r="J562" s="2"/>
      <c r="K562" s="2"/>
      <c r="L562" s="2"/>
      <c r="M562" s="2"/>
      <c r="N562" s="2"/>
      <c r="O562" s="2"/>
      <c r="P562" s="2"/>
      <c r="Q562" s="2"/>
      <c r="R562" s="2"/>
      <c r="S562" s="2"/>
      <c r="T562" s="2"/>
      <c r="U562" s="2"/>
      <c r="V562" s="2"/>
      <c r="W562" s="2"/>
      <c r="X562" s="2"/>
      <c r="Y562" s="2"/>
      <c r="Z562" s="2"/>
    </row>
    <row r="563">
      <c r="A563" s="5"/>
      <c r="B563" s="5"/>
      <c r="C563" s="5"/>
      <c r="D563" s="5"/>
      <c r="E563" s="2"/>
      <c r="F563" s="2"/>
      <c r="G563" s="2"/>
      <c r="H563" s="2"/>
      <c r="I563" s="2"/>
      <c r="J563" s="2"/>
      <c r="K563" s="2"/>
      <c r="L563" s="2"/>
      <c r="M563" s="2"/>
      <c r="N563" s="2"/>
      <c r="O563" s="2"/>
      <c r="P563" s="2"/>
      <c r="Q563" s="2"/>
      <c r="R563" s="2"/>
      <c r="S563" s="2"/>
      <c r="T563" s="2"/>
      <c r="U563" s="2"/>
      <c r="V563" s="2"/>
      <c r="W563" s="2"/>
      <c r="X563" s="2"/>
      <c r="Y563" s="2"/>
      <c r="Z563" s="2"/>
    </row>
    <row r="564">
      <c r="A564" s="5"/>
      <c r="B564" s="5"/>
      <c r="C564" s="5"/>
      <c r="D564" s="5"/>
      <c r="E564" s="2"/>
      <c r="F564" s="2"/>
      <c r="G564" s="2"/>
      <c r="H564" s="2"/>
      <c r="I564" s="2"/>
      <c r="J564" s="2"/>
      <c r="K564" s="2"/>
      <c r="L564" s="2"/>
      <c r="M564" s="2"/>
      <c r="N564" s="2"/>
      <c r="O564" s="2"/>
      <c r="P564" s="2"/>
      <c r="Q564" s="2"/>
      <c r="R564" s="2"/>
      <c r="S564" s="2"/>
      <c r="T564" s="2"/>
      <c r="U564" s="2"/>
      <c r="V564" s="2"/>
      <c r="W564" s="2"/>
      <c r="X564" s="2"/>
      <c r="Y564" s="2"/>
      <c r="Z564" s="2"/>
    </row>
    <row r="565">
      <c r="A565" s="5"/>
      <c r="B565" s="5"/>
      <c r="C565" s="5"/>
      <c r="D565" s="5"/>
      <c r="E565" s="2"/>
      <c r="F565" s="2"/>
      <c r="G565" s="2"/>
      <c r="H565" s="2"/>
      <c r="I565" s="2"/>
      <c r="J565" s="2"/>
      <c r="K565" s="2"/>
      <c r="L565" s="2"/>
      <c r="M565" s="2"/>
      <c r="N565" s="2"/>
      <c r="O565" s="2"/>
      <c r="P565" s="2"/>
      <c r="Q565" s="2"/>
      <c r="R565" s="2"/>
      <c r="S565" s="2"/>
      <c r="T565" s="2"/>
      <c r="U565" s="2"/>
      <c r="V565" s="2"/>
      <c r="W565" s="2"/>
      <c r="X565" s="2"/>
      <c r="Y565" s="2"/>
      <c r="Z565" s="2"/>
    </row>
    <row r="566">
      <c r="A566" s="5"/>
      <c r="B566" s="5"/>
      <c r="C566" s="5"/>
      <c r="D566" s="5"/>
      <c r="E566" s="2"/>
      <c r="F566" s="2"/>
      <c r="G566" s="2"/>
      <c r="H566" s="2"/>
      <c r="I566" s="2"/>
      <c r="J566" s="2"/>
      <c r="K566" s="2"/>
      <c r="L566" s="2"/>
      <c r="M566" s="2"/>
      <c r="N566" s="2"/>
      <c r="O566" s="2"/>
      <c r="P566" s="2"/>
      <c r="Q566" s="2"/>
      <c r="R566" s="2"/>
      <c r="S566" s="2"/>
      <c r="T566" s="2"/>
      <c r="U566" s="2"/>
      <c r="V566" s="2"/>
      <c r="W566" s="2"/>
      <c r="X566" s="2"/>
      <c r="Y566" s="2"/>
      <c r="Z566" s="2"/>
    </row>
    <row r="567">
      <c r="A567" s="5"/>
      <c r="B567" s="5"/>
      <c r="C567" s="5"/>
      <c r="D567" s="5"/>
      <c r="E567" s="2"/>
      <c r="F567" s="2"/>
      <c r="G567" s="2"/>
      <c r="H567" s="2"/>
      <c r="I567" s="2"/>
      <c r="J567" s="2"/>
      <c r="K567" s="2"/>
      <c r="L567" s="2"/>
      <c r="M567" s="2"/>
      <c r="N567" s="2"/>
      <c r="O567" s="2"/>
      <c r="P567" s="2"/>
      <c r="Q567" s="2"/>
      <c r="R567" s="2"/>
      <c r="S567" s="2"/>
      <c r="T567" s="2"/>
      <c r="U567" s="2"/>
      <c r="V567" s="2"/>
      <c r="W567" s="2"/>
      <c r="X567" s="2"/>
      <c r="Y567" s="2"/>
      <c r="Z567" s="2"/>
    </row>
    <row r="568">
      <c r="A568" s="5"/>
      <c r="B568" s="5"/>
      <c r="C568" s="5"/>
      <c r="D568" s="5"/>
      <c r="E568" s="2"/>
      <c r="F568" s="2"/>
      <c r="G568" s="2"/>
      <c r="H568" s="2"/>
      <c r="I568" s="2"/>
      <c r="J568" s="2"/>
      <c r="K568" s="2"/>
      <c r="L568" s="2"/>
      <c r="M568" s="2"/>
      <c r="N568" s="2"/>
      <c r="O568" s="2"/>
      <c r="P568" s="2"/>
      <c r="Q568" s="2"/>
      <c r="R568" s="2"/>
      <c r="S568" s="2"/>
      <c r="T568" s="2"/>
      <c r="U568" s="2"/>
      <c r="V568" s="2"/>
      <c r="W568" s="2"/>
      <c r="X568" s="2"/>
      <c r="Y568" s="2"/>
      <c r="Z568" s="2"/>
    </row>
    <row r="569">
      <c r="A569" s="5"/>
      <c r="B569" s="5"/>
      <c r="C569" s="5"/>
      <c r="D569" s="5"/>
      <c r="E569" s="2"/>
      <c r="F569" s="2"/>
      <c r="G569" s="2"/>
      <c r="H569" s="2"/>
      <c r="I569" s="2"/>
      <c r="J569" s="2"/>
      <c r="K569" s="2"/>
      <c r="L569" s="2"/>
      <c r="M569" s="2"/>
      <c r="N569" s="2"/>
      <c r="O569" s="2"/>
      <c r="P569" s="2"/>
      <c r="Q569" s="2"/>
      <c r="R569" s="2"/>
      <c r="S569" s="2"/>
      <c r="T569" s="2"/>
      <c r="U569" s="2"/>
      <c r="V569" s="2"/>
      <c r="W569" s="2"/>
      <c r="X569" s="2"/>
      <c r="Y569" s="2"/>
      <c r="Z569" s="2"/>
    </row>
    <row r="570">
      <c r="A570" s="5"/>
      <c r="B570" s="5"/>
      <c r="C570" s="5"/>
      <c r="D570" s="5"/>
      <c r="E570" s="2"/>
      <c r="F570" s="2"/>
      <c r="G570" s="2"/>
      <c r="H570" s="2"/>
      <c r="I570" s="2"/>
      <c r="J570" s="2"/>
      <c r="K570" s="2"/>
      <c r="L570" s="2"/>
      <c r="M570" s="2"/>
      <c r="N570" s="2"/>
      <c r="O570" s="2"/>
      <c r="P570" s="2"/>
      <c r="Q570" s="2"/>
      <c r="R570" s="2"/>
      <c r="S570" s="2"/>
      <c r="T570" s="2"/>
      <c r="U570" s="2"/>
      <c r="V570" s="2"/>
      <c r="W570" s="2"/>
      <c r="X570" s="2"/>
      <c r="Y570" s="2"/>
      <c r="Z570" s="2"/>
    </row>
    <row r="571">
      <c r="A571" s="5"/>
      <c r="B571" s="5"/>
      <c r="C571" s="5"/>
      <c r="D571" s="5"/>
      <c r="E571" s="2"/>
      <c r="F571" s="2"/>
      <c r="G571" s="2"/>
      <c r="H571" s="2"/>
      <c r="I571" s="2"/>
      <c r="J571" s="2"/>
      <c r="K571" s="2"/>
      <c r="L571" s="2"/>
      <c r="M571" s="2"/>
      <c r="N571" s="2"/>
      <c r="O571" s="2"/>
      <c r="P571" s="2"/>
      <c r="Q571" s="2"/>
      <c r="R571" s="2"/>
      <c r="S571" s="2"/>
      <c r="T571" s="2"/>
      <c r="U571" s="2"/>
      <c r="V571" s="2"/>
      <c r="W571" s="2"/>
      <c r="X571" s="2"/>
      <c r="Y571" s="2"/>
      <c r="Z571" s="2"/>
    </row>
    <row r="572">
      <c r="A572" s="5"/>
      <c r="B572" s="5"/>
      <c r="C572" s="5"/>
      <c r="D572" s="5"/>
      <c r="E572" s="2"/>
      <c r="F572" s="2"/>
      <c r="G572" s="2"/>
      <c r="H572" s="2"/>
      <c r="I572" s="2"/>
      <c r="J572" s="2"/>
      <c r="K572" s="2"/>
      <c r="L572" s="2"/>
      <c r="M572" s="2"/>
      <c r="N572" s="2"/>
      <c r="O572" s="2"/>
      <c r="P572" s="2"/>
      <c r="Q572" s="2"/>
      <c r="R572" s="2"/>
      <c r="S572" s="2"/>
      <c r="T572" s="2"/>
      <c r="U572" s="2"/>
      <c r="V572" s="2"/>
      <c r="W572" s="2"/>
      <c r="X572" s="2"/>
      <c r="Y572" s="2"/>
      <c r="Z572" s="2"/>
    </row>
    <row r="573">
      <c r="A573" s="5"/>
      <c r="B573" s="5"/>
      <c r="C573" s="5"/>
      <c r="D573" s="5"/>
      <c r="E573" s="2"/>
      <c r="F573" s="2"/>
      <c r="G573" s="2"/>
      <c r="H573" s="2"/>
      <c r="I573" s="2"/>
      <c r="J573" s="2"/>
      <c r="K573" s="2"/>
      <c r="L573" s="2"/>
      <c r="M573" s="2"/>
      <c r="N573" s="2"/>
      <c r="O573" s="2"/>
      <c r="P573" s="2"/>
      <c r="Q573" s="2"/>
      <c r="R573" s="2"/>
      <c r="S573" s="2"/>
      <c r="T573" s="2"/>
      <c r="U573" s="2"/>
      <c r="V573" s="2"/>
      <c r="W573" s="2"/>
      <c r="X573" s="2"/>
      <c r="Y573" s="2"/>
      <c r="Z573" s="2"/>
    </row>
    <row r="574">
      <c r="A574" s="5"/>
      <c r="B574" s="5"/>
      <c r="C574" s="5"/>
      <c r="D574" s="5"/>
      <c r="E574" s="2"/>
      <c r="F574" s="2"/>
      <c r="G574" s="2"/>
      <c r="H574" s="2"/>
      <c r="I574" s="2"/>
      <c r="J574" s="2"/>
      <c r="K574" s="2"/>
      <c r="L574" s="2"/>
      <c r="M574" s="2"/>
      <c r="N574" s="2"/>
      <c r="O574" s="2"/>
      <c r="P574" s="2"/>
      <c r="Q574" s="2"/>
      <c r="R574" s="2"/>
      <c r="S574" s="2"/>
      <c r="T574" s="2"/>
      <c r="U574" s="2"/>
      <c r="V574" s="2"/>
      <c r="W574" s="2"/>
      <c r="X574" s="2"/>
      <c r="Y574" s="2"/>
      <c r="Z574" s="2"/>
    </row>
    <row r="575">
      <c r="A575" s="5"/>
      <c r="B575" s="5"/>
      <c r="C575" s="5"/>
      <c r="D575" s="5"/>
      <c r="E575" s="2"/>
      <c r="F575" s="2"/>
      <c r="G575" s="2"/>
      <c r="H575" s="2"/>
      <c r="I575" s="2"/>
      <c r="J575" s="2"/>
      <c r="K575" s="2"/>
      <c r="L575" s="2"/>
      <c r="M575" s="2"/>
      <c r="N575" s="2"/>
      <c r="O575" s="2"/>
      <c r="P575" s="2"/>
      <c r="Q575" s="2"/>
      <c r="R575" s="2"/>
      <c r="S575" s="2"/>
      <c r="T575" s="2"/>
      <c r="U575" s="2"/>
      <c r="V575" s="2"/>
      <c r="W575" s="2"/>
      <c r="X575" s="2"/>
      <c r="Y575" s="2"/>
      <c r="Z575" s="2"/>
    </row>
    <row r="576">
      <c r="A576" s="5"/>
      <c r="B576" s="5"/>
      <c r="C576" s="5"/>
      <c r="D576" s="5"/>
      <c r="E576" s="2"/>
      <c r="F576" s="2"/>
      <c r="G576" s="2"/>
      <c r="H576" s="2"/>
      <c r="I576" s="2"/>
      <c r="J576" s="2"/>
      <c r="K576" s="2"/>
      <c r="L576" s="2"/>
      <c r="M576" s="2"/>
      <c r="N576" s="2"/>
      <c r="O576" s="2"/>
      <c r="P576" s="2"/>
      <c r="Q576" s="2"/>
      <c r="R576" s="2"/>
      <c r="S576" s="2"/>
      <c r="T576" s="2"/>
      <c r="U576" s="2"/>
      <c r="V576" s="2"/>
      <c r="W576" s="2"/>
      <c r="X576" s="2"/>
      <c r="Y576" s="2"/>
      <c r="Z576" s="2"/>
    </row>
    <row r="577">
      <c r="A577" s="5"/>
      <c r="B577" s="5"/>
      <c r="C577" s="5"/>
      <c r="D577" s="5"/>
      <c r="E577" s="2"/>
      <c r="F577" s="2"/>
      <c r="G577" s="2"/>
      <c r="H577" s="2"/>
      <c r="I577" s="2"/>
      <c r="J577" s="2"/>
      <c r="K577" s="2"/>
      <c r="L577" s="2"/>
      <c r="M577" s="2"/>
      <c r="N577" s="2"/>
      <c r="O577" s="2"/>
      <c r="P577" s="2"/>
      <c r="Q577" s="2"/>
      <c r="R577" s="2"/>
      <c r="S577" s="2"/>
      <c r="T577" s="2"/>
      <c r="U577" s="2"/>
      <c r="V577" s="2"/>
      <c r="W577" s="2"/>
      <c r="X577" s="2"/>
      <c r="Y577" s="2"/>
      <c r="Z577" s="2"/>
    </row>
    <row r="578">
      <c r="A578" s="5"/>
      <c r="B578" s="5"/>
      <c r="C578" s="5"/>
      <c r="D578" s="5"/>
      <c r="E578" s="2"/>
      <c r="F578" s="2"/>
      <c r="G578" s="2"/>
      <c r="H578" s="2"/>
      <c r="I578" s="2"/>
      <c r="J578" s="2"/>
      <c r="K578" s="2"/>
      <c r="L578" s="2"/>
      <c r="M578" s="2"/>
      <c r="N578" s="2"/>
      <c r="O578" s="2"/>
      <c r="P578" s="2"/>
      <c r="Q578" s="2"/>
      <c r="R578" s="2"/>
      <c r="S578" s="2"/>
      <c r="T578" s="2"/>
      <c r="U578" s="2"/>
      <c r="V578" s="2"/>
      <c r="W578" s="2"/>
      <c r="X578" s="2"/>
      <c r="Y578" s="2"/>
      <c r="Z578" s="2"/>
    </row>
    <row r="579">
      <c r="A579" s="5"/>
      <c r="B579" s="5"/>
      <c r="C579" s="5"/>
      <c r="D579" s="5"/>
      <c r="E579" s="2"/>
      <c r="F579" s="2"/>
      <c r="G579" s="2"/>
      <c r="H579" s="2"/>
      <c r="I579" s="2"/>
      <c r="J579" s="2"/>
      <c r="K579" s="2"/>
      <c r="L579" s="2"/>
      <c r="M579" s="2"/>
      <c r="N579" s="2"/>
      <c r="O579" s="2"/>
      <c r="P579" s="2"/>
      <c r="Q579" s="2"/>
      <c r="R579" s="2"/>
      <c r="S579" s="2"/>
      <c r="T579" s="2"/>
      <c r="U579" s="2"/>
      <c r="V579" s="2"/>
      <c r="W579" s="2"/>
      <c r="X579" s="2"/>
      <c r="Y579" s="2"/>
      <c r="Z579" s="2"/>
    </row>
    <row r="580">
      <c r="A580" s="5"/>
      <c r="B580" s="5"/>
      <c r="C580" s="5"/>
      <c r="D580" s="5"/>
      <c r="E580" s="2"/>
      <c r="F580" s="2"/>
      <c r="G580" s="2"/>
      <c r="H580" s="2"/>
      <c r="I580" s="2"/>
      <c r="J580" s="2"/>
      <c r="K580" s="2"/>
      <c r="L580" s="2"/>
      <c r="M580" s="2"/>
      <c r="N580" s="2"/>
      <c r="O580" s="2"/>
      <c r="P580" s="2"/>
      <c r="Q580" s="2"/>
      <c r="R580" s="2"/>
      <c r="S580" s="2"/>
      <c r="T580" s="2"/>
      <c r="U580" s="2"/>
      <c r="V580" s="2"/>
      <c r="W580" s="2"/>
      <c r="X580" s="2"/>
      <c r="Y580" s="2"/>
      <c r="Z580" s="2"/>
    </row>
    <row r="581">
      <c r="A581" s="5"/>
      <c r="B581" s="5"/>
      <c r="C581" s="5"/>
      <c r="D581" s="5"/>
      <c r="E581" s="2"/>
      <c r="F581" s="2"/>
      <c r="G581" s="2"/>
      <c r="H581" s="2"/>
      <c r="I581" s="2"/>
      <c r="J581" s="2"/>
      <c r="K581" s="2"/>
      <c r="L581" s="2"/>
      <c r="M581" s="2"/>
      <c r="N581" s="2"/>
      <c r="O581" s="2"/>
      <c r="P581" s="2"/>
      <c r="Q581" s="2"/>
      <c r="R581" s="2"/>
      <c r="S581" s="2"/>
      <c r="T581" s="2"/>
      <c r="U581" s="2"/>
      <c r="V581" s="2"/>
      <c r="W581" s="2"/>
      <c r="X581" s="2"/>
      <c r="Y581" s="2"/>
      <c r="Z581" s="2"/>
    </row>
    <row r="582">
      <c r="A582" s="5"/>
      <c r="B582" s="5"/>
      <c r="C582" s="5"/>
      <c r="D582" s="5"/>
      <c r="E582" s="2"/>
      <c r="F582" s="2"/>
      <c r="G582" s="2"/>
      <c r="H582" s="2"/>
      <c r="I582" s="2"/>
      <c r="J582" s="2"/>
      <c r="K582" s="2"/>
      <c r="L582" s="2"/>
      <c r="M582" s="2"/>
      <c r="N582" s="2"/>
      <c r="O582" s="2"/>
      <c r="P582" s="2"/>
      <c r="Q582" s="2"/>
      <c r="R582" s="2"/>
      <c r="S582" s="2"/>
      <c r="T582" s="2"/>
      <c r="U582" s="2"/>
      <c r="V582" s="2"/>
      <c r="W582" s="2"/>
      <c r="X582" s="2"/>
      <c r="Y582" s="2"/>
      <c r="Z582" s="2"/>
    </row>
    <row r="583">
      <c r="A583" s="5"/>
      <c r="B583" s="5"/>
      <c r="C583" s="5"/>
      <c r="D583" s="5"/>
      <c r="E583" s="2"/>
      <c r="F583" s="2"/>
      <c r="G583" s="2"/>
      <c r="H583" s="2"/>
      <c r="I583" s="2"/>
      <c r="J583" s="2"/>
      <c r="K583" s="2"/>
      <c r="L583" s="2"/>
      <c r="M583" s="2"/>
      <c r="N583" s="2"/>
      <c r="O583" s="2"/>
      <c r="P583" s="2"/>
      <c r="Q583" s="2"/>
      <c r="R583" s="2"/>
      <c r="S583" s="2"/>
      <c r="T583" s="2"/>
      <c r="U583" s="2"/>
      <c r="V583" s="2"/>
      <c r="W583" s="2"/>
      <c r="X583" s="2"/>
      <c r="Y583" s="2"/>
      <c r="Z583" s="2"/>
    </row>
    <row r="584">
      <c r="A584" s="5"/>
      <c r="B584" s="5"/>
      <c r="C584" s="5"/>
      <c r="D584" s="5"/>
      <c r="E584" s="2"/>
      <c r="F584" s="2"/>
      <c r="G584" s="2"/>
      <c r="H584" s="2"/>
      <c r="I584" s="2"/>
      <c r="J584" s="2"/>
      <c r="K584" s="2"/>
      <c r="L584" s="2"/>
      <c r="M584" s="2"/>
      <c r="N584" s="2"/>
      <c r="O584" s="2"/>
      <c r="P584" s="2"/>
      <c r="Q584" s="2"/>
      <c r="R584" s="2"/>
      <c r="S584" s="2"/>
      <c r="T584" s="2"/>
      <c r="U584" s="2"/>
      <c r="V584" s="2"/>
      <c r="W584" s="2"/>
      <c r="X584" s="2"/>
      <c r="Y584" s="2"/>
      <c r="Z584" s="2"/>
    </row>
    <row r="585">
      <c r="A585" s="5"/>
      <c r="B585" s="5"/>
      <c r="C585" s="5"/>
      <c r="D585" s="5"/>
      <c r="E585" s="2"/>
      <c r="F585" s="2"/>
      <c r="G585" s="2"/>
      <c r="H585" s="2"/>
      <c r="I585" s="2"/>
      <c r="J585" s="2"/>
      <c r="K585" s="2"/>
      <c r="L585" s="2"/>
      <c r="M585" s="2"/>
      <c r="N585" s="2"/>
      <c r="O585" s="2"/>
      <c r="P585" s="2"/>
      <c r="Q585" s="2"/>
      <c r="R585" s="2"/>
      <c r="S585" s="2"/>
      <c r="T585" s="2"/>
      <c r="U585" s="2"/>
      <c r="V585" s="2"/>
      <c r="W585" s="2"/>
      <c r="X585" s="2"/>
      <c r="Y585" s="2"/>
      <c r="Z585" s="2"/>
    </row>
    <row r="586">
      <c r="A586" s="5"/>
      <c r="B586" s="5"/>
      <c r="C586" s="5"/>
      <c r="D586" s="5"/>
      <c r="E586" s="2"/>
      <c r="F586" s="2"/>
      <c r="G586" s="2"/>
      <c r="H586" s="2"/>
      <c r="I586" s="2"/>
      <c r="J586" s="2"/>
      <c r="K586" s="2"/>
      <c r="L586" s="2"/>
      <c r="M586" s="2"/>
      <c r="N586" s="2"/>
      <c r="O586" s="2"/>
      <c r="P586" s="2"/>
      <c r="Q586" s="2"/>
      <c r="R586" s="2"/>
      <c r="S586" s="2"/>
      <c r="T586" s="2"/>
      <c r="U586" s="2"/>
      <c r="V586" s="2"/>
      <c r="W586" s="2"/>
      <c r="X586" s="2"/>
      <c r="Y586" s="2"/>
      <c r="Z586" s="2"/>
    </row>
    <row r="587">
      <c r="A587" s="5"/>
      <c r="B587" s="5"/>
      <c r="C587" s="5"/>
      <c r="D587" s="5"/>
      <c r="E587" s="2"/>
      <c r="F587" s="2"/>
      <c r="G587" s="2"/>
      <c r="H587" s="2"/>
      <c r="I587" s="2"/>
      <c r="J587" s="2"/>
      <c r="K587" s="2"/>
      <c r="L587" s="2"/>
      <c r="M587" s="2"/>
      <c r="N587" s="2"/>
      <c r="O587" s="2"/>
      <c r="P587" s="2"/>
      <c r="Q587" s="2"/>
      <c r="R587" s="2"/>
      <c r="S587" s="2"/>
      <c r="T587" s="2"/>
      <c r="U587" s="2"/>
      <c r="V587" s="2"/>
      <c r="W587" s="2"/>
      <c r="X587" s="2"/>
      <c r="Y587" s="2"/>
      <c r="Z587" s="2"/>
    </row>
    <row r="588">
      <c r="A588" s="5"/>
      <c r="B588" s="5"/>
      <c r="C588" s="5"/>
      <c r="D588" s="5"/>
      <c r="E588" s="2"/>
      <c r="F588" s="2"/>
      <c r="G588" s="2"/>
      <c r="H588" s="2"/>
      <c r="I588" s="2"/>
      <c r="J588" s="2"/>
      <c r="K588" s="2"/>
      <c r="L588" s="2"/>
      <c r="M588" s="2"/>
      <c r="N588" s="2"/>
      <c r="O588" s="2"/>
      <c r="P588" s="2"/>
      <c r="Q588" s="2"/>
      <c r="R588" s="2"/>
      <c r="S588" s="2"/>
      <c r="T588" s="2"/>
      <c r="U588" s="2"/>
      <c r="V588" s="2"/>
      <c r="W588" s="2"/>
      <c r="X588" s="2"/>
      <c r="Y588" s="2"/>
      <c r="Z588" s="2"/>
    </row>
    <row r="589">
      <c r="A589" s="5"/>
      <c r="B589" s="5"/>
      <c r="C589" s="5"/>
      <c r="D589" s="5"/>
      <c r="E589" s="2"/>
      <c r="F589" s="2"/>
      <c r="G589" s="2"/>
      <c r="H589" s="2"/>
      <c r="I589" s="2"/>
      <c r="J589" s="2"/>
      <c r="K589" s="2"/>
      <c r="L589" s="2"/>
      <c r="M589" s="2"/>
      <c r="N589" s="2"/>
      <c r="O589" s="2"/>
      <c r="P589" s="2"/>
      <c r="Q589" s="2"/>
      <c r="R589" s="2"/>
      <c r="S589" s="2"/>
      <c r="T589" s="2"/>
      <c r="U589" s="2"/>
      <c r="V589" s="2"/>
      <c r="W589" s="2"/>
      <c r="X589" s="2"/>
      <c r="Y589" s="2"/>
      <c r="Z589" s="2"/>
    </row>
    <row r="590">
      <c r="A590" s="5"/>
      <c r="B590" s="5"/>
      <c r="C590" s="5"/>
      <c r="D590" s="5"/>
      <c r="E590" s="2"/>
      <c r="F590" s="2"/>
      <c r="G590" s="2"/>
      <c r="H590" s="2"/>
      <c r="I590" s="2"/>
      <c r="J590" s="2"/>
      <c r="K590" s="2"/>
      <c r="L590" s="2"/>
      <c r="M590" s="2"/>
      <c r="N590" s="2"/>
      <c r="O590" s="2"/>
      <c r="P590" s="2"/>
      <c r="Q590" s="2"/>
      <c r="R590" s="2"/>
      <c r="S590" s="2"/>
      <c r="T590" s="2"/>
      <c r="U590" s="2"/>
      <c r="V590" s="2"/>
      <c r="W590" s="2"/>
      <c r="X590" s="2"/>
      <c r="Y590" s="2"/>
      <c r="Z590" s="2"/>
    </row>
    <row r="591">
      <c r="A591" s="5"/>
      <c r="B591" s="5"/>
      <c r="C591" s="5"/>
      <c r="D591" s="5"/>
      <c r="E591" s="2"/>
      <c r="F591" s="2"/>
      <c r="G591" s="2"/>
      <c r="H591" s="2"/>
      <c r="I591" s="2"/>
      <c r="J591" s="2"/>
      <c r="K591" s="2"/>
      <c r="L591" s="2"/>
      <c r="M591" s="2"/>
      <c r="N591" s="2"/>
      <c r="O591" s="2"/>
      <c r="P591" s="2"/>
      <c r="Q591" s="2"/>
      <c r="R591" s="2"/>
      <c r="S591" s="2"/>
      <c r="T591" s="2"/>
      <c r="U591" s="2"/>
      <c r="V591" s="2"/>
      <c r="W591" s="2"/>
      <c r="X591" s="2"/>
      <c r="Y591" s="2"/>
      <c r="Z591" s="2"/>
    </row>
    <row r="592">
      <c r="A592" s="5"/>
      <c r="B592" s="5"/>
      <c r="C592" s="5"/>
      <c r="D592" s="5"/>
      <c r="E592" s="2"/>
      <c r="F592" s="2"/>
      <c r="G592" s="2"/>
      <c r="H592" s="2"/>
      <c r="I592" s="2"/>
      <c r="J592" s="2"/>
      <c r="K592" s="2"/>
      <c r="L592" s="2"/>
      <c r="M592" s="2"/>
      <c r="N592" s="2"/>
      <c r="O592" s="2"/>
      <c r="P592" s="2"/>
      <c r="Q592" s="2"/>
      <c r="R592" s="2"/>
      <c r="S592" s="2"/>
      <c r="T592" s="2"/>
      <c r="U592" s="2"/>
      <c r="V592" s="2"/>
      <c r="W592" s="2"/>
      <c r="X592" s="2"/>
      <c r="Y592" s="2"/>
      <c r="Z592" s="2"/>
    </row>
    <row r="593">
      <c r="A593" s="5"/>
      <c r="B593" s="5"/>
      <c r="C593" s="5"/>
      <c r="D593" s="5"/>
      <c r="E593" s="2"/>
      <c r="F593" s="2"/>
      <c r="G593" s="2"/>
      <c r="H593" s="2"/>
      <c r="I593" s="2"/>
      <c r="J593" s="2"/>
      <c r="K593" s="2"/>
      <c r="L593" s="2"/>
      <c r="M593" s="2"/>
      <c r="N593" s="2"/>
      <c r="O593" s="2"/>
      <c r="P593" s="2"/>
      <c r="Q593" s="2"/>
      <c r="R593" s="2"/>
      <c r="S593" s="2"/>
      <c r="T593" s="2"/>
      <c r="U593" s="2"/>
      <c r="V593" s="2"/>
      <c r="W593" s="2"/>
      <c r="X593" s="2"/>
      <c r="Y593" s="2"/>
      <c r="Z593" s="2"/>
    </row>
    <row r="594">
      <c r="A594" s="5"/>
      <c r="B594" s="5"/>
      <c r="C594" s="5"/>
      <c r="D594" s="5"/>
      <c r="E594" s="2"/>
      <c r="F594" s="2"/>
      <c r="G594" s="2"/>
      <c r="H594" s="2"/>
      <c r="I594" s="2"/>
      <c r="J594" s="2"/>
      <c r="K594" s="2"/>
      <c r="L594" s="2"/>
      <c r="M594" s="2"/>
      <c r="N594" s="2"/>
      <c r="O594" s="2"/>
      <c r="P594" s="2"/>
      <c r="Q594" s="2"/>
      <c r="R594" s="2"/>
      <c r="S594" s="2"/>
      <c r="T594" s="2"/>
      <c r="U594" s="2"/>
      <c r="V594" s="2"/>
      <c r="W594" s="2"/>
      <c r="X594" s="2"/>
      <c r="Y594" s="2"/>
      <c r="Z594" s="2"/>
    </row>
    <row r="595">
      <c r="A595" s="5"/>
      <c r="B595" s="5"/>
      <c r="C595" s="5"/>
      <c r="D595" s="5"/>
      <c r="E595" s="2"/>
      <c r="F595" s="2"/>
      <c r="G595" s="2"/>
      <c r="H595" s="2"/>
      <c r="I595" s="2"/>
      <c r="J595" s="2"/>
      <c r="K595" s="2"/>
      <c r="L595" s="2"/>
      <c r="M595" s="2"/>
      <c r="N595" s="2"/>
      <c r="O595" s="2"/>
      <c r="P595" s="2"/>
      <c r="Q595" s="2"/>
      <c r="R595" s="2"/>
      <c r="S595" s="2"/>
      <c r="T595" s="2"/>
      <c r="U595" s="2"/>
      <c r="V595" s="2"/>
      <c r="W595" s="2"/>
      <c r="X595" s="2"/>
      <c r="Y595" s="2"/>
      <c r="Z595" s="2"/>
    </row>
    <row r="596">
      <c r="A596" s="5"/>
      <c r="B596" s="5"/>
      <c r="C596" s="5"/>
      <c r="D596" s="5"/>
      <c r="E596" s="2"/>
      <c r="F596" s="2"/>
      <c r="G596" s="2"/>
      <c r="H596" s="2"/>
      <c r="I596" s="2"/>
      <c r="J596" s="2"/>
      <c r="K596" s="2"/>
      <c r="L596" s="2"/>
      <c r="M596" s="2"/>
      <c r="N596" s="2"/>
      <c r="O596" s="2"/>
      <c r="P596" s="2"/>
      <c r="Q596" s="2"/>
      <c r="R596" s="2"/>
      <c r="S596" s="2"/>
      <c r="T596" s="2"/>
      <c r="U596" s="2"/>
      <c r="V596" s="2"/>
      <c r="W596" s="2"/>
      <c r="X596" s="2"/>
      <c r="Y596" s="2"/>
      <c r="Z596" s="2"/>
    </row>
    <row r="597">
      <c r="A597" s="5"/>
      <c r="B597" s="5"/>
      <c r="C597" s="5"/>
      <c r="D597" s="5"/>
      <c r="E597" s="2"/>
      <c r="F597" s="2"/>
      <c r="G597" s="2"/>
      <c r="H597" s="2"/>
      <c r="I597" s="2"/>
      <c r="J597" s="2"/>
      <c r="K597" s="2"/>
      <c r="L597" s="2"/>
      <c r="M597" s="2"/>
      <c r="N597" s="2"/>
      <c r="O597" s="2"/>
      <c r="P597" s="2"/>
      <c r="Q597" s="2"/>
      <c r="R597" s="2"/>
      <c r="S597" s="2"/>
      <c r="T597" s="2"/>
      <c r="U597" s="2"/>
      <c r="V597" s="2"/>
      <c r="W597" s="2"/>
      <c r="X597" s="2"/>
      <c r="Y597" s="2"/>
      <c r="Z597" s="2"/>
    </row>
    <row r="598">
      <c r="A598" s="5"/>
      <c r="B598" s="5"/>
      <c r="C598" s="5"/>
      <c r="D598" s="5"/>
      <c r="E598" s="2"/>
      <c r="F598" s="2"/>
      <c r="G598" s="2"/>
      <c r="H598" s="2"/>
      <c r="I598" s="2"/>
      <c r="J598" s="2"/>
      <c r="K598" s="2"/>
      <c r="L598" s="2"/>
      <c r="M598" s="2"/>
      <c r="N598" s="2"/>
      <c r="O598" s="2"/>
      <c r="P598" s="2"/>
      <c r="Q598" s="2"/>
      <c r="R598" s="2"/>
      <c r="S598" s="2"/>
      <c r="T598" s="2"/>
      <c r="U598" s="2"/>
      <c r="V598" s="2"/>
      <c r="W598" s="2"/>
      <c r="X598" s="2"/>
      <c r="Y598" s="2"/>
      <c r="Z598" s="2"/>
    </row>
    <row r="599">
      <c r="A599" s="5"/>
      <c r="B599" s="5"/>
      <c r="C599" s="5"/>
      <c r="D599" s="5"/>
      <c r="E599" s="2"/>
      <c r="F599" s="2"/>
      <c r="G599" s="2"/>
      <c r="H599" s="2"/>
      <c r="I599" s="2"/>
      <c r="J599" s="2"/>
      <c r="K599" s="2"/>
      <c r="L599" s="2"/>
      <c r="M599" s="2"/>
      <c r="N599" s="2"/>
      <c r="O599" s="2"/>
      <c r="P599" s="2"/>
      <c r="Q599" s="2"/>
      <c r="R599" s="2"/>
      <c r="S599" s="2"/>
      <c r="T599" s="2"/>
      <c r="U599" s="2"/>
      <c r="V599" s="2"/>
      <c r="W599" s="2"/>
      <c r="X599" s="2"/>
      <c r="Y599" s="2"/>
      <c r="Z599" s="2"/>
    </row>
    <row r="600">
      <c r="A600" s="5"/>
      <c r="B600" s="5"/>
      <c r="C600" s="5"/>
      <c r="D600" s="5"/>
      <c r="E600" s="2"/>
      <c r="F600" s="2"/>
      <c r="G600" s="2"/>
      <c r="H600" s="2"/>
      <c r="I600" s="2"/>
      <c r="J600" s="2"/>
      <c r="K600" s="2"/>
      <c r="L600" s="2"/>
      <c r="M600" s="2"/>
      <c r="N600" s="2"/>
      <c r="O600" s="2"/>
      <c r="P600" s="2"/>
      <c r="Q600" s="2"/>
      <c r="R600" s="2"/>
      <c r="S600" s="2"/>
      <c r="T600" s="2"/>
      <c r="U600" s="2"/>
      <c r="V600" s="2"/>
      <c r="W600" s="2"/>
      <c r="X600" s="2"/>
      <c r="Y600" s="2"/>
      <c r="Z600" s="2"/>
    </row>
    <row r="601">
      <c r="A601" s="5"/>
      <c r="B601" s="5"/>
      <c r="C601" s="5"/>
      <c r="D601" s="5"/>
      <c r="E601" s="2"/>
      <c r="F601" s="2"/>
      <c r="G601" s="2"/>
      <c r="H601" s="2"/>
      <c r="I601" s="2"/>
      <c r="J601" s="2"/>
      <c r="K601" s="2"/>
      <c r="L601" s="2"/>
      <c r="M601" s="2"/>
      <c r="N601" s="2"/>
      <c r="O601" s="2"/>
      <c r="P601" s="2"/>
      <c r="Q601" s="2"/>
      <c r="R601" s="2"/>
      <c r="S601" s="2"/>
      <c r="T601" s="2"/>
      <c r="U601" s="2"/>
      <c r="V601" s="2"/>
      <c r="W601" s="2"/>
      <c r="X601" s="2"/>
      <c r="Y601" s="2"/>
      <c r="Z601" s="2"/>
    </row>
    <row r="602">
      <c r="A602" s="5"/>
      <c r="B602" s="5"/>
      <c r="C602" s="5"/>
      <c r="D602" s="5"/>
      <c r="E602" s="2"/>
      <c r="F602" s="2"/>
      <c r="G602" s="2"/>
      <c r="H602" s="2"/>
      <c r="I602" s="2"/>
      <c r="J602" s="2"/>
      <c r="K602" s="2"/>
      <c r="L602" s="2"/>
      <c r="M602" s="2"/>
      <c r="N602" s="2"/>
      <c r="O602" s="2"/>
      <c r="P602" s="2"/>
      <c r="Q602" s="2"/>
      <c r="R602" s="2"/>
      <c r="S602" s="2"/>
      <c r="T602" s="2"/>
      <c r="U602" s="2"/>
      <c r="V602" s="2"/>
      <c r="W602" s="2"/>
      <c r="X602" s="2"/>
      <c r="Y602" s="2"/>
      <c r="Z602" s="2"/>
    </row>
    <row r="603">
      <c r="A603" s="5"/>
      <c r="B603" s="5"/>
      <c r="C603" s="5"/>
      <c r="D603" s="5"/>
      <c r="E603" s="2"/>
      <c r="F603" s="2"/>
      <c r="G603" s="2"/>
      <c r="H603" s="2"/>
      <c r="I603" s="2"/>
      <c r="J603" s="2"/>
      <c r="K603" s="2"/>
      <c r="L603" s="2"/>
      <c r="M603" s="2"/>
      <c r="N603" s="2"/>
      <c r="O603" s="2"/>
      <c r="P603" s="2"/>
      <c r="Q603" s="2"/>
      <c r="R603" s="2"/>
      <c r="S603" s="2"/>
      <c r="T603" s="2"/>
      <c r="U603" s="2"/>
      <c r="V603" s="2"/>
      <c r="W603" s="2"/>
      <c r="X603" s="2"/>
      <c r="Y603" s="2"/>
      <c r="Z603" s="2"/>
    </row>
    <row r="604">
      <c r="A604" s="5"/>
      <c r="B604" s="5"/>
      <c r="C604" s="5"/>
      <c r="D604" s="5"/>
      <c r="E604" s="2"/>
      <c r="F604" s="2"/>
      <c r="G604" s="2"/>
      <c r="H604" s="2"/>
      <c r="I604" s="2"/>
      <c r="J604" s="2"/>
      <c r="K604" s="2"/>
      <c r="L604" s="2"/>
      <c r="M604" s="2"/>
      <c r="N604" s="2"/>
      <c r="O604" s="2"/>
      <c r="P604" s="2"/>
      <c r="Q604" s="2"/>
      <c r="R604" s="2"/>
      <c r="S604" s="2"/>
      <c r="T604" s="2"/>
      <c r="U604" s="2"/>
      <c r="V604" s="2"/>
      <c r="W604" s="2"/>
      <c r="X604" s="2"/>
      <c r="Y604" s="2"/>
      <c r="Z604" s="2"/>
    </row>
    <row r="605">
      <c r="A605" s="5"/>
      <c r="B605" s="5"/>
      <c r="C605" s="5"/>
      <c r="D605" s="5"/>
      <c r="E605" s="2"/>
      <c r="F605" s="2"/>
      <c r="G605" s="2"/>
      <c r="H605" s="2"/>
      <c r="I605" s="2"/>
      <c r="J605" s="2"/>
      <c r="K605" s="2"/>
      <c r="L605" s="2"/>
      <c r="M605" s="2"/>
      <c r="N605" s="2"/>
      <c r="O605" s="2"/>
      <c r="P605" s="2"/>
      <c r="Q605" s="2"/>
      <c r="R605" s="2"/>
      <c r="S605" s="2"/>
      <c r="T605" s="2"/>
      <c r="U605" s="2"/>
      <c r="V605" s="2"/>
      <c r="W605" s="2"/>
      <c r="X605" s="2"/>
      <c r="Y605" s="2"/>
      <c r="Z605" s="2"/>
    </row>
    <row r="606">
      <c r="A606" s="5"/>
      <c r="B606" s="5"/>
      <c r="C606" s="5"/>
      <c r="D606" s="5"/>
      <c r="E606" s="2"/>
      <c r="F606" s="2"/>
      <c r="G606" s="2"/>
      <c r="H606" s="2"/>
      <c r="I606" s="2"/>
      <c r="J606" s="2"/>
      <c r="K606" s="2"/>
      <c r="L606" s="2"/>
      <c r="M606" s="2"/>
      <c r="N606" s="2"/>
      <c r="O606" s="2"/>
      <c r="P606" s="2"/>
      <c r="Q606" s="2"/>
      <c r="R606" s="2"/>
      <c r="S606" s="2"/>
      <c r="T606" s="2"/>
      <c r="U606" s="2"/>
      <c r="V606" s="2"/>
      <c r="W606" s="2"/>
      <c r="X606" s="2"/>
      <c r="Y606" s="2"/>
      <c r="Z606" s="2"/>
    </row>
    <row r="607">
      <c r="A607" s="5"/>
      <c r="B607" s="5"/>
      <c r="C607" s="5"/>
      <c r="D607" s="5"/>
      <c r="E607" s="2"/>
      <c r="F607" s="2"/>
      <c r="G607" s="2"/>
      <c r="H607" s="2"/>
      <c r="I607" s="2"/>
      <c r="J607" s="2"/>
      <c r="K607" s="2"/>
      <c r="L607" s="2"/>
      <c r="M607" s="2"/>
      <c r="N607" s="2"/>
      <c r="O607" s="2"/>
      <c r="P607" s="2"/>
      <c r="Q607" s="2"/>
      <c r="R607" s="2"/>
      <c r="S607" s="2"/>
      <c r="T607" s="2"/>
      <c r="U607" s="2"/>
      <c r="V607" s="2"/>
      <c r="W607" s="2"/>
      <c r="X607" s="2"/>
      <c r="Y607" s="2"/>
      <c r="Z607" s="2"/>
    </row>
    <row r="608">
      <c r="A608" s="5"/>
      <c r="B608" s="5"/>
      <c r="C608" s="5"/>
      <c r="D608" s="5"/>
      <c r="E608" s="2"/>
      <c r="F608" s="2"/>
      <c r="G608" s="2"/>
      <c r="H608" s="2"/>
      <c r="I608" s="2"/>
      <c r="J608" s="2"/>
      <c r="K608" s="2"/>
      <c r="L608" s="2"/>
      <c r="M608" s="2"/>
      <c r="N608" s="2"/>
      <c r="O608" s="2"/>
      <c r="P608" s="2"/>
      <c r="Q608" s="2"/>
      <c r="R608" s="2"/>
      <c r="S608" s="2"/>
      <c r="T608" s="2"/>
      <c r="U608" s="2"/>
      <c r="V608" s="2"/>
      <c r="W608" s="2"/>
      <c r="X608" s="2"/>
      <c r="Y608" s="2"/>
      <c r="Z608" s="2"/>
    </row>
    <row r="609">
      <c r="A609" s="5"/>
      <c r="B609" s="5"/>
      <c r="C609" s="5"/>
      <c r="D609" s="5"/>
      <c r="E609" s="2"/>
      <c r="F609" s="2"/>
      <c r="G609" s="2"/>
      <c r="H609" s="2"/>
      <c r="I609" s="2"/>
      <c r="J609" s="2"/>
      <c r="K609" s="2"/>
      <c r="L609" s="2"/>
      <c r="M609" s="2"/>
      <c r="N609" s="2"/>
      <c r="O609" s="2"/>
      <c r="P609" s="2"/>
      <c r="Q609" s="2"/>
      <c r="R609" s="2"/>
      <c r="S609" s="2"/>
      <c r="T609" s="2"/>
      <c r="U609" s="2"/>
      <c r="V609" s="2"/>
      <c r="W609" s="2"/>
      <c r="X609" s="2"/>
      <c r="Y609" s="2"/>
      <c r="Z609" s="2"/>
    </row>
    <row r="610">
      <c r="A610" s="5"/>
      <c r="B610" s="5"/>
      <c r="C610" s="5"/>
      <c r="D610" s="5"/>
      <c r="E610" s="2"/>
      <c r="F610" s="2"/>
      <c r="G610" s="2"/>
      <c r="H610" s="2"/>
      <c r="I610" s="2"/>
      <c r="J610" s="2"/>
      <c r="K610" s="2"/>
      <c r="L610" s="2"/>
      <c r="M610" s="2"/>
      <c r="N610" s="2"/>
      <c r="O610" s="2"/>
      <c r="P610" s="2"/>
      <c r="Q610" s="2"/>
      <c r="R610" s="2"/>
      <c r="S610" s="2"/>
      <c r="T610" s="2"/>
      <c r="U610" s="2"/>
      <c r="V610" s="2"/>
      <c r="W610" s="2"/>
      <c r="X610" s="2"/>
      <c r="Y610" s="2"/>
      <c r="Z610" s="2"/>
    </row>
    <row r="611">
      <c r="A611" s="5"/>
      <c r="B611" s="5"/>
      <c r="C611" s="5"/>
      <c r="D611" s="5"/>
      <c r="E611" s="2"/>
      <c r="F611" s="2"/>
      <c r="G611" s="2"/>
      <c r="H611" s="2"/>
      <c r="I611" s="2"/>
      <c r="J611" s="2"/>
      <c r="K611" s="2"/>
      <c r="L611" s="2"/>
      <c r="M611" s="2"/>
      <c r="N611" s="2"/>
      <c r="O611" s="2"/>
      <c r="P611" s="2"/>
      <c r="Q611" s="2"/>
      <c r="R611" s="2"/>
      <c r="S611" s="2"/>
      <c r="T611" s="2"/>
      <c r="U611" s="2"/>
      <c r="V611" s="2"/>
      <c r="W611" s="2"/>
      <c r="X611" s="2"/>
      <c r="Y611" s="2"/>
      <c r="Z611" s="2"/>
    </row>
    <row r="612">
      <c r="A612" s="5"/>
      <c r="B612" s="5"/>
      <c r="C612" s="5"/>
      <c r="D612" s="5"/>
      <c r="E612" s="2"/>
      <c r="F612" s="2"/>
      <c r="G612" s="2"/>
      <c r="H612" s="2"/>
      <c r="I612" s="2"/>
      <c r="J612" s="2"/>
      <c r="K612" s="2"/>
      <c r="L612" s="2"/>
      <c r="M612" s="2"/>
      <c r="N612" s="2"/>
      <c r="O612" s="2"/>
      <c r="P612" s="2"/>
      <c r="Q612" s="2"/>
      <c r="R612" s="2"/>
      <c r="S612" s="2"/>
      <c r="T612" s="2"/>
      <c r="U612" s="2"/>
      <c r="V612" s="2"/>
      <c r="W612" s="2"/>
      <c r="X612" s="2"/>
      <c r="Y612" s="2"/>
      <c r="Z612" s="2"/>
    </row>
    <row r="613">
      <c r="A613" s="5"/>
      <c r="B613" s="5"/>
      <c r="C613" s="5"/>
      <c r="D613" s="5"/>
      <c r="E613" s="2"/>
      <c r="F613" s="2"/>
      <c r="G613" s="2"/>
      <c r="H613" s="2"/>
      <c r="I613" s="2"/>
      <c r="J613" s="2"/>
      <c r="K613" s="2"/>
      <c r="L613" s="2"/>
      <c r="M613" s="2"/>
      <c r="N613" s="2"/>
      <c r="O613" s="2"/>
      <c r="P613" s="2"/>
      <c r="Q613" s="2"/>
      <c r="R613" s="2"/>
      <c r="S613" s="2"/>
      <c r="T613" s="2"/>
      <c r="U613" s="2"/>
      <c r="V613" s="2"/>
      <c r="W613" s="2"/>
      <c r="X613" s="2"/>
      <c r="Y613" s="2"/>
      <c r="Z613" s="2"/>
    </row>
    <row r="614">
      <c r="A614" s="5"/>
      <c r="B614" s="5"/>
      <c r="C614" s="5"/>
      <c r="D614" s="5"/>
      <c r="E614" s="2"/>
      <c r="F614" s="2"/>
      <c r="G614" s="2"/>
      <c r="H614" s="2"/>
      <c r="I614" s="2"/>
      <c r="J614" s="2"/>
      <c r="K614" s="2"/>
      <c r="L614" s="2"/>
      <c r="M614" s="2"/>
      <c r="N614" s="2"/>
      <c r="O614" s="2"/>
      <c r="P614" s="2"/>
      <c r="Q614" s="2"/>
      <c r="R614" s="2"/>
      <c r="S614" s="2"/>
      <c r="T614" s="2"/>
      <c r="U614" s="2"/>
      <c r="V614" s="2"/>
      <c r="W614" s="2"/>
      <c r="X614" s="2"/>
      <c r="Y614" s="2"/>
      <c r="Z614" s="2"/>
    </row>
    <row r="615">
      <c r="A615" s="5"/>
      <c r="B615" s="5"/>
      <c r="C615" s="5"/>
      <c r="D615" s="5"/>
      <c r="E615" s="2"/>
      <c r="F615" s="2"/>
      <c r="G615" s="2"/>
      <c r="H615" s="2"/>
      <c r="I615" s="2"/>
      <c r="J615" s="2"/>
      <c r="K615" s="2"/>
      <c r="L615" s="2"/>
      <c r="M615" s="2"/>
      <c r="N615" s="2"/>
      <c r="O615" s="2"/>
      <c r="P615" s="2"/>
      <c r="Q615" s="2"/>
      <c r="R615" s="2"/>
      <c r="S615" s="2"/>
      <c r="T615" s="2"/>
      <c r="U615" s="2"/>
      <c r="V615" s="2"/>
      <c r="W615" s="2"/>
      <c r="X615" s="2"/>
      <c r="Y615" s="2"/>
      <c r="Z615" s="2"/>
    </row>
    <row r="616">
      <c r="A616" s="5"/>
      <c r="B616" s="5"/>
      <c r="C616" s="5"/>
      <c r="D616" s="5"/>
      <c r="E616" s="2"/>
      <c r="F616" s="2"/>
      <c r="G616" s="2"/>
      <c r="H616" s="2"/>
      <c r="I616" s="2"/>
      <c r="J616" s="2"/>
      <c r="K616" s="2"/>
      <c r="L616" s="2"/>
      <c r="M616" s="2"/>
      <c r="N616" s="2"/>
      <c r="O616" s="2"/>
      <c r="P616" s="2"/>
      <c r="Q616" s="2"/>
      <c r="R616" s="2"/>
      <c r="S616" s="2"/>
      <c r="T616" s="2"/>
      <c r="U616" s="2"/>
      <c r="V616" s="2"/>
      <c r="W616" s="2"/>
      <c r="X616" s="2"/>
      <c r="Y616" s="2"/>
      <c r="Z616" s="2"/>
    </row>
    <row r="617">
      <c r="A617" s="5"/>
      <c r="B617" s="5"/>
      <c r="C617" s="5"/>
      <c r="D617" s="5"/>
      <c r="E617" s="2"/>
      <c r="F617" s="2"/>
      <c r="G617" s="2"/>
      <c r="H617" s="2"/>
      <c r="I617" s="2"/>
      <c r="J617" s="2"/>
      <c r="K617" s="2"/>
      <c r="L617" s="2"/>
      <c r="M617" s="2"/>
      <c r="N617" s="2"/>
      <c r="O617" s="2"/>
      <c r="P617" s="2"/>
      <c r="Q617" s="2"/>
      <c r="R617" s="2"/>
      <c r="S617" s="2"/>
      <c r="T617" s="2"/>
      <c r="U617" s="2"/>
      <c r="V617" s="2"/>
      <c r="W617" s="2"/>
      <c r="X617" s="2"/>
      <c r="Y617" s="2"/>
      <c r="Z617" s="2"/>
    </row>
    <row r="618">
      <c r="A618" s="5"/>
      <c r="B618" s="5"/>
      <c r="C618" s="5"/>
      <c r="D618" s="5"/>
      <c r="E618" s="2"/>
      <c r="F618" s="2"/>
      <c r="G618" s="2"/>
      <c r="H618" s="2"/>
      <c r="I618" s="2"/>
      <c r="J618" s="2"/>
      <c r="K618" s="2"/>
      <c r="L618" s="2"/>
      <c r="M618" s="2"/>
      <c r="N618" s="2"/>
      <c r="O618" s="2"/>
      <c r="P618" s="2"/>
      <c r="Q618" s="2"/>
      <c r="R618" s="2"/>
      <c r="S618" s="2"/>
      <c r="T618" s="2"/>
      <c r="U618" s="2"/>
      <c r="V618" s="2"/>
      <c r="W618" s="2"/>
      <c r="X618" s="2"/>
      <c r="Y618" s="2"/>
      <c r="Z618" s="2"/>
    </row>
    <row r="619">
      <c r="A619" s="5"/>
      <c r="B619" s="5"/>
      <c r="C619" s="5"/>
      <c r="D619" s="5"/>
      <c r="E619" s="2"/>
      <c r="F619" s="2"/>
      <c r="G619" s="2"/>
      <c r="H619" s="2"/>
      <c r="I619" s="2"/>
      <c r="J619" s="2"/>
      <c r="K619" s="2"/>
      <c r="L619" s="2"/>
      <c r="M619" s="2"/>
      <c r="N619" s="2"/>
      <c r="O619" s="2"/>
      <c r="P619" s="2"/>
      <c r="Q619" s="2"/>
      <c r="R619" s="2"/>
      <c r="S619" s="2"/>
      <c r="T619" s="2"/>
      <c r="U619" s="2"/>
      <c r="V619" s="2"/>
      <c r="W619" s="2"/>
      <c r="X619" s="2"/>
      <c r="Y619" s="2"/>
      <c r="Z619" s="2"/>
    </row>
    <row r="620">
      <c r="A620" s="5"/>
      <c r="B620" s="5"/>
      <c r="C620" s="5"/>
      <c r="D620" s="5"/>
      <c r="E620" s="2"/>
      <c r="F620" s="2"/>
      <c r="G620" s="2"/>
      <c r="H620" s="2"/>
      <c r="I620" s="2"/>
      <c r="J620" s="2"/>
      <c r="K620" s="2"/>
      <c r="L620" s="2"/>
      <c r="M620" s="2"/>
      <c r="N620" s="2"/>
      <c r="O620" s="2"/>
      <c r="P620" s="2"/>
      <c r="Q620" s="2"/>
      <c r="R620" s="2"/>
      <c r="S620" s="2"/>
      <c r="T620" s="2"/>
      <c r="U620" s="2"/>
      <c r="V620" s="2"/>
      <c r="W620" s="2"/>
      <c r="X620" s="2"/>
      <c r="Y620" s="2"/>
      <c r="Z620" s="2"/>
    </row>
    <row r="621">
      <c r="A621" s="5"/>
      <c r="B621" s="5"/>
      <c r="C621" s="5"/>
      <c r="D621" s="5"/>
      <c r="E621" s="2"/>
      <c r="F621" s="2"/>
      <c r="G621" s="2"/>
      <c r="H621" s="2"/>
      <c r="I621" s="2"/>
      <c r="J621" s="2"/>
      <c r="K621" s="2"/>
      <c r="L621" s="2"/>
      <c r="M621" s="2"/>
      <c r="N621" s="2"/>
      <c r="O621" s="2"/>
      <c r="P621" s="2"/>
      <c r="Q621" s="2"/>
      <c r="R621" s="2"/>
      <c r="S621" s="2"/>
      <c r="T621" s="2"/>
      <c r="U621" s="2"/>
      <c r="V621" s="2"/>
      <c r="W621" s="2"/>
      <c r="X621" s="2"/>
      <c r="Y621" s="2"/>
      <c r="Z621" s="2"/>
    </row>
    <row r="622">
      <c r="A622" s="5"/>
      <c r="B622" s="5"/>
      <c r="C622" s="5"/>
      <c r="D622" s="5"/>
      <c r="E622" s="2"/>
      <c r="F622" s="2"/>
      <c r="G622" s="2"/>
      <c r="H622" s="2"/>
      <c r="I622" s="2"/>
      <c r="J622" s="2"/>
      <c r="K622" s="2"/>
      <c r="L622" s="2"/>
      <c r="M622" s="2"/>
      <c r="N622" s="2"/>
      <c r="O622" s="2"/>
      <c r="P622" s="2"/>
      <c r="Q622" s="2"/>
      <c r="R622" s="2"/>
      <c r="S622" s="2"/>
      <c r="T622" s="2"/>
      <c r="U622" s="2"/>
      <c r="V622" s="2"/>
      <c r="W622" s="2"/>
      <c r="X622" s="2"/>
      <c r="Y622" s="2"/>
      <c r="Z622" s="2"/>
    </row>
    <row r="623">
      <c r="A623" s="5"/>
      <c r="B623" s="5"/>
      <c r="C623" s="5"/>
      <c r="D623" s="5"/>
      <c r="E623" s="2"/>
      <c r="F623" s="2"/>
      <c r="G623" s="2"/>
      <c r="H623" s="2"/>
      <c r="I623" s="2"/>
      <c r="J623" s="2"/>
      <c r="K623" s="2"/>
      <c r="L623" s="2"/>
      <c r="M623" s="2"/>
      <c r="N623" s="2"/>
      <c r="O623" s="2"/>
      <c r="P623" s="2"/>
      <c r="Q623" s="2"/>
      <c r="R623" s="2"/>
      <c r="S623" s="2"/>
      <c r="T623" s="2"/>
      <c r="U623" s="2"/>
      <c r="V623" s="2"/>
      <c r="W623" s="2"/>
      <c r="X623" s="2"/>
      <c r="Y623" s="2"/>
      <c r="Z623" s="2"/>
    </row>
    <row r="624">
      <c r="A624" s="5"/>
      <c r="B624" s="5"/>
      <c r="C624" s="5"/>
      <c r="D624" s="5"/>
      <c r="E624" s="2"/>
      <c r="F624" s="2"/>
      <c r="G624" s="2"/>
      <c r="H624" s="2"/>
      <c r="I624" s="2"/>
      <c r="J624" s="2"/>
      <c r="K624" s="2"/>
      <c r="L624" s="2"/>
      <c r="M624" s="2"/>
      <c r="N624" s="2"/>
      <c r="O624" s="2"/>
      <c r="P624" s="2"/>
      <c r="Q624" s="2"/>
      <c r="R624" s="2"/>
      <c r="S624" s="2"/>
      <c r="T624" s="2"/>
      <c r="U624" s="2"/>
      <c r="V624" s="2"/>
      <c r="W624" s="2"/>
      <c r="X624" s="2"/>
      <c r="Y624" s="2"/>
      <c r="Z624" s="2"/>
    </row>
    <row r="625">
      <c r="A625" s="5"/>
      <c r="B625" s="5"/>
      <c r="C625" s="5"/>
      <c r="D625" s="5"/>
      <c r="E625" s="2"/>
      <c r="F625" s="2"/>
      <c r="G625" s="2"/>
      <c r="H625" s="2"/>
      <c r="I625" s="2"/>
      <c r="J625" s="2"/>
      <c r="K625" s="2"/>
      <c r="L625" s="2"/>
      <c r="M625" s="2"/>
      <c r="N625" s="2"/>
      <c r="O625" s="2"/>
      <c r="P625" s="2"/>
      <c r="Q625" s="2"/>
      <c r="R625" s="2"/>
      <c r="S625" s="2"/>
      <c r="T625" s="2"/>
      <c r="U625" s="2"/>
      <c r="V625" s="2"/>
      <c r="W625" s="2"/>
      <c r="X625" s="2"/>
      <c r="Y625" s="2"/>
      <c r="Z625" s="2"/>
    </row>
    <row r="626">
      <c r="A626" s="5"/>
      <c r="B626" s="5"/>
      <c r="C626" s="5"/>
      <c r="D626" s="5"/>
      <c r="E626" s="2"/>
      <c r="F626" s="2"/>
      <c r="G626" s="2"/>
      <c r="H626" s="2"/>
      <c r="I626" s="2"/>
      <c r="J626" s="2"/>
      <c r="K626" s="2"/>
      <c r="L626" s="2"/>
      <c r="M626" s="2"/>
      <c r="N626" s="2"/>
      <c r="O626" s="2"/>
      <c r="P626" s="2"/>
      <c r="Q626" s="2"/>
      <c r="R626" s="2"/>
      <c r="S626" s="2"/>
      <c r="T626" s="2"/>
      <c r="U626" s="2"/>
      <c r="V626" s="2"/>
      <c r="W626" s="2"/>
      <c r="X626" s="2"/>
      <c r="Y626" s="2"/>
      <c r="Z626" s="2"/>
    </row>
    <row r="627">
      <c r="A627" s="5"/>
      <c r="B627" s="5"/>
      <c r="C627" s="5"/>
      <c r="D627" s="5"/>
      <c r="E627" s="2"/>
      <c r="F627" s="2"/>
      <c r="G627" s="2"/>
      <c r="H627" s="2"/>
      <c r="I627" s="2"/>
      <c r="J627" s="2"/>
      <c r="K627" s="2"/>
      <c r="L627" s="2"/>
      <c r="M627" s="2"/>
      <c r="N627" s="2"/>
      <c r="O627" s="2"/>
      <c r="P627" s="2"/>
      <c r="Q627" s="2"/>
      <c r="R627" s="2"/>
      <c r="S627" s="2"/>
      <c r="T627" s="2"/>
      <c r="U627" s="2"/>
      <c r="V627" s="2"/>
      <c r="W627" s="2"/>
      <c r="X627" s="2"/>
      <c r="Y627" s="2"/>
      <c r="Z627" s="2"/>
    </row>
    <row r="628">
      <c r="A628" s="5"/>
      <c r="B628" s="5"/>
      <c r="C628" s="5"/>
      <c r="D628" s="5"/>
      <c r="E628" s="2"/>
      <c r="F628" s="2"/>
      <c r="G628" s="2"/>
      <c r="H628" s="2"/>
      <c r="I628" s="2"/>
      <c r="J628" s="2"/>
      <c r="K628" s="2"/>
      <c r="L628" s="2"/>
      <c r="M628" s="2"/>
      <c r="N628" s="2"/>
      <c r="O628" s="2"/>
      <c r="P628" s="2"/>
      <c r="Q628" s="2"/>
      <c r="R628" s="2"/>
      <c r="S628" s="2"/>
      <c r="T628" s="2"/>
      <c r="U628" s="2"/>
      <c r="V628" s="2"/>
      <c r="W628" s="2"/>
      <c r="X628" s="2"/>
      <c r="Y628" s="2"/>
      <c r="Z628" s="2"/>
    </row>
    <row r="629">
      <c r="A629" s="5"/>
      <c r="B629" s="5"/>
      <c r="C629" s="5"/>
      <c r="D629" s="5"/>
      <c r="E629" s="2"/>
      <c r="F629" s="2"/>
      <c r="G629" s="2"/>
      <c r="H629" s="2"/>
      <c r="I629" s="2"/>
      <c r="J629" s="2"/>
      <c r="K629" s="2"/>
      <c r="L629" s="2"/>
      <c r="M629" s="2"/>
      <c r="N629" s="2"/>
      <c r="O629" s="2"/>
      <c r="P629" s="2"/>
      <c r="Q629" s="2"/>
      <c r="R629" s="2"/>
      <c r="S629" s="2"/>
      <c r="T629" s="2"/>
      <c r="U629" s="2"/>
      <c r="V629" s="2"/>
      <c r="W629" s="2"/>
      <c r="X629" s="2"/>
      <c r="Y629" s="2"/>
      <c r="Z629" s="2"/>
    </row>
    <row r="630">
      <c r="A630" s="5"/>
      <c r="B630" s="5"/>
      <c r="C630" s="5"/>
      <c r="D630" s="5"/>
      <c r="E630" s="2"/>
      <c r="F630" s="2"/>
      <c r="G630" s="2"/>
      <c r="H630" s="2"/>
      <c r="I630" s="2"/>
      <c r="J630" s="2"/>
      <c r="K630" s="2"/>
      <c r="L630" s="2"/>
      <c r="M630" s="2"/>
      <c r="N630" s="2"/>
      <c r="O630" s="2"/>
      <c r="P630" s="2"/>
      <c r="Q630" s="2"/>
      <c r="R630" s="2"/>
      <c r="S630" s="2"/>
      <c r="T630" s="2"/>
      <c r="U630" s="2"/>
      <c r="V630" s="2"/>
      <c r="W630" s="2"/>
      <c r="X630" s="2"/>
      <c r="Y630" s="2"/>
      <c r="Z630" s="2"/>
    </row>
    <row r="631">
      <c r="A631" s="5"/>
      <c r="B631" s="5"/>
      <c r="C631" s="5"/>
      <c r="D631" s="5"/>
      <c r="E631" s="2"/>
      <c r="F631" s="2"/>
      <c r="G631" s="2"/>
      <c r="H631" s="2"/>
      <c r="I631" s="2"/>
      <c r="J631" s="2"/>
      <c r="K631" s="2"/>
      <c r="L631" s="2"/>
      <c r="M631" s="2"/>
      <c r="N631" s="2"/>
      <c r="O631" s="2"/>
      <c r="P631" s="2"/>
      <c r="Q631" s="2"/>
      <c r="R631" s="2"/>
      <c r="S631" s="2"/>
      <c r="T631" s="2"/>
      <c r="U631" s="2"/>
      <c r="V631" s="2"/>
      <c r="W631" s="2"/>
      <c r="X631" s="2"/>
      <c r="Y631" s="2"/>
      <c r="Z631" s="2"/>
    </row>
    <row r="632">
      <c r="A632" s="5"/>
      <c r="B632" s="5"/>
      <c r="C632" s="5"/>
      <c r="D632" s="5"/>
      <c r="E632" s="2"/>
      <c r="F632" s="2"/>
      <c r="G632" s="2"/>
      <c r="H632" s="2"/>
      <c r="I632" s="2"/>
      <c r="J632" s="2"/>
      <c r="K632" s="2"/>
      <c r="L632" s="2"/>
      <c r="M632" s="2"/>
      <c r="N632" s="2"/>
      <c r="O632" s="2"/>
      <c r="P632" s="2"/>
      <c r="Q632" s="2"/>
      <c r="R632" s="2"/>
      <c r="S632" s="2"/>
      <c r="T632" s="2"/>
      <c r="U632" s="2"/>
      <c r="V632" s="2"/>
      <c r="W632" s="2"/>
      <c r="X632" s="2"/>
      <c r="Y632" s="2"/>
      <c r="Z632" s="2"/>
    </row>
    <row r="633">
      <c r="A633" s="5"/>
      <c r="B633" s="5"/>
      <c r="C633" s="5"/>
      <c r="D633" s="5"/>
      <c r="E633" s="2"/>
      <c r="F633" s="2"/>
      <c r="G633" s="2"/>
      <c r="H633" s="2"/>
      <c r="I633" s="2"/>
      <c r="J633" s="2"/>
      <c r="K633" s="2"/>
      <c r="L633" s="2"/>
      <c r="M633" s="2"/>
      <c r="N633" s="2"/>
      <c r="O633" s="2"/>
      <c r="P633" s="2"/>
      <c r="Q633" s="2"/>
      <c r="R633" s="2"/>
      <c r="S633" s="2"/>
      <c r="T633" s="2"/>
      <c r="U633" s="2"/>
      <c r="V633" s="2"/>
      <c r="W633" s="2"/>
      <c r="X633" s="2"/>
      <c r="Y633" s="2"/>
      <c r="Z633" s="2"/>
    </row>
    <row r="634">
      <c r="A634" s="5"/>
      <c r="B634" s="5"/>
      <c r="C634" s="5"/>
      <c r="D634" s="5"/>
      <c r="E634" s="2"/>
      <c r="F634" s="2"/>
      <c r="G634" s="2"/>
      <c r="H634" s="2"/>
      <c r="I634" s="2"/>
      <c r="J634" s="2"/>
      <c r="K634" s="2"/>
      <c r="L634" s="2"/>
      <c r="M634" s="2"/>
      <c r="N634" s="2"/>
      <c r="O634" s="2"/>
      <c r="P634" s="2"/>
      <c r="Q634" s="2"/>
      <c r="R634" s="2"/>
      <c r="S634" s="2"/>
      <c r="T634" s="2"/>
      <c r="U634" s="2"/>
      <c r="V634" s="2"/>
      <c r="W634" s="2"/>
      <c r="X634" s="2"/>
      <c r="Y634" s="2"/>
      <c r="Z634" s="2"/>
    </row>
    <row r="635">
      <c r="A635" s="5"/>
      <c r="B635" s="5"/>
      <c r="C635" s="5"/>
      <c r="D635" s="5"/>
      <c r="E635" s="2"/>
      <c r="F635" s="2"/>
      <c r="G635" s="2"/>
      <c r="H635" s="2"/>
      <c r="I635" s="2"/>
      <c r="J635" s="2"/>
      <c r="K635" s="2"/>
      <c r="L635" s="2"/>
      <c r="M635" s="2"/>
      <c r="N635" s="2"/>
      <c r="O635" s="2"/>
      <c r="P635" s="2"/>
      <c r="Q635" s="2"/>
      <c r="R635" s="2"/>
      <c r="S635" s="2"/>
      <c r="T635" s="2"/>
      <c r="U635" s="2"/>
      <c r="V635" s="2"/>
      <c r="W635" s="2"/>
      <c r="X635" s="2"/>
      <c r="Y635" s="2"/>
      <c r="Z635" s="2"/>
    </row>
    <row r="636">
      <c r="A636" s="5"/>
      <c r="B636" s="5"/>
      <c r="C636" s="5"/>
      <c r="D636" s="5"/>
      <c r="E636" s="2"/>
      <c r="F636" s="2"/>
      <c r="G636" s="2"/>
      <c r="H636" s="2"/>
      <c r="I636" s="2"/>
      <c r="J636" s="2"/>
      <c r="K636" s="2"/>
      <c r="L636" s="2"/>
      <c r="M636" s="2"/>
      <c r="N636" s="2"/>
      <c r="O636" s="2"/>
      <c r="P636" s="2"/>
      <c r="Q636" s="2"/>
      <c r="R636" s="2"/>
      <c r="S636" s="2"/>
      <c r="T636" s="2"/>
      <c r="U636" s="2"/>
      <c r="V636" s="2"/>
      <c r="W636" s="2"/>
      <c r="X636" s="2"/>
      <c r="Y636" s="2"/>
      <c r="Z636" s="2"/>
    </row>
    <row r="637">
      <c r="A637" s="5"/>
      <c r="B637" s="5"/>
      <c r="C637" s="5"/>
      <c r="D637" s="5"/>
      <c r="E637" s="2"/>
      <c r="F637" s="2"/>
      <c r="G637" s="2"/>
      <c r="H637" s="2"/>
      <c r="I637" s="2"/>
      <c r="J637" s="2"/>
      <c r="K637" s="2"/>
      <c r="L637" s="2"/>
      <c r="M637" s="2"/>
      <c r="N637" s="2"/>
      <c r="O637" s="2"/>
      <c r="P637" s="2"/>
      <c r="Q637" s="2"/>
      <c r="R637" s="2"/>
      <c r="S637" s="2"/>
      <c r="T637" s="2"/>
      <c r="U637" s="2"/>
      <c r="V637" s="2"/>
      <c r="W637" s="2"/>
      <c r="X637" s="2"/>
      <c r="Y637" s="2"/>
      <c r="Z637" s="2"/>
    </row>
    <row r="638">
      <c r="A638" s="5"/>
      <c r="B638" s="5"/>
      <c r="C638" s="5"/>
      <c r="D638" s="5"/>
      <c r="E638" s="2"/>
      <c r="F638" s="2"/>
      <c r="G638" s="2"/>
      <c r="H638" s="2"/>
      <c r="I638" s="2"/>
      <c r="J638" s="2"/>
      <c r="K638" s="2"/>
      <c r="L638" s="2"/>
      <c r="M638" s="2"/>
      <c r="N638" s="2"/>
      <c r="O638" s="2"/>
      <c r="P638" s="2"/>
      <c r="Q638" s="2"/>
      <c r="R638" s="2"/>
      <c r="S638" s="2"/>
      <c r="T638" s="2"/>
      <c r="U638" s="2"/>
      <c r="V638" s="2"/>
      <c r="W638" s="2"/>
      <c r="X638" s="2"/>
      <c r="Y638" s="2"/>
      <c r="Z638" s="2"/>
    </row>
    <row r="639">
      <c r="A639" s="5"/>
      <c r="B639" s="5"/>
      <c r="C639" s="5"/>
      <c r="D639" s="5"/>
      <c r="E639" s="2"/>
      <c r="F639" s="2"/>
      <c r="G639" s="2"/>
      <c r="H639" s="2"/>
      <c r="I639" s="2"/>
      <c r="J639" s="2"/>
      <c r="K639" s="2"/>
      <c r="L639" s="2"/>
      <c r="M639" s="2"/>
      <c r="N639" s="2"/>
      <c r="O639" s="2"/>
      <c r="P639" s="2"/>
      <c r="Q639" s="2"/>
      <c r="R639" s="2"/>
      <c r="S639" s="2"/>
      <c r="T639" s="2"/>
      <c r="U639" s="2"/>
      <c r="V639" s="2"/>
      <c r="W639" s="2"/>
      <c r="X639" s="2"/>
      <c r="Y639" s="2"/>
      <c r="Z639" s="2"/>
    </row>
    <row r="640">
      <c r="A640" s="5"/>
      <c r="B640" s="5"/>
      <c r="C640" s="5"/>
      <c r="D640" s="5"/>
      <c r="E640" s="2"/>
      <c r="F640" s="2"/>
      <c r="G640" s="2"/>
      <c r="H640" s="2"/>
      <c r="I640" s="2"/>
      <c r="J640" s="2"/>
      <c r="K640" s="2"/>
      <c r="L640" s="2"/>
      <c r="M640" s="2"/>
      <c r="N640" s="2"/>
      <c r="O640" s="2"/>
      <c r="P640" s="2"/>
      <c r="Q640" s="2"/>
      <c r="R640" s="2"/>
      <c r="S640" s="2"/>
      <c r="T640" s="2"/>
      <c r="U640" s="2"/>
      <c r="V640" s="2"/>
      <c r="W640" s="2"/>
      <c r="X640" s="2"/>
      <c r="Y640" s="2"/>
      <c r="Z640" s="2"/>
    </row>
    <row r="641">
      <c r="A641" s="5"/>
      <c r="B641" s="5"/>
      <c r="C641" s="5"/>
      <c r="D641" s="5"/>
      <c r="E641" s="2"/>
      <c r="F641" s="2"/>
      <c r="G641" s="2"/>
      <c r="H641" s="2"/>
      <c r="I641" s="2"/>
      <c r="J641" s="2"/>
      <c r="K641" s="2"/>
      <c r="L641" s="2"/>
      <c r="M641" s="2"/>
      <c r="N641" s="2"/>
      <c r="O641" s="2"/>
      <c r="P641" s="2"/>
      <c r="Q641" s="2"/>
      <c r="R641" s="2"/>
      <c r="S641" s="2"/>
      <c r="T641" s="2"/>
      <c r="U641" s="2"/>
      <c r="V641" s="2"/>
      <c r="W641" s="2"/>
      <c r="X641" s="2"/>
      <c r="Y641" s="2"/>
      <c r="Z641" s="2"/>
    </row>
    <row r="642">
      <c r="A642" s="5"/>
      <c r="B642" s="5"/>
      <c r="C642" s="5"/>
      <c r="D642" s="5"/>
      <c r="E642" s="2"/>
      <c r="F642" s="2"/>
      <c r="G642" s="2"/>
      <c r="H642" s="2"/>
      <c r="I642" s="2"/>
      <c r="J642" s="2"/>
      <c r="K642" s="2"/>
      <c r="L642" s="2"/>
      <c r="M642" s="2"/>
      <c r="N642" s="2"/>
      <c r="O642" s="2"/>
      <c r="P642" s="2"/>
      <c r="Q642" s="2"/>
      <c r="R642" s="2"/>
      <c r="S642" s="2"/>
      <c r="T642" s="2"/>
      <c r="U642" s="2"/>
      <c r="V642" s="2"/>
      <c r="W642" s="2"/>
      <c r="X642" s="2"/>
      <c r="Y642" s="2"/>
      <c r="Z642" s="2"/>
    </row>
    <row r="643">
      <c r="A643" s="5"/>
      <c r="B643" s="5"/>
      <c r="C643" s="5"/>
      <c r="D643" s="5"/>
      <c r="E643" s="2"/>
      <c r="F643" s="2"/>
      <c r="G643" s="2"/>
      <c r="H643" s="2"/>
      <c r="I643" s="2"/>
      <c r="J643" s="2"/>
      <c r="K643" s="2"/>
      <c r="L643" s="2"/>
      <c r="M643" s="2"/>
      <c r="N643" s="2"/>
      <c r="O643" s="2"/>
      <c r="P643" s="2"/>
      <c r="Q643" s="2"/>
      <c r="R643" s="2"/>
      <c r="S643" s="2"/>
      <c r="T643" s="2"/>
      <c r="U643" s="2"/>
      <c r="V643" s="2"/>
      <c r="W643" s="2"/>
      <c r="X643" s="2"/>
      <c r="Y643" s="2"/>
      <c r="Z643" s="2"/>
    </row>
    <row r="644">
      <c r="A644" s="5"/>
      <c r="B644" s="5"/>
      <c r="C644" s="5"/>
      <c r="D644" s="5"/>
      <c r="E644" s="2"/>
      <c r="F644" s="2"/>
      <c r="G644" s="2"/>
      <c r="H644" s="2"/>
      <c r="I644" s="2"/>
      <c r="J644" s="2"/>
      <c r="K644" s="2"/>
      <c r="L644" s="2"/>
      <c r="M644" s="2"/>
      <c r="N644" s="2"/>
      <c r="O644" s="2"/>
      <c r="P644" s="2"/>
      <c r="Q644" s="2"/>
      <c r="R644" s="2"/>
      <c r="S644" s="2"/>
      <c r="T644" s="2"/>
      <c r="U644" s="2"/>
      <c r="V644" s="2"/>
      <c r="W644" s="2"/>
      <c r="X644" s="2"/>
      <c r="Y644" s="2"/>
      <c r="Z644" s="2"/>
    </row>
    <row r="645">
      <c r="A645" s="5"/>
      <c r="B645" s="5"/>
      <c r="C645" s="5"/>
      <c r="D645" s="5"/>
      <c r="E645" s="2"/>
      <c r="F645" s="2"/>
      <c r="G645" s="2"/>
      <c r="H645" s="2"/>
      <c r="I645" s="2"/>
      <c r="J645" s="2"/>
      <c r="K645" s="2"/>
      <c r="L645" s="2"/>
      <c r="M645" s="2"/>
      <c r="N645" s="2"/>
      <c r="O645" s="2"/>
      <c r="P645" s="2"/>
      <c r="Q645" s="2"/>
      <c r="R645" s="2"/>
      <c r="S645" s="2"/>
      <c r="T645" s="2"/>
      <c r="U645" s="2"/>
      <c r="V645" s="2"/>
      <c r="W645" s="2"/>
      <c r="X645" s="2"/>
      <c r="Y645" s="2"/>
      <c r="Z645" s="2"/>
    </row>
    <row r="646">
      <c r="A646" s="5"/>
      <c r="B646" s="5"/>
      <c r="C646" s="5"/>
      <c r="D646" s="5"/>
      <c r="E646" s="2"/>
      <c r="F646" s="2"/>
      <c r="G646" s="2"/>
      <c r="H646" s="2"/>
      <c r="I646" s="2"/>
      <c r="J646" s="2"/>
      <c r="K646" s="2"/>
      <c r="L646" s="2"/>
      <c r="M646" s="2"/>
      <c r="N646" s="2"/>
      <c r="O646" s="2"/>
      <c r="P646" s="2"/>
      <c r="Q646" s="2"/>
      <c r="R646" s="2"/>
      <c r="S646" s="2"/>
      <c r="T646" s="2"/>
      <c r="U646" s="2"/>
      <c r="V646" s="2"/>
      <c r="W646" s="2"/>
      <c r="X646" s="2"/>
      <c r="Y646" s="2"/>
      <c r="Z646" s="2"/>
    </row>
    <row r="647">
      <c r="A647" s="5"/>
      <c r="B647" s="5"/>
      <c r="C647" s="5"/>
      <c r="D647" s="5"/>
      <c r="E647" s="2"/>
      <c r="F647" s="2"/>
      <c r="G647" s="2"/>
      <c r="H647" s="2"/>
      <c r="I647" s="2"/>
      <c r="J647" s="2"/>
      <c r="K647" s="2"/>
      <c r="L647" s="2"/>
      <c r="M647" s="2"/>
      <c r="N647" s="2"/>
      <c r="O647" s="2"/>
      <c r="P647" s="2"/>
      <c r="Q647" s="2"/>
      <c r="R647" s="2"/>
      <c r="S647" s="2"/>
      <c r="T647" s="2"/>
      <c r="U647" s="2"/>
      <c r="V647" s="2"/>
      <c r="W647" s="2"/>
      <c r="X647" s="2"/>
      <c r="Y647" s="2"/>
      <c r="Z647" s="2"/>
    </row>
    <row r="648">
      <c r="A648" s="5"/>
      <c r="B648" s="5"/>
      <c r="C648" s="5"/>
      <c r="D648" s="5"/>
      <c r="E648" s="2"/>
      <c r="F648" s="2"/>
      <c r="G648" s="2"/>
      <c r="H648" s="2"/>
      <c r="I648" s="2"/>
      <c r="J648" s="2"/>
      <c r="K648" s="2"/>
      <c r="L648" s="2"/>
      <c r="M648" s="2"/>
      <c r="N648" s="2"/>
      <c r="O648" s="2"/>
      <c r="P648" s="2"/>
      <c r="Q648" s="2"/>
      <c r="R648" s="2"/>
      <c r="S648" s="2"/>
      <c r="T648" s="2"/>
      <c r="U648" s="2"/>
      <c r="V648" s="2"/>
      <c r="W648" s="2"/>
      <c r="X648" s="2"/>
      <c r="Y648" s="2"/>
      <c r="Z648" s="2"/>
    </row>
    <row r="649">
      <c r="A649" s="5"/>
      <c r="B649" s="5"/>
      <c r="C649" s="5"/>
      <c r="D649" s="5"/>
      <c r="E649" s="2"/>
      <c r="F649" s="2"/>
      <c r="G649" s="2"/>
      <c r="H649" s="2"/>
      <c r="I649" s="2"/>
      <c r="J649" s="2"/>
      <c r="K649" s="2"/>
      <c r="L649" s="2"/>
      <c r="M649" s="2"/>
      <c r="N649" s="2"/>
      <c r="O649" s="2"/>
      <c r="P649" s="2"/>
      <c r="Q649" s="2"/>
      <c r="R649" s="2"/>
      <c r="S649" s="2"/>
      <c r="T649" s="2"/>
      <c r="U649" s="2"/>
      <c r="V649" s="2"/>
      <c r="W649" s="2"/>
      <c r="X649" s="2"/>
      <c r="Y649" s="2"/>
      <c r="Z649" s="2"/>
    </row>
    <row r="650">
      <c r="A650" s="5"/>
      <c r="B650" s="5"/>
      <c r="C650" s="5"/>
      <c r="D650" s="5"/>
      <c r="E650" s="2"/>
      <c r="F650" s="2"/>
      <c r="G650" s="2"/>
      <c r="H650" s="2"/>
      <c r="I650" s="2"/>
      <c r="J650" s="2"/>
      <c r="K650" s="2"/>
      <c r="L650" s="2"/>
      <c r="M650" s="2"/>
      <c r="N650" s="2"/>
      <c r="O650" s="2"/>
      <c r="P650" s="2"/>
      <c r="Q650" s="2"/>
      <c r="R650" s="2"/>
      <c r="S650" s="2"/>
      <c r="T650" s="2"/>
      <c r="U650" s="2"/>
      <c r="V650" s="2"/>
      <c r="W650" s="2"/>
      <c r="X650" s="2"/>
      <c r="Y650" s="2"/>
      <c r="Z650" s="2"/>
    </row>
    <row r="651">
      <c r="A651" s="5"/>
      <c r="B651" s="5"/>
      <c r="C651" s="5"/>
      <c r="D651" s="5"/>
      <c r="E651" s="2"/>
      <c r="F651" s="2"/>
      <c r="G651" s="2"/>
      <c r="H651" s="2"/>
      <c r="I651" s="2"/>
      <c r="J651" s="2"/>
      <c r="K651" s="2"/>
      <c r="L651" s="2"/>
      <c r="M651" s="2"/>
      <c r="N651" s="2"/>
      <c r="O651" s="2"/>
      <c r="P651" s="2"/>
      <c r="Q651" s="2"/>
      <c r="R651" s="2"/>
      <c r="S651" s="2"/>
      <c r="T651" s="2"/>
      <c r="U651" s="2"/>
      <c r="V651" s="2"/>
      <c r="W651" s="2"/>
      <c r="X651" s="2"/>
      <c r="Y651" s="2"/>
      <c r="Z651" s="2"/>
    </row>
    <row r="652">
      <c r="A652" s="5"/>
      <c r="B652" s="5"/>
      <c r="C652" s="5"/>
      <c r="D652" s="5"/>
      <c r="E652" s="2"/>
      <c r="F652" s="2"/>
      <c r="G652" s="2"/>
      <c r="H652" s="2"/>
      <c r="I652" s="2"/>
      <c r="J652" s="2"/>
      <c r="K652" s="2"/>
      <c r="L652" s="2"/>
      <c r="M652" s="2"/>
      <c r="N652" s="2"/>
      <c r="O652" s="2"/>
      <c r="P652" s="2"/>
      <c r="Q652" s="2"/>
      <c r="R652" s="2"/>
      <c r="S652" s="2"/>
      <c r="T652" s="2"/>
      <c r="U652" s="2"/>
      <c r="V652" s="2"/>
      <c r="W652" s="2"/>
      <c r="X652" s="2"/>
      <c r="Y652" s="2"/>
      <c r="Z652" s="2"/>
    </row>
    <row r="653">
      <c r="A653" s="5"/>
      <c r="B653" s="5"/>
      <c r="C653" s="5"/>
      <c r="D653" s="5"/>
      <c r="E653" s="2"/>
      <c r="F653" s="2"/>
      <c r="G653" s="2"/>
      <c r="H653" s="2"/>
      <c r="I653" s="2"/>
      <c r="J653" s="2"/>
      <c r="K653" s="2"/>
      <c r="L653" s="2"/>
      <c r="M653" s="2"/>
      <c r="N653" s="2"/>
      <c r="O653" s="2"/>
      <c r="P653" s="2"/>
      <c r="Q653" s="2"/>
      <c r="R653" s="2"/>
      <c r="S653" s="2"/>
      <c r="T653" s="2"/>
      <c r="U653" s="2"/>
      <c r="V653" s="2"/>
      <c r="W653" s="2"/>
      <c r="X653" s="2"/>
      <c r="Y653" s="2"/>
      <c r="Z653" s="2"/>
    </row>
    <row r="654">
      <c r="A654" s="5"/>
      <c r="B654" s="5"/>
      <c r="C654" s="5"/>
      <c r="D654" s="5"/>
      <c r="E654" s="2"/>
      <c r="F654" s="2"/>
      <c r="G654" s="2"/>
      <c r="H654" s="2"/>
      <c r="I654" s="2"/>
      <c r="J654" s="2"/>
      <c r="K654" s="2"/>
      <c r="L654" s="2"/>
      <c r="M654" s="2"/>
      <c r="N654" s="2"/>
      <c r="O654" s="2"/>
      <c r="P654" s="2"/>
      <c r="Q654" s="2"/>
      <c r="R654" s="2"/>
      <c r="S654" s="2"/>
      <c r="T654" s="2"/>
      <c r="U654" s="2"/>
      <c r="V654" s="2"/>
      <c r="W654" s="2"/>
      <c r="X654" s="2"/>
      <c r="Y654" s="2"/>
      <c r="Z654" s="2"/>
    </row>
    <row r="655">
      <c r="A655" s="5"/>
      <c r="B655" s="5"/>
      <c r="C655" s="5"/>
      <c r="D655" s="5"/>
      <c r="E655" s="2"/>
      <c r="F655" s="2"/>
      <c r="G655" s="2"/>
      <c r="H655" s="2"/>
      <c r="I655" s="2"/>
      <c r="J655" s="2"/>
      <c r="K655" s="2"/>
      <c r="L655" s="2"/>
      <c r="M655" s="2"/>
      <c r="N655" s="2"/>
      <c r="O655" s="2"/>
      <c r="P655" s="2"/>
      <c r="Q655" s="2"/>
      <c r="R655" s="2"/>
      <c r="S655" s="2"/>
      <c r="T655" s="2"/>
      <c r="U655" s="2"/>
      <c r="V655" s="2"/>
      <c r="W655" s="2"/>
      <c r="X655" s="2"/>
      <c r="Y655" s="2"/>
      <c r="Z655" s="2"/>
    </row>
    <row r="656">
      <c r="A656" s="5"/>
      <c r="B656" s="5"/>
      <c r="C656" s="5"/>
      <c r="D656" s="5"/>
      <c r="E656" s="2"/>
      <c r="F656" s="2"/>
      <c r="G656" s="2"/>
      <c r="H656" s="2"/>
      <c r="I656" s="2"/>
      <c r="J656" s="2"/>
      <c r="K656" s="2"/>
      <c r="L656" s="2"/>
      <c r="M656" s="2"/>
      <c r="N656" s="2"/>
      <c r="O656" s="2"/>
      <c r="P656" s="2"/>
      <c r="Q656" s="2"/>
      <c r="R656" s="2"/>
      <c r="S656" s="2"/>
      <c r="T656" s="2"/>
      <c r="U656" s="2"/>
      <c r="V656" s="2"/>
      <c r="W656" s="2"/>
      <c r="X656" s="2"/>
      <c r="Y656" s="2"/>
      <c r="Z656" s="2"/>
    </row>
    <row r="657">
      <c r="A657" s="5"/>
      <c r="B657" s="5"/>
      <c r="C657" s="5"/>
      <c r="D657" s="5"/>
      <c r="E657" s="2"/>
      <c r="F657" s="2"/>
      <c r="G657" s="2"/>
      <c r="H657" s="2"/>
      <c r="I657" s="2"/>
      <c r="J657" s="2"/>
      <c r="K657" s="2"/>
      <c r="L657" s="2"/>
      <c r="M657" s="2"/>
      <c r="N657" s="2"/>
      <c r="O657" s="2"/>
      <c r="P657" s="2"/>
      <c r="Q657" s="2"/>
      <c r="R657" s="2"/>
      <c r="S657" s="2"/>
      <c r="T657" s="2"/>
      <c r="U657" s="2"/>
      <c r="V657" s="2"/>
      <c r="W657" s="2"/>
      <c r="X657" s="2"/>
      <c r="Y657" s="2"/>
      <c r="Z657" s="2"/>
    </row>
    <row r="658">
      <c r="A658" s="5"/>
      <c r="B658" s="5"/>
      <c r="C658" s="5"/>
      <c r="D658" s="5"/>
      <c r="E658" s="2"/>
      <c r="F658" s="2"/>
      <c r="G658" s="2"/>
      <c r="H658" s="2"/>
      <c r="I658" s="2"/>
      <c r="J658" s="2"/>
      <c r="K658" s="2"/>
      <c r="L658" s="2"/>
      <c r="M658" s="2"/>
      <c r="N658" s="2"/>
      <c r="O658" s="2"/>
      <c r="P658" s="2"/>
      <c r="Q658" s="2"/>
      <c r="R658" s="2"/>
      <c r="S658" s="2"/>
      <c r="T658" s="2"/>
      <c r="U658" s="2"/>
      <c r="V658" s="2"/>
      <c r="W658" s="2"/>
      <c r="X658" s="2"/>
      <c r="Y658" s="2"/>
      <c r="Z658" s="2"/>
    </row>
    <row r="659">
      <c r="A659" s="5"/>
      <c r="B659" s="5"/>
      <c r="C659" s="5"/>
      <c r="D659" s="5"/>
      <c r="E659" s="2"/>
      <c r="F659" s="2"/>
      <c r="G659" s="2"/>
      <c r="H659" s="2"/>
      <c r="I659" s="2"/>
      <c r="J659" s="2"/>
      <c r="K659" s="2"/>
      <c r="L659" s="2"/>
      <c r="M659" s="2"/>
      <c r="N659" s="2"/>
      <c r="O659" s="2"/>
      <c r="P659" s="2"/>
      <c r="Q659" s="2"/>
      <c r="R659" s="2"/>
      <c r="S659" s="2"/>
      <c r="T659" s="2"/>
      <c r="U659" s="2"/>
      <c r="V659" s="2"/>
      <c r="W659" s="2"/>
      <c r="X659" s="2"/>
      <c r="Y659" s="2"/>
      <c r="Z659" s="2"/>
    </row>
    <row r="660">
      <c r="A660" s="5"/>
      <c r="B660" s="5"/>
      <c r="C660" s="5"/>
      <c r="D660" s="5"/>
      <c r="E660" s="2"/>
      <c r="F660" s="2"/>
      <c r="G660" s="2"/>
      <c r="H660" s="2"/>
      <c r="I660" s="2"/>
      <c r="J660" s="2"/>
      <c r="K660" s="2"/>
      <c r="L660" s="2"/>
      <c r="M660" s="2"/>
      <c r="N660" s="2"/>
      <c r="O660" s="2"/>
      <c r="P660" s="2"/>
      <c r="Q660" s="2"/>
      <c r="R660" s="2"/>
      <c r="S660" s="2"/>
      <c r="T660" s="2"/>
      <c r="U660" s="2"/>
      <c r="V660" s="2"/>
      <c r="W660" s="2"/>
      <c r="X660" s="2"/>
      <c r="Y660" s="2"/>
      <c r="Z660" s="2"/>
    </row>
    <row r="661">
      <c r="A661" s="5"/>
      <c r="B661" s="5"/>
      <c r="C661" s="5"/>
      <c r="D661" s="5"/>
      <c r="E661" s="2"/>
      <c r="F661" s="2"/>
      <c r="G661" s="2"/>
      <c r="H661" s="2"/>
      <c r="I661" s="2"/>
      <c r="J661" s="2"/>
      <c r="K661" s="2"/>
      <c r="L661" s="2"/>
      <c r="M661" s="2"/>
      <c r="N661" s="2"/>
      <c r="O661" s="2"/>
      <c r="P661" s="2"/>
      <c r="Q661" s="2"/>
      <c r="R661" s="2"/>
      <c r="S661" s="2"/>
      <c r="T661" s="2"/>
      <c r="U661" s="2"/>
      <c r="V661" s="2"/>
      <c r="W661" s="2"/>
      <c r="X661" s="2"/>
      <c r="Y661" s="2"/>
      <c r="Z661" s="2"/>
    </row>
    <row r="662">
      <c r="A662" s="5"/>
      <c r="B662" s="5"/>
      <c r="C662" s="5"/>
      <c r="D662" s="5"/>
      <c r="E662" s="2"/>
      <c r="F662" s="2"/>
      <c r="G662" s="2"/>
      <c r="H662" s="2"/>
      <c r="I662" s="2"/>
      <c r="J662" s="2"/>
      <c r="K662" s="2"/>
      <c r="L662" s="2"/>
      <c r="M662" s="2"/>
      <c r="N662" s="2"/>
      <c r="O662" s="2"/>
      <c r="P662" s="2"/>
      <c r="Q662" s="2"/>
      <c r="R662" s="2"/>
      <c r="S662" s="2"/>
      <c r="T662" s="2"/>
      <c r="U662" s="2"/>
      <c r="V662" s="2"/>
      <c r="W662" s="2"/>
      <c r="X662" s="2"/>
      <c r="Y662" s="2"/>
      <c r="Z662" s="2"/>
    </row>
    <row r="663">
      <c r="A663" s="5"/>
      <c r="B663" s="5"/>
      <c r="C663" s="5"/>
      <c r="D663" s="5"/>
      <c r="E663" s="2"/>
      <c r="F663" s="2"/>
      <c r="G663" s="2"/>
      <c r="H663" s="2"/>
      <c r="I663" s="2"/>
      <c r="J663" s="2"/>
      <c r="K663" s="2"/>
      <c r="L663" s="2"/>
      <c r="M663" s="2"/>
      <c r="N663" s="2"/>
      <c r="O663" s="2"/>
      <c r="P663" s="2"/>
      <c r="Q663" s="2"/>
      <c r="R663" s="2"/>
      <c r="S663" s="2"/>
      <c r="T663" s="2"/>
      <c r="U663" s="2"/>
      <c r="V663" s="2"/>
      <c r="W663" s="2"/>
      <c r="X663" s="2"/>
      <c r="Y663" s="2"/>
      <c r="Z663" s="2"/>
    </row>
    <row r="664">
      <c r="A664" s="5"/>
      <c r="B664" s="5"/>
      <c r="C664" s="5"/>
      <c r="D664" s="5"/>
      <c r="E664" s="2"/>
      <c r="F664" s="2"/>
      <c r="G664" s="2"/>
      <c r="H664" s="2"/>
      <c r="I664" s="2"/>
      <c r="J664" s="2"/>
      <c r="K664" s="2"/>
      <c r="L664" s="2"/>
      <c r="M664" s="2"/>
      <c r="N664" s="2"/>
      <c r="O664" s="2"/>
      <c r="P664" s="2"/>
      <c r="Q664" s="2"/>
      <c r="R664" s="2"/>
      <c r="S664" s="2"/>
      <c r="T664" s="2"/>
      <c r="U664" s="2"/>
      <c r="V664" s="2"/>
      <c r="W664" s="2"/>
      <c r="X664" s="2"/>
      <c r="Y664" s="2"/>
      <c r="Z664" s="2"/>
    </row>
    <row r="665">
      <c r="A665" s="5"/>
      <c r="B665" s="5"/>
      <c r="C665" s="5"/>
      <c r="D665" s="5"/>
      <c r="E665" s="2"/>
      <c r="F665" s="2"/>
      <c r="G665" s="2"/>
      <c r="H665" s="2"/>
      <c r="I665" s="2"/>
      <c r="J665" s="2"/>
      <c r="K665" s="2"/>
      <c r="L665" s="2"/>
      <c r="M665" s="2"/>
      <c r="N665" s="2"/>
      <c r="O665" s="2"/>
      <c r="P665" s="2"/>
      <c r="Q665" s="2"/>
      <c r="R665" s="2"/>
      <c r="S665" s="2"/>
      <c r="T665" s="2"/>
      <c r="U665" s="2"/>
      <c r="V665" s="2"/>
      <c r="W665" s="2"/>
      <c r="X665" s="2"/>
      <c r="Y665" s="2"/>
      <c r="Z665" s="2"/>
    </row>
    <row r="666">
      <c r="A666" s="5"/>
      <c r="B666" s="5"/>
      <c r="C666" s="5"/>
      <c r="D666" s="5"/>
      <c r="E666" s="2"/>
      <c r="F666" s="2"/>
      <c r="G666" s="2"/>
      <c r="H666" s="2"/>
      <c r="I666" s="2"/>
      <c r="J666" s="2"/>
      <c r="K666" s="2"/>
      <c r="L666" s="2"/>
      <c r="M666" s="2"/>
      <c r="N666" s="2"/>
      <c r="O666" s="2"/>
      <c r="P666" s="2"/>
      <c r="Q666" s="2"/>
      <c r="R666" s="2"/>
      <c r="S666" s="2"/>
      <c r="T666" s="2"/>
      <c r="U666" s="2"/>
      <c r="V666" s="2"/>
      <c r="W666" s="2"/>
      <c r="X666" s="2"/>
      <c r="Y666" s="2"/>
      <c r="Z666" s="2"/>
    </row>
    <row r="667">
      <c r="A667" s="5"/>
      <c r="B667" s="5"/>
      <c r="C667" s="5"/>
      <c r="D667" s="5"/>
      <c r="E667" s="2"/>
      <c r="F667" s="2"/>
      <c r="G667" s="2"/>
      <c r="H667" s="2"/>
      <c r="I667" s="2"/>
      <c r="J667" s="2"/>
      <c r="K667" s="2"/>
      <c r="L667" s="2"/>
      <c r="M667" s="2"/>
      <c r="N667" s="2"/>
      <c r="O667" s="2"/>
      <c r="P667" s="2"/>
      <c r="Q667" s="2"/>
      <c r="R667" s="2"/>
      <c r="S667" s="2"/>
      <c r="T667" s="2"/>
      <c r="U667" s="2"/>
      <c r="V667" s="2"/>
      <c r="W667" s="2"/>
      <c r="X667" s="2"/>
      <c r="Y667" s="2"/>
      <c r="Z667" s="2"/>
    </row>
    <row r="668">
      <c r="A668" s="5"/>
      <c r="B668" s="5"/>
      <c r="C668" s="5"/>
      <c r="D668" s="5"/>
      <c r="E668" s="2"/>
      <c r="F668" s="2"/>
      <c r="G668" s="2"/>
      <c r="H668" s="2"/>
      <c r="I668" s="2"/>
      <c r="J668" s="2"/>
      <c r="K668" s="2"/>
      <c r="L668" s="2"/>
      <c r="M668" s="2"/>
      <c r="N668" s="2"/>
      <c r="O668" s="2"/>
      <c r="P668" s="2"/>
      <c r="Q668" s="2"/>
      <c r="R668" s="2"/>
      <c r="S668" s="2"/>
      <c r="T668" s="2"/>
      <c r="U668" s="2"/>
      <c r="V668" s="2"/>
      <c r="W668" s="2"/>
      <c r="X668" s="2"/>
      <c r="Y668" s="2"/>
      <c r="Z668" s="2"/>
    </row>
    <row r="669">
      <c r="A669" s="5"/>
      <c r="B669" s="5"/>
      <c r="C669" s="5"/>
      <c r="D669" s="5"/>
      <c r="E669" s="2"/>
      <c r="F669" s="2"/>
      <c r="G669" s="2"/>
      <c r="H669" s="2"/>
      <c r="I669" s="2"/>
      <c r="J669" s="2"/>
      <c r="K669" s="2"/>
      <c r="L669" s="2"/>
      <c r="M669" s="2"/>
      <c r="N669" s="2"/>
      <c r="O669" s="2"/>
      <c r="P669" s="2"/>
      <c r="Q669" s="2"/>
      <c r="R669" s="2"/>
      <c r="S669" s="2"/>
      <c r="T669" s="2"/>
      <c r="U669" s="2"/>
      <c r="V669" s="2"/>
      <c r="W669" s="2"/>
      <c r="X669" s="2"/>
      <c r="Y669" s="2"/>
      <c r="Z669" s="2"/>
    </row>
    <row r="670">
      <c r="A670" s="5"/>
      <c r="B670" s="5"/>
      <c r="C670" s="5"/>
      <c r="D670" s="5"/>
      <c r="E670" s="2"/>
      <c r="F670" s="2"/>
      <c r="G670" s="2"/>
      <c r="H670" s="2"/>
      <c r="I670" s="2"/>
      <c r="J670" s="2"/>
      <c r="K670" s="2"/>
      <c r="L670" s="2"/>
      <c r="M670" s="2"/>
      <c r="N670" s="2"/>
      <c r="O670" s="2"/>
      <c r="P670" s="2"/>
      <c r="Q670" s="2"/>
      <c r="R670" s="2"/>
      <c r="S670" s="2"/>
      <c r="T670" s="2"/>
      <c r="U670" s="2"/>
      <c r="V670" s="2"/>
      <c r="W670" s="2"/>
      <c r="X670" s="2"/>
      <c r="Y670" s="2"/>
      <c r="Z670" s="2"/>
    </row>
    <row r="671">
      <c r="A671" s="5"/>
      <c r="B671" s="5"/>
      <c r="C671" s="5"/>
      <c r="D671" s="5"/>
      <c r="E671" s="2"/>
      <c r="F671" s="2"/>
      <c r="G671" s="2"/>
      <c r="H671" s="2"/>
      <c r="I671" s="2"/>
      <c r="J671" s="2"/>
      <c r="K671" s="2"/>
      <c r="L671" s="2"/>
      <c r="M671" s="2"/>
      <c r="N671" s="2"/>
      <c r="O671" s="2"/>
      <c r="P671" s="2"/>
      <c r="Q671" s="2"/>
      <c r="R671" s="2"/>
      <c r="S671" s="2"/>
      <c r="T671" s="2"/>
      <c r="U671" s="2"/>
      <c r="V671" s="2"/>
      <c r="W671" s="2"/>
      <c r="X671" s="2"/>
      <c r="Y671" s="2"/>
      <c r="Z671" s="2"/>
    </row>
    <row r="672">
      <c r="A672" s="5"/>
      <c r="B672" s="5"/>
      <c r="C672" s="5"/>
      <c r="D672" s="5"/>
      <c r="E672" s="2"/>
      <c r="F672" s="2"/>
      <c r="G672" s="2"/>
      <c r="H672" s="2"/>
      <c r="I672" s="2"/>
      <c r="J672" s="2"/>
      <c r="K672" s="2"/>
      <c r="L672" s="2"/>
      <c r="M672" s="2"/>
      <c r="N672" s="2"/>
      <c r="O672" s="2"/>
      <c r="P672" s="2"/>
      <c r="Q672" s="2"/>
      <c r="R672" s="2"/>
      <c r="S672" s="2"/>
      <c r="T672" s="2"/>
      <c r="U672" s="2"/>
      <c r="V672" s="2"/>
      <c r="W672" s="2"/>
      <c r="X672" s="2"/>
      <c r="Y672" s="2"/>
      <c r="Z672" s="2"/>
    </row>
    <row r="673">
      <c r="A673" s="5"/>
      <c r="B673" s="5"/>
      <c r="C673" s="5"/>
      <c r="D673" s="5"/>
      <c r="E673" s="2"/>
      <c r="F673" s="2"/>
      <c r="G673" s="2"/>
      <c r="H673" s="2"/>
      <c r="I673" s="2"/>
      <c r="J673" s="2"/>
      <c r="K673" s="2"/>
      <c r="L673" s="2"/>
      <c r="M673" s="2"/>
      <c r="N673" s="2"/>
      <c r="O673" s="2"/>
      <c r="P673" s="2"/>
      <c r="Q673" s="2"/>
      <c r="R673" s="2"/>
      <c r="S673" s="2"/>
      <c r="T673" s="2"/>
      <c r="U673" s="2"/>
      <c r="V673" s="2"/>
      <c r="W673" s="2"/>
      <c r="X673" s="2"/>
      <c r="Y673" s="2"/>
      <c r="Z673" s="2"/>
    </row>
    <row r="674">
      <c r="A674" s="5"/>
      <c r="B674" s="5"/>
      <c r="C674" s="5"/>
      <c r="D674" s="5"/>
      <c r="E674" s="2"/>
      <c r="F674" s="2"/>
      <c r="G674" s="2"/>
      <c r="H674" s="2"/>
      <c r="I674" s="2"/>
      <c r="J674" s="2"/>
      <c r="K674" s="2"/>
      <c r="L674" s="2"/>
      <c r="M674" s="2"/>
      <c r="N674" s="2"/>
      <c r="O674" s="2"/>
      <c r="P674" s="2"/>
      <c r="Q674" s="2"/>
      <c r="R674" s="2"/>
      <c r="S674" s="2"/>
      <c r="T674" s="2"/>
      <c r="U674" s="2"/>
      <c r="V674" s="2"/>
      <c r="W674" s="2"/>
      <c r="X674" s="2"/>
      <c r="Y674" s="2"/>
      <c r="Z674" s="2"/>
    </row>
    <row r="675">
      <c r="A675" s="5"/>
      <c r="B675" s="5"/>
      <c r="C675" s="5"/>
      <c r="D675" s="5"/>
      <c r="E675" s="2"/>
      <c r="F675" s="2"/>
      <c r="G675" s="2"/>
      <c r="H675" s="2"/>
      <c r="I675" s="2"/>
      <c r="J675" s="2"/>
      <c r="K675" s="2"/>
      <c r="L675" s="2"/>
      <c r="M675" s="2"/>
      <c r="N675" s="2"/>
      <c r="O675" s="2"/>
      <c r="P675" s="2"/>
      <c r="Q675" s="2"/>
      <c r="R675" s="2"/>
      <c r="S675" s="2"/>
      <c r="T675" s="2"/>
      <c r="U675" s="2"/>
      <c r="V675" s="2"/>
      <c r="W675" s="2"/>
      <c r="X675" s="2"/>
      <c r="Y675" s="2"/>
      <c r="Z675" s="2"/>
    </row>
    <row r="676">
      <c r="A676" s="5"/>
      <c r="B676" s="5"/>
      <c r="C676" s="5"/>
      <c r="D676" s="5"/>
      <c r="E676" s="2"/>
      <c r="F676" s="2"/>
      <c r="G676" s="2"/>
      <c r="H676" s="2"/>
      <c r="I676" s="2"/>
      <c r="J676" s="2"/>
      <c r="K676" s="2"/>
      <c r="L676" s="2"/>
      <c r="M676" s="2"/>
      <c r="N676" s="2"/>
      <c r="O676" s="2"/>
      <c r="P676" s="2"/>
      <c r="Q676" s="2"/>
      <c r="R676" s="2"/>
      <c r="S676" s="2"/>
      <c r="T676" s="2"/>
      <c r="U676" s="2"/>
      <c r="V676" s="2"/>
      <c r="W676" s="2"/>
      <c r="X676" s="2"/>
      <c r="Y676" s="2"/>
      <c r="Z676" s="2"/>
    </row>
    <row r="677">
      <c r="A677" s="5"/>
      <c r="B677" s="5"/>
      <c r="C677" s="5"/>
      <c r="D677" s="5"/>
      <c r="E677" s="2"/>
      <c r="F677" s="2"/>
      <c r="G677" s="2"/>
      <c r="H677" s="2"/>
      <c r="I677" s="2"/>
      <c r="J677" s="2"/>
      <c r="K677" s="2"/>
      <c r="L677" s="2"/>
      <c r="M677" s="2"/>
      <c r="N677" s="2"/>
      <c r="O677" s="2"/>
      <c r="P677" s="2"/>
      <c r="Q677" s="2"/>
      <c r="R677" s="2"/>
      <c r="S677" s="2"/>
      <c r="T677" s="2"/>
      <c r="U677" s="2"/>
      <c r="V677" s="2"/>
      <c r="W677" s="2"/>
      <c r="X677" s="2"/>
      <c r="Y677" s="2"/>
      <c r="Z677" s="2"/>
    </row>
    <row r="678">
      <c r="A678" s="5"/>
      <c r="B678" s="5"/>
      <c r="C678" s="5"/>
      <c r="D678" s="5"/>
      <c r="E678" s="2"/>
      <c r="F678" s="2"/>
      <c r="G678" s="2"/>
      <c r="H678" s="2"/>
      <c r="I678" s="2"/>
      <c r="J678" s="2"/>
      <c r="K678" s="2"/>
      <c r="L678" s="2"/>
      <c r="M678" s="2"/>
      <c r="N678" s="2"/>
      <c r="O678" s="2"/>
      <c r="P678" s="2"/>
      <c r="Q678" s="2"/>
      <c r="R678" s="2"/>
      <c r="S678" s="2"/>
      <c r="T678" s="2"/>
      <c r="U678" s="2"/>
      <c r="V678" s="2"/>
      <c r="W678" s="2"/>
      <c r="X678" s="2"/>
      <c r="Y678" s="2"/>
      <c r="Z678" s="2"/>
    </row>
    <row r="679">
      <c r="A679" s="5"/>
      <c r="B679" s="5"/>
      <c r="C679" s="5"/>
      <c r="D679" s="5"/>
      <c r="E679" s="2"/>
      <c r="F679" s="2"/>
      <c r="G679" s="2"/>
      <c r="H679" s="2"/>
      <c r="I679" s="2"/>
      <c r="J679" s="2"/>
      <c r="K679" s="2"/>
      <c r="L679" s="2"/>
      <c r="M679" s="2"/>
      <c r="N679" s="2"/>
      <c r="O679" s="2"/>
      <c r="P679" s="2"/>
      <c r="Q679" s="2"/>
      <c r="R679" s="2"/>
      <c r="S679" s="2"/>
      <c r="T679" s="2"/>
      <c r="U679" s="2"/>
      <c r="V679" s="2"/>
      <c r="W679" s="2"/>
      <c r="X679" s="2"/>
      <c r="Y679" s="2"/>
      <c r="Z679" s="2"/>
    </row>
    <row r="680">
      <c r="A680" s="5"/>
      <c r="B680" s="5"/>
      <c r="C680" s="5"/>
      <c r="D680" s="5"/>
      <c r="E680" s="2"/>
      <c r="F680" s="2"/>
      <c r="G680" s="2"/>
      <c r="H680" s="2"/>
      <c r="I680" s="2"/>
      <c r="J680" s="2"/>
      <c r="K680" s="2"/>
      <c r="L680" s="2"/>
      <c r="M680" s="2"/>
      <c r="N680" s="2"/>
      <c r="O680" s="2"/>
      <c r="P680" s="2"/>
      <c r="Q680" s="2"/>
      <c r="R680" s="2"/>
      <c r="S680" s="2"/>
      <c r="T680" s="2"/>
      <c r="U680" s="2"/>
      <c r="V680" s="2"/>
      <c r="W680" s="2"/>
      <c r="X680" s="2"/>
      <c r="Y680" s="2"/>
      <c r="Z680" s="2"/>
    </row>
    <row r="681">
      <c r="A681" s="5"/>
      <c r="B681" s="5"/>
      <c r="C681" s="5"/>
      <c r="D681" s="5"/>
      <c r="E681" s="2"/>
      <c r="F681" s="2"/>
      <c r="G681" s="2"/>
      <c r="H681" s="2"/>
      <c r="I681" s="2"/>
      <c r="J681" s="2"/>
      <c r="K681" s="2"/>
      <c r="L681" s="2"/>
      <c r="M681" s="2"/>
      <c r="N681" s="2"/>
      <c r="O681" s="2"/>
      <c r="P681" s="2"/>
      <c r="Q681" s="2"/>
      <c r="R681" s="2"/>
      <c r="S681" s="2"/>
      <c r="T681" s="2"/>
      <c r="U681" s="2"/>
      <c r="V681" s="2"/>
      <c r="W681" s="2"/>
      <c r="X681" s="2"/>
      <c r="Y681" s="2"/>
      <c r="Z681" s="2"/>
    </row>
    <row r="682">
      <c r="A682" s="5"/>
      <c r="B682" s="5"/>
      <c r="C682" s="5"/>
      <c r="D682" s="5"/>
      <c r="E682" s="2"/>
      <c r="F682" s="2"/>
      <c r="G682" s="2"/>
      <c r="H682" s="2"/>
      <c r="I682" s="2"/>
      <c r="J682" s="2"/>
      <c r="K682" s="2"/>
      <c r="L682" s="2"/>
      <c r="M682" s="2"/>
      <c r="N682" s="2"/>
      <c r="O682" s="2"/>
      <c r="P682" s="2"/>
      <c r="Q682" s="2"/>
      <c r="R682" s="2"/>
      <c r="S682" s="2"/>
      <c r="T682" s="2"/>
      <c r="U682" s="2"/>
      <c r="V682" s="2"/>
      <c r="W682" s="2"/>
      <c r="X682" s="2"/>
      <c r="Y682" s="2"/>
      <c r="Z682" s="2"/>
    </row>
    <row r="683">
      <c r="A683" s="5"/>
      <c r="B683" s="5"/>
      <c r="C683" s="5"/>
      <c r="D683" s="5"/>
      <c r="E683" s="2"/>
      <c r="F683" s="2"/>
      <c r="G683" s="2"/>
      <c r="H683" s="2"/>
      <c r="I683" s="2"/>
      <c r="J683" s="2"/>
      <c r="K683" s="2"/>
      <c r="L683" s="2"/>
      <c r="M683" s="2"/>
      <c r="N683" s="2"/>
      <c r="O683" s="2"/>
      <c r="P683" s="2"/>
      <c r="Q683" s="2"/>
      <c r="R683" s="2"/>
      <c r="S683" s="2"/>
      <c r="T683" s="2"/>
      <c r="U683" s="2"/>
      <c r="V683" s="2"/>
      <c r="W683" s="2"/>
      <c r="X683" s="2"/>
      <c r="Y683" s="2"/>
      <c r="Z683" s="2"/>
    </row>
    <row r="684">
      <c r="A684" s="5"/>
      <c r="B684" s="5"/>
      <c r="C684" s="5"/>
      <c r="D684" s="5"/>
      <c r="E684" s="2"/>
      <c r="F684" s="2"/>
      <c r="G684" s="2"/>
      <c r="H684" s="2"/>
      <c r="I684" s="2"/>
      <c r="J684" s="2"/>
      <c r="K684" s="2"/>
      <c r="L684" s="2"/>
      <c r="M684" s="2"/>
      <c r="N684" s="2"/>
      <c r="O684" s="2"/>
      <c r="P684" s="2"/>
      <c r="Q684" s="2"/>
      <c r="R684" s="2"/>
      <c r="S684" s="2"/>
      <c r="T684" s="2"/>
      <c r="U684" s="2"/>
      <c r="V684" s="2"/>
      <c r="W684" s="2"/>
      <c r="X684" s="2"/>
      <c r="Y684" s="2"/>
      <c r="Z684" s="2"/>
    </row>
    <row r="685">
      <c r="A685" s="5"/>
      <c r="B685" s="5"/>
      <c r="C685" s="5"/>
      <c r="D685" s="5"/>
      <c r="E685" s="2"/>
      <c r="F685" s="2"/>
      <c r="G685" s="2"/>
      <c r="H685" s="2"/>
      <c r="I685" s="2"/>
      <c r="J685" s="2"/>
      <c r="K685" s="2"/>
      <c r="L685" s="2"/>
      <c r="M685" s="2"/>
      <c r="N685" s="2"/>
      <c r="O685" s="2"/>
      <c r="P685" s="2"/>
      <c r="Q685" s="2"/>
      <c r="R685" s="2"/>
      <c r="S685" s="2"/>
      <c r="T685" s="2"/>
      <c r="U685" s="2"/>
      <c r="V685" s="2"/>
      <c r="W685" s="2"/>
      <c r="X685" s="2"/>
      <c r="Y685" s="2"/>
      <c r="Z685" s="2"/>
    </row>
    <row r="686">
      <c r="A686" s="5"/>
      <c r="B686" s="5"/>
      <c r="C686" s="5"/>
      <c r="D686" s="5"/>
      <c r="E686" s="2"/>
      <c r="F686" s="2"/>
      <c r="G686" s="2"/>
      <c r="H686" s="2"/>
      <c r="I686" s="2"/>
      <c r="J686" s="2"/>
      <c r="K686" s="2"/>
      <c r="L686" s="2"/>
      <c r="M686" s="2"/>
      <c r="N686" s="2"/>
      <c r="O686" s="2"/>
      <c r="P686" s="2"/>
      <c r="Q686" s="2"/>
      <c r="R686" s="2"/>
      <c r="S686" s="2"/>
      <c r="T686" s="2"/>
      <c r="U686" s="2"/>
      <c r="V686" s="2"/>
      <c r="W686" s="2"/>
      <c r="X686" s="2"/>
      <c r="Y686" s="2"/>
      <c r="Z686" s="2"/>
    </row>
    <row r="687">
      <c r="A687" s="5"/>
      <c r="B687" s="5"/>
      <c r="C687" s="5"/>
      <c r="D687" s="5"/>
      <c r="E687" s="2"/>
      <c r="F687" s="2"/>
      <c r="G687" s="2"/>
      <c r="H687" s="2"/>
      <c r="I687" s="2"/>
      <c r="J687" s="2"/>
      <c r="K687" s="2"/>
      <c r="L687" s="2"/>
      <c r="M687" s="2"/>
      <c r="N687" s="2"/>
      <c r="O687" s="2"/>
      <c r="P687" s="2"/>
      <c r="Q687" s="2"/>
      <c r="R687" s="2"/>
      <c r="S687" s="2"/>
      <c r="T687" s="2"/>
      <c r="U687" s="2"/>
      <c r="V687" s="2"/>
      <c r="W687" s="2"/>
      <c r="X687" s="2"/>
      <c r="Y687" s="2"/>
      <c r="Z687" s="2"/>
    </row>
    <row r="688">
      <c r="A688" s="5"/>
      <c r="B688" s="5"/>
      <c r="C688" s="5"/>
      <c r="D688" s="5"/>
      <c r="E688" s="2"/>
      <c r="F688" s="2"/>
      <c r="G688" s="2"/>
      <c r="H688" s="2"/>
      <c r="I688" s="2"/>
      <c r="J688" s="2"/>
      <c r="K688" s="2"/>
      <c r="L688" s="2"/>
      <c r="M688" s="2"/>
      <c r="N688" s="2"/>
      <c r="O688" s="2"/>
      <c r="P688" s="2"/>
      <c r="Q688" s="2"/>
      <c r="R688" s="2"/>
      <c r="S688" s="2"/>
      <c r="T688" s="2"/>
      <c r="U688" s="2"/>
      <c r="V688" s="2"/>
      <c r="W688" s="2"/>
      <c r="X688" s="2"/>
      <c r="Y688" s="2"/>
      <c r="Z688" s="2"/>
    </row>
    <row r="689">
      <c r="A689" s="5"/>
      <c r="B689" s="5"/>
      <c r="C689" s="5"/>
      <c r="D689" s="5"/>
      <c r="E689" s="2"/>
      <c r="F689" s="2"/>
      <c r="G689" s="2"/>
      <c r="H689" s="2"/>
      <c r="I689" s="2"/>
      <c r="J689" s="2"/>
      <c r="K689" s="2"/>
      <c r="L689" s="2"/>
      <c r="M689" s="2"/>
      <c r="N689" s="2"/>
      <c r="O689" s="2"/>
      <c r="P689" s="2"/>
      <c r="Q689" s="2"/>
      <c r="R689" s="2"/>
      <c r="S689" s="2"/>
      <c r="T689" s="2"/>
      <c r="U689" s="2"/>
      <c r="V689" s="2"/>
      <c r="W689" s="2"/>
      <c r="X689" s="2"/>
      <c r="Y689" s="2"/>
      <c r="Z689" s="2"/>
    </row>
    <row r="690">
      <c r="A690" s="5"/>
      <c r="B690" s="5"/>
      <c r="C690" s="5"/>
      <c r="D690" s="5"/>
      <c r="E690" s="2"/>
      <c r="F690" s="2"/>
      <c r="G690" s="2"/>
      <c r="H690" s="2"/>
      <c r="I690" s="2"/>
      <c r="J690" s="2"/>
      <c r="K690" s="2"/>
      <c r="L690" s="2"/>
      <c r="M690" s="2"/>
      <c r="N690" s="2"/>
      <c r="O690" s="2"/>
      <c r="P690" s="2"/>
      <c r="Q690" s="2"/>
      <c r="R690" s="2"/>
      <c r="S690" s="2"/>
      <c r="T690" s="2"/>
      <c r="U690" s="2"/>
      <c r="V690" s="2"/>
      <c r="W690" s="2"/>
      <c r="X690" s="2"/>
      <c r="Y690" s="2"/>
      <c r="Z690" s="2"/>
    </row>
    <row r="691">
      <c r="A691" s="5"/>
      <c r="B691" s="5"/>
      <c r="C691" s="5"/>
      <c r="D691" s="5"/>
      <c r="E691" s="2"/>
      <c r="F691" s="2"/>
      <c r="G691" s="2"/>
      <c r="H691" s="2"/>
      <c r="I691" s="2"/>
      <c r="J691" s="2"/>
      <c r="K691" s="2"/>
      <c r="L691" s="2"/>
      <c r="M691" s="2"/>
      <c r="N691" s="2"/>
      <c r="O691" s="2"/>
      <c r="P691" s="2"/>
      <c r="Q691" s="2"/>
      <c r="R691" s="2"/>
      <c r="S691" s="2"/>
      <c r="T691" s="2"/>
      <c r="U691" s="2"/>
      <c r="V691" s="2"/>
      <c r="W691" s="2"/>
      <c r="X691" s="2"/>
      <c r="Y691" s="2"/>
      <c r="Z691" s="2"/>
    </row>
    <row r="692">
      <c r="A692" s="5"/>
      <c r="B692" s="5"/>
      <c r="C692" s="5"/>
      <c r="D692" s="5"/>
      <c r="E692" s="2"/>
      <c r="F692" s="2"/>
      <c r="G692" s="2"/>
      <c r="H692" s="2"/>
      <c r="I692" s="2"/>
      <c r="J692" s="2"/>
      <c r="K692" s="2"/>
      <c r="L692" s="2"/>
      <c r="M692" s="2"/>
      <c r="N692" s="2"/>
      <c r="O692" s="2"/>
      <c r="P692" s="2"/>
      <c r="Q692" s="2"/>
      <c r="R692" s="2"/>
      <c r="S692" s="2"/>
      <c r="T692" s="2"/>
      <c r="U692" s="2"/>
      <c r="V692" s="2"/>
      <c r="W692" s="2"/>
      <c r="X692" s="2"/>
      <c r="Y692" s="2"/>
      <c r="Z692" s="2"/>
    </row>
    <row r="693">
      <c r="A693" s="5"/>
      <c r="B693" s="5"/>
      <c r="C693" s="5"/>
      <c r="D693" s="5"/>
      <c r="E693" s="2"/>
      <c r="F693" s="2"/>
      <c r="G693" s="2"/>
      <c r="H693" s="2"/>
      <c r="I693" s="2"/>
      <c r="J693" s="2"/>
      <c r="K693" s="2"/>
      <c r="L693" s="2"/>
      <c r="M693" s="2"/>
      <c r="N693" s="2"/>
      <c r="O693" s="2"/>
      <c r="P693" s="2"/>
      <c r="Q693" s="2"/>
      <c r="R693" s="2"/>
      <c r="S693" s="2"/>
      <c r="T693" s="2"/>
      <c r="U693" s="2"/>
      <c r="V693" s="2"/>
      <c r="W693" s="2"/>
      <c r="X693" s="2"/>
      <c r="Y693" s="2"/>
      <c r="Z693" s="2"/>
    </row>
    <row r="694">
      <c r="A694" s="5"/>
      <c r="B694" s="5"/>
      <c r="C694" s="5"/>
      <c r="D694" s="5"/>
      <c r="E694" s="2"/>
      <c r="F694" s="2"/>
      <c r="G694" s="2"/>
      <c r="H694" s="2"/>
      <c r="I694" s="2"/>
      <c r="J694" s="2"/>
      <c r="K694" s="2"/>
      <c r="L694" s="2"/>
      <c r="M694" s="2"/>
      <c r="N694" s="2"/>
      <c r="O694" s="2"/>
      <c r="P694" s="2"/>
      <c r="Q694" s="2"/>
      <c r="R694" s="2"/>
      <c r="S694" s="2"/>
      <c r="T694" s="2"/>
      <c r="U694" s="2"/>
      <c r="V694" s="2"/>
      <c r="W694" s="2"/>
      <c r="X694" s="2"/>
      <c r="Y694" s="2"/>
      <c r="Z694" s="2"/>
    </row>
    <row r="695">
      <c r="A695" s="5"/>
      <c r="B695" s="5"/>
      <c r="C695" s="5"/>
      <c r="D695" s="5"/>
      <c r="E695" s="2"/>
      <c r="F695" s="2"/>
      <c r="G695" s="2"/>
      <c r="H695" s="2"/>
      <c r="I695" s="2"/>
      <c r="J695" s="2"/>
      <c r="K695" s="2"/>
      <c r="L695" s="2"/>
      <c r="M695" s="2"/>
      <c r="N695" s="2"/>
      <c r="O695" s="2"/>
      <c r="P695" s="2"/>
      <c r="Q695" s="2"/>
      <c r="R695" s="2"/>
      <c r="S695" s="2"/>
      <c r="T695" s="2"/>
      <c r="U695" s="2"/>
      <c r="V695" s="2"/>
      <c r="W695" s="2"/>
      <c r="X695" s="2"/>
      <c r="Y695" s="2"/>
      <c r="Z695" s="2"/>
    </row>
    <row r="696">
      <c r="A696" s="5"/>
      <c r="B696" s="5"/>
      <c r="C696" s="5"/>
      <c r="D696" s="5"/>
      <c r="E696" s="2"/>
      <c r="F696" s="2"/>
      <c r="G696" s="2"/>
      <c r="H696" s="2"/>
      <c r="I696" s="2"/>
      <c r="J696" s="2"/>
      <c r="K696" s="2"/>
      <c r="L696" s="2"/>
      <c r="M696" s="2"/>
      <c r="N696" s="2"/>
      <c r="O696" s="2"/>
      <c r="P696" s="2"/>
      <c r="Q696" s="2"/>
      <c r="R696" s="2"/>
      <c r="S696" s="2"/>
      <c r="T696" s="2"/>
      <c r="U696" s="2"/>
      <c r="V696" s="2"/>
      <c r="W696" s="2"/>
      <c r="X696" s="2"/>
      <c r="Y696" s="2"/>
      <c r="Z696" s="2"/>
    </row>
    <row r="697">
      <c r="A697" s="5"/>
      <c r="B697" s="5"/>
      <c r="C697" s="5"/>
      <c r="D697" s="5"/>
      <c r="E697" s="2"/>
      <c r="F697" s="2"/>
      <c r="G697" s="2"/>
      <c r="H697" s="2"/>
      <c r="I697" s="2"/>
      <c r="J697" s="2"/>
      <c r="K697" s="2"/>
      <c r="L697" s="2"/>
      <c r="M697" s="2"/>
      <c r="N697" s="2"/>
      <c r="O697" s="2"/>
      <c r="P697" s="2"/>
      <c r="Q697" s="2"/>
      <c r="R697" s="2"/>
      <c r="S697" s="2"/>
      <c r="T697" s="2"/>
      <c r="U697" s="2"/>
      <c r="V697" s="2"/>
      <c r="W697" s="2"/>
      <c r="X697" s="2"/>
      <c r="Y697" s="2"/>
      <c r="Z697" s="2"/>
    </row>
    <row r="698">
      <c r="A698" s="5"/>
      <c r="B698" s="5"/>
      <c r="C698" s="5"/>
      <c r="D698" s="5"/>
      <c r="E698" s="2"/>
      <c r="F698" s="2"/>
      <c r="G698" s="2"/>
      <c r="H698" s="2"/>
      <c r="I698" s="2"/>
      <c r="J698" s="2"/>
      <c r="K698" s="2"/>
      <c r="L698" s="2"/>
      <c r="M698" s="2"/>
      <c r="N698" s="2"/>
      <c r="O698" s="2"/>
      <c r="P698" s="2"/>
      <c r="Q698" s="2"/>
      <c r="R698" s="2"/>
      <c r="S698" s="2"/>
      <c r="T698" s="2"/>
      <c r="U698" s="2"/>
      <c r="V698" s="2"/>
      <c r="W698" s="2"/>
      <c r="X698" s="2"/>
      <c r="Y698" s="2"/>
      <c r="Z698" s="2"/>
    </row>
    <row r="699">
      <c r="A699" s="5"/>
      <c r="B699" s="5"/>
      <c r="C699" s="5"/>
      <c r="D699" s="5"/>
      <c r="E699" s="2"/>
      <c r="F699" s="2"/>
      <c r="G699" s="2"/>
      <c r="H699" s="2"/>
      <c r="I699" s="2"/>
      <c r="J699" s="2"/>
      <c r="K699" s="2"/>
      <c r="L699" s="2"/>
      <c r="M699" s="2"/>
      <c r="N699" s="2"/>
      <c r="O699" s="2"/>
      <c r="P699" s="2"/>
      <c r="Q699" s="2"/>
      <c r="R699" s="2"/>
      <c r="S699" s="2"/>
      <c r="T699" s="2"/>
      <c r="U699" s="2"/>
      <c r="V699" s="2"/>
      <c r="W699" s="2"/>
      <c r="X699" s="2"/>
      <c r="Y699" s="2"/>
      <c r="Z699" s="2"/>
    </row>
    <row r="700">
      <c r="A700" s="5"/>
      <c r="B700" s="5"/>
      <c r="C700" s="5"/>
      <c r="D700" s="5"/>
      <c r="E700" s="2"/>
      <c r="F700" s="2"/>
      <c r="G700" s="2"/>
      <c r="H700" s="2"/>
      <c r="I700" s="2"/>
      <c r="J700" s="2"/>
      <c r="K700" s="2"/>
      <c r="L700" s="2"/>
      <c r="M700" s="2"/>
      <c r="N700" s="2"/>
      <c r="O700" s="2"/>
      <c r="P700" s="2"/>
      <c r="Q700" s="2"/>
      <c r="R700" s="2"/>
      <c r="S700" s="2"/>
      <c r="T700" s="2"/>
      <c r="U700" s="2"/>
      <c r="V700" s="2"/>
      <c r="W700" s="2"/>
      <c r="X700" s="2"/>
      <c r="Y700" s="2"/>
      <c r="Z700" s="2"/>
    </row>
    <row r="701">
      <c r="A701" s="5"/>
      <c r="B701" s="5"/>
      <c r="C701" s="5"/>
      <c r="D701" s="5"/>
      <c r="E701" s="2"/>
      <c r="F701" s="2"/>
      <c r="G701" s="2"/>
      <c r="H701" s="2"/>
      <c r="I701" s="2"/>
      <c r="J701" s="2"/>
      <c r="K701" s="2"/>
      <c r="L701" s="2"/>
      <c r="M701" s="2"/>
      <c r="N701" s="2"/>
      <c r="O701" s="2"/>
      <c r="P701" s="2"/>
      <c r="Q701" s="2"/>
      <c r="R701" s="2"/>
      <c r="S701" s="2"/>
      <c r="T701" s="2"/>
      <c r="U701" s="2"/>
      <c r="V701" s="2"/>
      <c r="W701" s="2"/>
      <c r="X701" s="2"/>
      <c r="Y701" s="2"/>
      <c r="Z701" s="2"/>
    </row>
    <row r="702">
      <c r="A702" s="5"/>
      <c r="B702" s="5"/>
      <c r="C702" s="5"/>
      <c r="D702" s="5"/>
      <c r="E702" s="2"/>
      <c r="F702" s="2"/>
      <c r="G702" s="2"/>
      <c r="H702" s="2"/>
      <c r="I702" s="2"/>
      <c r="J702" s="2"/>
      <c r="K702" s="2"/>
      <c r="L702" s="2"/>
      <c r="M702" s="2"/>
      <c r="N702" s="2"/>
      <c r="O702" s="2"/>
      <c r="P702" s="2"/>
      <c r="Q702" s="2"/>
      <c r="R702" s="2"/>
      <c r="S702" s="2"/>
      <c r="T702" s="2"/>
      <c r="U702" s="2"/>
      <c r="V702" s="2"/>
      <c r="W702" s="2"/>
      <c r="X702" s="2"/>
      <c r="Y702" s="2"/>
      <c r="Z702" s="2"/>
    </row>
    <row r="703">
      <c r="A703" s="5"/>
      <c r="B703" s="5"/>
      <c r="C703" s="5"/>
      <c r="D703" s="5"/>
      <c r="E703" s="2"/>
      <c r="F703" s="2"/>
      <c r="G703" s="2"/>
      <c r="H703" s="2"/>
      <c r="I703" s="2"/>
      <c r="J703" s="2"/>
      <c r="K703" s="2"/>
      <c r="L703" s="2"/>
      <c r="M703" s="2"/>
      <c r="N703" s="2"/>
      <c r="O703" s="2"/>
      <c r="P703" s="2"/>
      <c r="Q703" s="2"/>
      <c r="R703" s="2"/>
      <c r="S703" s="2"/>
      <c r="T703" s="2"/>
      <c r="U703" s="2"/>
      <c r="V703" s="2"/>
      <c r="W703" s="2"/>
      <c r="X703" s="2"/>
      <c r="Y703" s="2"/>
      <c r="Z703" s="2"/>
    </row>
    <row r="704">
      <c r="A704" s="5"/>
      <c r="B704" s="5"/>
      <c r="C704" s="5"/>
      <c r="D704" s="5"/>
      <c r="E704" s="2"/>
      <c r="F704" s="2"/>
      <c r="G704" s="2"/>
      <c r="H704" s="2"/>
      <c r="I704" s="2"/>
      <c r="J704" s="2"/>
      <c r="K704" s="2"/>
      <c r="L704" s="2"/>
      <c r="M704" s="2"/>
      <c r="N704" s="2"/>
      <c r="O704" s="2"/>
      <c r="P704" s="2"/>
      <c r="Q704" s="2"/>
      <c r="R704" s="2"/>
      <c r="S704" s="2"/>
      <c r="T704" s="2"/>
      <c r="U704" s="2"/>
      <c r="V704" s="2"/>
      <c r="W704" s="2"/>
      <c r="X704" s="2"/>
      <c r="Y704" s="2"/>
      <c r="Z704" s="2"/>
    </row>
    <row r="705">
      <c r="A705" s="5"/>
      <c r="B705" s="5"/>
      <c r="C705" s="5"/>
      <c r="D705" s="5"/>
      <c r="E705" s="2"/>
      <c r="F705" s="2"/>
      <c r="G705" s="2"/>
      <c r="H705" s="2"/>
      <c r="I705" s="2"/>
      <c r="J705" s="2"/>
      <c r="K705" s="2"/>
      <c r="L705" s="2"/>
      <c r="M705" s="2"/>
      <c r="N705" s="2"/>
      <c r="O705" s="2"/>
      <c r="P705" s="2"/>
      <c r="Q705" s="2"/>
      <c r="R705" s="2"/>
      <c r="S705" s="2"/>
      <c r="T705" s="2"/>
      <c r="U705" s="2"/>
      <c r="V705" s="2"/>
      <c r="W705" s="2"/>
      <c r="X705" s="2"/>
      <c r="Y705" s="2"/>
      <c r="Z705" s="2"/>
    </row>
    <row r="706">
      <c r="A706" s="5"/>
      <c r="B706" s="5"/>
      <c r="C706" s="5"/>
      <c r="D706" s="5"/>
      <c r="E706" s="2"/>
      <c r="F706" s="2"/>
      <c r="G706" s="2"/>
      <c r="H706" s="2"/>
      <c r="I706" s="2"/>
      <c r="J706" s="2"/>
      <c r="K706" s="2"/>
      <c r="L706" s="2"/>
      <c r="M706" s="2"/>
      <c r="N706" s="2"/>
      <c r="O706" s="2"/>
      <c r="P706" s="2"/>
      <c r="Q706" s="2"/>
      <c r="R706" s="2"/>
      <c r="S706" s="2"/>
      <c r="T706" s="2"/>
      <c r="U706" s="2"/>
      <c r="V706" s="2"/>
      <c r="W706" s="2"/>
      <c r="X706" s="2"/>
      <c r="Y706" s="2"/>
      <c r="Z706" s="2"/>
    </row>
    <row r="707">
      <c r="A707" s="5"/>
      <c r="B707" s="5"/>
      <c r="C707" s="5"/>
      <c r="D707" s="5"/>
      <c r="E707" s="2"/>
      <c r="F707" s="2"/>
      <c r="G707" s="2"/>
      <c r="H707" s="2"/>
      <c r="I707" s="2"/>
      <c r="J707" s="2"/>
      <c r="K707" s="2"/>
      <c r="L707" s="2"/>
      <c r="M707" s="2"/>
      <c r="N707" s="2"/>
      <c r="O707" s="2"/>
      <c r="P707" s="2"/>
      <c r="Q707" s="2"/>
      <c r="R707" s="2"/>
      <c r="S707" s="2"/>
      <c r="T707" s="2"/>
      <c r="U707" s="2"/>
      <c r="V707" s="2"/>
      <c r="W707" s="2"/>
      <c r="X707" s="2"/>
      <c r="Y707" s="2"/>
      <c r="Z707" s="2"/>
    </row>
    <row r="708">
      <c r="A708" s="5"/>
      <c r="B708" s="5"/>
      <c r="C708" s="5"/>
      <c r="D708" s="5"/>
      <c r="E708" s="2"/>
      <c r="F708" s="2"/>
      <c r="G708" s="2"/>
      <c r="H708" s="2"/>
      <c r="I708" s="2"/>
      <c r="J708" s="2"/>
      <c r="K708" s="2"/>
      <c r="L708" s="2"/>
      <c r="M708" s="2"/>
      <c r="N708" s="2"/>
      <c r="O708" s="2"/>
      <c r="P708" s="2"/>
      <c r="Q708" s="2"/>
      <c r="R708" s="2"/>
      <c r="S708" s="2"/>
      <c r="T708" s="2"/>
      <c r="U708" s="2"/>
      <c r="V708" s="2"/>
      <c r="W708" s="2"/>
      <c r="X708" s="2"/>
      <c r="Y708" s="2"/>
      <c r="Z708" s="2"/>
    </row>
    <row r="709">
      <c r="A709" s="5"/>
      <c r="B709" s="5"/>
      <c r="C709" s="5"/>
      <c r="D709" s="5"/>
      <c r="E709" s="2"/>
      <c r="F709" s="2"/>
      <c r="G709" s="2"/>
      <c r="H709" s="2"/>
      <c r="I709" s="2"/>
      <c r="J709" s="2"/>
      <c r="K709" s="2"/>
      <c r="L709" s="2"/>
      <c r="M709" s="2"/>
      <c r="N709" s="2"/>
      <c r="O709" s="2"/>
      <c r="P709" s="2"/>
      <c r="Q709" s="2"/>
      <c r="R709" s="2"/>
      <c r="S709" s="2"/>
      <c r="T709" s="2"/>
      <c r="U709" s="2"/>
      <c r="V709" s="2"/>
      <c r="W709" s="2"/>
      <c r="X709" s="2"/>
      <c r="Y709" s="2"/>
      <c r="Z709" s="2"/>
    </row>
    <row r="710">
      <c r="A710" s="5"/>
      <c r="B710" s="5"/>
      <c r="C710" s="5"/>
      <c r="D710" s="5"/>
      <c r="E710" s="2"/>
      <c r="F710" s="2"/>
      <c r="G710" s="2"/>
      <c r="H710" s="2"/>
      <c r="I710" s="2"/>
      <c r="J710" s="2"/>
      <c r="K710" s="2"/>
      <c r="L710" s="2"/>
      <c r="M710" s="2"/>
      <c r="N710" s="2"/>
      <c r="O710" s="2"/>
      <c r="P710" s="2"/>
      <c r="Q710" s="2"/>
      <c r="R710" s="2"/>
      <c r="S710" s="2"/>
      <c r="T710" s="2"/>
      <c r="U710" s="2"/>
      <c r="V710" s="2"/>
      <c r="W710" s="2"/>
      <c r="X710" s="2"/>
      <c r="Y710" s="2"/>
      <c r="Z710" s="2"/>
    </row>
    <row r="711">
      <c r="A711" s="5"/>
      <c r="B711" s="5"/>
      <c r="C711" s="5"/>
      <c r="D711" s="5"/>
      <c r="E711" s="2"/>
      <c r="F711" s="2"/>
      <c r="G711" s="2"/>
      <c r="H711" s="2"/>
      <c r="I711" s="2"/>
      <c r="J711" s="2"/>
      <c r="K711" s="2"/>
      <c r="L711" s="2"/>
      <c r="M711" s="2"/>
      <c r="N711" s="2"/>
      <c r="O711" s="2"/>
      <c r="P711" s="2"/>
      <c r="Q711" s="2"/>
      <c r="R711" s="2"/>
      <c r="S711" s="2"/>
      <c r="T711" s="2"/>
      <c r="U711" s="2"/>
      <c r="V711" s="2"/>
      <c r="W711" s="2"/>
      <c r="X711" s="2"/>
      <c r="Y711" s="2"/>
      <c r="Z711" s="2"/>
    </row>
    <row r="712">
      <c r="A712" s="5"/>
      <c r="B712" s="5"/>
      <c r="C712" s="5"/>
      <c r="D712" s="5"/>
      <c r="E712" s="2"/>
      <c r="F712" s="2"/>
      <c r="G712" s="2"/>
      <c r="H712" s="2"/>
      <c r="I712" s="2"/>
      <c r="J712" s="2"/>
      <c r="K712" s="2"/>
      <c r="L712" s="2"/>
      <c r="M712" s="2"/>
      <c r="N712" s="2"/>
      <c r="O712" s="2"/>
      <c r="P712" s="2"/>
      <c r="Q712" s="2"/>
      <c r="R712" s="2"/>
      <c r="S712" s="2"/>
      <c r="T712" s="2"/>
      <c r="U712" s="2"/>
      <c r="V712" s="2"/>
      <c r="W712" s="2"/>
      <c r="X712" s="2"/>
      <c r="Y712" s="2"/>
      <c r="Z712" s="2"/>
    </row>
    <row r="713">
      <c r="A713" s="5"/>
      <c r="B713" s="5"/>
      <c r="C713" s="5"/>
      <c r="D713" s="5"/>
      <c r="E713" s="2"/>
      <c r="F713" s="2"/>
      <c r="G713" s="2"/>
      <c r="H713" s="2"/>
      <c r="I713" s="2"/>
      <c r="J713" s="2"/>
      <c r="K713" s="2"/>
      <c r="L713" s="2"/>
      <c r="M713" s="2"/>
      <c r="N713" s="2"/>
      <c r="O713" s="2"/>
      <c r="P713" s="2"/>
      <c r="Q713" s="2"/>
      <c r="R713" s="2"/>
      <c r="S713" s="2"/>
      <c r="T713" s="2"/>
      <c r="U713" s="2"/>
      <c r="V713" s="2"/>
      <c r="W713" s="2"/>
      <c r="X713" s="2"/>
      <c r="Y713" s="2"/>
      <c r="Z713" s="2"/>
    </row>
    <row r="714">
      <c r="A714" s="5"/>
      <c r="B714" s="5"/>
      <c r="C714" s="5"/>
      <c r="D714" s="5"/>
      <c r="E714" s="2"/>
      <c r="F714" s="2"/>
      <c r="G714" s="2"/>
      <c r="H714" s="2"/>
      <c r="I714" s="2"/>
      <c r="J714" s="2"/>
      <c r="K714" s="2"/>
      <c r="L714" s="2"/>
      <c r="M714" s="2"/>
      <c r="N714" s="2"/>
      <c r="O714" s="2"/>
      <c r="P714" s="2"/>
      <c r="Q714" s="2"/>
      <c r="R714" s="2"/>
      <c r="S714" s="2"/>
      <c r="T714" s="2"/>
      <c r="U714" s="2"/>
      <c r="V714" s="2"/>
      <c r="W714" s="2"/>
      <c r="X714" s="2"/>
      <c r="Y714" s="2"/>
      <c r="Z714" s="2"/>
    </row>
    <row r="715">
      <c r="A715" s="5"/>
      <c r="B715" s="5"/>
      <c r="C715" s="5"/>
      <c r="D715" s="5"/>
      <c r="E715" s="2"/>
      <c r="F715" s="2"/>
      <c r="G715" s="2"/>
      <c r="H715" s="2"/>
      <c r="I715" s="2"/>
      <c r="J715" s="2"/>
      <c r="K715" s="2"/>
      <c r="L715" s="2"/>
      <c r="M715" s="2"/>
      <c r="N715" s="2"/>
      <c r="O715" s="2"/>
      <c r="P715" s="2"/>
      <c r="Q715" s="2"/>
      <c r="R715" s="2"/>
      <c r="S715" s="2"/>
      <c r="T715" s="2"/>
      <c r="U715" s="2"/>
      <c r="V715" s="2"/>
      <c r="W715" s="2"/>
      <c r="X715" s="2"/>
      <c r="Y715" s="2"/>
      <c r="Z715" s="2"/>
    </row>
    <row r="716">
      <c r="A716" s="5"/>
      <c r="B716" s="5"/>
      <c r="C716" s="5"/>
      <c r="D716" s="5"/>
      <c r="E716" s="2"/>
      <c r="F716" s="2"/>
      <c r="G716" s="2"/>
      <c r="H716" s="2"/>
      <c r="I716" s="2"/>
      <c r="J716" s="2"/>
      <c r="K716" s="2"/>
      <c r="L716" s="2"/>
      <c r="M716" s="2"/>
      <c r="N716" s="2"/>
      <c r="O716" s="2"/>
      <c r="P716" s="2"/>
      <c r="Q716" s="2"/>
      <c r="R716" s="2"/>
      <c r="S716" s="2"/>
      <c r="T716" s="2"/>
      <c r="U716" s="2"/>
      <c r="V716" s="2"/>
      <c r="W716" s="2"/>
      <c r="X716" s="2"/>
      <c r="Y716" s="2"/>
      <c r="Z716" s="2"/>
    </row>
    <row r="717">
      <c r="A717" s="5"/>
      <c r="B717" s="5"/>
      <c r="C717" s="5"/>
      <c r="D717" s="5"/>
      <c r="E717" s="2"/>
      <c r="F717" s="2"/>
      <c r="G717" s="2"/>
      <c r="H717" s="2"/>
      <c r="I717" s="2"/>
      <c r="J717" s="2"/>
      <c r="K717" s="2"/>
      <c r="L717" s="2"/>
      <c r="M717" s="2"/>
      <c r="N717" s="2"/>
      <c r="O717" s="2"/>
      <c r="P717" s="2"/>
      <c r="Q717" s="2"/>
      <c r="R717" s="2"/>
      <c r="S717" s="2"/>
      <c r="T717" s="2"/>
      <c r="U717" s="2"/>
      <c r="V717" s="2"/>
      <c r="W717" s="2"/>
      <c r="X717" s="2"/>
      <c r="Y717" s="2"/>
      <c r="Z717" s="2"/>
    </row>
    <row r="718">
      <c r="A718" s="5"/>
      <c r="B718" s="5"/>
      <c r="C718" s="5"/>
      <c r="D718" s="5"/>
      <c r="E718" s="2"/>
      <c r="F718" s="2"/>
      <c r="G718" s="2"/>
      <c r="H718" s="2"/>
      <c r="I718" s="2"/>
      <c r="J718" s="2"/>
      <c r="K718" s="2"/>
      <c r="L718" s="2"/>
      <c r="M718" s="2"/>
      <c r="N718" s="2"/>
      <c r="O718" s="2"/>
      <c r="P718" s="2"/>
      <c r="Q718" s="2"/>
      <c r="R718" s="2"/>
      <c r="S718" s="2"/>
      <c r="T718" s="2"/>
      <c r="U718" s="2"/>
      <c r="V718" s="2"/>
      <c r="W718" s="2"/>
      <c r="X718" s="2"/>
      <c r="Y718" s="2"/>
      <c r="Z718" s="2"/>
    </row>
    <row r="719">
      <c r="A719" s="5"/>
      <c r="B719" s="5"/>
      <c r="C719" s="5"/>
      <c r="D719" s="5"/>
      <c r="E719" s="2"/>
      <c r="F719" s="2"/>
      <c r="G719" s="2"/>
      <c r="H719" s="2"/>
      <c r="I719" s="2"/>
      <c r="J719" s="2"/>
      <c r="K719" s="2"/>
      <c r="L719" s="2"/>
      <c r="M719" s="2"/>
      <c r="N719" s="2"/>
      <c r="O719" s="2"/>
      <c r="P719" s="2"/>
      <c r="Q719" s="2"/>
      <c r="R719" s="2"/>
      <c r="S719" s="2"/>
      <c r="T719" s="2"/>
      <c r="U719" s="2"/>
      <c r="V719" s="2"/>
      <c r="W719" s="2"/>
      <c r="X719" s="2"/>
      <c r="Y719" s="2"/>
      <c r="Z719" s="2"/>
    </row>
    <row r="720">
      <c r="A720" s="5"/>
      <c r="B720" s="5"/>
      <c r="C720" s="5"/>
      <c r="D720" s="5"/>
      <c r="E720" s="2"/>
      <c r="F720" s="2"/>
      <c r="G720" s="2"/>
      <c r="H720" s="2"/>
      <c r="I720" s="2"/>
      <c r="J720" s="2"/>
      <c r="K720" s="2"/>
      <c r="L720" s="2"/>
      <c r="M720" s="2"/>
      <c r="N720" s="2"/>
      <c r="O720" s="2"/>
      <c r="P720" s="2"/>
      <c r="Q720" s="2"/>
      <c r="R720" s="2"/>
      <c r="S720" s="2"/>
      <c r="T720" s="2"/>
      <c r="U720" s="2"/>
      <c r="V720" s="2"/>
      <c r="W720" s="2"/>
      <c r="X720" s="2"/>
      <c r="Y720" s="2"/>
      <c r="Z720" s="2"/>
    </row>
    <row r="721">
      <c r="A721" s="5"/>
      <c r="B721" s="5"/>
      <c r="C721" s="5"/>
      <c r="D721" s="5"/>
      <c r="E721" s="2"/>
      <c r="F721" s="2"/>
      <c r="G721" s="2"/>
      <c r="H721" s="2"/>
      <c r="I721" s="2"/>
      <c r="J721" s="2"/>
      <c r="K721" s="2"/>
      <c r="L721" s="2"/>
      <c r="M721" s="2"/>
      <c r="N721" s="2"/>
      <c r="O721" s="2"/>
      <c r="P721" s="2"/>
      <c r="Q721" s="2"/>
      <c r="R721" s="2"/>
      <c r="S721" s="2"/>
      <c r="T721" s="2"/>
      <c r="U721" s="2"/>
      <c r="V721" s="2"/>
      <c r="W721" s="2"/>
      <c r="X721" s="2"/>
      <c r="Y721" s="2"/>
      <c r="Z721" s="2"/>
    </row>
    <row r="722">
      <c r="A722" s="5"/>
      <c r="B722" s="5"/>
      <c r="C722" s="5"/>
      <c r="D722" s="5"/>
      <c r="E722" s="2"/>
      <c r="F722" s="2"/>
      <c r="G722" s="2"/>
      <c r="H722" s="2"/>
      <c r="I722" s="2"/>
      <c r="J722" s="2"/>
      <c r="K722" s="2"/>
      <c r="L722" s="2"/>
      <c r="M722" s="2"/>
      <c r="N722" s="2"/>
      <c r="O722" s="2"/>
      <c r="P722" s="2"/>
      <c r="Q722" s="2"/>
      <c r="R722" s="2"/>
      <c r="S722" s="2"/>
      <c r="T722" s="2"/>
      <c r="U722" s="2"/>
      <c r="V722" s="2"/>
      <c r="W722" s="2"/>
      <c r="X722" s="2"/>
      <c r="Y722" s="2"/>
      <c r="Z722" s="2"/>
    </row>
    <row r="723">
      <c r="A723" s="5"/>
      <c r="B723" s="5"/>
      <c r="C723" s="5"/>
      <c r="D723" s="5"/>
      <c r="E723" s="2"/>
      <c r="F723" s="2"/>
      <c r="G723" s="2"/>
      <c r="H723" s="2"/>
      <c r="I723" s="2"/>
      <c r="J723" s="2"/>
      <c r="K723" s="2"/>
      <c r="L723" s="2"/>
      <c r="M723" s="2"/>
      <c r="N723" s="2"/>
      <c r="O723" s="2"/>
      <c r="P723" s="2"/>
      <c r="Q723" s="2"/>
      <c r="R723" s="2"/>
      <c r="S723" s="2"/>
      <c r="T723" s="2"/>
      <c r="U723" s="2"/>
      <c r="V723" s="2"/>
      <c r="W723" s="2"/>
      <c r="X723" s="2"/>
      <c r="Y723" s="2"/>
      <c r="Z723" s="2"/>
    </row>
    <row r="724">
      <c r="A724" s="5"/>
      <c r="B724" s="5"/>
      <c r="C724" s="5"/>
      <c r="D724" s="5"/>
      <c r="E724" s="2"/>
      <c r="F724" s="2"/>
      <c r="G724" s="2"/>
      <c r="H724" s="2"/>
      <c r="I724" s="2"/>
      <c r="J724" s="2"/>
      <c r="K724" s="2"/>
      <c r="L724" s="2"/>
      <c r="M724" s="2"/>
      <c r="N724" s="2"/>
      <c r="O724" s="2"/>
      <c r="P724" s="2"/>
      <c r="Q724" s="2"/>
      <c r="R724" s="2"/>
      <c r="S724" s="2"/>
      <c r="T724" s="2"/>
      <c r="U724" s="2"/>
      <c r="V724" s="2"/>
      <c r="W724" s="2"/>
      <c r="X724" s="2"/>
      <c r="Y724" s="2"/>
      <c r="Z724" s="2"/>
    </row>
    <row r="725">
      <c r="A725" s="5"/>
      <c r="B725" s="5"/>
      <c r="C725" s="5"/>
      <c r="D725" s="5"/>
      <c r="E725" s="2"/>
      <c r="F725" s="2"/>
      <c r="G725" s="2"/>
      <c r="H725" s="2"/>
      <c r="I725" s="2"/>
      <c r="J725" s="2"/>
      <c r="K725" s="2"/>
      <c r="L725" s="2"/>
      <c r="M725" s="2"/>
      <c r="N725" s="2"/>
      <c r="O725" s="2"/>
      <c r="P725" s="2"/>
      <c r="Q725" s="2"/>
      <c r="R725" s="2"/>
      <c r="S725" s="2"/>
      <c r="T725" s="2"/>
      <c r="U725" s="2"/>
      <c r="V725" s="2"/>
      <c r="W725" s="2"/>
      <c r="X725" s="2"/>
      <c r="Y725" s="2"/>
      <c r="Z725" s="2"/>
    </row>
    <row r="726">
      <c r="A726" s="5"/>
      <c r="B726" s="5"/>
      <c r="C726" s="5"/>
      <c r="D726" s="5"/>
      <c r="E726" s="2"/>
      <c r="F726" s="2"/>
      <c r="G726" s="2"/>
      <c r="H726" s="2"/>
      <c r="I726" s="2"/>
      <c r="J726" s="2"/>
      <c r="K726" s="2"/>
      <c r="L726" s="2"/>
      <c r="M726" s="2"/>
      <c r="N726" s="2"/>
      <c r="O726" s="2"/>
      <c r="P726" s="2"/>
      <c r="Q726" s="2"/>
      <c r="R726" s="2"/>
      <c r="S726" s="2"/>
      <c r="T726" s="2"/>
      <c r="U726" s="2"/>
      <c r="V726" s="2"/>
      <c r="W726" s="2"/>
      <c r="X726" s="2"/>
      <c r="Y726" s="2"/>
      <c r="Z726" s="2"/>
    </row>
    <row r="727">
      <c r="A727" s="5"/>
      <c r="B727" s="5"/>
      <c r="C727" s="5"/>
      <c r="D727" s="5"/>
      <c r="E727" s="2"/>
      <c r="F727" s="2"/>
      <c r="G727" s="2"/>
      <c r="H727" s="2"/>
      <c r="I727" s="2"/>
      <c r="J727" s="2"/>
      <c r="K727" s="2"/>
      <c r="L727" s="2"/>
      <c r="M727" s="2"/>
      <c r="N727" s="2"/>
      <c r="O727" s="2"/>
      <c r="P727" s="2"/>
      <c r="Q727" s="2"/>
      <c r="R727" s="2"/>
      <c r="S727" s="2"/>
      <c r="T727" s="2"/>
      <c r="U727" s="2"/>
      <c r="V727" s="2"/>
      <c r="W727" s="2"/>
      <c r="X727" s="2"/>
      <c r="Y727" s="2"/>
      <c r="Z727" s="2"/>
    </row>
    <row r="728">
      <c r="A728" s="5"/>
      <c r="B728" s="5"/>
      <c r="C728" s="5"/>
      <c r="D728" s="5"/>
      <c r="E728" s="2"/>
      <c r="F728" s="2"/>
      <c r="G728" s="2"/>
      <c r="H728" s="2"/>
      <c r="I728" s="2"/>
      <c r="J728" s="2"/>
      <c r="K728" s="2"/>
      <c r="L728" s="2"/>
      <c r="M728" s="2"/>
      <c r="N728" s="2"/>
      <c r="O728" s="2"/>
      <c r="P728" s="2"/>
      <c r="Q728" s="2"/>
      <c r="R728" s="2"/>
      <c r="S728" s="2"/>
      <c r="T728" s="2"/>
      <c r="U728" s="2"/>
      <c r="V728" s="2"/>
      <c r="W728" s="2"/>
      <c r="X728" s="2"/>
      <c r="Y728" s="2"/>
      <c r="Z728" s="2"/>
    </row>
    <row r="729">
      <c r="A729" s="5"/>
      <c r="B729" s="5"/>
      <c r="C729" s="5"/>
      <c r="D729" s="5"/>
      <c r="E729" s="2"/>
      <c r="F729" s="2"/>
      <c r="G729" s="2"/>
      <c r="H729" s="2"/>
      <c r="I729" s="2"/>
      <c r="J729" s="2"/>
      <c r="K729" s="2"/>
      <c r="L729" s="2"/>
      <c r="M729" s="2"/>
      <c r="N729" s="2"/>
      <c r="O729" s="2"/>
      <c r="P729" s="2"/>
      <c r="Q729" s="2"/>
      <c r="R729" s="2"/>
      <c r="S729" s="2"/>
      <c r="T729" s="2"/>
      <c r="U729" s="2"/>
      <c r="V729" s="2"/>
      <c r="W729" s="2"/>
      <c r="X729" s="2"/>
      <c r="Y729" s="2"/>
      <c r="Z729" s="2"/>
    </row>
    <row r="730">
      <c r="A730" s="5"/>
      <c r="B730" s="5"/>
      <c r="C730" s="5"/>
      <c r="D730" s="5"/>
      <c r="E730" s="2"/>
      <c r="F730" s="2"/>
      <c r="G730" s="2"/>
      <c r="H730" s="2"/>
      <c r="I730" s="2"/>
      <c r="J730" s="2"/>
      <c r="K730" s="2"/>
      <c r="L730" s="2"/>
      <c r="M730" s="2"/>
      <c r="N730" s="2"/>
      <c r="O730" s="2"/>
      <c r="P730" s="2"/>
      <c r="Q730" s="2"/>
      <c r="R730" s="2"/>
      <c r="S730" s="2"/>
      <c r="T730" s="2"/>
      <c r="U730" s="2"/>
      <c r="V730" s="2"/>
      <c r="W730" s="2"/>
      <c r="X730" s="2"/>
      <c r="Y730" s="2"/>
      <c r="Z730" s="2"/>
    </row>
    <row r="731">
      <c r="A731" s="5"/>
      <c r="B731" s="5"/>
      <c r="C731" s="5"/>
      <c r="D731" s="5"/>
      <c r="E731" s="2"/>
      <c r="F731" s="2"/>
      <c r="G731" s="2"/>
      <c r="H731" s="2"/>
      <c r="I731" s="2"/>
      <c r="J731" s="2"/>
      <c r="K731" s="2"/>
      <c r="L731" s="2"/>
      <c r="M731" s="2"/>
      <c r="N731" s="2"/>
      <c r="O731" s="2"/>
      <c r="P731" s="2"/>
      <c r="Q731" s="2"/>
      <c r="R731" s="2"/>
      <c r="S731" s="2"/>
      <c r="T731" s="2"/>
      <c r="U731" s="2"/>
      <c r="V731" s="2"/>
      <c r="W731" s="2"/>
      <c r="X731" s="2"/>
      <c r="Y731" s="2"/>
      <c r="Z731" s="2"/>
    </row>
    <row r="732">
      <c r="A732" s="5"/>
      <c r="B732" s="5"/>
      <c r="C732" s="5"/>
      <c r="D732" s="5"/>
      <c r="E732" s="2"/>
      <c r="F732" s="2"/>
      <c r="G732" s="2"/>
      <c r="H732" s="2"/>
      <c r="I732" s="2"/>
      <c r="J732" s="2"/>
      <c r="K732" s="2"/>
      <c r="L732" s="2"/>
      <c r="M732" s="2"/>
      <c r="N732" s="2"/>
      <c r="O732" s="2"/>
      <c r="P732" s="2"/>
      <c r="Q732" s="2"/>
      <c r="R732" s="2"/>
      <c r="S732" s="2"/>
      <c r="T732" s="2"/>
      <c r="U732" s="2"/>
      <c r="V732" s="2"/>
      <c r="W732" s="2"/>
      <c r="X732" s="2"/>
      <c r="Y732" s="2"/>
      <c r="Z732" s="2"/>
    </row>
    <row r="733">
      <c r="A733" s="5"/>
      <c r="B733" s="5"/>
      <c r="C733" s="5"/>
      <c r="D733" s="5"/>
      <c r="E733" s="2"/>
      <c r="F733" s="2"/>
      <c r="G733" s="2"/>
      <c r="H733" s="2"/>
      <c r="I733" s="2"/>
      <c r="J733" s="2"/>
      <c r="K733" s="2"/>
      <c r="L733" s="2"/>
      <c r="M733" s="2"/>
      <c r="N733" s="2"/>
      <c r="O733" s="2"/>
      <c r="P733" s="2"/>
      <c r="Q733" s="2"/>
      <c r="R733" s="2"/>
      <c r="S733" s="2"/>
      <c r="T733" s="2"/>
      <c r="U733" s="2"/>
      <c r="V733" s="2"/>
      <c r="W733" s="2"/>
      <c r="X733" s="2"/>
      <c r="Y733" s="2"/>
      <c r="Z733" s="2"/>
    </row>
    <row r="734">
      <c r="A734" s="5"/>
      <c r="B734" s="5"/>
      <c r="C734" s="5"/>
      <c r="D734" s="5"/>
      <c r="E734" s="2"/>
      <c r="F734" s="2"/>
      <c r="G734" s="2"/>
      <c r="H734" s="2"/>
      <c r="I734" s="2"/>
      <c r="J734" s="2"/>
      <c r="K734" s="2"/>
      <c r="L734" s="2"/>
      <c r="M734" s="2"/>
      <c r="N734" s="2"/>
      <c r="O734" s="2"/>
      <c r="P734" s="2"/>
      <c r="Q734" s="2"/>
      <c r="R734" s="2"/>
      <c r="S734" s="2"/>
      <c r="T734" s="2"/>
      <c r="U734" s="2"/>
      <c r="V734" s="2"/>
      <c r="W734" s="2"/>
      <c r="X734" s="2"/>
      <c r="Y734" s="2"/>
      <c r="Z734" s="2"/>
    </row>
    <row r="735">
      <c r="A735" s="5"/>
      <c r="B735" s="5"/>
      <c r="C735" s="5"/>
      <c r="D735" s="5"/>
      <c r="E735" s="2"/>
      <c r="F735" s="2"/>
      <c r="G735" s="2"/>
      <c r="H735" s="2"/>
      <c r="I735" s="2"/>
      <c r="J735" s="2"/>
      <c r="K735" s="2"/>
      <c r="L735" s="2"/>
      <c r="M735" s="2"/>
      <c r="N735" s="2"/>
      <c r="O735" s="2"/>
      <c r="P735" s="2"/>
      <c r="Q735" s="2"/>
      <c r="R735" s="2"/>
      <c r="S735" s="2"/>
      <c r="T735" s="2"/>
      <c r="U735" s="2"/>
      <c r="V735" s="2"/>
      <c r="W735" s="2"/>
      <c r="X735" s="2"/>
      <c r="Y735" s="2"/>
      <c r="Z735" s="2"/>
    </row>
    <row r="736">
      <c r="A736" s="5"/>
      <c r="B736" s="5"/>
      <c r="C736" s="5"/>
      <c r="D736" s="5"/>
      <c r="E736" s="2"/>
      <c r="F736" s="2"/>
      <c r="G736" s="2"/>
      <c r="H736" s="2"/>
      <c r="I736" s="2"/>
      <c r="J736" s="2"/>
      <c r="K736" s="2"/>
      <c r="L736" s="2"/>
      <c r="M736" s="2"/>
      <c r="N736" s="2"/>
      <c r="O736" s="2"/>
      <c r="P736" s="2"/>
      <c r="Q736" s="2"/>
      <c r="R736" s="2"/>
      <c r="S736" s="2"/>
      <c r="T736" s="2"/>
      <c r="U736" s="2"/>
      <c r="V736" s="2"/>
      <c r="W736" s="2"/>
      <c r="X736" s="2"/>
      <c r="Y736" s="2"/>
      <c r="Z736" s="2"/>
    </row>
    <row r="737">
      <c r="A737" s="5"/>
      <c r="B737" s="5"/>
      <c r="C737" s="5"/>
      <c r="D737" s="5"/>
      <c r="E737" s="2"/>
      <c r="F737" s="2"/>
      <c r="G737" s="2"/>
      <c r="H737" s="2"/>
      <c r="I737" s="2"/>
      <c r="J737" s="2"/>
      <c r="K737" s="2"/>
      <c r="L737" s="2"/>
      <c r="M737" s="2"/>
      <c r="N737" s="2"/>
      <c r="O737" s="2"/>
      <c r="P737" s="2"/>
      <c r="Q737" s="2"/>
      <c r="R737" s="2"/>
      <c r="S737" s="2"/>
      <c r="T737" s="2"/>
      <c r="U737" s="2"/>
      <c r="V737" s="2"/>
      <c r="W737" s="2"/>
      <c r="X737" s="2"/>
      <c r="Y737" s="2"/>
      <c r="Z737" s="2"/>
    </row>
    <row r="738">
      <c r="A738" s="5"/>
      <c r="B738" s="5"/>
      <c r="C738" s="5"/>
      <c r="D738" s="5"/>
      <c r="E738" s="2"/>
      <c r="F738" s="2"/>
      <c r="G738" s="2"/>
      <c r="H738" s="2"/>
      <c r="I738" s="2"/>
      <c r="J738" s="2"/>
      <c r="K738" s="2"/>
      <c r="L738" s="2"/>
      <c r="M738" s="2"/>
      <c r="N738" s="2"/>
      <c r="O738" s="2"/>
      <c r="P738" s="2"/>
      <c r="Q738" s="2"/>
      <c r="R738" s="2"/>
      <c r="S738" s="2"/>
      <c r="T738" s="2"/>
      <c r="U738" s="2"/>
      <c r="V738" s="2"/>
      <c r="W738" s="2"/>
      <c r="X738" s="2"/>
      <c r="Y738" s="2"/>
      <c r="Z738" s="2"/>
    </row>
    <row r="739">
      <c r="A739" s="5"/>
      <c r="B739" s="5"/>
      <c r="C739" s="5"/>
      <c r="D739" s="5"/>
      <c r="E739" s="2"/>
      <c r="F739" s="2"/>
      <c r="G739" s="2"/>
      <c r="H739" s="2"/>
      <c r="I739" s="2"/>
      <c r="J739" s="2"/>
      <c r="K739" s="2"/>
      <c r="L739" s="2"/>
      <c r="M739" s="2"/>
      <c r="N739" s="2"/>
      <c r="O739" s="2"/>
      <c r="P739" s="2"/>
      <c r="Q739" s="2"/>
      <c r="R739" s="2"/>
      <c r="S739" s="2"/>
      <c r="T739" s="2"/>
      <c r="U739" s="2"/>
      <c r="V739" s="2"/>
      <c r="W739" s="2"/>
      <c r="X739" s="2"/>
      <c r="Y739" s="2"/>
      <c r="Z739" s="2"/>
    </row>
    <row r="740">
      <c r="A740" s="5"/>
      <c r="B740" s="5"/>
      <c r="C740" s="5"/>
      <c r="D740" s="5"/>
      <c r="E740" s="2"/>
      <c r="F740" s="2"/>
      <c r="G740" s="2"/>
      <c r="H740" s="2"/>
      <c r="I740" s="2"/>
      <c r="J740" s="2"/>
      <c r="K740" s="2"/>
      <c r="L740" s="2"/>
      <c r="M740" s="2"/>
      <c r="N740" s="2"/>
      <c r="O740" s="2"/>
      <c r="P740" s="2"/>
      <c r="Q740" s="2"/>
      <c r="R740" s="2"/>
      <c r="S740" s="2"/>
      <c r="T740" s="2"/>
      <c r="U740" s="2"/>
      <c r="V740" s="2"/>
      <c r="W740" s="2"/>
      <c r="X740" s="2"/>
      <c r="Y740" s="2"/>
      <c r="Z740" s="2"/>
    </row>
    <row r="741">
      <c r="A741" s="5"/>
      <c r="B741" s="5"/>
      <c r="C741" s="5"/>
      <c r="D741" s="5"/>
      <c r="E741" s="2"/>
      <c r="F741" s="2"/>
      <c r="G741" s="2"/>
      <c r="H741" s="2"/>
      <c r="I741" s="2"/>
      <c r="J741" s="2"/>
      <c r="K741" s="2"/>
      <c r="L741" s="2"/>
      <c r="M741" s="2"/>
      <c r="N741" s="2"/>
      <c r="O741" s="2"/>
      <c r="P741" s="2"/>
      <c r="Q741" s="2"/>
      <c r="R741" s="2"/>
      <c r="S741" s="2"/>
      <c r="T741" s="2"/>
      <c r="U741" s="2"/>
      <c r="V741" s="2"/>
      <c r="W741" s="2"/>
      <c r="X741" s="2"/>
      <c r="Y741" s="2"/>
      <c r="Z741" s="2"/>
    </row>
    <row r="742">
      <c r="A742" s="5"/>
      <c r="B742" s="5"/>
      <c r="C742" s="5"/>
      <c r="D742" s="5"/>
      <c r="E742" s="2"/>
      <c r="F742" s="2"/>
      <c r="G742" s="2"/>
      <c r="H742" s="2"/>
      <c r="I742" s="2"/>
      <c r="J742" s="2"/>
      <c r="K742" s="2"/>
      <c r="L742" s="2"/>
      <c r="M742" s="2"/>
      <c r="N742" s="2"/>
      <c r="O742" s="2"/>
      <c r="P742" s="2"/>
      <c r="Q742" s="2"/>
      <c r="R742" s="2"/>
      <c r="S742" s="2"/>
      <c r="T742" s="2"/>
      <c r="U742" s="2"/>
      <c r="V742" s="2"/>
      <c r="W742" s="2"/>
      <c r="X742" s="2"/>
      <c r="Y742" s="2"/>
      <c r="Z742" s="2"/>
    </row>
    <row r="743">
      <c r="A743" s="5"/>
      <c r="B743" s="5"/>
      <c r="C743" s="5"/>
      <c r="D743" s="5"/>
      <c r="E743" s="2"/>
      <c r="F743" s="2"/>
      <c r="G743" s="2"/>
      <c r="H743" s="2"/>
      <c r="I743" s="2"/>
      <c r="J743" s="2"/>
      <c r="K743" s="2"/>
      <c r="L743" s="2"/>
      <c r="M743" s="2"/>
      <c r="N743" s="2"/>
      <c r="O743" s="2"/>
      <c r="P743" s="2"/>
      <c r="Q743" s="2"/>
      <c r="R743" s="2"/>
      <c r="S743" s="2"/>
      <c r="T743" s="2"/>
      <c r="U743" s="2"/>
      <c r="V743" s="2"/>
      <c r="W743" s="2"/>
      <c r="X743" s="2"/>
      <c r="Y743" s="2"/>
      <c r="Z743" s="2"/>
    </row>
    <row r="744">
      <c r="A744" s="5"/>
      <c r="B744" s="5"/>
      <c r="C744" s="5"/>
      <c r="D744" s="5"/>
      <c r="E744" s="2"/>
      <c r="F744" s="2"/>
      <c r="G744" s="2"/>
      <c r="H744" s="2"/>
      <c r="I744" s="2"/>
      <c r="J744" s="2"/>
      <c r="K744" s="2"/>
      <c r="L744" s="2"/>
      <c r="M744" s="2"/>
      <c r="N744" s="2"/>
      <c r="O744" s="2"/>
      <c r="P744" s="2"/>
      <c r="Q744" s="2"/>
      <c r="R744" s="2"/>
      <c r="S744" s="2"/>
      <c r="T744" s="2"/>
      <c r="U744" s="2"/>
      <c r="V744" s="2"/>
      <c r="W744" s="2"/>
      <c r="X744" s="2"/>
      <c r="Y744" s="2"/>
      <c r="Z744" s="2"/>
    </row>
    <row r="745">
      <c r="A745" s="5"/>
      <c r="B745" s="5"/>
      <c r="C745" s="5"/>
      <c r="D745" s="5"/>
      <c r="E745" s="2"/>
      <c r="F745" s="2"/>
      <c r="G745" s="2"/>
      <c r="H745" s="2"/>
      <c r="I745" s="2"/>
      <c r="J745" s="2"/>
      <c r="K745" s="2"/>
      <c r="L745" s="2"/>
      <c r="M745" s="2"/>
      <c r="N745" s="2"/>
      <c r="O745" s="2"/>
      <c r="P745" s="2"/>
      <c r="Q745" s="2"/>
      <c r="R745" s="2"/>
      <c r="S745" s="2"/>
      <c r="T745" s="2"/>
      <c r="U745" s="2"/>
      <c r="V745" s="2"/>
      <c r="W745" s="2"/>
      <c r="X745" s="2"/>
      <c r="Y745" s="2"/>
      <c r="Z745" s="2"/>
    </row>
    <row r="746">
      <c r="A746" s="5"/>
      <c r="B746" s="5"/>
      <c r="C746" s="5"/>
      <c r="D746" s="5"/>
      <c r="E746" s="2"/>
      <c r="F746" s="2"/>
      <c r="G746" s="2"/>
      <c r="H746" s="2"/>
      <c r="I746" s="2"/>
      <c r="J746" s="2"/>
      <c r="K746" s="2"/>
      <c r="L746" s="2"/>
      <c r="M746" s="2"/>
      <c r="N746" s="2"/>
      <c r="O746" s="2"/>
      <c r="P746" s="2"/>
      <c r="Q746" s="2"/>
      <c r="R746" s="2"/>
      <c r="S746" s="2"/>
      <c r="T746" s="2"/>
      <c r="U746" s="2"/>
      <c r="V746" s="2"/>
      <c r="W746" s="2"/>
      <c r="X746" s="2"/>
      <c r="Y746" s="2"/>
      <c r="Z746" s="2"/>
    </row>
    <row r="747">
      <c r="A747" s="5"/>
      <c r="B747" s="5"/>
      <c r="C747" s="5"/>
      <c r="D747" s="5"/>
      <c r="E747" s="2"/>
      <c r="F747" s="2"/>
      <c r="G747" s="2"/>
      <c r="H747" s="2"/>
      <c r="I747" s="2"/>
      <c r="J747" s="2"/>
      <c r="K747" s="2"/>
      <c r="L747" s="2"/>
      <c r="M747" s="2"/>
      <c r="N747" s="2"/>
      <c r="O747" s="2"/>
      <c r="P747" s="2"/>
      <c r="Q747" s="2"/>
      <c r="R747" s="2"/>
      <c r="S747" s="2"/>
      <c r="T747" s="2"/>
      <c r="U747" s="2"/>
      <c r="V747" s="2"/>
      <c r="W747" s="2"/>
      <c r="X747" s="2"/>
      <c r="Y747" s="2"/>
      <c r="Z747" s="2"/>
    </row>
    <row r="748">
      <c r="A748" s="5"/>
      <c r="B748" s="5"/>
      <c r="C748" s="5"/>
      <c r="D748" s="5"/>
      <c r="E748" s="2"/>
      <c r="F748" s="2"/>
      <c r="G748" s="2"/>
      <c r="H748" s="2"/>
      <c r="I748" s="2"/>
      <c r="J748" s="2"/>
      <c r="K748" s="2"/>
      <c r="L748" s="2"/>
      <c r="M748" s="2"/>
      <c r="N748" s="2"/>
      <c r="O748" s="2"/>
      <c r="P748" s="2"/>
      <c r="Q748" s="2"/>
      <c r="R748" s="2"/>
      <c r="S748" s="2"/>
      <c r="T748" s="2"/>
      <c r="U748" s="2"/>
      <c r="V748" s="2"/>
      <c r="W748" s="2"/>
      <c r="X748" s="2"/>
      <c r="Y748" s="2"/>
      <c r="Z748" s="2"/>
    </row>
    <row r="749">
      <c r="A749" s="5"/>
      <c r="B749" s="5"/>
      <c r="C749" s="5"/>
      <c r="D749" s="5"/>
      <c r="E749" s="2"/>
      <c r="F749" s="2"/>
      <c r="G749" s="2"/>
      <c r="H749" s="2"/>
      <c r="I749" s="2"/>
      <c r="J749" s="2"/>
      <c r="K749" s="2"/>
      <c r="L749" s="2"/>
      <c r="M749" s="2"/>
      <c r="N749" s="2"/>
      <c r="O749" s="2"/>
      <c r="P749" s="2"/>
      <c r="Q749" s="2"/>
      <c r="R749" s="2"/>
      <c r="S749" s="2"/>
      <c r="T749" s="2"/>
      <c r="U749" s="2"/>
      <c r="V749" s="2"/>
      <c r="W749" s="2"/>
      <c r="X749" s="2"/>
      <c r="Y749" s="2"/>
      <c r="Z749" s="2"/>
    </row>
    <row r="750">
      <c r="A750" s="5"/>
      <c r="B750" s="5"/>
      <c r="C750" s="5"/>
      <c r="D750" s="5"/>
      <c r="E750" s="2"/>
      <c r="F750" s="2"/>
      <c r="G750" s="2"/>
      <c r="H750" s="2"/>
      <c r="I750" s="2"/>
      <c r="J750" s="2"/>
      <c r="K750" s="2"/>
      <c r="L750" s="2"/>
      <c r="M750" s="2"/>
      <c r="N750" s="2"/>
      <c r="O750" s="2"/>
      <c r="P750" s="2"/>
      <c r="Q750" s="2"/>
      <c r="R750" s="2"/>
      <c r="S750" s="2"/>
      <c r="T750" s="2"/>
      <c r="U750" s="2"/>
      <c r="V750" s="2"/>
      <c r="W750" s="2"/>
      <c r="X750" s="2"/>
      <c r="Y750" s="2"/>
      <c r="Z750" s="2"/>
    </row>
    <row r="751">
      <c r="A751" s="5"/>
      <c r="B751" s="5"/>
      <c r="C751" s="5"/>
      <c r="D751" s="5"/>
      <c r="E751" s="2"/>
      <c r="F751" s="2"/>
      <c r="G751" s="2"/>
      <c r="H751" s="2"/>
      <c r="I751" s="2"/>
      <c r="J751" s="2"/>
      <c r="K751" s="2"/>
      <c r="L751" s="2"/>
      <c r="M751" s="2"/>
      <c r="N751" s="2"/>
      <c r="O751" s="2"/>
      <c r="P751" s="2"/>
      <c r="Q751" s="2"/>
      <c r="R751" s="2"/>
      <c r="S751" s="2"/>
      <c r="T751" s="2"/>
      <c r="U751" s="2"/>
      <c r="V751" s="2"/>
      <c r="W751" s="2"/>
      <c r="X751" s="2"/>
      <c r="Y751" s="2"/>
      <c r="Z751" s="2"/>
    </row>
    <row r="752">
      <c r="A752" s="5"/>
      <c r="B752" s="5"/>
      <c r="C752" s="5"/>
      <c r="D752" s="5"/>
      <c r="E752" s="2"/>
      <c r="F752" s="2"/>
      <c r="G752" s="2"/>
      <c r="H752" s="2"/>
      <c r="I752" s="2"/>
      <c r="J752" s="2"/>
      <c r="K752" s="2"/>
      <c r="L752" s="2"/>
      <c r="M752" s="2"/>
      <c r="N752" s="2"/>
      <c r="O752" s="2"/>
      <c r="P752" s="2"/>
      <c r="Q752" s="2"/>
      <c r="R752" s="2"/>
      <c r="S752" s="2"/>
      <c r="T752" s="2"/>
      <c r="U752" s="2"/>
      <c r="V752" s="2"/>
      <c r="W752" s="2"/>
      <c r="X752" s="2"/>
      <c r="Y752" s="2"/>
      <c r="Z752" s="2"/>
    </row>
    <row r="753">
      <c r="A753" s="5"/>
      <c r="B753" s="5"/>
      <c r="C753" s="5"/>
      <c r="D753" s="5"/>
      <c r="E753" s="2"/>
      <c r="F753" s="2"/>
      <c r="G753" s="2"/>
      <c r="H753" s="2"/>
      <c r="I753" s="2"/>
      <c r="J753" s="2"/>
      <c r="K753" s="2"/>
      <c r="L753" s="2"/>
      <c r="M753" s="2"/>
      <c r="N753" s="2"/>
      <c r="O753" s="2"/>
      <c r="P753" s="2"/>
      <c r="Q753" s="2"/>
      <c r="R753" s="2"/>
      <c r="S753" s="2"/>
      <c r="T753" s="2"/>
      <c r="U753" s="2"/>
      <c r="V753" s="2"/>
      <c r="W753" s="2"/>
      <c r="X753" s="2"/>
      <c r="Y753" s="2"/>
      <c r="Z753" s="2"/>
    </row>
    <row r="754">
      <c r="A754" s="5"/>
      <c r="B754" s="5"/>
      <c r="C754" s="5"/>
      <c r="D754" s="5"/>
      <c r="E754" s="2"/>
      <c r="F754" s="2"/>
      <c r="G754" s="2"/>
      <c r="H754" s="2"/>
      <c r="I754" s="2"/>
      <c r="J754" s="2"/>
      <c r="K754" s="2"/>
      <c r="L754" s="2"/>
      <c r="M754" s="2"/>
      <c r="N754" s="2"/>
      <c r="O754" s="2"/>
      <c r="P754" s="2"/>
      <c r="Q754" s="2"/>
      <c r="R754" s="2"/>
      <c r="S754" s="2"/>
      <c r="T754" s="2"/>
      <c r="U754" s="2"/>
      <c r="V754" s="2"/>
      <c r="W754" s="2"/>
      <c r="X754" s="2"/>
      <c r="Y754" s="2"/>
      <c r="Z754" s="2"/>
    </row>
    <row r="755">
      <c r="A755" s="5"/>
      <c r="B755" s="5"/>
      <c r="C755" s="5"/>
      <c r="D755" s="5"/>
      <c r="E755" s="2"/>
      <c r="F755" s="2"/>
      <c r="G755" s="2"/>
      <c r="H755" s="2"/>
      <c r="I755" s="2"/>
      <c r="J755" s="2"/>
      <c r="K755" s="2"/>
      <c r="L755" s="2"/>
      <c r="M755" s="2"/>
      <c r="N755" s="2"/>
      <c r="O755" s="2"/>
      <c r="P755" s="2"/>
      <c r="Q755" s="2"/>
      <c r="R755" s="2"/>
      <c r="S755" s="2"/>
      <c r="T755" s="2"/>
      <c r="U755" s="2"/>
      <c r="V755" s="2"/>
      <c r="W755" s="2"/>
      <c r="X755" s="2"/>
      <c r="Y755" s="2"/>
      <c r="Z755" s="2"/>
    </row>
    <row r="756">
      <c r="A756" s="5"/>
      <c r="B756" s="5"/>
      <c r="C756" s="5"/>
      <c r="D756" s="5"/>
      <c r="E756" s="2"/>
      <c r="F756" s="2"/>
      <c r="G756" s="2"/>
      <c r="H756" s="2"/>
      <c r="I756" s="2"/>
      <c r="J756" s="2"/>
      <c r="K756" s="2"/>
      <c r="L756" s="2"/>
      <c r="M756" s="2"/>
      <c r="N756" s="2"/>
      <c r="O756" s="2"/>
      <c r="P756" s="2"/>
      <c r="Q756" s="2"/>
      <c r="R756" s="2"/>
      <c r="S756" s="2"/>
      <c r="T756" s="2"/>
      <c r="U756" s="2"/>
      <c r="V756" s="2"/>
      <c r="W756" s="2"/>
      <c r="X756" s="2"/>
      <c r="Y756" s="2"/>
      <c r="Z756" s="2"/>
    </row>
    <row r="757">
      <c r="A757" s="5"/>
      <c r="B757" s="5"/>
      <c r="C757" s="5"/>
      <c r="D757" s="5"/>
      <c r="E757" s="2"/>
      <c r="F757" s="2"/>
      <c r="G757" s="2"/>
      <c r="H757" s="2"/>
      <c r="I757" s="2"/>
      <c r="J757" s="2"/>
      <c r="K757" s="2"/>
      <c r="L757" s="2"/>
      <c r="M757" s="2"/>
      <c r="N757" s="2"/>
      <c r="O757" s="2"/>
      <c r="P757" s="2"/>
      <c r="Q757" s="2"/>
      <c r="R757" s="2"/>
      <c r="S757" s="2"/>
      <c r="T757" s="2"/>
      <c r="U757" s="2"/>
      <c r="V757" s="2"/>
      <c r="W757" s="2"/>
      <c r="X757" s="2"/>
      <c r="Y757" s="2"/>
      <c r="Z757" s="2"/>
    </row>
    <row r="758">
      <c r="A758" s="5"/>
      <c r="B758" s="5"/>
      <c r="C758" s="5"/>
      <c r="D758" s="5"/>
      <c r="E758" s="2"/>
      <c r="F758" s="2"/>
      <c r="G758" s="2"/>
      <c r="H758" s="2"/>
      <c r="I758" s="2"/>
      <c r="J758" s="2"/>
      <c r="K758" s="2"/>
      <c r="L758" s="2"/>
      <c r="M758" s="2"/>
      <c r="N758" s="2"/>
      <c r="O758" s="2"/>
      <c r="P758" s="2"/>
      <c r="Q758" s="2"/>
      <c r="R758" s="2"/>
      <c r="S758" s="2"/>
      <c r="T758" s="2"/>
      <c r="U758" s="2"/>
      <c r="V758" s="2"/>
      <c r="W758" s="2"/>
      <c r="X758" s="2"/>
      <c r="Y758" s="2"/>
      <c r="Z758" s="2"/>
    </row>
    <row r="759">
      <c r="A759" s="5"/>
      <c r="B759" s="5"/>
      <c r="C759" s="5"/>
      <c r="D759" s="5"/>
      <c r="E759" s="2"/>
      <c r="F759" s="2"/>
      <c r="G759" s="2"/>
      <c r="H759" s="2"/>
      <c r="I759" s="2"/>
      <c r="J759" s="2"/>
      <c r="K759" s="2"/>
      <c r="L759" s="2"/>
      <c r="M759" s="2"/>
      <c r="N759" s="2"/>
      <c r="O759" s="2"/>
      <c r="P759" s="2"/>
      <c r="Q759" s="2"/>
      <c r="R759" s="2"/>
      <c r="S759" s="2"/>
      <c r="T759" s="2"/>
      <c r="U759" s="2"/>
      <c r="V759" s="2"/>
      <c r="W759" s="2"/>
      <c r="X759" s="2"/>
      <c r="Y759" s="2"/>
      <c r="Z759" s="2"/>
    </row>
    <row r="760">
      <c r="A760" s="5"/>
      <c r="B760" s="5"/>
      <c r="C760" s="5"/>
      <c r="D760" s="5"/>
      <c r="E760" s="2"/>
      <c r="F760" s="2"/>
      <c r="G760" s="2"/>
      <c r="H760" s="2"/>
      <c r="I760" s="2"/>
      <c r="J760" s="2"/>
      <c r="K760" s="2"/>
      <c r="L760" s="2"/>
      <c r="M760" s="2"/>
      <c r="N760" s="2"/>
      <c r="O760" s="2"/>
      <c r="P760" s="2"/>
      <c r="Q760" s="2"/>
      <c r="R760" s="2"/>
      <c r="S760" s="2"/>
      <c r="T760" s="2"/>
      <c r="U760" s="2"/>
      <c r="V760" s="2"/>
      <c r="W760" s="2"/>
      <c r="X760" s="2"/>
      <c r="Y760" s="2"/>
      <c r="Z760" s="2"/>
    </row>
    <row r="761">
      <c r="A761" s="5"/>
      <c r="B761" s="5"/>
      <c r="C761" s="5"/>
      <c r="D761" s="5"/>
      <c r="E761" s="2"/>
      <c r="F761" s="2"/>
      <c r="G761" s="2"/>
      <c r="H761" s="2"/>
      <c r="I761" s="2"/>
      <c r="J761" s="2"/>
      <c r="K761" s="2"/>
      <c r="L761" s="2"/>
      <c r="M761" s="2"/>
      <c r="N761" s="2"/>
      <c r="O761" s="2"/>
      <c r="P761" s="2"/>
      <c r="Q761" s="2"/>
      <c r="R761" s="2"/>
      <c r="S761" s="2"/>
      <c r="T761" s="2"/>
      <c r="U761" s="2"/>
      <c r="V761" s="2"/>
      <c r="W761" s="2"/>
      <c r="X761" s="2"/>
      <c r="Y761" s="2"/>
      <c r="Z761" s="2"/>
    </row>
    <row r="762">
      <c r="A762" s="5"/>
      <c r="B762" s="5"/>
      <c r="C762" s="5"/>
      <c r="D762" s="5"/>
      <c r="E762" s="2"/>
      <c r="F762" s="2"/>
      <c r="G762" s="2"/>
      <c r="H762" s="2"/>
      <c r="I762" s="2"/>
      <c r="J762" s="2"/>
      <c r="K762" s="2"/>
      <c r="L762" s="2"/>
      <c r="M762" s="2"/>
      <c r="N762" s="2"/>
      <c r="O762" s="2"/>
      <c r="P762" s="2"/>
      <c r="Q762" s="2"/>
      <c r="R762" s="2"/>
      <c r="S762" s="2"/>
      <c r="T762" s="2"/>
      <c r="U762" s="2"/>
      <c r="V762" s="2"/>
      <c r="W762" s="2"/>
      <c r="X762" s="2"/>
      <c r="Y762" s="2"/>
      <c r="Z762" s="2"/>
    </row>
    <row r="763">
      <c r="A763" s="5"/>
      <c r="B763" s="5"/>
      <c r="C763" s="5"/>
      <c r="D763" s="5"/>
      <c r="E763" s="2"/>
      <c r="F763" s="2"/>
      <c r="G763" s="2"/>
      <c r="H763" s="2"/>
      <c r="I763" s="2"/>
      <c r="J763" s="2"/>
      <c r="K763" s="2"/>
      <c r="L763" s="2"/>
      <c r="M763" s="2"/>
      <c r="N763" s="2"/>
      <c r="O763" s="2"/>
      <c r="P763" s="2"/>
      <c r="Q763" s="2"/>
      <c r="R763" s="2"/>
      <c r="S763" s="2"/>
      <c r="T763" s="2"/>
      <c r="U763" s="2"/>
      <c r="V763" s="2"/>
      <c r="W763" s="2"/>
      <c r="X763" s="2"/>
      <c r="Y763" s="2"/>
      <c r="Z763" s="2"/>
    </row>
    <row r="764">
      <c r="A764" s="5"/>
      <c r="B764" s="5"/>
      <c r="C764" s="5"/>
      <c r="D764" s="5"/>
      <c r="E764" s="2"/>
      <c r="F764" s="2"/>
      <c r="G764" s="2"/>
      <c r="H764" s="2"/>
      <c r="I764" s="2"/>
      <c r="J764" s="2"/>
      <c r="K764" s="2"/>
      <c r="L764" s="2"/>
      <c r="M764" s="2"/>
      <c r="N764" s="2"/>
      <c r="O764" s="2"/>
      <c r="P764" s="2"/>
      <c r="Q764" s="2"/>
      <c r="R764" s="2"/>
      <c r="S764" s="2"/>
      <c r="T764" s="2"/>
      <c r="U764" s="2"/>
      <c r="V764" s="2"/>
      <c r="W764" s="2"/>
      <c r="X764" s="2"/>
      <c r="Y764" s="2"/>
      <c r="Z764" s="2"/>
    </row>
    <row r="765">
      <c r="A765" s="5"/>
      <c r="B765" s="5"/>
      <c r="C765" s="5"/>
      <c r="D765" s="5"/>
      <c r="E765" s="2"/>
      <c r="F765" s="2"/>
      <c r="G765" s="2"/>
      <c r="H765" s="2"/>
      <c r="I765" s="2"/>
      <c r="J765" s="2"/>
      <c r="K765" s="2"/>
      <c r="L765" s="2"/>
      <c r="M765" s="2"/>
      <c r="N765" s="2"/>
      <c r="O765" s="2"/>
      <c r="P765" s="2"/>
      <c r="Q765" s="2"/>
      <c r="R765" s="2"/>
      <c r="S765" s="2"/>
      <c r="T765" s="2"/>
      <c r="U765" s="2"/>
      <c r="V765" s="2"/>
      <c r="W765" s="2"/>
      <c r="X765" s="2"/>
      <c r="Y765" s="2"/>
      <c r="Z765" s="2"/>
    </row>
    <row r="766">
      <c r="A766" s="5"/>
      <c r="B766" s="5"/>
      <c r="C766" s="5"/>
      <c r="D766" s="5"/>
      <c r="E766" s="2"/>
      <c r="F766" s="2"/>
      <c r="G766" s="2"/>
      <c r="H766" s="2"/>
      <c r="I766" s="2"/>
      <c r="J766" s="2"/>
      <c r="K766" s="2"/>
      <c r="L766" s="2"/>
      <c r="M766" s="2"/>
      <c r="N766" s="2"/>
      <c r="O766" s="2"/>
      <c r="P766" s="2"/>
      <c r="Q766" s="2"/>
      <c r="R766" s="2"/>
      <c r="S766" s="2"/>
      <c r="T766" s="2"/>
      <c r="U766" s="2"/>
      <c r="V766" s="2"/>
      <c r="W766" s="2"/>
      <c r="X766" s="2"/>
      <c r="Y766" s="2"/>
      <c r="Z766" s="2"/>
    </row>
    <row r="767">
      <c r="A767" s="5"/>
      <c r="B767" s="5"/>
      <c r="C767" s="5"/>
      <c r="D767" s="5"/>
      <c r="E767" s="2"/>
      <c r="F767" s="2"/>
      <c r="G767" s="2"/>
      <c r="H767" s="2"/>
      <c r="I767" s="2"/>
      <c r="J767" s="2"/>
      <c r="K767" s="2"/>
      <c r="L767" s="2"/>
      <c r="M767" s="2"/>
      <c r="N767" s="2"/>
      <c r="O767" s="2"/>
      <c r="P767" s="2"/>
      <c r="Q767" s="2"/>
      <c r="R767" s="2"/>
      <c r="S767" s="2"/>
      <c r="T767" s="2"/>
      <c r="U767" s="2"/>
      <c r="V767" s="2"/>
      <c r="W767" s="2"/>
      <c r="X767" s="2"/>
      <c r="Y767" s="2"/>
      <c r="Z767" s="2"/>
    </row>
    <row r="768">
      <c r="A768" s="5"/>
      <c r="B768" s="5"/>
      <c r="C768" s="5"/>
      <c r="D768" s="5"/>
      <c r="E768" s="2"/>
      <c r="F768" s="2"/>
      <c r="G768" s="2"/>
      <c r="H768" s="2"/>
      <c r="I768" s="2"/>
      <c r="J768" s="2"/>
      <c r="K768" s="2"/>
      <c r="L768" s="2"/>
      <c r="M768" s="2"/>
      <c r="N768" s="2"/>
      <c r="O768" s="2"/>
      <c r="P768" s="2"/>
      <c r="Q768" s="2"/>
      <c r="R768" s="2"/>
      <c r="S768" s="2"/>
      <c r="T768" s="2"/>
      <c r="U768" s="2"/>
      <c r="V768" s="2"/>
      <c r="W768" s="2"/>
      <c r="X768" s="2"/>
      <c r="Y768" s="2"/>
      <c r="Z768" s="2"/>
    </row>
    <row r="769">
      <c r="A769" s="5"/>
      <c r="B769" s="5"/>
      <c r="C769" s="5"/>
      <c r="D769" s="5"/>
      <c r="E769" s="2"/>
      <c r="F769" s="2"/>
      <c r="G769" s="2"/>
      <c r="H769" s="2"/>
      <c r="I769" s="2"/>
      <c r="J769" s="2"/>
      <c r="K769" s="2"/>
      <c r="L769" s="2"/>
      <c r="M769" s="2"/>
      <c r="N769" s="2"/>
      <c r="O769" s="2"/>
      <c r="P769" s="2"/>
      <c r="Q769" s="2"/>
      <c r="R769" s="2"/>
      <c r="S769" s="2"/>
      <c r="T769" s="2"/>
      <c r="U769" s="2"/>
      <c r="V769" s="2"/>
      <c r="W769" s="2"/>
      <c r="X769" s="2"/>
      <c r="Y769" s="2"/>
      <c r="Z769" s="2"/>
    </row>
    <row r="770">
      <c r="A770" s="5"/>
      <c r="B770" s="5"/>
      <c r="C770" s="5"/>
      <c r="D770" s="5"/>
      <c r="E770" s="2"/>
      <c r="F770" s="2"/>
      <c r="G770" s="2"/>
      <c r="H770" s="2"/>
      <c r="I770" s="2"/>
      <c r="J770" s="2"/>
      <c r="K770" s="2"/>
      <c r="L770" s="2"/>
      <c r="M770" s="2"/>
      <c r="N770" s="2"/>
      <c r="O770" s="2"/>
      <c r="P770" s="2"/>
      <c r="Q770" s="2"/>
      <c r="R770" s="2"/>
      <c r="S770" s="2"/>
      <c r="T770" s="2"/>
      <c r="U770" s="2"/>
      <c r="V770" s="2"/>
      <c r="W770" s="2"/>
      <c r="X770" s="2"/>
      <c r="Y770" s="2"/>
      <c r="Z770" s="2"/>
    </row>
    <row r="771">
      <c r="A771" s="5"/>
      <c r="B771" s="5"/>
      <c r="C771" s="5"/>
      <c r="D771" s="5"/>
      <c r="E771" s="2"/>
      <c r="F771" s="2"/>
      <c r="G771" s="2"/>
      <c r="H771" s="2"/>
      <c r="I771" s="2"/>
      <c r="J771" s="2"/>
      <c r="K771" s="2"/>
      <c r="L771" s="2"/>
      <c r="M771" s="2"/>
      <c r="N771" s="2"/>
      <c r="O771" s="2"/>
      <c r="P771" s="2"/>
      <c r="Q771" s="2"/>
      <c r="R771" s="2"/>
      <c r="S771" s="2"/>
      <c r="T771" s="2"/>
      <c r="U771" s="2"/>
      <c r="V771" s="2"/>
      <c r="W771" s="2"/>
      <c r="X771" s="2"/>
      <c r="Y771" s="2"/>
      <c r="Z771" s="2"/>
    </row>
    <row r="772">
      <c r="A772" s="5"/>
      <c r="B772" s="5"/>
      <c r="C772" s="5"/>
      <c r="D772" s="5"/>
      <c r="E772" s="2"/>
      <c r="F772" s="2"/>
      <c r="G772" s="2"/>
      <c r="H772" s="2"/>
      <c r="I772" s="2"/>
      <c r="J772" s="2"/>
      <c r="K772" s="2"/>
      <c r="L772" s="2"/>
      <c r="M772" s="2"/>
      <c r="N772" s="2"/>
      <c r="O772" s="2"/>
      <c r="P772" s="2"/>
      <c r="Q772" s="2"/>
      <c r="R772" s="2"/>
      <c r="S772" s="2"/>
      <c r="T772" s="2"/>
      <c r="U772" s="2"/>
      <c r="V772" s="2"/>
      <c r="W772" s="2"/>
      <c r="X772" s="2"/>
      <c r="Y772" s="2"/>
      <c r="Z772" s="2"/>
    </row>
    <row r="773">
      <c r="A773" s="5"/>
      <c r="B773" s="5"/>
      <c r="C773" s="5"/>
      <c r="D773" s="5"/>
      <c r="E773" s="2"/>
      <c r="F773" s="2"/>
      <c r="G773" s="2"/>
      <c r="H773" s="2"/>
      <c r="I773" s="2"/>
      <c r="J773" s="2"/>
      <c r="K773" s="2"/>
      <c r="L773" s="2"/>
      <c r="M773" s="2"/>
      <c r="N773" s="2"/>
      <c r="O773" s="2"/>
      <c r="P773" s="2"/>
      <c r="Q773" s="2"/>
      <c r="R773" s="2"/>
      <c r="S773" s="2"/>
      <c r="T773" s="2"/>
      <c r="U773" s="2"/>
      <c r="V773" s="2"/>
      <c r="W773" s="2"/>
      <c r="X773" s="2"/>
      <c r="Y773" s="2"/>
      <c r="Z773" s="2"/>
    </row>
    <row r="774">
      <c r="A774" s="5"/>
      <c r="B774" s="5"/>
      <c r="C774" s="5"/>
      <c r="D774" s="5"/>
      <c r="E774" s="2"/>
      <c r="F774" s="2"/>
      <c r="G774" s="2"/>
      <c r="H774" s="2"/>
      <c r="I774" s="2"/>
      <c r="J774" s="2"/>
      <c r="K774" s="2"/>
      <c r="L774" s="2"/>
      <c r="M774" s="2"/>
      <c r="N774" s="2"/>
      <c r="O774" s="2"/>
      <c r="P774" s="2"/>
      <c r="Q774" s="2"/>
      <c r="R774" s="2"/>
      <c r="S774" s="2"/>
      <c r="T774" s="2"/>
      <c r="U774" s="2"/>
      <c r="V774" s="2"/>
      <c r="W774" s="2"/>
      <c r="X774" s="2"/>
      <c r="Y774" s="2"/>
      <c r="Z774" s="2"/>
    </row>
    <row r="775">
      <c r="A775" s="5"/>
      <c r="B775" s="5"/>
      <c r="C775" s="5"/>
      <c r="D775" s="5"/>
      <c r="E775" s="2"/>
      <c r="F775" s="2"/>
      <c r="G775" s="2"/>
      <c r="H775" s="2"/>
      <c r="I775" s="2"/>
      <c r="J775" s="2"/>
      <c r="K775" s="2"/>
      <c r="L775" s="2"/>
      <c r="M775" s="2"/>
      <c r="N775" s="2"/>
      <c r="O775" s="2"/>
      <c r="P775" s="2"/>
      <c r="Q775" s="2"/>
      <c r="R775" s="2"/>
      <c r="S775" s="2"/>
      <c r="T775" s="2"/>
      <c r="U775" s="2"/>
      <c r="V775" s="2"/>
      <c r="W775" s="2"/>
      <c r="X775" s="2"/>
      <c r="Y775" s="2"/>
      <c r="Z775" s="2"/>
    </row>
    <row r="776">
      <c r="A776" s="5"/>
      <c r="B776" s="5"/>
      <c r="C776" s="5"/>
      <c r="D776" s="5"/>
      <c r="E776" s="2"/>
      <c r="F776" s="2"/>
      <c r="G776" s="2"/>
      <c r="H776" s="2"/>
      <c r="I776" s="2"/>
      <c r="J776" s="2"/>
      <c r="K776" s="2"/>
      <c r="L776" s="2"/>
      <c r="M776" s="2"/>
      <c r="N776" s="2"/>
      <c r="O776" s="2"/>
      <c r="P776" s="2"/>
      <c r="Q776" s="2"/>
      <c r="R776" s="2"/>
      <c r="S776" s="2"/>
      <c r="T776" s="2"/>
      <c r="U776" s="2"/>
      <c r="V776" s="2"/>
      <c r="W776" s="2"/>
      <c r="X776" s="2"/>
      <c r="Y776" s="2"/>
      <c r="Z776" s="2"/>
    </row>
    <row r="777">
      <c r="A777" s="5"/>
      <c r="B777" s="5"/>
      <c r="C777" s="5"/>
      <c r="D777" s="5"/>
      <c r="E777" s="2"/>
      <c r="F777" s="2"/>
      <c r="G777" s="2"/>
      <c r="H777" s="2"/>
      <c r="I777" s="2"/>
      <c r="J777" s="2"/>
      <c r="K777" s="2"/>
      <c r="L777" s="2"/>
      <c r="M777" s="2"/>
      <c r="N777" s="2"/>
      <c r="O777" s="2"/>
      <c r="P777" s="2"/>
      <c r="Q777" s="2"/>
      <c r="R777" s="2"/>
      <c r="S777" s="2"/>
      <c r="T777" s="2"/>
      <c r="U777" s="2"/>
      <c r="V777" s="2"/>
      <c r="W777" s="2"/>
      <c r="X777" s="2"/>
      <c r="Y777" s="2"/>
      <c r="Z777" s="2"/>
    </row>
    <row r="778">
      <c r="A778" s="5"/>
      <c r="B778" s="5"/>
      <c r="C778" s="5"/>
      <c r="D778" s="5"/>
      <c r="E778" s="2"/>
      <c r="F778" s="2"/>
      <c r="G778" s="2"/>
      <c r="H778" s="2"/>
      <c r="I778" s="2"/>
      <c r="J778" s="2"/>
      <c r="K778" s="2"/>
      <c r="L778" s="2"/>
      <c r="M778" s="2"/>
      <c r="N778" s="2"/>
      <c r="O778" s="2"/>
      <c r="P778" s="2"/>
      <c r="Q778" s="2"/>
      <c r="R778" s="2"/>
      <c r="S778" s="2"/>
      <c r="T778" s="2"/>
      <c r="U778" s="2"/>
      <c r="V778" s="2"/>
      <c r="W778" s="2"/>
      <c r="X778" s="2"/>
      <c r="Y778" s="2"/>
      <c r="Z778" s="2"/>
    </row>
    <row r="779">
      <c r="A779" s="5"/>
      <c r="B779" s="5"/>
      <c r="C779" s="5"/>
      <c r="D779" s="5"/>
      <c r="E779" s="2"/>
      <c r="F779" s="2"/>
      <c r="G779" s="2"/>
      <c r="H779" s="2"/>
      <c r="I779" s="2"/>
      <c r="J779" s="2"/>
      <c r="K779" s="2"/>
      <c r="L779" s="2"/>
      <c r="M779" s="2"/>
      <c r="N779" s="2"/>
      <c r="O779" s="2"/>
      <c r="P779" s="2"/>
      <c r="Q779" s="2"/>
      <c r="R779" s="2"/>
      <c r="S779" s="2"/>
      <c r="T779" s="2"/>
      <c r="U779" s="2"/>
      <c r="V779" s="2"/>
      <c r="W779" s="2"/>
      <c r="X779" s="2"/>
      <c r="Y779" s="2"/>
      <c r="Z779" s="2"/>
    </row>
    <row r="780">
      <c r="A780" s="5"/>
      <c r="B780" s="5"/>
      <c r="C780" s="5"/>
      <c r="D780" s="5"/>
      <c r="E780" s="2"/>
      <c r="F780" s="2"/>
      <c r="G780" s="2"/>
      <c r="H780" s="2"/>
      <c r="I780" s="2"/>
      <c r="J780" s="2"/>
      <c r="K780" s="2"/>
      <c r="L780" s="2"/>
      <c r="M780" s="2"/>
      <c r="N780" s="2"/>
      <c r="O780" s="2"/>
      <c r="P780" s="2"/>
      <c r="Q780" s="2"/>
      <c r="R780" s="2"/>
      <c r="S780" s="2"/>
      <c r="T780" s="2"/>
      <c r="U780" s="2"/>
      <c r="V780" s="2"/>
      <c r="W780" s="2"/>
      <c r="X780" s="2"/>
      <c r="Y780" s="2"/>
      <c r="Z780" s="2"/>
    </row>
    <row r="781">
      <c r="A781" s="5"/>
      <c r="B781" s="5"/>
      <c r="C781" s="5"/>
      <c r="D781" s="5"/>
      <c r="E781" s="2"/>
      <c r="F781" s="2"/>
      <c r="G781" s="2"/>
      <c r="H781" s="2"/>
      <c r="I781" s="2"/>
      <c r="J781" s="2"/>
      <c r="K781" s="2"/>
      <c r="L781" s="2"/>
      <c r="M781" s="2"/>
      <c r="N781" s="2"/>
      <c r="O781" s="2"/>
      <c r="P781" s="2"/>
      <c r="Q781" s="2"/>
      <c r="R781" s="2"/>
      <c r="S781" s="2"/>
      <c r="T781" s="2"/>
      <c r="U781" s="2"/>
      <c r="V781" s="2"/>
      <c r="W781" s="2"/>
      <c r="X781" s="2"/>
      <c r="Y781" s="2"/>
      <c r="Z781" s="2"/>
    </row>
    <row r="782">
      <c r="A782" s="5"/>
      <c r="B782" s="5"/>
      <c r="C782" s="5"/>
      <c r="D782" s="5"/>
      <c r="E782" s="2"/>
      <c r="F782" s="2"/>
      <c r="G782" s="2"/>
      <c r="H782" s="2"/>
      <c r="I782" s="2"/>
      <c r="J782" s="2"/>
      <c r="K782" s="2"/>
      <c r="L782" s="2"/>
      <c r="M782" s="2"/>
      <c r="N782" s="2"/>
      <c r="O782" s="2"/>
      <c r="P782" s="2"/>
      <c r="Q782" s="2"/>
      <c r="R782" s="2"/>
      <c r="S782" s="2"/>
      <c r="T782" s="2"/>
      <c r="U782" s="2"/>
      <c r="V782" s="2"/>
      <c r="W782" s="2"/>
      <c r="X782" s="2"/>
      <c r="Y782" s="2"/>
      <c r="Z782" s="2"/>
    </row>
    <row r="783">
      <c r="A783" s="5"/>
      <c r="B783" s="5"/>
      <c r="C783" s="5"/>
      <c r="D783" s="5"/>
      <c r="E783" s="2"/>
      <c r="F783" s="2"/>
      <c r="G783" s="2"/>
      <c r="H783" s="2"/>
      <c r="I783" s="2"/>
      <c r="J783" s="2"/>
      <c r="K783" s="2"/>
      <c r="L783" s="2"/>
      <c r="M783" s="2"/>
      <c r="N783" s="2"/>
      <c r="O783" s="2"/>
      <c r="P783" s="2"/>
      <c r="Q783" s="2"/>
      <c r="R783" s="2"/>
      <c r="S783" s="2"/>
      <c r="T783" s="2"/>
      <c r="U783" s="2"/>
      <c r="V783" s="2"/>
      <c r="W783" s="2"/>
      <c r="X783" s="2"/>
      <c r="Y783" s="2"/>
      <c r="Z783" s="2"/>
    </row>
    <row r="784">
      <c r="A784" s="5"/>
      <c r="B784" s="5"/>
      <c r="C784" s="5"/>
      <c r="D784" s="5"/>
      <c r="E784" s="2"/>
      <c r="F784" s="2"/>
      <c r="G784" s="2"/>
      <c r="H784" s="2"/>
      <c r="I784" s="2"/>
      <c r="J784" s="2"/>
      <c r="K784" s="2"/>
      <c r="L784" s="2"/>
      <c r="M784" s="2"/>
      <c r="N784" s="2"/>
      <c r="O784" s="2"/>
      <c r="P784" s="2"/>
      <c r="Q784" s="2"/>
      <c r="R784" s="2"/>
      <c r="S784" s="2"/>
      <c r="T784" s="2"/>
      <c r="U784" s="2"/>
      <c r="V784" s="2"/>
      <c r="W784" s="2"/>
      <c r="X784" s="2"/>
      <c r="Y784" s="2"/>
      <c r="Z784" s="2"/>
    </row>
    <row r="785">
      <c r="A785" s="5"/>
      <c r="B785" s="5"/>
      <c r="C785" s="5"/>
      <c r="D785" s="5"/>
      <c r="E785" s="2"/>
      <c r="F785" s="2"/>
      <c r="G785" s="2"/>
      <c r="H785" s="2"/>
      <c r="I785" s="2"/>
      <c r="J785" s="2"/>
      <c r="K785" s="2"/>
      <c r="L785" s="2"/>
      <c r="M785" s="2"/>
      <c r="N785" s="2"/>
      <c r="O785" s="2"/>
      <c r="P785" s="2"/>
      <c r="Q785" s="2"/>
      <c r="R785" s="2"/>
      <c r="S785" s="2"/>
      <c r="T785" s="2"/>
      <c r="U785" s="2"/>
      <c r="V785" s="2"/>
      <c r="W785" s="2"/>
      <c r="X785" s="2"/>
      <c r="Y785" s="2"/>
      <c r="Z785" s="2"/>
    </row>
    <row r="786">
      <c r="A786" s="5"/>
      <c r="B786" s="5"/>
      <c r="C786" s="5"/>
      <c r="D786" s="5"/>
      <c r="E786" s="2"/>
      <c r="F786" s="2"/>
      <c r="G786" s="2"/>
      <c r="H786" s="2"/>
      <c r="I786" s="2"/>
      <c r="J786" s="2"/>
      <c r="K786" s="2"/>
      <c r="L786" s="2"/>
      <c r="M786" s="2"/>
      <c r="N786" s="2"/>
      <c r="O786" s="2"/>
      <c r="P786" s="2"/>
      <c r="Q786" s="2"/>
      <c r="R786" s="2"/>
      <c r="S786" s="2"/>
      <c r="T786" s="2"/>
      <c r="U786" s="2"/>
      <c r="V786" s="2"/>
      <c r="W786" s="2"/>
      <c r="X786" s="2"/>
      <c r="Y786" s="2"/>
      <c r="Z786" s="2"/>
    </row>
    <row r="787">
      <c r="A787" s="5"/>
      <c r="B787" s="5"/>
      <c r="C787" s="5"/>
      <c r="D787" s="5"/>
      <c r="E787" s="2"/>
      <c r="F787" s="2"/>
      <c r="G787" s="2"/>
      <c r="H787" s="2"/>
      <c r="I787" s="2"/>
      <c r="J787" s="2"/>
      <c r="K787" s="2"/>
      <c r="L787" s="2"/>
      <c r="M787" s="2"/>
      <c r="N787" s="2"/>
      <c r="O787" s="2"/>
      <c r="P787" s="2"/>
      <c r="Q787" s="2"/>
      <c r="R787" s="2"/>
      <c r="S787" s="2"/>
      <c r="T787" s="2"/>
      <c r="U787" s="2"/>
      <c r="V787" s="2"/>
      <c r="W787" s="2"/>
      <c r="X787" s="2"/>
      <c r="Y787" s="2"/>
      <c r="Z787" s="2"/>
    </row>
    <row r="788">
      <c r="A788" s="5"/>
      <c r="B788" s="5"/>
      <c r="C788" s="5"/>
      <c r="D788" s="5"/>
      <c r="E788" s="2"/>
      <c r="F788" s="2"/>
      <c r="G788" s="2"/>
      <c r="H788" s="2"/>
      <c r="I788" s="2"/>
      <c r="J788" s="2"/>
      <c r="K788" s="2"/>
      <c r="L788" s="2"/>
      <c r="M788" s="2"/>
      <c r="N788" s="2"/>
      <c r="O788" s="2"/>
      <c r="P788" s="2"/>
      <c r="Q788" s="2"/>
      <c r="R788" s="2"/>
      <c r="S788" s="2"/>
      <c r="T788" s="2"/>
      <c r="U788" s="2"/>
      <c r="V788" s="2"/>
      <c r="W788" s="2"/>
      <c r="X788" s="2"/>
      <c r="Y788" s="2"/>
      <c r="Z788" s="2"/>
    </row>
    <row r="789">
      <c r="A789" s="5"/>
      <c r="B789" s="5"/>
      <c r="C789" s="5"/>
      <c r="D789" s="5"/>
      <c r="E789" s="2"/>
      <c r="F789" s="2"/>
      <c r="G789" s="2"/>
      <c r="H789" s="2"/>
      <c r="I789" s="2"/>
      <c r="J789" s="2"/>
      <c r="K789" s="2"/>
      <c r="L789" s="2"/>
      <c r="M789" s="2"/>
      <c r="N789" s="2"/>
      <c r="O789" s="2"/>
      <c r="P789" s="2"/>
      <c r="Q789" s="2"/>
      <c r="R789" s="2"/>
      <c r="S789" s="2"/>
      <c r="T789" s="2"/>
      <c r="U789" s="2"/>
      <c r="V789" s="2"/>
      <c r="W789" s="2"/>
      <c r="X789" s="2"/>
      <c r="Y789" s="2"/>
      <c r="Z789" s="2"/>
    </row>
    <row r="790">
      <c r="A790" s="5"/>
      <c r="B790" s="5"/>
      <c r="C790" s="5"/>
      <c r="D790" s="5"/>
      <c r="E790" s="2"/>
      <c r="F790" s="2"/>
      <c r="G790" s="2"/>
      <c r="H790" s="2"/>
      <c r="I790" s="2"/>
      <c r="J790" s="2"/>
      <c r="K790" s="2"/>
      <c r="L790" s="2"/>
      <c r="M790" s="2"/>
      <c r="N790" s="2"/>
      <c r="O790" s="2"/>
      <c r="P790" s="2"/>
      <c r="Q790" s="2"/>
      <c r="R790" s="2"/>
      <c r="S790" s="2"/>
      <c r="T790" s="2"/>
      <c r="U790" s="2"/>
      <c r="V790" s="2"/>
      <c r="W790" s="2"/>
      <c r="X790" s="2"/>
      <c r="Y790" s="2"/>
      <c r="Z790" s="2"/>
    </row>
    <row r="791">
      <c r="A791" s="5"/>
      <c r="B791" s="5"/>
      <c r="C791" s="5"/>
      <c r="D791" s="5"/>
      <c r="E791" s="2"/>
      <c r="F791" s="2"/>
      <c r="G791" s="2"/>
      <c r="H791" s="2"/>
      <c r="I791" s="2"/>
      <c r="J791" s="2"/>
      <c r="K791" s="2"/>
      <c r="L791" s="2"/>
      <c r="M791" s="2"/>
      <c r="N791" s="2"/>
      <c r="O791" s="2"/>
      <c r="P791" s="2"/>
      <c r="Q791" s="2"/>
      <c r="R791" s="2"/>
      <c r="S791" s="2"/>
      <c r="T791" s="2"/>
      <c r="U791" s="2"/>
      <c r="V791" s="2"/>
      <c r="W791" s="2"/>
      <c r="X791" s="2"/>
      <c r="Y791" s="2"/>
      <c r="Z791" s="2"/>
    </row>
    <row r="792">
      <c r="A792" s="5"/>
      <c r="B792" s="5"/>
      <c r="C792" s="5"/>
      <c r="D792" s="5"/>
      <c r="E792" s="2"/>
      <c r="F792" s="2"/>
      <c r="G792" s="2"/>
      <c r="H792" s="2"/>
      <c r="I792" s="2"/>
      <c r="J792" s="2"/>
      <c r="K792" s="2"/>
      <c r="L792" s="2"/>
      <c r="M792" s="2"/>
      <c r="N792" s="2"/>
      <c r="O792" s="2"/>
      <c r="P792" s="2"/>
      <c r="Q792" s="2"/>
      <c r="R792" s="2"/>
      <c r="S792" s="2"/>
      <c r="T792" s="2"/>
      <c r="U792" s="2"/>
      <c r="V792" s="2"/>
      <c r="W792" s="2"/>
      <c r="X792" s="2"/>
      <c r="Y792" s="2"/>
      <c r="Z792" s="2"/>
    </row>
    <row r="793">
      <c r="A793" s="5"/>
      <c r="B793" s="5"/>
      <c r="C793" s="5"/>
      <c r="D793" s="5"/>
      <c r="E793" s="2"/>
      <c r="F793" s="2"/>
      <c r="G793" s="2"/>
      <c r="H793" s="2"/>
      <c r="I793" s="2"/>
      <c r="J793" s="2"/>
      <c r="K793" s="2"/>
      <c r="L793" s="2"/>
      <c r="M793" s="2"/>
      <c r="N793" s="2"/>
      <c r="O793" s="2"/>
      <c r="P793" s="2"/>
      <c r="Q793" s="2"/>
      <c r="R793" s="2"/>
      <c r="S793" s="2"/>
      <c r="T793" s="2"/>
      <c r="U793" s="2"/>
      <c r="V793" s="2"/>
      <c r="W793" s="2"/>
      <c r="X793" s="2"/>
      <c r="Y793" s="2"/>
      <c r="Z793" s="2"/>
    </row>
    <row r="794">
      <c r="A794" s="5"/>
      <c r="B794" s="5"/>
      <c r="C794" s="5"/>
      <c r="D794" s="5"/>
      <c r="E794" s="2"/>
      <c r="F794" s="2"/>
      <c r="G794" s="2"/>
      <c r="H794" s="2"/>
      <c r="I794" s="2"/>
      <c r="J794" s="2"/>
      <c r="K794" s="2"/>
      <c r="L794" s="2"/>
      <c r="M794" s="2"/>
      <c r="N794" s="2"/>
      <c r="O794" s="2"/>
      <c r="P794" s="2"/>
      <c r="Q794" s="2"/>
      <c r="R794" s="2"/>
      <c r="S794" s="2"/>
      <c r="T794" s="2"/>
      <c r="U794" s="2"/>
      <c r="V794" s="2"/>
      <c r="W794" s="2"/>
      <c r="X794" s="2"/>
      <c r="Y794" s="2"/>
      <c r="Z794" s="2"/>
    </row>
    <row r="795">
      <c r="A795" s="5"/>
      <c r="B795" s="5"/>
      <c r="C795" s="5"/>
      <c r="D795" s="5"/>
      <c r="E795" s="2"/>
      <c r="F795" s="2"/>
      <c r="G795" s="2"/>
      <c r="H795" s="2"/>
      <c r="I795" s="2"/>
      <c r="J795" s="2"/>
      <c r="K795" s="2"/>
      <c r="L795" s="2"/>
      <c r="M795" s="2"/>
      <c r="N795" s="2"/>
      <c r="O795" s="2"/>
      <c r="P795" s="2"/>
      <c r="Q795" s="2"/>
      <c r="R795" s="2"/>
      <c r="S795" s="2"/>
      <c r="T795" s="2"/>
      <c r="U795" s="2"/>
      <c r="V795" s="2"/>
      <c r="W795" s="2"/>
      <c r="X795" s="2"/>
      <c r="Y795" s="2"/>
      <c r="Z795" s="2"/>
    </row>
    <row r="796">
      <c r="A796" s="5"/>
      <c r="B796" s="5"/>
      <c r="C796" s="5"/>
      <c r="D796" s="5"/>
      <c r="E796" s="2"/>
      <c r="F796" s="2"/>
      <c r="G796" s="2"/>
      <c r="H796" s="2"/>
      <c r="I796" s="2"/>
      <c r="J796" s="2"/>
      <c r="K796" s="2"/>
      <c r="L796" s="2"/>
      <c r="M796" s="2"/>
      <c r="N796" s="2"/>
      <c r="O796" s="2"/>
      <c r="P796" s="2"/>
      <c r="Q796" s="2"/>
      <c r="R796" s="2"/>
      <c r="S796" s="2"/>
      <c r="T796" s="2"/>
      <c r="U796" s="2"/>
      <c r="V796" s="2"/>
      <c r="W796" s="2"/>
      <c r="X796" s="2"/>
      <c r="Y796" s="2"/>
      <c r="Z796" s="2"/>
    </row>
    <row r="797">
      <c r="A797" s="5"/>
      <c r="B797" s="5"/>
      <c r="C797" s="5"/>
      <c r="D797" s="5"/>
      <c r="E797" s="2"/>
      <c r="F797" s="2"/>
      <c r="G797" s="2"/>
      <c r="H797" s="2"/>
      <c r="I797" s="2"/>
      <c r="J797" s="2"/>
      <c r="K797" s="2"/>
      <c r="L797" s="2"/>
      <c r="M797" s="2"/>
      <c r="N797" s="2"/>
      <c r="O797" s="2"/>
      <c r="P797" s="2"/>
      <c r="Q797" s="2"/>
      <c r="R797" s="2"/>
      <c r="S797" s="2"/>
      <c r="T797" s="2"/>
      <c r="U797" s="2"/>
      <c r="V797" s="2"/>
      <c r="W797" s="2"/>
      <c r="X797" s="2"/>
      <c r="Y797" s="2"/>
      <c r="Z797" s="2"/>
    </row>
    <row r="798">
      <c r="A798" s="5"/>
      <c r="B798" s="5"/>
      <c r="C798" s="5"/>
      <c r="D798" s="5"/>
      <c r="E798" s="2"/>
      <c r="F798" s="2"/>
      <c r="G798" s="2"/>
      <c r="H798" s="2"/>
      <c r="I798" s="2"/>
      <c r="J798" s="2"/>
      <c r="K798" s="2"/>
      <c r="L798" s="2"/>
      <c r="M798" s="2"/>
      <c r="N798" s="2"/>
      <c r="O798" s="2"/>
      <c r="P798" s="2"/>
      <c r="Q798" s="2"/>
      <c r="R798" s="2"/>
      <c r="S798" s="2"/>
      <c r="T798" s="2"/>
      <c r="U798" s="2"/>
      <c r="V798" s="2"/>
      <c r="W798" s="2"/>
      <c r="X798" s="2"/>
      <c r="Y798" s="2"/>
      <c r="Z798" s="2"/>
    </row>
    <row r="799">
      <c r="A799" s="5"/>
      <c r="B799" s="5"/>
      <c r="C799" s="5"/>
      <c r="D799" s="5"/>
      <c r="E799" s="2"/>
      <c r="F799" s="2"/>
      <c r="G799" s="2"/>
      <c r="H799" s="2"/>
      <c r="I799" s="2"/>
      <c r="J799" s="2"/>
      <c r="K799" s="2"/>
      <c r="L799" s="2"/>
      <c r="M799" s="2"/>
      <c r="N799" s="2"/>
      <c r="O799" s="2"/>
      <c r="P799" s="2"/>
      <c r="Q799" s="2"/>
      <c r="R799" s="2"/>
      <c r="S799" s="2"/>
      <c r="T799" s="2"/>
      <c r="U799" s="2"/>
      <c r="V799" s="2"/>
      <c r="W799" s="2"/>
      <c r="X799" s="2"/>
      <c r="Y799" s="2"/>
      <c r="Z799" s="2"/>
    </row>
    <row r="800">
      <c r="A800" s="5"/>
      <c r="B800" s="5"/>
      <c r="C800" s="5"/>
      <c r="D800" s="5"/>
      <c r="E800" s="2"/>
      <c r="F800" s="2"/>
      <c r="G800" s="2"/>
      <c r="H800" s="2"/>
      <c r="I800" s="2"/>
      <c r="J800" s="2"/>
      <c r="K800" s="2"/>
      <c r="L800" s="2"/>
      <c r="M800" s="2"/>
      <c r="N800" s="2"/>
      <c r="O800" s="2"/>
      <c r="P800" s="2"/>
      <c r="Q800" s="2"/>
      <c r="R800" s="2"/>
      <c r="S800" s="2"/>
      <c r="T800" s="2"/>
      <c r="U800" s="2"/>
      <c r="V800" s="2"/>
      <c r="W800" s="2"/>
      <c r="X800" s="2"/>
      <c r="Y800" s="2"/>
      <c r="Z800" s="2"/>
    </row>
    <row r="801">
      <c r="A801" s="5"/>
      <c r="B801" s="5"/>
      <c r="C801" s="5"/>
      <c r="D801" s="5"/>
      <c r="E801" s="2"/>
      <c r="F801" s="2"/>
      <c r="G801" s="2"/>
      <c r="H801" s="2"/>
      <c r="I801" s="2"/>
      <c r="J801" s="2"/>
      <c r="K801" s="2"/>
      <c r="L801" s="2"/>
      <c r="M801" s="2"/>
      <c r="N801" s="2"/>
      <c r="O801" s="2"/>
      <c r="P801" s="2"/>
      <c r="Q801" s="2"/>
      <c r="R801" s="2"/>
      <c r="S801" s="2"/>
      <c r="T801" s="2"/>
      <c r="U801" s="2"/>
      <c r="V801" s="2"/>
      <c r="W801" s="2"/>
      <c r="X801" s="2"/>
      <c r="Y801" s="2"/>
      <c r="Z801" s="2"/>
    </row>
    <row r="802">
      <c r="A802" s="5"/>
      <c r="B802" s="5"/>
      <c r="C802" s="5"/>
      <c r="D802" s="5"/>
      <c r="E802" s="2"/>
      <c r="F802" s="2"/>
      <c r="G802" s="2"/>
      <c r="H802" s="2"/>
      <c r="I802" s="2"/>
      <c r="J802" s="2"/>
      <c r="K802" s="2"/>
      <c r="L802" s="2"/>
      <c r="M802" s="2"/>
      <c r="N802" s="2"/>
      <c r="O802" s="2"/>
      <c r="P802" s="2"/>
      <c r="Q802" s="2"/>
      <c r="R802" s="2"/>
      <c r="S802" s="2"/>
      <c r="T802" s="2"/>
      <c r="U802" s="2"/>
      <c r="V802" s="2"/>
      <c r="W802" s="2"/>
      <c r="X802" s="2"/>
      <c r="Y802" s="2"/>
      <c r="Z802" s="2"/>
    </row>
    <row r="803">
      <c r="A803" s="5"/>
      <c r="B803" s="5"/>
      <c r="C803" s="5"/>
      <c r="D803" s="5"/>
      <c r="E803" s="2"/>
      <c r="F803" s="2"/>
      <c r="G803" s="2"/>
      <c r="H803" s="2"/>
      <c r="I803" s="2"/>
      <c r="J803" s="2"/>
      <c r="K803" s="2"/>
      <c r="L803" s="2"/>
      <c r="M803" s="2"/>
      <c r="N803" s="2"/>
      <c r="O803" s="2"/>
      <c r="P803" s="2"/>
      <c r="Q803" s="2"/>
      <c r="R803" s="2"/>
      <c r="S803" s="2"/>
      <c r="T803" s="2"/>
      <c r="U803" s="2"/>
      <c r="V803" s="2"/>
      <c r="W803" s="2"/>
      <c r="X803" s="2"/>
      <c r="Y803" s="2"/>
      <c r="Z803" s="2"/>
    </row>
    <row r="804">
      <c r="A804" s="5"/>
      <c r="B804" s="5"/>
      <c r="C804" s="5"/>
      <c r="D804" s="5"/>
      <c r="E804" s="2"/>
      <c r="F804" s="2"/>
      <c r="G804" s="2"/>
      <c r="H804" s="2"/>
      <c r="I804" s="2"/>
      <c r="J804" s="2"/>
      <c r="K804" s="2"/>
      <c r="L804" s="2"/>
      <c r="M804" s="2"/>
      <c r="N804" s="2"/>
      <c r="O804" s="2"/>
      <c r="P804" s="2"/>
      <c r="Q804" s="2"/>
      <c r="R804" s="2"/>
      <c r="S804" s="2"/>
      <c r="T804" s="2"/>
      <c r="U804" s="2"/>
      <c r="V804" s="2"/>
      <c r="W804" s="2"/>
      <c r="X804" s="2"/>
      <c r="Y804" s="2"/>
      <c r="Z804" s="2"/>
    </row>
    <row r="805">
      <c r="A805" s="5"/>
      <c r="B805" s="5"/>
      <c r="C805" s="5"/>
      <c r="D805" s="5"/>
      <c r="E805" s="2"/>
      <c r="F805" s="2"/>
      <c r="G805" s="2"/>
      <c r="H805" s="2"/>
      <c r="I805" s="2"/>
      <c r="J805" s="2"/>
      <c r="K805" s="2"/>
      <c r="L805" s="2"/>
      <c r="M805" s="2"/>
      <c r="N805" s="2"/>
      <c r="O805" s="2"/>
      <c r="P805" s="2"/>
      <c r="Q805" s="2"/>
      <c r="R805" s="2"/>
      <c r="S805" s="2"/>
      <c r="T805" s="2"/>
      <c r="U805" s="2"/>
      <c r="V805" s="2"/>
      <c r="W805" s="2"/>
      <c r="X805" s="2"/>
      <c r="Y805" s="2"/>
      <c r="Z805" s="2"/>
    </row>
    <row r="806">
      <c r="A806" s="5"/>
      <c r="B806" s="5"/>
      <c r="C806" s="5"/>
      <c r="D806" s="5"/>
      <c r="E806" s="2"/>
      <c r="F806" s="2"/>
      <c r="G806" s="2"/>
      <c r="H806" s="2"/>
      <c r="I806" s="2"/>
      <c r="J806" s="2"/>
      <c r="K806" s="2"/>
      <c r="L806" s="2"/>
      <c r="M806" s="2"/>
      <c r="N806" s="2"/>
      <c r="O806" s="2"/>
      <c r="P806" s="2"/>
      <c r="Q806" s="2"/>
      <c r="R806" s="2"/>
      <c r="S806" s="2"/>
      <c r="T806" s="2"/>
      <c r="U806" s="2"/>
      <c r="V806" s="2"/>
      <c r="W806" s="2"/>
      <c r="X806" s="2"/>
      <c r="Y806" s="2"/>
      <c r="Z806" s="2"/>
    </row>
    <row r="807">
      <c r="A807" s="5"/>
      <c r="B807" s="5"/>
      <c r="C807" s="5"/>
      <c r="D807" s="5"/>
      <c r="E807" s="2"/>
      <c r="F807" s="2"/>
      <c r="G807" s="2"/>
      <c r="H807" s="2"/>
      <c r="I807" s="2"/>
      <c r="J807" s="2"/>
      <c r="K807" s="2"/>
      <c r="L807" s="2"/>
      <c r="M807" s="2"/>
      <c r="N807" s="2"/>
      <c r="O807" s="2"/>
      <c r="P807" s="2"/>
      <c r="Q807" s="2"/>
      <c r="R807" s="2"/>
      <c r="S807" s="2"/>
      <c r="T807" s="2"/>
      <c r="U807" s="2"/>
      <c r="V807" s="2"/>
      <c r="W807" s="2"/>
      <c r="X807" s="2"/>
      <c r="Y807" s="2"/>
      <c r="Z807" s="2"/>
    </row>
    <row r="808">
      <c r="A808" s="5"/>
      <c r="B808" s="5"/>
      <c r="C808" s="5"/>
      <c r="D808" s="5"/>
      <c r="E808" s="2"/>
      <c r="F808" s="2"/>
      <c r="G808" s="2"/>
      <c r="H808" s="2"/>
      <c r="I808" s="2"/>
      <c r="J808" s="2"/>
      <c r="K808" s="2"/>
      <c r="L808" s="2"/>
      <c r="M808" s="2"/>
      <c r="N808" s="2"/>
      <c r="O808" s="2"/>
      <c r="P808" s="2"/>
      <c r="Q808" s="2"/>
      <c r="R808" s="2"/>
      <c r="S808" s="2"/>
      <c r="T808" s="2"/>
      <c r="U808" s="2"/>
      <c r="V808" s="2"/>
      <c r="W808" s="2"/>
      <c r="X808" s="2"/>
      <c r="Y808" s="2"/>
      <c r="Z808" s="2"/>
    </row>
    <row r="809">
      <c r="A809" s="5"/>
      <c r="B809" s="5"/>
      <c r="C809" s="5"/>
      <c r="D809" s="5"/>
      <c r="E809" s="2"/>
      <c r="F809" s="2"/>
      <c r="G809" s="2"/>
      <c r="H809" s="2"/>
      <c r="I809" s="2"/>
      <c r="J809" s="2"/>
      <c r="K809" s="2"/>
      <c r="L809" s="2"/>
      <c r="M809" s="2"/>
      <c r="N809" s="2"/>
      <c r="O809" s="2"/>
      <c r="P809" s="2"/>
      <c r="Q809" s="2"/>
      <c r="R809" s="2"/>
      <c r="S809" s="2"/>
      <c r="T809" s="2"/>
      <c r="U809" s="2"/>
      <c r="V809" s="2"/>
      <c r="W809" s="2"/>
      <c r="X809" s="2"/>
      <c r="Y809" s="2"/>
      <c r="Z809" s="2"/>
    </row>
    <row r="810">
      <c r="A810" s="5"/>
      <c r="B810" s="5"/>
      <c r="C810" s="5"/>
      <c r="D810" s="5"/>
      <c r="E810" s="2"/>
      <c r="F810" s="2"/>
      <c r="G810" s="2"/>
      <c r="H810" s="2"/>
      <c r="I810" s="2"/>
      <c r="J810" s="2"/>
      <c r="K810" s="2"/>
      <c r="L810" s="2"/>
      <c r="M810" s="2"/>
      <c r="N810" s="2"/>
      <c r="O810" s="2"/>
      <c r="P810" s="2"/>
      <c r="Q810" s="2"/>
      <c r="R810" s="2"/>
      <c r="S810" s="2"/>
      <c r="T810" s="2"/>
      <c r="U810" s="2"/>
      <c r="V810" s="2"/>
      <c r="W810" s="2"/>
      <c r="X810" s="2"/>
      <c r="Y810" s="2"/>
      <c r="Z810" s="2"/>
    </row>
    <row r="811">
      <c r="A811" s="5"/>
      <c r="B811" s="5"/>
      <c r="C811" s="5"/>
      <c r="D811" s="5"/>
      <c r="E811" s="2"/>
      <c r="F811" s="2"/>
      <c r="G811" s="2"/>
      <c r="H811" s="2"/>
      <c r="I811" s="2"/>
      <c r="J811" s="2"/>
      <c r="K811" s="2"/>
      <c r="L811" s="2"/>
      <c r="M811" s="2"/>
      <c r="N811" s="2"/>
      <c r="O811" s="2"/>
      <c r="P811" s="2"/>
      <c r="Q811" s="2"/>
      <c r="R811" s="2"/>
      <c r="S811" s="2"/>
      <c r="T811" s="2"/>
      <c r="U811" s="2"/>
      <c r="V811" s="2"/>
      <c r="W811" s="2"/>
      <c r="X811" s="2"/>
      <c r="Y811" s="2"/>
      <c r="Z811" s="2"/>
    </row>
    <row r="812">
      <c r="A812" s="5"/>
      <c r="B812" s="5"/>
      <c r="C812" s="5"/>
      <c r="D812" s="5"/>
      <c r="E812" s="2"/>
      <c r="F812" s="2"/>
      <c r="G812" s="2"/>
      <c r="H812" s="2"/>
      <c r="I812" s="2"/>
      <c r="J812" s="2"/>
      <c r="K812" s="2"/>
      <c r="L812" s="2"/>
      <c r="M812" s="2"/>
      <c r="N812" s="2"/>
      <c r="O812" s="2"/>
      <c r="P812" s="2"/>
      <c r="Q812" s="2"/>
      <c r="R812" s="2"/>
      <c r="S812" s="2"/>
      <c r="T812" s="2"/>
      <c r="U812" s="2"/>
      <c r="V812" s="2"/>
      <c r="W812" s="2"/>
      <c r="X812" s="2"/>
      <c r="Y812" s="2"/>
      <c r="Z812" s="2"/>
    </row>
    <row r="813">
      <c r="A813" s="5"/>
      <c r="B813" s="5"/>
      <c r="C813" s="5"/>
      <c r="D813" s="5"/>
      <c r="E813" s="2"/>
      <c r="F813" s="2"/>
      <c r="G813" s="2"/>
      <c r="H813" s="2"/>
      <c r="I813" s="2"/>
      <c r="J813" s="2"/>
      <c r="K813" s="2"/>
      <c r="L813" s="2"/>
      <c r="M813" s="2"/>
      <c r="N813" s="2"/>
      <c r="O813" s="2"/>
      <c r="P813" s="2"/>
      <c r="Q813" s="2"/>
      <c r="R813" s="2"/>
      <c r="S813" s="2"/>
      <c r="T813" s="2"/>
      <c r="U813" s="2"/>
      <c r="V813" s="2"/>
      <c r="W813" s="2"/>
      <c r="X813" s="2"/>
      <c r="Y813" s="2"/>
      <c r="Z813" s="2"/>
    </row>
    <row r="814">
      <c r="A814" s="5"/>
      <c r="B814" s="5"/>
      <c r="C814" s="5"/>
      <c r="D814" s="5"/>
      <c r="E814" s="2"/>
      <c r="F814" s="2"/>
      <c r="G814" s="2"/>
      <c r="H814" s="2"/>
      <c r="I814" s="2"/>
      <c r="J814" s="2"/>
      <c r="K814" s="2"/>
      <c r="L814" s="2"/>
      <c r="M814" s="2"/>
      <c r="N814" s="2"/>
      <c r="O814" s="2"/>
      <c r="P814" s="2"/>
      <c r="Q814" s="2"/>
      <c r="R814" s="2"/>
      <c r="S814" s="2"/>
      <c r="T814" s="2"/>
      <c r="U814" s="2"/>
      <c r="V814" s="2"/>
      <c r="W814" s="2"/>
      <c r="X814" s="2"/>
      <c r="Y814" s="2"/>
      <c r="Z814" s="2"/>
    </row>
    <row r="815">
      <c r="A815" s="5"/>
      <c r="B815" s="5"/>
      <c r="C815" s="5"/>
      <c r="D815" s="5"/>
      <c r="E815" s="2"/>
      <c r="F815" s="2"/>
      <c r="G815" s="2"/>
      <c r="H815" s="2"/>
      <c r="I815" s="2"/>
      <c r="J815" s="2"/>
      <c r="K815" s="2"/>
      <c r="L815" s="2"/>
      <c r="M815" s="2"/>
      <c r="N815" s="2"/>
      <c r="O815" s="2"/>
      <c r="P815" s="2"/>
      <c r="Q815" s="2"/>
      <c r="R815" s="2"/>
      <c r="S815" s="2"/>
      <c r="T815" s="2"/>
      <c r="U815" s="2"/>
      <c r="V815" s="2"/>
      <c r="W815" s="2"/>
      <c r="X815" s="2"/>
      <c r="Y815" s="2"/>
      <c r="Z815" s="2"/>
    </row>
    <row r="816">
      <c r="A816" s="5"/>
      <c r="B816" s="5"/>
      <c r="C816" s="5"/>
      <c r="D816" s="5"/>
      <c r="E816" s="2"/>
      <c r="F816" s="2"/>
      <c r="G816" s="2"/>
      <c r="H816" s="2"/>
      <c r="I816" s="2"/>
      <c r="J816" s="2"/>
      <c r="K816" s="2"/>
      <c r="L816" s="2"/>
      <c r="M816" s="2"/>
      <c r="N816" s="2"/>
      <c r="O816" s="2"/>
      <c r="P816" s="2"/>
      <c r="Q816" s="2"/>
      <c r="R816" s="2"/>
      <c r="S816" s="2"/>
      <c r="T816" s="2"/>
      <c r="U816" s="2"/>
      <c r="V816" s="2"/>
      <c r="W816" s="2"/>
      <c r="X816" s="2"/>
      <c r="Y816" s="2"/>
      <c r="Z816" s="2"/>
    </row>
    <row r="817">
      <c r="A817" s="5"/>
      <c r="B817" s="5"/>
      <c r="C817" s="5"/>
      <c r="D817" s="5"/>
      <c r="E817" s="2"/>
      <c r="F817" s="2"/>
      <c r="G817" s="2"/>
      <c r="H817" s="2"/>
      <c r="I817" s="2"/>
      <c r="J817" s="2"/>
      <c r="K817" s="2"/>
      <c r="L817" s="2"/>
      <c r="M817" s="2"/>
      <c r="N817" s="2"/>
      <c r="O817" s="2"/>
      <c r="P817" s="2"/>
      <c r="Q817" s="2"/>
      <c r="R817" s="2"/>
      <c r="S817" s="2"/>
      <c r="T817" s="2"/>
      <c r="U817" s="2"/>
      <c r="V817" s="2"/>
      <c r="W817" s="2"/>
      <c r="X817" s="2"/>
      <c r="Y817" s="2"/>
      <c r="Z817" s="2"/>
    </row>
    <row r="818">
      <c r="A818" s="5"/>
      <c r="B818" s="5"/>
      <c r="C818" s="5"/>
      <c r="D818" s="5"/>
      <c r="E818" s="2"/>
      <c r="F818" s="2"/>
      <c r="G818" s="2"/>
      <c r="H818" s="2"/>
      <c r="I818" s="2"/>
      <c r="J818" s="2"/>
      <c r="K818" s="2"/>
      <c r="L818" s="2"/>
      <c r="M818" s="2"/>
      <c r="N818" s="2"/>
      <c r="O818" s="2"/>
      <c r="P818" s="2"/>
      <c r="Q818" s="2"/>
      <c r="R818" s="2"/>
      <c r="S818" s="2"/>
      <c r="T818" s="2"/>
      <c r="U818" s="2"/>
      <c r="V818" s="2"/>
      <c r="W818" s="2"/>
      <c r="X818" s="2"/>
      <c r="Y818" s="2"/>
      <c r="Z818" s="2"/>
    </row>
    <row r="819">
      <c r="A819" s="5"/>
      <c r="B819" s="5"/>
      <c r="C819" s="5"/>
      <c r="D819" s="5"/>
      <c r="E819" s="2"/>
      <c r="F819" s="2"/>
      <c r="G819" s="2"/>
      <c r="H819" s="2"/>
      <c r="I819" s="2"/>
      <c r="J819" s="2"/>
      <c r="K819" s="2"/>
      <c r="L819" s="2"/>
      <c r="M819" s="2"/>
      <c r="N819" s="2"/>
      <c r="O819" s="2"/>
      <c r="P819" s="2"/>
      <c r="Q819" s="2"/>
      <c r="R819" s="2"/>
      <c r="S819" s="2"/>
      <c r="T819" s="2"/>
      <c r="U819" s="2"/>
      <c r="V819" s="2"/>
      <c r="W819" s="2"/>
      <c r="X819" s="2"/>
      <c r="Y819" s="2"/>
      <c r="Z819" s="2"/>
    </row>
    <row r="820">
      <c r="A820" s="5"/>
      <c r="B820" s="5"/>
      <c r="C820" s="5"/>
      <c r="D820" s="5"/>
      <c r="E820" s="2"/>
      <c r="F820" s="2"/>
      <c r="G820" s="2"/>
      <c r="H820" s="2"/>
      <c r="I820" s="2"/>
      <c r="J820" s="2"/>
      <c r="K820" s="2"/>
      <c r="L820" s="2"/>
      <c r="M820" s="2"/>
      <c r="N820" s="2"/>
      <c r="O820" s="2"/>
      <c r="P820" s="2"/>
      <c r="Q820" s="2"/>
      <c r="R820" s="2"/>
      <c r="S820" s="2"/>
      <c r="T820" s="2"/>
      <c r="U820" s="2"/>
      <c r="V820" s="2"/>
      <c r="W820" s="2"/>
      <c r="X820" s="2"/>
      <c r="Y820" s="2"/>
      <c r="Z820" s="2"/>
    </row>
    <row r="821">
      <c r="A821" s="5"/>
      <c r="B821" s="5"/>
      <c r="C821" s="5"/>
      <c r="D821" s="5"/>
      <c r="E821" s="2"/>
      <c r="F821" s="2"/>
      <c r="G821" s="2"/>
      <c r="H821" s="2"/>
      <c r="I821" s="2"/>
      <c r="J821" s="2"/>
      <c r="K821" s="2"/>
      <c r="L821" s="2"/>
      <c r="M821" s="2"/>
      <c r="N821" s="2"/>
      <c r="O821" s="2"/>
      <c r="P821" s="2"/>
      <c r="Q821" s="2"/>
      <c r="R821" s="2"/>
      <c r="S821" s="2"/>
      <c r="T821" s="2"/>
      <c r="U821" s="2"/>
      <c r="V821" s="2"/>
      <c r="W821" s="2"/>
      <c r="X821" s="2"/>
      <c r="Y821" s="2"/>
      <c r="Z821" s="2"/>
    </row>
    <row r="822">
      <c r="A822" s="5"/>
      <c r="B822" s="5"/>
      <c r="C822" s="5"/>
      <c r="D822" s="5"/>
      <c r="E822" s="2"/>
      <c r="F822" s="2"/>
      <c r="G822" s="2"/>
      <c r="H822" s="2"/>
      <c r="I822" s="2"/>
      <c r="J822" s="2"/>
      <c r="K822" s="2"/>
      <c r="L822" s="2"/>
      <c r="M822" s="2"/>
      <c r="N822" s="2"/>
      <c r="O822" s="2"/>
      <c r="P822" s="2"/>
      <c r="Q822" s="2"/>
      <c r="R822" s="2"/>
      <c r="S822" s="2"/>
      <c r="T822" s="2"/>
      <c r="U822" s="2"/>
      <c r="V822" s="2"/>
      <c r="W822" s="2"/>
      <c r="X822" s="2"/>
      <c r="Y822" s="2"/>
      <c r="Z822" s="2"/>
    </row>
    <row r="823">
      <c r="A823" s="5"/>
      <c r="B823" s="5"/>
      <c r="C823" s="5"/>
      <c r="D823" s="5"/>
      <c r="E823" s="2"/>
      <c r="F823" s="2"/>
      <c r="G823" s="2"/>
      <c r="H823" s="2"/>
      <c r="I823" s="2"/>
      <c r="J823" s="2"/>
      <c r="K823" s="2"/>
      <c r="L823" s="2"/>
      <c r="M823" s="2"/>
      <c r="N823" s="2"/>
      <c r="O823" s="2"/>
      <c r="P823" s="2"/>
      <c r="Q823" s="2"/>
      <c r="R823" s="2"/>
      <c r="S823" s="2"/>
      <c r="T823" s="2"/>
      <c r="U823" s="2"/>
      <c r="V823" s="2"/>
      <c r="W823" s="2"/>
      <c r="X823" s="2"/>
      <c r="Y823" s="2"/>
      <c r="Z823" s="2"/>
    </row>
    <row r="824">
      <c r="A824" s="5"/>
      <c r="B824" s="5"/>
      <c r="C824" s="5"/>
      <c r="D824" s="5"/>
      <c r="E824" s="2"/>
      <c r="F824" s="2"/>
      <c r="G824" s="2"/>
      <c r="H824" s="2"/>
      <c r="I824" s="2"/>
      <c r="J824" s="2"/>
      <c r="K824" s="2"/>
      <c r="L824" s="2"/>
      <c r="M824" s="2"/>
      <c r="N824" s="2"/>
      <c r="O824" s="2"/>
      <c r="P824" s="2"/>
      <c r="Q824" s="2"/>
      <c r="R824" s="2"/>
      <c r="S824" s="2"/>
      <c r="T824" s="2"/>
      <c r="U824" s="2"/>
      <c r="V824" s="2"/>
      <c r="W824" s="2"/>
      <c r="X824" s="2"/>
      <c r="Y824" s="2"/>
      <c r="Z824" s="2"/>
    </row>
    <row r="825">
      <c r="A825" s="5"/>
      <c r="B825" s="5"/>
      <c r="C825" s="5"/>
      <c r="D825" s="5"/>
      <c r="E825" s="2"/>
      <c r="F825" s="2"/>
      <c r="G825" s="2"/>
      <c r="H825" s="2"/>
      <c r="I825" s="2"/>
      <c r="J825" s="2"/>
      <c r="K825" s="2"/>
      <c r="L825" s="2"/>
      <c r="M825" s="2"/>
      <c r="N825" s="2"/>
      <c r="O825" s="2"/>
      <c r="P825" s="2"/>
      <c r="Q825" s="2"/>
      <c r="R825" s="2"/>
      <c r="S825" s="2"/>
      <c r="T825" s="2"/>
      <c r="U825" s="2"/>
      <c r="V825" s="2"/>
      <c r="W825" s="2"/>
      <c r="X825" s="2"/>
      <c r="Y825" s="2"/>
      <c r="Z825" s="2"/>
    </row>
    <row r="826">
      <c r="A826" s="5"/>
      <c r="B826" s="5"/>
      <c r="C826" s="5"/>
      <c r="D826" s="5"/>
      <c r="E826" s="2"/>
      <c r="F826" s="2"/>
      <c r="G826" s="2"/>
      <c r="H826" s="2"/>
      <c r="I826" s="2"/>
      <c r="J826" s="2"/>
      <c r="K826" s="2"/>
      <c r="L826" s="2"/>
      <c r="M826" s="2"/>
      <c r="N826" s="2"/>
      <c r="O826" s="2"/>
      <c r="P826" s="2"/>
      <c r="Q826" s="2"/>
      <c r="R826" s="2"/>
      <c r="S826" s="2"/>
      <c r="T826" s="2"/>
      <c r="U826" s="2"/>
      <c r="V826" s="2"/>
      <c r="W826" s="2"/>
      <c r="X826" s="2"/>
      <c r="Y826" s="2"/>
      <c r="Z826" s="2"/>
    </row>
    <row r="827">
      <c r="A827" s="5"/>
      <c r="B827" s="5"/>
      <c r="C827" s="5"/>
      <c r="D827" s="5"/>
      <c r="E827" s="2"/>
      <c r="F827" s="2"/>
      <c r="G827" s="2"/>
      <c r="H827" s="2"/>
      <c r="I827" s="2"/>
      <c r="J827" s="2"/>
      <c r="K827" s="2"/>
      <c r="L827" s="2"/>
      <c r="M827" s="2"/>
      <c r="N827" s="2"/>
      <c r="O827" s="2"/>
      <c r="P827" s="2"/>
      <c r="Q827" s="2"/>
      <c r="R827" s="2"/>
      <c r="S827" s="2"/>
      <c r="T827" s="2"/>
      <c r="U827" s="2"/>
      <c r="V827" s="2"/>
      <c r="W827" s="2"/>
      <c r="X827" s="2"/>
      <c r="Y827" s="2"/>
      <c r="Z827" s="2"/>
    </row>
    <row r="828">
      <c r="A828" s="5"/>
      <c r="B828" s="5"/>
      <c r="C828" s="5"/>
      <c r="D828" s="5"/>
      <c r="E828" s="2"/>
      <c r="F828" s="2"/>
      <c r="G828" s="2"/>
      <c r="H828" s="2"/>
      <c r="I828" s="2"/>
      <c r="J828" s="2"/>
      <c r="K828" s="2"/>
      <c r="L828" s="2"/>
      <c r="M828" s="2"/>
      <c r="N828" s="2"/>
      <c r="O828" s="2"/>
      <c r="P828" s="2"/>
      <c r="Q828" s="2"/>
      <c r="R828" s="2"/>
      <c r="S828" s="2"/>
      <c r="T828" s="2"/>
      <c r="U828" s="2"/>
      <c r="V828" s="2"/>
      <c r="W828" s="2"/>
      <c r="X828" s="2"/>
      <c r="Y828" s="2"/>
      <c r="Z828" s="2"/>
    </row>
    <row r="829">
      <c r="A829" s="5"/>
      <c r="B829" s="5"/>
      <c r="C829" s="5"/>
      <c r="D829" s="5"/>
      <c r="E829" s="2"/>
      <c r="F829" s="2"/>
      <c r="G829" s="2"/>
      <c r="H829" s="2"/>
      <c r="I829" s="2"/>
      <c r="J829" s="2"/>
      <c r="K829" s="2"/>
      <c r="L829" s="2"/>
      <c r="M829" s="2"/>
      <c r="N829" s="2"/>
      <c r="O829" s="2"/>
      <c r="P829" s="2"/>
      <c r="Q829" s="2"/>
      <c r="R829" s="2"/>
      <c r="S829" s="2"/>
      <c r="T829" s="2"/>
      <c r="U829" s="2"/>
      <c r="V829" s="2"/>
      <c r="W829" s="2"/>
      <c r="X829" s="2"/>
      <c r="Y829" s="2"/>
      <c r="Z829" s="2"/>
    </row>
    <row r="830">
      <c r="A830" s="5"/>
      <c r="B830" s="5"/>
      <c r="C830" s="5"/>
      <c r="D830" s="5"/>
      <c r="E830" s="2"/>
      <c r="F830" s="2"/>
      <c r="G830" s="2"/>
      <c r="H830" s="2"/>
      <c r="I830" s="2"/>
      <c r="J830" s="2"/>
      <c r="K830" s="2"/>
      <c r="L830" s="2"/>
      <c r="M830" s="2"/>
      <c r="N830" s="2"/>
      <c r="O830" s="2"/>
      <c r="P830" s="2"/>
      <c r="Q830" s="2"/>
      <c r="R830" s="2"/>
      <c r="S830" s="2"/>
      <c r="T830" s="2"/>
      <c r="U830" s="2"/>
      <c r="V830" s="2"/>
      <c r="W830" s="2"/>
      <c r="X830" s="2"/>
      <c r="Y830" s="2"/>
      <c r="Z830" s="2"/>
    </row>
    <row r="831">
      <c r="A831" s="5"/>
      <c r="B831" s="5"/>
      <c r="C831" s="5"/>
      <c r="D831" s="5"/>
      <c r="E831" s="2"/>
      <c r="F831" s="2"/>
      <c r="G831" s="2"/>
      <c r="H831" s="2"/>
      <c r="I831" s="2"/>
      <c r="J831" s="2"/>
      <c r="K831" s="2"/>
      <c r="L831" s="2"/>
      <c r="M831" s="2"/>
      <c r="N831" s="2"/>
      <c r="O831" s="2"/>
      <c r="P831" s="2"/>
      <c r="Q831" s="2"/>
      <c r="R831" s="2"/>
      <c r="S831" s="2"/>
      <c r="T831" s="2"/>
      <c r="U831" s="2"/>
      <c r="V831" s="2"/>
      <c r="W831" s="2"/>
      <c r="X831" s="2"/>
      <c r="Y831" s="2"/>
      <c r="Z831" s="2"/>
    </row>
    <row r="832">
      <c r="A832" s="5"/>
      <c r="B832" s="5"/>
      <c r="C832" s="5"/>
      <c r="D832" s="5"/>
      <c r="E832" s="2"/>
      <c r="F832" s="2"/>
      <c r="G832" s="2"/>
      <c r="H832" s="2"/>
      <c r="I832" s="2"/>
      <c r="J832" s="2"/>
      <c r="K832" s="2"/>
      <c r="L832" s="2"/>
      <c r="M832" s="2"/>
      <c r="N832" s="2"/>
      <c r="O832" s="2"/>
      <c r="P832" s="2"/>
      <c r="Q832" s="2"/>
      <c r="R832" s="2"/>
      <c r="S832" s="2"/>
      <c r="T832" s="2"/>
      <c r="U832" s="2"/>
      <c r="V832" s="2"/>
      <c r="W832" s="2"/>
      <c r="X832" s="2"/>
      <c r="Y832" s="2"/>
      <c r="Z832" s="2"/>
    </row>
    <row r="833">
      <c r="A833" s="5"/>
      <c r="B833" s="5"/>
      <c r="C833" s="5"/>
      <c r="D833" s="5"/>
      <c r="E833" s="2"/>
      <c r="F833" s="2"/>
      <c r="G833" s="2"/>
      <c r="H833" s="2"/>
      <c r="I833" s="2"/>
      <c r="J833" s="2"/>
      <c r="K833" s="2"/>
      <c r="L833" s="2"/>
      <c r="M833" s="2"/>
      <c r="N833" s="2"/>
      <c r="O833" s="2"/>
      <c r="P833" s="2"/>
      <c r="Q833" s="2"/>
      <c r="R833" s="2"/>
      <c r="S833" s="2"/>
      <c r="T833" s="2"/>
      <c r="U833" s="2"/>
      <c r="V833" s="2"/>
      <c r="W833" s="2"/>
      <c r="X833" s="2"/>
      <c r="Y833" s="2"/>
      <c r="Z833" s="2"/>
    </row>
    <row r="834">
      <c r="A834" s="5"/>
      <c r="B834" s="5"/>
      <c r="C834" s="5"/>
      <c r="D834" s="5"/>
      <c r="E834" s="2"/>
      <c r="F834" s="2"/>
      <c r="G834" s="2"/>
      <c r="H834" s="2"/>
      <c r="I834" s="2"/>
      <c r="J834" s="2"/>
      <c r="K834" s="2"/>
      <c r="L834" s="2"/>
      <c r="M834" s="2"/>
      <c r="N834" s="2"/>
      <c r="O834" s="2"/>
      <c r="P834" s="2"/>
      <c r="Q834" s="2"/>
      <c r="R834" s="2"/>
      <c r="S834" s="2"/>
      <c r="T834" s="2"/>
      <c r="U834" s="2"/>
      <c r="V834" s="2"/>
      <c r="W834" s="2"/>
      <c r="X834" s="2"/>
      <c r="Y834" s="2"/>
      <c r="Z834" s="2"/>
    </row>
    <row r="835">
      <c r="A835" s="5"/>
      <c r="B835" s="5"/>
      <c r="C835" s="5"/>
      <c r="D835" s="5"/>
      <c r="E835" s="2"/>
      <c r="F835" s="2"/>
      <c r="G835" s="2"/>
      <c r="H835" s="2"/>
      <c r="I835" s="2"/>
      <c r="J835" s="2"/>
      <c r="K835" s="2"/>
      <c r="L835" s="2"/>
      <c r="M835" s="2"/>
      <c r="N835" s="2"/>
      <c r="O835" s="2"/>
      <c r="P835" s="2"/>
      <c r="Q835" s="2"/>
      <c r="R835" s="2"/>
      <c r="S835" s="2"/>
      <c r="T835" s="2"/>
      <c r="U835" s="2"/>
      <c r="V835" s="2"/>
      <c r="W835" s="2"/>
      <c r="X835" s="2"/>
      <c r="Y835" s="2"/>
      <c r="Z835" s="2"/>
    </row>
    <row r="836">
      <c r="A836" s="5"/>
      <c r="B836" s="5"/>
      <c r="C836" s="5"/>
      <c r="D836" s="5"/>
      <c r="E836" s="2"/>
      <c r="F836" s="2"/>
      <c r="G836" s="2"/>
      <c r="H836" s="2"/>
      <c r="I836" s="2"/>
      <c r="J836" s="2"/>
      <c r="K836" s="2"/>
      <c r="L836" s="2"/>
      <c r="M836" s="2"/>
      <c r="N836" s="2"/>
      <c r="O836" s="2"/>
      <c r="P836" s="2"/>
      <c r="Q836" s="2"/>
      <c r="R836" s="2"/>
      <c r="S836" s="2"/>
      <c r="T836" s="2"/>
      <c r="U836" s="2"/>
      <c r="V836" s="2"/>
      <c r="W836" s="2"/>
      <c r="X836" s="2"/>
      <c r="Y836" s="2"/>
      <c r="Z836" s="2"/>
    </row>
    <row r="837">
      <c r="A837" s="5"/>
      <c r="B837" s="5"/>
      <c r="C837" s="5"/>
      <c r="D837" s="5"/>
      <c r="E837" s="2"/>
      <c r="F837" s="2"/>
      <c r="G837" s="2"/>
      <c r="H837" s="2"/>
      <c r="I837" s="2"/>
      <c r="J837" s="2"/>
      <c r="K837" s="2"/>
      <c r="L837" s="2"/>
      <c r="M837" s="2"/>
      <c r="N837" s="2"/>
      <c r="O837" s="2"/>
      <c r="P837" s="2"/>
      <c r="Q837" s="2"/>
      <c r="R837" s="2"/>
      <c r="S837" s="2"/>
      <c r="T837" s="2"/>
      <c r="U837" s="2"/>
      <c r="V837" s="2"/>
      <c r="W837" s="2"/>
      <c r="X837" s="2"/>
      <c r="Y837" s="2"/>
      <c r="Z837" s="2"/>
    </row>
    <row r="838">
      <c r="A838" s="5"/>
      <c r="B838" s="5"/>
      <c r="C838" s="5"/>
      <c r="D838" s="5"/>
      <c r="E838" s="2"/>
      <c r="F838" s="2"/>
      <c r="G838" s="2"/>
      <c r="H838" s="2"/>
      <c r="I838" s="2"/>
      <c r="J838" s="2"/>
      <c r="K838" s="2"/>
      <c r="L838" s="2"/>
      <c r="M838" s="2"/>
      <c r="N838" s="2"/>
      <c r="O838" s="2"/>
      <c r="P838" s="2"/>
      <c r="Q838" s="2"/>
      <c r="R838" s="2"/>
      <c r="S838" s="2"/>
      <c r="T838" s="2"/>
      <c r="U838" s="2"/>
      <c r="V838" s="2"/>
      <c r="W838" s="2"/>
      <c r="X838" s="2"/>
      <c r="Y838" s="2"/>
      <c r="Z838" s="2"/>
    </row>
    <row r="839">
      <c r="A839" s="5"/>
      <c r="B839" s="5"/>
      <c r="C839" s="5"/>
      <c r="D839" s="5"/>
      <c r="E839" s="2"/>
      <c r="F839" s="2"/>
      <c r="G839" s="2"/>
      <c r="H839" s="2"/>
      <c r="I839" s="2"/>
      <c r="J839" s="2"/>
      <c r="K839" s="2"/>
      <c r="L839" s="2"/>
      <c r="M839" s="2"/>
      <c r="N839" s="2"/>
      <c r="O839" s="2"/>
      <c r="P839" s="2"/>
      <c r="Q839" s="2"/>
      <c r="R839" s="2"/>
      <c r="S839" s="2"/>
      <c r="T839" s="2"/>
      <c r="U839" s="2"/>
      <c r="V839" s="2"/>
      <c r="W839" s="2"/>
      <c r="X839" s="2"/>
      <c r="Y839" s="2"/>
      <c r="Z839" s="2"/>
    </row>
    <row r="840">
      <c r="A840" s="5"/>
      <c r="B840" s="5"/>
      <c r="C840" s="5"/>
      <c r="D840" s="5"/>
      <c r="E840" s="2"/>
      <c r="F840" s="2"/>
      <c r="G840" s="2"/>
      <c r="H840" s="2"/>
      <c r="I840" s="2"/>
      <c r="J840" s="2"/>
      <c r="K840" s="2"/>
      <c r="L840" s="2"/>
      <c r="M840" s="2"/>
      <c r="N840" s="2"/>
      <c r="O840" s="2"/>
      <c r="P840" s="2"/>
      <c r="Q840" s="2"/>
      <c r="R840" s="2"/>
      <c r="S840" s="2"/>
      <c r="T840" s="2"/>
      <c r="U840" s="2"/>
      <c r="V840" s="2"/>
      <c r="W840" s="2"/>
      <c r="X840" s="2"/>
      <c r="Y840" s="2"/>
      <c r="Z840" s="2"/>
    </row>
    <row r="841">
      <c r="A841" s="5"/>
      <c r="B841" s="5"/>
      <c r="C841" s="5"/>
      <c r="D841" s="5"/>
      <c r="E841" s="2"/>
      <c r="F841" s="2"/>
      <c r="G841" s="2"/>
      <c r="H841" s="2"/>
      <c r="I841" s="2"/>
      <c r="J841" s="2"/>
      <c r="K841" s="2"/>
      <c r="L841" s="2"/>
      <c r="M841" s="2"/>
      <c r="N841" s="2"/>
      <c r="O841" s="2"/>
      <c r="P841" s="2"/>
      <c r="Q841" s="2"/>
      <c r="R841" s="2"/>
      <c r="S841" s="2"/>
      <c r="T841" s="2"/>
      <c r="U841" s="2"/>
      <c r="V841" s="2"/>
      <c r="W841" s="2"/>
      <c r="X841" s="2"/>
      <c r="Y841" s="2"/>
      <c r="Z841" s="2"/>
    </row>
    <row r="842">
      <c r="A842" s="5"/>
      <c r="B842" s="5"/>
      <c r="C842" s="5"/>
      <c r="D842" s="5"/>
      <c r="E842" s="2"/>
      <c r="F842" s="2"/>
      <c r="G842" s="2"/>
      <c r="H842" s="2"/>
      <c r="I842" s="2"/>
      <c r="J842" s="2"/>
      <c r="K842" s="2"/>
      <c r="L842" s="2"/>
      <c r="M842" s="2"/>
      <c r="N842" s="2"/>
      <c r="O842" s="2"/>
      <c r="P842" s="2"/>
      <c r="Q842" s="2"/>
      <c r="R842" s="2"/>
      <c r="S842" s="2"/>
      <c r="T842" s="2"/>
      <c r="U842" s="2"/>
      <c r="V842" s="2"/>
      <c r="W842" s="2"/>
      <c r="X842" s="2"/>
      <c r="Y842" s="2"/>
      <c r="Z842" s="2"/>
    </row>
    <row r="843">
      <c r="A843" s="5"/>
      <c r="B843" s="5"/>
      <c r="C843" s="5"/>
      <c r="D843" s="5"/>
      <c r="E843" s="2"/>
      <c r="F843" s="2"/>
      <c r="G843" s="2"/>
      <c r="H843" s="2"/>
      <c r="I843" s="2"/>
      <c r="J843" s="2"/>
      <c r="K843" s="2"/>
      <c r="L843" s="2"/>
      <c r="M843" s="2"/>
      <c r="N843" s="2"/>
      <c r="O843" s="2"/>
      <c r="P843" s="2"/>
      <c r="Q843" s="2"/>
      <c r="R843" s="2"/>
      <c r="S843" s="2"/>
      <c r="T843" s="2"/>
      <c r="U843" s="2"/>
      <c r="V843" s="2"/>
      <c r="W843" s="2"/>
      <c r="X843" s="2"/>
      <c r="Y843" s="2"/>
      <c r="Z843" s="2"/>
    </row>
    <row r="844">
      <c r="A844" s="5"/>
      <c r="B844" s="5"/>
      <c r="C844" s="5"/>
      <c r="D844" s="5"/>
      <c r="E844" s="2"/>
      <c r="F844" s="2"/>
      <c r="G844" s="2"/>
      <c r="H844" s="2"/>
      <c r="I844" s="2"/>
      <c r="J844" s="2"/>
      <c r="K844" s="2"/>
      <c r="L844" s="2"/>
      <c r="M844" s="2"/>
      <c r="N844" s="2"/>
      <c r="O844" s="2"/>
      <c r="P844" s="2"/>
      <c r="Q844" s="2"/>
      <c r="R844" s="2"/>
      <c r="S844" s="2"/>
      <c r="T844" s="2"/>
      <c r="U844" s="2"/>
      <c r="V844" s="2"/>
      <c r="W844" s="2"/>
      <c r="X844" s="2"/>
      <c r="Y844" s="2"/>
      <c r="Z844" s="2"/>
    </row>
    <row r="845">
      <c r="A845" s="5"/>
      <c r="B845" s="5"/>
      <c r="C845" s="5"/>
      <c r="D845" s="5"/>
      <c r="E845" s="2"/>
      <c r="F845" s="2"/>
      <c r="G845" s="2"/>
      <c r="H845" s="2"/>
      <c r="I845" s="2"/>
      <c r="J845" s="2"/>
      <c r="K845" s="2"/>
      <c r="L845" s="2"/>
      <c r="M845" s="2"/>
      <c r="N845" s="2"/>
      <c r="O845" s="2"/>
      <c r="P845" s="2"/>
      <c r="Q845" s="2"/>
      <c r="R845" s="2"/>
      <c r="S845" s="2"/>
      <c r="T845" s="2"/>
      <c r="U845" s="2"/>
      <c r="V845" s="2"/>
      <c r="W845" s="2"/>
      <c r="X845" s="2"/>
      <c r="Y845" s="2"/>
      <c r="Z845" s="2"/>
    </row>
    <row r="846">
      <c r="A846" s="5"/>
      <c r="B846" s="5"/>
      <c r="C846" s="5"/>
      <c r="D846" s="5"/>
      <c r="E846" s="2"/>
      <c r="F846" s="2"/>
      <c r="G846" s="2"/>
      <c r="H846" s="2"/>
      <c r="I846" s="2"/>
      <c r="J846" s="2"/>
      <c r="K846" s="2"/>
      <c r="L846" s="2"/>
      <c r="M846" s="2"/>
      <c r="N846" s="2"/>
      <c r="O846" s="2"/>
      <c r="P846" s="2"/>
      <c r="Q846" s="2"/>
      <c r="R846" s="2"/>
      <c r="S846" s="2"/>
      <c r="T846" s="2"/>
      <c r="U846" s="2"/>
      <c r="V846" s="2"/>
      <c r="W846" s="2"/>
      <c r="X846" s="2"/>
      <c r="Y846" s="2"/>
      <c r="Z846" s="2"/>
    </row>
    <row r="847">
      <c r="A847" s="5"/>
      <c r="B847" s="5"/>
      <c r="C847" s="5"/>
      <c r="D847" s="5"/>
      <c r="E847" s="2"/>
      <c r="F847" s="2"/>
      <c r="G847" s="2"/>
      <c r="H847" s="2"/>
      <c r="I847" s="2"/>
      <c r="J847" s="2"/>
      <c r="K847" s="2"/>
      <c r="L847" s="2"/>
      <c r="M847" s="2"/>
      <c r="N847" s="2"/>
      <c r="O847" s="2"/>
      <c r="P847" s="2"/>
      <c r="Q847" s="2"/>
      <c r="R847" s="2"/>
      <c r="S847" s="2"/>
      <c r="T847" s="2"/>
      <c r="U847" s="2"/>
      <c r="V847" s="2"/>
      <c r="W847" s="2"/>
      <c r="X847" s="2"/>
      <c r="Y847" s="2"/>
      <c r="Z847" s="2"/>
    </row>
    <row r="848">
      <c r="A848" s="5"/>
      <c r="B848" s="5"/>
      <c r="C848" s="5"/>
      <c r="D848" s="5"/>
      <c r="E848" s="2"/>
      <c r="F848" s="2"/>
      <c r="G848" s="2"/>
      <c r="H848" s="2"/>
      <c r="I848" s="2"/>
      <c r="J848" s="2"/>
      <c r="K848" s="2"/>
      <c r="L848" s="2"/>
      <c r="M848" s="2"/>
      <c r="N848" s="2"/>
      <c r="O848" s="2"/>
      <c r="P848" s="2"/>
      <c r="Q848" s="2"/>
      <c r="R848" s="2"/>
      <c r="S848" s="2"/>
      <c r="T848" s="2"/>
      <c r="U848" s="2"/>
      <c r="V848" s="2"/>
      <c r="W848" s="2"/>
      <c r="X848" s="2"/>
      <c r="Y848" s="2"/>
      <c r="Z848" s="2"/>
    </row>
    <row r="849">
      <c r="A849" s="5"/>
      <c r="B849" s="5"/>
      <c r="C849" s="5"/>
      <c r="D849" s="5"/>
      <c r="E849" s="2"/>
      <c r="F849" s="2"/>
      <c r="G849" s="2"/>
      <c r="H849" s="2"/>
      <c r="I849" s="2"/>
      <c r="J849" s="2"/>
      <c r="K849" s="2"/>
      <c r="L849" s="2"/>
      <c r="M849" s="2"/>
      <c r="N849" s="2"/>
      <c r="O849" s="2"/>
      <c r="P849" s="2"/>
      <c r="Q849" s="2"/>
      <c r="R849" s="2"/>
      <c r="S849" s="2"/>
      <c r="T849" s="2"/>
      <c r="U849" s="2"/>
      <c r="V849" s="2"/>
      <c r="W849" s="2"/>
      <c r="X849" s="2"/>
      <c r="Y849" s="2"/>
      <c r="Z849" s="2"/>
    </row>
    <row r="850">
      <c r="A850" s="5"/>
      <c r="B850" s="5"/>
      <c r="C850" s="5"/>
      <c r="D850" s="5"/>
      <c r="E850" s="2"/>
      <c r="F850" s="2"/>
      <c r="G850" s="2"/>
      <c r="H850" s="2"/>
      <c r="I850" s="2"/>
      <c r="J850" s="2"/>
      <c r="K850" s="2"/>
      <c r="L850" s="2"/>
      <c r="M850" s="2"/>
      <c r="N850" s="2"/>
      <c r="O850" s="2"/>
      <c r="P850" s="2"/>
      <c r="Q850" s="2"/>
      <c r="R850" s="2"/>
      <c r="S850" s="2"/>
      <c r="T850" s="2"/>
      <c r="U850" s="2"/>
      <c r="V850" s="2"/>
      <c r="W850" s="2"/>
      <c r="X850" s="2"/>
      <c r="Y850" s="2"/>
      <c r="Z850" s="2"/>
    </row>
    <row r="851">
      <c r="A851" s="5"/>
      <c r="B851" s="5"/>
      <c r="C851" s="5"/>
      <c r="D851" s="5"/>
      <c r="E851" s="2"/>
      <c r="F851" s="2"/>
      <c r="G851" s="2"/>
      <c r="H851" s="2"/>
      <c r="I851" s="2"/>
      <c r="J851" s="2"/>
      <c r="K851" s="2"/>
      <c r="L851" s="2"/>
      <c r="M851" s="2"/>
      <c r="N851" s="2"/>
      <c r="O851" s="2"/>
      <c r="P851" s="2"/>
      <c r="Q851" s="2"/>
      <c r="R851" s="2"/>
      <c r="S851" s="2"/>
      <c r="T851" s="2"/>
      <c r="U851" s="2"/>
      <c r="V851" s="2"/>
      <c r="W851" s="2"/>
      <c r="X851" s="2"/>
      <c r="Y851" s="2"/>
      <c r="Z851" s="2"/>
    </row>
    <row r="852">
      <c r="A852" s="5"/>
      <c r="B852" s="5"/>
      <c r="C852" s="5"/>
      <c r="D852" s="5"/>
      <c r="E852" s="2"/>
      <c r="F852" s="2"/>
      <c r="G852" s="2"/>
      <c r="H852" s="2"/>
      <c r="I852" s="2"/>
      <c r="J852" s="2"/>
      <c r="K852" s="2"/>
      <c r="L852" s="2"/>
      <c r="M852" s="2"/>
      <c r="N852" s="2"/>
      <c r="O852" s="2"/>
      <c r="P852" s="2"/>
      <c r="Q852" s="2"/>
      <c r="R852" s="2"/>
      <c r="S852" s="2"/>
      <c r="T852" s="2"/>
      <c r="U852" s="2"/>
      <c r="V852" s="2"/>
      <c r="W852" s="2"/>
      <c r="X852" s="2"/>
      <c r="Y852" s="2"/>
      <c r="Z852" s="2"/>
    </row>
    <row r="853">
      <c r="A853" s="5"/>
      <c r="B853" s="5"/>
      <c r="C853" s="5"/>
      <c r="D853" s="5"/>
      <c r="E853" s="2"/>
      <c r="F853" s="2"/>
      <c r="G853" s="2"/>
      <c r="H853" s="2"/>
      <c r="I853" s="2"/>
      <c r="J853" s="2"/>
      <c r="K853" s="2"/>
      <c r="L853" s="2"/>
      <c r="M853" s="2"/>
      <c r="N853" s="2"/>
      <c r="O853" s="2"/>
      <c r="P853" s="2"/>
      <c r="Q853" s="2"/>
      <c r="R853" s="2"/>
      <c r="S853" s="2"/>
      <c r="T853" s="2"/>
      <c r="U853" s="2"/>
      <c r="V853" s="2"/>
      <c r="W853" s="2"/>
      <c r="X853" s="2"/>
      <c r="Y853" s="2"/>
      <c r="Z853" s="2"/>
    </row>
    <row r="854">
      <c r="A854" s="5"/>
      <c r="B854" s="5"/>
      <c r="C854" s="5"/>
      <c r="D854" s="5"/>
      <c r="E854" s="2"/>
      <c r="F854" s="2"/>
      <c r="G854" s="2"/>
      <c r="H854" s="2"/>
      <c r="I854" s="2"/>
      <c r="J854" s="2"/>
      <c r="K854" s="2"/>
      <c r="L854" s="2"/>
      <c r="M854" s="2"/>
      <c r="N854" s="2"/>
      <c r="O854" s="2"/>
      <c r="P854" s="2"/>
      <c r="Q854" s="2"/>
      <c r="R854" s="2"/>
      <c r="S854" s="2"/>
      <c r="T854" s="2"/>
      <c r="U854" s="2"/>
      <c r="V854" s="2"/>
      <c r="W854" s="2"/>
      <c r="X854" s="2"/>
      <c r="Y854" s="2"/>
      <c r="Z854" s="2"/>
    </row>
    <row r="855">
      <c r="A855" s="5"/>
      <c r="B855" s="5"/>
      <c r="C855" s="5"/>
      <c r="D855" s="5"/>
      <c r="E855" s="2"/>
      <c r="F855" s="2"/>
      <c r="G855" s="2"/>
      <c r="H855" s="2"/>
      <c r="I855" s="2"/>
      <c r="J855" s="2"/>
      <c r="K855" s="2"/>
      <c r="L855" s="2"/>
      <c r="M855" s="2"/>
      <c r="N855" s="2"/>
      <c r="O855" s="2"/>
      <c r="P855" s="2"/>
      <c r="Q855" s="2"/>
      <c r="R855" s="2"/>
      <c r="S855" s="2"/>
      <c r="T855" s="2"/>
      <c r="U855" s="2"/>
      <c r="V855" s="2"/>
      <c r="W855" s="2"/>
      <c r="X855" s="2"/>
      <c r="Y855" s="2"/>
      <c r="Z855" s="2"/>
    </row>
    <row r="856">
      <c r="A856" s="5"/>
      <c r="B856" s="5"/>
      <c r="C856" s="5"/>
      <c r="D856" s="5"/>
      <c r="E856" s="2"/>
      <c r="F856" s="2"/>
      <c r="G856" s="2"/>
      <c r="H856" s="2"/>
      <c r="I856" s="2"/>
      <c r="J856" s="2"/>
      <c r="K856" s="2"/>
      <c r="L856" s="2"/>
      <c r="M856" s="2"/>
      <c r="N856" s="2"/>
      <c r="O856" s="2"/>
      <c r="P856" s="2"/>
      <c r="Q856" s="2"/>
      <c r="R856" s="2"/>
      <c r="S856" s="2"/>
      <c r="T856" s="2"/>
      <c r="U856" s="2"/>
      <c r="V856" s="2"/>
      <c r="W856" s="2"/>
      <c r="X856" s="2"/>
      <c r="Y856" s="2"/>
      <c r="Z856" s="2"/>
    </row>
    <row r="857">
      <c r="A857" s="5"/>
      <c r="B857" s="5"/>
      <c r="C857" s="5"/>
      <c r="D857" s="5"/>
      <c r="E857" s="2"/>
      <c r="F857" s="2"/>
      <c r="G857" s="2"/>
      <c r="H857" s="2"/>
      <c r="I857" s="2"/>
      <c r="J857" s="2"/>
      <c r="K857" s="2"/>
      <c r="L857" s="2"/>
      <c r="M857" s="2"/>
      <c r="N857" s="2"/>
      <c r="O857" s="2"/>
      <c r="P857" s="2"/>
      <c r="Q857" s="2"/>
      <c r="R857" s="2"/>
      <c r="S857" s="2"/>
      <c r="T857" s="2"/>
      <c r="U857" s="2"/>
      <c r="V857" s="2"/>
      <c r="W857" s="2"/>
      <c r="X857" s="2"/>
      <c r="Y857" s="2"/>
      <c r="Z857" s="2"/>
    </row>
    <row r="858">
      <c r="A858" s="5"/>
      <c r="B858" s="5"/>
      <c r="C858" s="5"/>
      <c r="D858" s="5"/>
      <c r="E858" s="2"/>
      <c r="F858" s="2"/>
      <c r="G858" s="2"/>
      <c r="H858" s="2"/>
      <c r="I858" s="2"/>
      <c r="J858" s="2"/>
      <c r="K858" s="2"/>
      <c r="L858" s="2"/>
      <c r="M858" s="2"/>
      <c r="N858" s="2"/>
      <c r="O858" s="2"/>
      <c r="P858" s="2"/>
      <c r="Q858" s="2"/>
      <c r="R858" s="2"/>
      <c r="S858" s="2"/>
      <c r="T858" s="2"/>
      <c r="U858" s="2"/>
      <c r="V858" s="2"/>
      <c r="W858" s="2"/>
      <c r="X858" s="2"/>
      <c r="Y858" s="2"/>
      <c r="Z858" s="2"/>
    </row>
    <row r="859">
      <c r="A859" s="5"/>
      <c r="B859" s="5"/>
      <c r="C859" s="5"/>
      <c r="D859" s="5"/>
      <c r="E859" s="2"/>
      <c r="F859" s="2"/>
      <c r="G859" s="2"/>
      <c r="H859" s="2"/>
      <c r="I859" s="2"/>
      <c r="J859" s="2"/>
      <c r="K859" s="2"/>
      <c r="L859" s="2"/>
      <c r="M859" s="2"/>
      <c r="N859" s="2"/>
      <c r="O859" s="2"/>
      <c r="P859" s="2"/>
      <c r="Q859" s="2"/>
      <c r="R859" s="2"/>
      <c r="S859" s="2"/>
      <c r="T859" s="2"/>
      <c r="U859" s="2"/>
      <c r="V859" s="2"/>
      <c r="W859" s="2"/>
      <c r="X859" s="2"/>
      <c r="Y859" s="2"/>
      <c r="Z859" s="2"/>
    </row>
    <row r="860">
      <c r="A860" s="5"/>
      <c r="B860" s="5"/>
      <c r="C860" s="5"/>
      <c r="D860" s="5"/>
      <c r="E860" s="2"/>
      <c r="F860" s="2"/>
      <c r="G860" s="2"/>
      <c r="H860" s="2"/>
      <c r="I860" s="2"/>
      <c r="J860" s="2"/>
      <c r="K860" s="2"/>
      <c r="L860" s="2"/>
      <c r="M860" s="2"/>
      <c r="N860" s="2"/>
      <c r="O860" s="2"/>
      <c r="P860" s="2"/>
      <c r="Q860" s="2"/>
      <c r="R860" s="2"/>
      <c r="S860" s="2"/>
      <c r="T860" s="2"/>
      <c r="U860" s="2"/>
      <c r="V860" s="2"/>
      <c r="W860" s="2"/>
      <c r="X860" s="2"/>
      <c r="Y860" s="2"/>
      <c r="Z860" s="2"/>
    </row>
    <row r="861">
      <c r="A861" s="5"/>
      <c r="B861" s="5"/>
      <c r="C861" s="5"/>
      <c r="D861" s="5"/>
      <c r="E861" s="2"/>
      <c r="F861" s="2"/>
      <c r="G861" s="2"/>
      <c r="H861" s="2"/>
      <c r="I861" s="2"/>
      <c r="J861" s="2"/>
      <c r="K861" s="2"/>
      <c r="L861" s="2"/>
      <c r="M861" s="2"/>
      <c r="N861" s="2"/>
      <c r="O861" s="2"/>
      <c r="P861" s="2"/>
      <c r="Q861" s="2"/>
      <c r="R861" s="2"/>
      <c r="S861" s="2"/>
      <c r="T861" s="2"/>
      <c r="U861" s="2"/>
      <c r="V861" s="2"/>
      <c r="W861" s="2"/>
      <c r="X861" s="2"/>
      <c r="Y861" s="2"/>
      <c r="Z861" s="2"/>
    </row>
    <row r="862">
      <c r="A862" s="5"/>
      <c r="B862" s="5"/>
      <c r="C862" s="5"/>
      <c r="D862" s="5"/>
      <c r="E862" s="2"/>
      <c r="F862" s="2"/>
      <c r="G862" s="2"/>
      <c r="H862" s="2"/>
      <c r="I862" s="2"/>
      <c r="J862" s="2"/>
      <c r="K862" s="2"/>
      <c r="L862" s="2"/>
      <c r="M862" s="2"/>
      <c r="N862" s="2"/>
      <c r="O862" s="2"/>
      <c r="P862" s="2"/>
      <c r="Q862" s="2"/>
      <c r="R862" s="2"/>
      <c r="S862" s="2"/>
      <c r="T862" s="2"/>
      <c r="U862" s="2"/>
      <c r="V862" s="2"/>
      <c r="W862" s="2"/>
      <c r="X862" s="2"/>
      <c r="Y862" s="2"/>
      <c r="Z862" s="2"/>
    </row>
    <row r="863">
      <c r="A863" s="5"/>
      <c r="B863" s="5"/>
      <c r="C863" s="5"/>
      <c r="D863" s="5"/>
      <c r="E863" s="2"/>
      <c r="F863" s="2"/>
      <c r="G863" s="2"/>
      <c r="H863" s="2"/>
      <c r="I863" s="2"/>
      <c r="J863" s="2"/>
      <c r="K863" s="2"/>
      <c r="L863" s="2"/>
      <c r="M863" s="2"/>
      <c r="N863" s="2"/>
      <c r="O863" s="2"/>
      <c r="P863" s="2"/>
      <c r="Q863" s="2"/>
      <c r="R863" s="2"/>
      <c r="S863" s="2"/>
      <c r="T863" s="2"/>
      <c r="U863" s="2"/>
      <c r="V863" s="2"/>
      <c r="W863" s="2"/>
      <c r="X863" s="2"/>
      <c r="Y863" s="2"/>
      <c r="Z863" s="2"/>
    </row>
    <row r="864">
      <c r="A864" s="5"/>
      <c r="B864" s="5"/>
      <c r="C864" s="5"/>
      <c r="D864" s="5"/>
      <c r="E864" s="2"/>
      <c r="F864" s="2"/>
      <c r="G864" s="2"/>
      <c r="H864" s="2"/>
      <c r="I864" s="2"/>
      <c r="J864" s="2"/>
      <c r="K864" s="2"/>
      <c r="L864" s="2"/>
      <c r="M864" s="2"/>
      <c r="N864" s="2"/>
      <c r="O864" s="2"/>
      <c r="P864" s="2"/>
      <c r="Q864" s="2"/>
      <c r="R864" s="2"/>
      <c r="S864" s="2"/>
      <c r="T864" s="2"/>
      <c r="U864" s="2"/>
      <c r="V864" s="2"/>
      <c r="W864" s="2"/>
      <c r="X864" s="2"/>
      <c r="Y864" s="2"/>
      <c r="Z864" s="2"/>
    </row>
    <row r="865">
      <c r="A865" s="5"/>
      <c r="B865" s="5"/>
      <c r="C865" s="5"/>
      <c r="D865" s="5"/>
      <c r="E865" s="2"/>
      <c r="F865" s="2"/>
      <c r="G865" s="2"/>
      <c r="H865" s="2"/>
      <c r="I865" s="2"/>
      <c r="J865" s="2"/>
      <c r="K865" s="2"/>
      <c r="L865" s="2"/>
      <c r="M865" s="2"/>
      <c r="N865" s="2"/>
      <c r="O865" s="2"/>
      <c r="P865" s="2"/>
      <c r="Q865" s="2"/>
      <c r="R865" s="2"/>
      <c r="S865" s="2"/>
      <c r="T865" s="2"/>
      <c r="U865" s="2"/>
      <c r="V865" s="2"/>
      <c r="W865" s="2"/>
      <c r="X865" s="2"/>
      <c r="Y865" s="2"/>
      <c r="Z865" s="2"/>
    </row>
    <row r="866">
      <c r="A866" s="5"/>
      <c r="B866" s="5"/>
      <c r="C866" s="5"/>
      <c r="D866" s="5"/>
      <c r="E866" s="2"/>
      <c r="F866" s="2"/>
      <c r="G866" s="2"/>
      <c r="H866" s="2"/>
      <c r="I866" s="2"/>
      <c r="J866" s="2"/>
      <c r="K866" s="2"/>
      <c r="L866" s="2"/>
      <c r="M866" s="2"/>
      <c r="N866" s="2"/>
      <c r="O866" s="2"/>
      <c r="P866" s="2"/>
      <c r="Q866" s="2"/>
      <c r="R866" s="2"/>
      <c r="S866" s="2"/>
      <c r="T866" s="2"/>
      <c r="U866" s="2"/>
      <c r="V866" s="2"/>
      <c r="W866" s="2"/>
      <c r="X866" s="2"/>
      <c r="Y866" s="2"/>
      <c r="Z866" s="2"/>
    </row>
    <row r="867">
      <c r="A867" s="5"/>
      <c r="B867" s="5"/>
      <c r="C867" s="5"/>
      <c r="D867" s="5"/>
      <c r="E867" s="2"/>
      <c r="F867" s="2"/>
      <c r="G867" s="2"/>
      <c r="H867" s="2"/>
      <c r="I867" s="2"/>
      <c r="J867" s="2"/>
      <c r="K867" s="2"/>
      <c r="L867" s="2"/>
      <c r="M867" s="2"/>
      <c r="N867" s="2"/>
      <c r="O867" s="2"/>
      <c r="P867" s="2"/>
      <c r="Q867" s="2"/>
      <c r="R867" s="2"/>
      <c r="S867" s="2"/>
      <c r="T867" s="2"/>
      <c r="U867" s="2"/>
      <c r="V867" s="2"/>
      <c r="W867" s="2"/>
      <c r="X867" s="2"/>
      <c r="Y867" s="2"/>
      <c r="Z867" s="2"/>
    </row>
    <row r="868">
      <c r="A868" s="5"/>
      <c r="B868" s="5"/>
      <c r="C868" s="5"/>
      <c r="D868" s="5"/>
      <c r="E868" s="2"/>
      <c r="F868" s="2"/>
      <c r="G868" s="2"/>
      <c r="H868" s="2"/>
      <c r="I868" s="2"/>
      <c r="J868" s="2"/>
      <c r="K868" s="2"/>
      <c r="L868" s="2"/>
      <c r="M868" s="2"/>
      <c r="N868" s="2"/>
      <c r="O868" s="2"/>
      <c r="P868" s="2"/>
      <c r="Q868" s="2"/>
      <c r="R868" s="2"/>
      <c r="S868" s="2"/>
      <c r="T868" s="2"/>
      <c r="U868" s="2"/>
      <c r="V868" s="2"/>
      <c r="W868" s="2"/>
      <c r="X868" s="2"/>
      <c r="Y868" s="2"/>
      <c r="Z868" s="2"/>
    </row>
    <row r="869">
      <c r="A869" s="5"/>
      <c r="B869" s="5"/>
      <c r="C869" s="5"/>
      <c r="D869" s="5"/>
      <c r="E869" s="2"/>
      <c r="F869" s="2"/>
      <c r="G869" s="2"/>
      <c r="H869" s="2"/>
      <c r="I869" s="2"/>
      <c r="J869" s="2"/>
      <c r="K869" s="2"/>
      <c r="L869" s="2"/>
      <c r="M869" s="2"/>
      <c r="N869" s="2"/>
      <c r="O869" s="2"/>
      <c r="P869" s="2"/>
      <c r="Q869" s="2"/>
      <c r="R869" s="2"/>
      <c r="S869" s="2"/>
      <c r="T869" s="2"/>
      <c r="U869" s="2"/>
      <c r="V869" s="2"/>
      <c r="W869" s="2"/>
      <c r="X869" s="2"/>
      <c r="Y869" s="2"/>
      <c r="Z869" s="2"/>
    </row>
    <row r="870">
      <c r="A870" s="5"/>
      <c r="B870" s="5"/>
      <c r="C870" s="5"/>
      <c r="D870" s="5"/>
      <c r="E870" s="2"/>
      <c r="F870" s="2"/>
      <c r="G870" s="2"/>
      <c r="H870" s="2"/>
      <c r="I870" s="2"/>
      <c r="J870" s="2"/>
      <c r="K870" s="2"/>
      <c r="L870" s="2"/>
      <c r="M870" s="2"/>
      <c r="N870" s="2"/>
      <c r="O870" s="2"/>
      <c r="P870" s="2"/>
      <c r="Q870" s="2"/>
      <c r="R870" s="2"/>
      <c r="S870" s="2"/>
      <c r="T870" s="2"/>
      <c r="U870" s="2"/>
      <c r="V870" s="2"/>
      <c r="W870" s="2"/>
      <c r="X870" s="2"/>
      <c r="Y870" s="2"/>
      <c r="Z870" s="2"/>
    </row>
    <row r="871">
      <c r="A871" s="5"/>
      <c r="B871" s="5"/>
      <c r="C871" s="5"/>
      <c r="D871" s="5"/>
      <c r="E871" s="2"/>
      <c r="F871" s="2"/>
      <c r="G871" s="2"/>
      <c r="H871" s="2"/>
      <c r="I871" s="2"/>
      <c r="J871" s="2"/>
      <c r="K871" s="2"/>
      <c r="L871" s="2"/>
      <c r="M871" s="2"/>
      <c r="N871" s="2"/>
      <c r="O871" s="2"/>
      <c r="P871" s="2"/>
      <c r="Q871" s="2"/>
      <c r="R871" s="2"/>
      <c r="S871" s="2"/>
      <c r="T871" s="2"/>
      <c r="U871" s="2"/>
      <c r="V871" s="2"/>
      <c r="W871" s="2"/>
      <c r="X871" s="2"/>
      <c r="Y871" s="2"/>
      <c r="Z871" s="2"/>
    </row>
    <row r="872">
      <c r="A872" s="5"/>
      <c r="B872" s="5"/>
      <c r="C872" s="5"/>
      <c r="D872" s="5"/>
      <c r="E872" s="2"/>
      <c r="F872" s="2"/>
      <c r="G872" s="2"/>
      <c r="H872" s="2"/>
      <c r="I872" s="2"/>
      <c r="J872" s="2"/>
      <c r="K872" s="2"/>
      <c r="L872" s="2"/>
      <c r="M872" s="2"/>
      <c r="N872" s="2"/>
      <c r="O872" s="2"/>
      <c r="P872" s="2"/>
      <c r="Q872" s="2"/>
      <c r="R872" s="2"/>
      <c r="S872" s="2"/>
      <c r="T872" s="2"/>
      <c r="U872" s="2"/>
      <c r="V872" s="2"/>
      <c r="W872" s="2"/>
      <c r="X872" s="2"/>
      <c r="Y872" s="2"/>
      <c r="Z872" s="2"/>
    </row>
    <row r="873">
      <c r="A873" s="5"/>
      <c r="B873" s="5"/>
      <c r="C873" s="5"/>
      <c r="D873" s="5"/>
      <c r="E873" s="2"/>
      <c r="F873" s="2"/>
      <c r="G873" s="2"/>
      <c r="H873" s="2"/>
      <c r="I873" s="2"/>
      <c r="J873" s="2"/>
      <c r="K873" s="2"/>
      <c r="L873" s="2"/>
      <c r="M873" s="2"/>
      <c r="N873" s="2"/>
      <c r="O873" s="2"/>
      <c r="P873" s="2"/>
      <c r="Q873" s="2"/>
      <c r="R873" s="2"/>
      <c r="S873" s="2"/>
      <c r="T873" s="2"/>
      <c r="U873" s="2"/>
      <c r="V873" s="2"/>
      <c r="W873" s="2"/>
      <c r="X873" s="2"/>
      <c r="Y873" s="2"/>
      <c r="Z873" s="2"/>
    </row>
    <row r="874">
      <c r="A874" s="5"/>
      <c r="B874" s="5"/>
      <c r="C874" s="5"/>
      <c r="D874" s="5"/>
      <c r="E874" s="2"/>
      <c r="F874" s="2"/>
      <c r="G874" s="2"/>
      <c r="H874" s="2"/>
      <c r="I874" s="2"/>
      <c r="J874" s="2"/>
      <c r="K874" s="2"/>
      <c r="L874" s="2"/>
      <c r="M874" s="2"/>
      <c r="N874" s="2"/>
      <c r="O874" s="2"/>
      <c r="P874" s="2"/>
      <c r="Q874" s="2"/>
      <c r="R874" s="2"/>
      <c r="S874" s="2"/>
      <c r="T874" s="2"/>
      <c r="U874" s="2"/>
      <c r="V874" s="2"/>
      <c r="W874" s="2"/>
      <c r="X874" s="2"/>
      <c r="Y874" s="2"/>
      <c r="Z874" s="2"/>
    </row>
    <row r="875">
      <c r="A875" s="5"/>
      <c r="B875" s="5"/>
      <c r="C875" s="5"/>
      <c r="D875" s="5"/>
      <c r="E875" s="2"/>
      <c r="F875" s="2"/>
      <c r="G875" s="2"/>
      <c r="H875" s="2"/>
      <c r="I875" s="2"/>
      <c r="J875" s="2"/>
      <c r="K875" s="2"/>
      <c r="L875" s="2"/>
      <c r="M875" s="2"/>
      <c r="N875" s="2"/>
      <c r="O875" s="2"/>
      <c r="P875" s="2"/>
      <c r="Q875" s="2"/>
      <c r="R875" s="2"/>
      <c r="S875" s="2"/>
      <c r="T875" s="2"/>
      <c r="U875" s="2"/>
      <c r="V875" s="2"/>
      <c r="W875" s="2"/>
      <c r="X875" s="2"/>
      <c r="Y875" s="2"/>
      <c r="Z875" s="2"/>
    </row>
    <row r="876">
      <c r="A876" s="5"/>
      <c r="B876" s="5"/>
      <c r="C876" s="5"/>
      <c r="D876" s="5"/>
      <c r="E876" s="2"/>
      <c r="F876" s="2"/>
      <c r="G876" s="2"/>
      <c r="H876" s="2"/>
      <c r="I876" s="2"/>
      <c r="J876" s="2"/>
      <c r="K876" s="2"/>
      <c r="L876" s="2"/>
      <c r="M876" s="2"/>
      <c r="N876" s="2"/>
      <c r="O876" s="2"/>
      <c r="P876" s="2"/>
      <c r="Q876" s="2"/>
      <c r="R876" s="2"/>
      <c r="S876" s="2"/>
      <c r="T876" s="2"/>
      <c r="U876" s="2"/>
      <c r="V876" s="2"/>
      <c r="W876" s="2"/>
      <c r="X876" s="2"/>
      <c r="Y876" s="2"/>
      <c r="Z876" s="2"/>
    </row>
    <row r="877">
      <c r="A877" s="5"/>
      <c r="B877" s="5"/>
      <c r="C877" s="5"/>
      <c r="D877" s="5"/>
      <c r="E877" s="2"/>
      <c r="F877" s="2"/>
      <c r="G877" s="2"/>
      <c r="H877" s="2"/>
      <c r="I877" s="2"/>
      <c r="J877" s="2"/>
      <c r="K877" s="2"/>
      <c r="L877" s="2"/>
      <c r="M877" s="2"/>
      <c r="N877" s="2"/>
      <c r="O877" s="2"/>
      <c r="P877" s="2"/>
      <c r="Q877" s="2"/>
      <c r="R877" s="2"/>
      <c r="S877" s="2"/>
      <c r="T877" s="2"/>
      <c r="U877" s="2"/>
      <c r="V877" s="2"/>
      <c r="W877" s="2"/>
      <c r="X877" s="2"/>
      <c r="Y877" s="2"/>
      <c r="Z877" s="2"/>
    </row>
    <row r="878">
      <c r="A878" s="5"/>
      <c r="B878" s="5"/>
      <c r="C878" s="5"/>
      <c r="D878" s="5"/>
      <c r="E878" s="2"/>
      <c r="F878" s="2"/>
      <c r="G878" s="2"/>
      <c r="H878" s="2"/>
      <c r="I878" s="2"/>
      <c r="J878" s="2"/>
      <c r="K878" s="2"/>
      <c r="L878" s="2"/>
      <c r="M878" s="2"/>
      <c r="N878" s="2"/>
      <c r="O878" s="2"/>
      <c r="P878" s="2"/>
      <c r="Q878" s="2"/>
      <c r="R878" s="2"/>
      <c r="S878" s="2"/>
      <c r="T878" s="2"/>
      <c r="U878" s="2"/>
      <c r="V878" s="2"/>
      <c r="W878" s="2"/>
      <c r="X878" s="2"/>
      <c r="Y878" s="2"/>
      <c r="Z878" s="2"/>
    </row>
    <row r="879">
      <c r="A879" s="5"/>
      <c r="B879" s="5"/>
      <c r="C879" s="5"/>
      <c r="D879" s="5"/>
      <c r="E879" s="2"/>
      <c r="F879" s="2"/>
      <c r="G879" s="2"/>
      <c r="H879" s="2"/>
      <c r="I879" s="2"/>
      <c r="J879" s="2"/>
      <c r="K879" s="2"/>
      <c r="L879" s="2"/>
      <c r="M879" s="2"/>
      <c r="N879" s="2"/>
      <c r="O879" s="2"/>
      <c r="P879" s="2"/>
      <c r="Q879" s="2"/>
      <c r="R879" s="2"/>
      <c r="S879" s="2"/>
      <c r="T879" s="2"/>
      <c r="U879" s="2"/>
      <c r="V879" s="2"/>
      <c r="W879" s="2"/>
      <c r="X879" s="2"/>
      <c r="Y879" s="2"/>
      <c r="Z879" s="2"/>
    </row>
    <row r="880">
      <c r="A880" s="5"/>
      <c r="B880" s="5"/>
      <c r="C880" s="5"/>
      <c r="D880" s="5"/>
      <c r="E880" s="2"/>
      <c r="F880" s="2"/>
      <c r="G880" s="2"/>
      <c r="H880" s="2"/>
      <c r="I880" s="2"/>
      <c r="J880" s="2"/>
      <c r="K880" s="2"/>
      <c r="L880" s="2"/>
      <c r="M880" s="2"/>
      <c r="N880" s="2"/>
      <c r="O880" s="2"/>
      <c r="P880" s="2"/>
      <c r="Q880" s="2"/>
      <c r="R880" s="2"/>
      <c r="S880" s="2"/>
      <c r="T880" s="2"/>
      <c r="U880" s="2"/>
      <c r="V880" s="2"/>
      <c r="W880" s="2"/>
      <c r="X880" s="2"/>
      <c r="Y880" s="2"/>
      <c r="Z880" s="2"/>
    </row>
    <row r="881">
      <c r="A881" s="5"/>
      <c r="B881" s="5"/>
      <c r="C881" s="5"/>
      <c r="D881" s="5"/>
      <c r="E881" s="2"/>
      <c r="F881" s="2"/>
      <c r="G881" s="2"/>
      <c r="H881" s="2"/>
      <c r="I881" s="2"/>
      <c r="J881" s="2"/>
      <c r="K881" s="2"/>
      <c r="L881" s="2"/>
      <c r="M881" s="2"/>
      <c r="N881" s="2"/>
      <c r="O881" s="2"/>
      <c r="P881" s="2"/>
      <c r="Q881" s="2"/>
      <c r="R881" s="2"/>
      <c r="S881" s="2"/>
      <c r="T881" s="2"/>
      <c r="U881" s="2"/>
      <c r="V881" s="2"/>
      <c r="W881" s="2"/>
      <c r="X881" s="2"/>
      <c r="Y881" s="2"/>
      <c r="Z881" s="2"/>
    </row>
    <row r="882">
      <c r="A882" s="5"/>
      <c r="B882" s="5"/>
      <c r="C882" s="5"/>
      <c r="D882" s="5"/>
      <c r="E882" s="2"/>
      <c r="F882" s="2"/>
      <c r="G882" s="2"/>
      <c r="H882" s="2"/>
      <c r="I882" s="2"/>
      <c r="J882" s="2"/>
      <c r="K882" s="2"/>
      <c r="L882" s="2"/>
      <c r="M882" s="2"/>
      <c r="N882" s="2"/>
      <c r="O882" s="2"/>
      <c r="P882" s="2"/>
      <c r="Q882" s="2"/>
      <c r="R882" s="2"/>
      <c r="S882" s="2"/>
      <c r="T882" s="2"/>
      <c r="U882" s="2"/>
      <c r="V882" s="2"/>
      <c r="W882" s="2"/>
      <c r="X882" s="2"/>
      <c r="Y882" s="2"/>
      <c r="Z882" s="2"/>
    </row>
    <row r="883">
      <c r="A883" s="5"/>
      <c r="B883" s="5"/>
      <c r="C883" s="5"/>
      <c r="D883" s="5"/>
      <c r="E883" s="2"/>
      <c r="F883" s="2"/>
      <c r="G883" s="2"/>
      <c r="H883" s="2"/>
      <c r="I883" s="2"/>
      <c r="J883" s="2"/>
      <c r="K883" s="2"/>
      <c r="L883" s="2"/>
      <c r="M883" s="2"/>
      <c r="N883" s="2"/>
      <c r="O883" s="2"/>
      <c r="P883" s="2"/>
      <c r="Q883" s="2"/>
      <c r="R883" s="2"/>
      <c r="S883" s="2"/>
      <c r="T883" s="2"/>
      <c r="U883" s="2"/>
      <c r="V883" s="2"/>
      <c r="W883" s="2"/>
      <c r="X883" s="2"/>
      <c r="Y883" s="2"/>
      <c r="Z883" s="2"/>
    </row>
    <row r="884">
      <c r="A884" s="5"/>
      <c r="B884" s="5"/>
      <c r="C884" s="5"/>
      <c r="D884" s="5"/>
      <c r="E884" s="2"/>
      <c r="F884" s="2"/>
      <c r="G884" s="2"/>
      <c r="H884" s="2"/>
      <c r="I884" s="2"/>
      <c r="J884" s="2"/>
      <c r="K884" s="2"/>
      <c r="L884" s="2"/>
      <c r="M884" s="2"/>
      <c r="N884" s="2"/>
      <c r="O884" s="2"/>
      <c r="P884" s="2"/>
      <c r="Q884" s="2"/>
      <c r="R884" s="2"/>
      <c r="S884" s="2"/>
      <c r="T884" s="2"/>
      <c r="U884" s="2"/>
      <c r="V884" s="2"/>
      <c r="W884" s="2"/>
      <c r="X884" s="2"/>
      <c r="Y884" s="2"/>
      <c r="Z884" s="2"/>
    </row>
    <row r="885">
      <c r="A885" s="5"/>
      <c r="B885" s="5"/>
      <c r="C885" s="5"/>
      <c r="D885" s="5"/>
      <c r="E885" s="2"/>
      <c r="F885" s="2"/>
      <c r="G885" s="2"/>
      <c r="H885" s="2"/>
      <c r="I885" s="2"/>
      <c r="J885" s="2"/>
      <c r="K885" s="2"/>
      <c r="L885" s="2"/>
      <c r="M885" s="2"/>
      <c r="N885" s="2"/>
      <c r="O885" s="2"/>
      <c r="P885" s="2"/>
      <c r="Q885" s="2"/>
      <c r="R885" s="2"/>
      <c r="S885" s="2"/>
      <c r="T885" s="2"/>
      <c r="U885" s="2"/>
      <c r="V885" s="2"/>
      <c r="W885" s="2"/>
      <c r="X885" s="2"/>
      <c r="Y885" s="2"/>
      <c r="Z885" s="2"/>
    </row>
    <row r="886">
      <c r="A886" s="5"/>
      <c r="B886" s="5"/>
      <c r="C886" s="5"/>
      <c r="D886" s="5"/>
      <c r="E886" s="2"/>
      <c r="F886" s="2"/>
      <c r="G886" s="2"/>
      <c r="H886" s="2"/>
      <c r="I886" s="2"/>
      <c r="J886" s="2"/>
      <c r="K886" s="2"/>
      <c r="L886" s="2"/>
      <c r="M886" s="2"/>
      <c r="N886" s="2"/>
      <c r="O886" s="2"/>
      <c r="P886" s="2"/>
      <c r="Q886" s="2"/>
      <c r="R886" s="2"/>
      <c r="S886" s="2"/>
      <c r="T886" s="2"/>
      <c r="U886" s="2"/>
      <c r="V886" s="2"/>
      <c r="W886" s="2"/>
      <c r="X886" s="2"/>
      <c r="Y886" s="2"/>
      <c r="Z886" s="2"/>
    </row>
    <row r="887">
      <c r="A887" s="5"/>
      <c r="B887" s="5"/>
      <c r="C887" s="5"/>
      <c r="D887" s="5"/>
      <c r="E887" s="2"/>
      <c r="F887" s="2"/>
      <c r="G887" s="2"/>
      <c r="H887" s="2"/>
      <c r="I887" s="2"/>
      <c r="J887" s="2"/>
      <c r="K887" s="2"/>
      <c r="L887" s="2"/>
      <c r="M887" s="2"/>
      <c r="N887" s="2"/>
      <c r="O887" s="2"/>
      <c r="P887" s="2"/>
      <c r="Q887" s="2"/>
      <c r="R887" s="2"/>
      <c r="S887" s="2"/>
      <c r="T887" s="2"/>
      <c r="U887" s="2"/>
      <c r="V887" s="2"/>
      <c r="W887" s="2"/>
      <c r="X887" s="2"/>
      <c r="Y887" s="2"/>
      <c r="Z887" s="2"/>
    </row>
    <row r="888">
      <c r="A888" s="5"/>
      <c r="B888" s="5"/>
      <c r="C888" s="5"/>
      <c r="D888" s="5"/>
      <c r="E888" s="2"/>
      <c r="F888" s="2"/>
      <c r="G888" s="2"/>
      <c r="H888" s="2"/>
      <c r="I888" s="2"/>
      <c r="J888" s="2"/>
      <c r="K888" s="2"/>
      <c r="L888" s="2"/>
      <c r="M888" s="2"/>
      <c r="N888" s="2"/>
      <c r="O888" s="2"/>
      <c r="P888" s="2"/>
      <c r="Q888" s="2"/>
      <c r="R888" s="2"/>
      <c r="S888" s="2"/>
      <c r="T888" s="2"/>
      <c r="U888" s="2"/>
      <c r="V888" s="2"/>
      <c r="W888" s="2"/>
      <c r="X888" s="2"/>
      <c r="Y888" s="2"/>
      <c r="Z888" s="2"/>
    </row>
    <row r="889">
      <c r="A889" s="5"/>
      <c r="B889" s="5"/>
      <c r="C889" s="5"/>
      <c r="D889" s="5"/>
      <c r="E889" s="2"/>
      <c r="F889" s="2"/>
      <c r="G889" s="2"/>
      <c r="H889" s="2"/>
      <c r="I889" s="2"/>
      <c r="J889" s="2"/>
      <c r="K889" s="2"/>
      <c r="L889" s="2"/>
      <c r="M889" s="2"/>
      <c r="N889" s="2"/>
      <c r="O889" s="2"/>
      <c r="P889" s="2"/>
      <c r="Q889" s="2"/>
      <c r="R889" s="2"/>
      <c r="S889" s="2"/>
      <c r="T889" s="2"/>
      <c r="U889" s="2"/>
      <c r="V889" s="2"/>
      <c r="W889" s="2"/>
      <c r="X889" s="2"/>
      <c r="Y889" s="2"/>
      <c r="Z889" s="2"/>
    </row>
    <row r="890">
      <c r="A890" s="5"/>
      <c r="B890" s="5"/>
      <c r="C890" s="5"/>
      <c r="D890" s="5"/>
      <c r="E890" s="2"/>
      <c r="F890" s="2"/>
      <c r="G890" s="2"/>
      <c r="H890" s="2"/>
      <c r="I890" s="2"/>
      <c r="J890" s="2"/>
      <c r="K890" s="2"/>
      <c r="L890" s="2"/>
      <c r="M890" s="2"/>
      <c r="N890" s="2"/>
      <c r="O890" s="2"/>
      <c r="P890" s="2"/>
      <c r="Q890" s="2"/>
      <c r="R890" s="2"/>
      <c r="S890" s="2"/>
      <c r="T890" s="2"/>
      <c r="U890" s="2"/>
      <c r="V890" s="2"/>
      <c r="W890" s="2"/>
      <c r="X890" s="2"/>
      <c r="Y890" s="2"/>
      <c r="Z890" s="2"/>
    </row>
    <row r="891">
      <c r="A891" s="5"/>
      <c r="B891" s="5"/>
      <c r="C891" s="5"/>
      <c r="D891" s="5"/>
      <c r="E891" s="2"/>
      <c r="F891" s="2"/>
      <c r="G891" s="2"/>
      <c r="H891" s="2"/>
      <c r="I891" s="2"/>
      <c r="J891" s="2"/>
      <c r="K891" s="2"/>
      <c r="L891" s="2"/>
      <c r="M891" s="2"/>
      <c r="N891" s="2"/>
      <c r="O891" s="2"/>
      <c r="P891" s="2"/>
      <c r="Q891" s="2"/>
      <c r="R891" s="2"/>
      <c r="S891" s="2"/>
      <c r="T891" s="2"/>
      <c r="U891" s="2"/>
      <c r="V891" s="2"/>
      <c r="W891" s="2"/>
      <c r="X891" s="2"/>
      <c r="Y891" s="2"/>
      <c r="Z891" s="2"/>
    </row>
    <row r="892">
      <c r="A892" s="5"/>
      <c r="B892" s="5"/>
      <c r="C892" s="5"/>
      <c r="D892" s="5"/>
      <c r="E892" s="2"/>
      <c r="F892" s="2"/>
      <c r="G892" s="2"/>
      <c r="H892" s="2"/>
      <c r="I892" s="2"/>
      <c r="J892" s="2"/>
      <c r="K892" s="2"/>
      <c r="L892" s="2"/>
      <c r="M892" s="2"/>
      <c r="N892" s="2"/>
      <c r="O892" s="2"/>
      <c r="P892" s="2"/>
      <c r="Q892" s="2"/>
      <c r="R892" s="2"/>
      <c r="S892" s="2"/>
      <c r="T892" s="2"/>
      <c r="U892" s="2"/>
      <c r="V892" s="2"/>
      <c r="W892" s="2"/>
      <c r="X892" s="2"/>
      <c r="Y892" s="2"/>
      <c r="Z892" s="2"/>
    </row>
    <row r="893">
      <c r="A893" s="5"/>
      <c r="B893" s="5"/>
      <c r="C893" s="5"/>
      <c r="D893" s="5"/>
      <c r="E893" s="2"/>
      <c r="F893" s="2"/>
      <c r="G893" s="2"/>
      <c r="H893" s="2"/>
      <c r="I893" s="2"/>
      <c r="J893" s="2"/>
      <c r="K893" s="2"/>
      <c r="L893" s="2"/>
      <c r="M893" s="2"/>
      <c r="N893" s="2"/>
      <c r="O893" s="2"/>
      <c r="P893" s="2"/>
      <c r="Q893" s="2"/>
      <c r="R893" s="2"/>
      <c r="S893" s="2"/>
      <c r="T893" s="2"/>
      <c r="U893" s="2"/>
      <c r="V893" s="2"/>
      <c r="W893" s="2"/>
      <c r="X893" s="2"/>
      <c r="Y893" s="2"/>
      <c r="Z893" s="2"/>
    </row>
    <row r="894">
      <c r="A894" s="5"/>
      <c r="B894" s="5"/>
      <c r="C894" s="5"/>
      <c r="D894" s="5"/>
      <c r="E894" s="2"/>
      <c r="F894" s="2"/>
      <c r="G894" s="2"/>
      <c r="H894" s="2"/>
      <c r="I894" s="2"/>
      <c r="J894" s="2"/>
      <c r="K894" s="2"/>
      <c r="L894" s="2"/>
      <c r="M894" s="2"/>
      <c r="N894" s="2"/>
      <c r="O894" s="2"/>
      <c r="P894" s="2"/>
      <c r="Q894" s="2"/>
      <c r="R894" s="2"/>
      <c r="S894" s="2"/>
      <c r="T894" s="2"/>
      <c r="U894" s="2"/>
      <c r="V894" s="2"/>
      <c r="W894" s="2"/>
      <c r="X894" s="2"/>
      <c r="Y894" s="2"/>
      <c r="Z894" s="2"/>
    </row>
    <row r="895">
      <c r="A895" s="5"/>
      <c r="B895" s="5"/>
      <c r="C895" s="5"/>
      <c r="D895" s="5"/>
      <c r="E895" s="2"/>
      <c r="F895" s="2"/>
      <c r="G895" s="2"/>
      <c r="H895" s="2"/>
      <c r="I895" s="2"/>
      <c r="J895" s="2"/>
      <c r="K895" s="2"/>
      <c r="L895" s="2"/>
      <c r="M895" s="2"/>
      <c r="N895" s="2"/>
      <c r="O895" s="2"/>
      <c r="P895" s="2"/>
      <c r="Q895" s="2"/>
      <c r="R895" s="2"/>
      <c r="S895" s="2"/>
      <c r="T895" s="2"/>
      <c r="U895" s="2"/>
      <c r="V895" s="2"/>
      <c r="W895" s="2"/>
      <c r="X895" s="2"/>
      <c r="Y895" s="2"/>
      <c r="Z895" s="2"/>
    </row>
    <row r="896">
      <c r="A896" s="5"/>
      <c r="B896" s="5"/>
      <c r="C896" s="5"/>
      <c r="D896" s="5"/>
      <c r="E896" s="2"/>
      <c r="F896" s="2"/>
      <c r="G896" s="2"/>
      <c r="H896" s="2"/>
      <c r="I896" s="2"/>
      <c r="J896" s="2"/>
      <c r="K896" s="2"/>
      <c r="L896" s="2"/>
      <c r="M896" s="2"/>
      <c r="N896" s="2"/>
      <c r="O896" s="2"/>
      <c r="P896" s="2"/>
      <c r="Q896" s="2"/>
      <c r="R896" s="2"/>
      <c r="S896" s="2"/>
      <c r="T896" s="2"/>
      <c r="U896" s="2"/>
      <c r="V896" s="2"/>
      <c r="W896" s="2"/>
      <c r="X896" s="2"/>
      <c r="Y896" s="2"/>
      <c r="Z896" s="2"/>
    </row>
    <row r="897">
      <c r="A897" s="5"/>
      <c r="B897" s="5"/>
      <c r="C897" s="5"/>
      <c r="D897" s="5"/>
      <c r="E897" s="2"/>
      <c r="F897" s="2"/>
      <c r="G897" s="2"/>
      <c r="H897" s="2"/>
      <c r="I897" s="2"/>
      <c r="J897" s="2"/>
      <c r="K897" s="2"/>
      <c r="L897" s="2"/>
      <c r="M897" s="2"/>
      <c r="N897" s="2"/>
      <c r="O897" s="2"/>
      <c r="P897" s="2"/>
      <c r="Q897" s="2"/>
      <c r="R897" s="2"/>
      <c r="S897" s="2"/>
      <c r="T897" s="2"/>
      <c r="U897" s="2"/>
      <c r="V897" s="2"/>
      <c r="W897" s="2"/>
      <c r="X897" s="2"/>
      <c r="Y897" s="2"/>
      <c r="Z897" s="2"/>
    </row>
    <row r="898">
      <c r="A898" s="5"/>
      <c r="B898" s="5"/>
      <c r="C898" s="5"/>
      <c r="D898" s="5"/>
      <c r="E898" s="2"/>
      <c r="F898" s="2"/>
      <c r="G898" s="2"/>
      <c r="H898" s="2"/>
      <c r="I898" s="2"/>
      <c r="J898" s="2"/>
      <c r="K898" s="2"/>
      <c r="L898" s="2"/>
      <c r="M898" s="2"/>
      <c r="N898" s="2"/>
      <c r="O898" s="2"/>
      <c r="P898" s="2"/>
      <c r="Q898" s="2"/>
      <c r="R898" s="2"/>
      <c r="S898" s="2"/>
      <c r="T898" s="2"/>
      <c r="U898" s="2"/>
      <c r="V898" s="2"/>
      <c r="W898" s="2"/>
      <c r="X898" s="2"/>
      <c r="Y898" s="2"/>
      <c r="Z898" s="2"/>
    </row>
    <row r="899">
      <c r="A899" s="5"/>
      <c r="B899" s="5"/>
      <c r="C899" s="5"/>
      <c r="D899" s="5"/>
      <c r="E899" s="2"/>
      <c r="F899" s="2"/>
      <c r="G899" s="2"/>
      <c r="H899" s="2"/>
      <c r="I899" s="2"/>
      <c r="J899" s="2"/>
      <c r="K899" s="2"/>
      <c r="L899" s="2"/>
      <c r="M899" s="2"/>
      <c r="N899" s="2"/>
      <c r="O899" s="2"/>
      <c r="P899" s="2"/>
      <c r="Q899" s="2"/>
      <c r="R899" s="2"/>
      <c r="S899" s="2"/>
      <c r="T899" s="2"/>
      <c r="U899" s="2"/>
      <c r="V899" s="2"/>
      <c r="W899" s="2"/>
      <c r="X899" s="2"/>
      <c r="Y899" s="2"/>
      <c r="Z899" s="2"/>
    </row>
    <row r="900">
      <c r="A900" s="5"/>
      <c r="B900" s="5"/>
      <c r="C900" s="5"/>
      <c r="D900" s="5"/>
      <c r="E900" s="2"/>
      <c r="F900" s="2"/>
      <c r="G900" s="2"/>
      <c r="H900" s="2"/>
      <c r="I900" s="2"/>
      <c r="J900" s="2"/>
      <c r="K900" s="2"/>
      <c r="L900" s="2"/>
      <c r="M900" s="2"/>
      <c r="N900" s="2"/>
      <c r="O900" s="2"/>
      <c r="P900" s="2"/>
      <c r="Q900" s="2"/>
      <c r="R900" s="2"/>
      <c r="S900" s="2"/>
      <c r="T900" s="2"/>
      <c r="U900" s="2"/>
      <c r="V900" s="2"/>
      <c r="W900" s="2"/>
      <c r="X900" s="2"/>
      <c r="Y900" s="2"/>
      <c r="Z900" s="2"/>
    </row>
    <row r="901">
      <c r="A901" s="5"/>
      <c r="B901" s="5"/>
      <c r="C901" s="5"/>
      <c r="D901" s="5"/>
      <c r="E901" s="2"/>
      <c r="F901" s="2"/>
      <c r="G901" s="2"/>
      <c r="H901" s="2"/>
      <c r="I901" s="2"/>
      <c r="J901" s="2"/>
      <c r="K901" s="2"/>
      <c r="L901" s="2"/>
      <c r="M901" s="2"/>
      <c r="N901" s="2"/>
      <c r="O901" s="2"/>
      <c r="P901" s="2"/>
      <c r="Q901" s="2"/>
      <c r="R901" s="2"/>
      <c r="S901" s="2"/>
      <c r="T901" s="2"/>
      <c r="U901" s="2"/>
      <c r="V901" s="2"/>
      <c r="W901" s="2"/>
      <c r="X901" s="2"/>
      <c r="Y901" s="2"/>
      <c r="Z901" s="2"/>
    </row>
    <row r="902">
      <c r="A902" s="5"/>
      <c r="B902" s="5"/>
      <c r="C902" s="5"/>
      <c r="D902" s="5"/>
      <c r="E902" s="2"/>
      <c r="F902" s="2"/>
      <c r="G902" s="2"/>
      <c r="H902" s="2"/>
      <c r="I902" s="2"/>
      <c r="J902" s="2"/>
      <c r="K902" s="2"/>
      <c r="L902" s="2"/>
      <c r="M902" s="2"/>
      <c r="N902" s="2"/>
      <c r="O902" s="2"/>
      <c r="P902" s="2"/>
      <c r="Q902" s="2"/>
      <c r="R902" s="2"/>
      <c r="S902" s="2"/>
      <c r="T902" s="2"/>
      <c r="U902" s="2"/>
      <c r="V902" s="2"/>
      <c r="W902" s="2"/>
      <c r="X902" s="2"/>
      <c r="Y902" s="2"/>
      <c r="Z902" s="2"/>
    </row>
    <row r="903">
      <c r="A903" s="5"/>
      <c r="B903" s="5"/>
      <c r="C903" s="5"/>
      <c r="D903" s="5"/>
      <c r="E903" s="2"/>
      <c r="F903" s="2"/>
      <c r="G903" s="2"/>
      <c r="H903" s="2"/>
      <c r="I903" s="2"/>
      <c r="J903" s="2"/>
      <c r="K903" s="2"/>
      <c r="L903" s="2"/>
      <c r="M903" s="2"/>
      <c r="N903" s="2"/>
      <c r="O903" s="2"/>
      <c r="P903" s="2"/>
      <c r="Q903" s="2"/>
      <c r="R903" s="2"/>
      <c r="S903" s="2"/>
      <c r="T903" s="2"/>
      <c r="U903" s="2"/>
      <c r="V903" s="2"/>
      <c r="W903" s="2"/>
      <c r="X903" s="2"/>
      <c r="Y903" s="2"/>
      <c r="Z903" s="2"/>
    </row>
    <row r="904">
      <c r="A904" s="5"/>
      <c r="B904" s="5"/>
      <c r="C904" s="5"/>
      <c r="D904" s="5"/>
      <c r="E904" s="2"/>
      <c r="F904" s="2"/>
      <c r="G904" s="2"/>
      <c r="H904" s="2"/>
      <c r="I904" s="2"/>
      <c r="J904" s="2"/>
      <c r="K904" s="2"/>
      <c r="L904" s="2"/>
      <c r="M904" s="2"/>
      <c r="N904" s="2"/>
      <c r="O904" s="2"/>
      <c r="P904" s="2"/>
      <c r="Q904" s="2"/>
      <c r="R904" s="2"/>
      <c r="S904" s="2"/>
      <c r="T904" s="2"/>
      <c r="U904" s="2"/>
      <c r="V904" s="2"/>
      <c r="W904" s="2"/>
      <c r="X904" s="2"/>
      <c r="Y904" s="2"/>
      <c r="Z904" s="2"/>
    </row>
    <row r="905">
      <c r="A905" s="5"/>
      <c r="B905" s="5"/>
      <c r="C905" s="5"/>
      <c r="D905" s="5"/>
      <c r="E905" s="2"/>
      <c r="F905" s="2"/>
      <c r="G905" s="2"/>
      <c r="H905" s="2"/>
      <c r="I905" s="2"/>
      <c r="J905" s="2"/>
      <c r="K905" s="2"/>
      <c r="L905" s="2"/>
      <c r="M905" s="2"/>
      <c r="N905" s="2"/>
      <c r="O905" s="2"/>
      <c r="P905" s="2"/>
      <c r="Q905" s="2"/>
      <c r="R905" s="2"/>
      <c r="S905" s="2"/>
      <c r="T905" s="2"/>
      <c r="U905" s="2"/>
      <c r="V905" s="2"/>
      <c r="W905" s="2"/>
      <c r="X905" s="2"/>
      <c r="Y905" s="2"/>
      <c r="Z905" s="2"/>
    </row>
    <row r="906">
      <c r="A906" s="5"/>
      <c r="B906" s="5"/>
      <c r="C906" s="5"/>
      <c r="D906" s="5"/>
      <c r="E906" s="2"/>
      <c r="F906" s="2"/>
      <c r="G906" s="2"/>
      <c r="H906" s="2"/>
      <c r="I906" s="2"/>
      <c r="J906" s="2"/>
      <c r="K906" s="2"/>
      <c r="L906" s="2"/>
      <c r="M906" s="2"/>
      <c r="N906" s="2"/>
      <c r="O906" s="2"/>
      <c r="P906" s="2"/>
      <c r="Q906" s="2"/>
      <c r="R906" s="2"/>
      <c r="S906" s="2"/>
      <c r="T906" s="2"/>
      <c r="U906" s="2"/>
      <c r="V906" s="2"/>
      <c r="W906" s="2"/>
      <c r="X906" s="2"/>
      <c r="Y906" s="2"/>
      <c r="Z906" s="2"/>
    </row>
    <row r="907">
      <c r="A907" s="5"/>
      <c r="B907" s="5"/>
      <c r="C907" s="5"/>
      <c r="D907" s="5"/>
      <c r="E907" s="2"/>
      <c r="F907" s="2"/>
      <c r="G907" s="2"/>
      <c r="H907" s="2"/>
      <c r="I907" s="2"/>
      <c r="J907" s="2"/>
      <c r="K907" s="2"/>
      <c r="L907" s="2"/>
      <c r="M907" s="2"/>
      <c r="N907" s="2"/>
      <c r="O907" s="2"/>
      <c r="P907" s="2"/>
      <c r="Q907" s="2"/>
      <c r="R907" s="2"/>
      <c r="S907" s="2"/>
      <c r="T907" s="2"/>
      <c r="U907" s="2"/>
      <c r="V907" s="2"/>
      <c r="W907" s="2"/>
      <c r="X907" s="2"/>
      <c r="Y907" s="2"/>
      <c r="Z907" s="2"/>
    </row>
    <row r="908">
      <c r="A908" s="5"/>
      <c r="B908" s="5"/>
      <c r="C908" s="5"/>
      <c r="D908" s="5"/>
      <c r="E908" s="2"/>
      <c r="F908" s="2"/>
      <c r="G908" s="2"/>
      <c r="H908" s="2"/>
      <c r="I908" s="2"/>
      <c r="J908" s="2"/>
      <c r="K908" s="2"/>
      <c r="L908" s="2"/>
      <c r="M908" s="2"/>
      <c r="N908" s="2"/>
      <c r="O908" s="2"/>
      <c r="P908" s="2"/>
      <c r="Q908" s="2"/>
      <c r="R908" s="2"/>
      <c r="S908" s="2"/>
      <c r="T908" s="2"/>
      <c r="U908" s="2"/>
      <c r="V908" s="2"/>
      <c r="W908" s="2"/>
      <c r="X908" s="2"/>
      <c r="Y908" s="2"/>
      <c r="Z908" s="2"/>
    </row>
    <row r="909">
      <c r="A909" s="5"/>
      <c r="B909" s="5"/>
      <c r="C909" s="5"/>
      <c r="D909" s="5"/>
      <c r="E909" s="2"/>
      <c r="F909" s="2"/>
      <c r="G909" s="2"/>
      <c r="H909" s="2"/>
      <c r="I909" s="2"/>
      <c r="J909" s="2"/>
      <c r="K909" s="2"/>
      <c r="L909" s="2"/>
      <c r="M909" s="2"/>
      <c r="N909" s="2"/>
      <c r="O909" s="2"/>
      <c r="P909" s="2"/>
      <c r="Q909" s="2"/>
      <c r="R909" s="2"/>
      <c r="S909" s="2"/>
      <c r="T909" s="2"/>
      <c r="U909" s="2"/>
      <c r="V909" s="2"/>
      <c r="W909" s="2"/>
      <c r="X909" s="2"/>
      <c r="Y909" s="2"/>
      <c r="Z909" s="2"/>
    </row>
    <row r="910">
      <c r="A910" s="5"/>
      <c r="B910" s="5"/>
      <c r="C910" s="5"/>
      <c r="D910" s="5"/>
      <c r="E910" s="2"/>
      <c r="F910" s="2"/>
      <c r="G910" s="2"/>
      <c r="H910" s="2"/>
      <c r="I910" s="2"/>
      <c r="J910" s="2"/>
      <c r="K910" s="2"/>
      <c r="L910" s="2"/>
      <c r="M910" s="2"/>
      <c r="N910" s="2"/>
      <c r="O910" s="2"/>
      <c r="P910" s="2"/>
      <c r="Q910" s="2"/>
      <c r="R910" s="2"/>
      <c r="S910" s="2"/>
      <c r="T910" s="2"/>
      <c r="U910" s="2"/>
      <c r="V910" s="2"/>
      <c r="W910" s="2"/>
      <c r="X910" s="2"/>
      <c r="Y910" s="2"/>
      <c r="Z910" s="2"/>
    </row>
    <row r="911">
      <c r="A911" s="5"/>
      <c r="B911" s="5"/>
      <c r="C911" s="5"/>
      <c r="D911" s="5"/>
      <c r="E911" s="2"/>
      <c r="F911" s="2"/>
      <c r="G911" s="2"/>
      <c r="H911" s="2"/>
      <c r="I911" s="2"/>
      <c r="J911" s="2"/>
      <c r="K911" s="2"/>
      <c r="L911" s="2"/>
      <c r="M911" s="2"/>
      <c r="N911" s="2"/>
      <c r="O911" s="2"/>
      <c r="P911" s="2"/>
      <c r="Q911" s="2"/>
      <c r="R911" s="2"/>
      <c r="S911" s="2"/>
      <c r="T911" s="2"/>
      <c r="U911" s="2"/>
      <c r="V911" s="2"/>
      <c r="W911" s="2"/>
      <c r="X911" s="2"/>
      <c r="Y911" s="2"/>
      <c r="Z911" s="2"/>
    </row>
    <row r="912">
      <c r="A912" s="5"/>
      <c r="B912" s="5"/>
      <c r="C912" s="5"/>
      <c r="D912" s="5"/>
      <c r="E912" s="2"/>
      <c r="F912" s="2"/>
      <c r="G912" s="2"/>
      <c r="H912" s="2"/>
      <c r="I912" s="2"/>
      <c r="J912" s="2"/>
      <c r="K912" s="2"/>
      <c r="L912" s="2"/>
      <c r="M912" s="2"/>
      <c r="N912" s="2"/>
      <c r="O912" s="2"/>
      <c r="P912" s="2"/>
      <c r="Q912" s="2"/>
      <c r="R912" s="2"/>
      <c r="S912" s="2"/>
      <c r="T912" s="2"/>
      <c r="U912" s="2"/>
      <c r="V912" s="2"/>
      <c r="W912" s="2"/>
      <c r="X912" s="2"/>
      <c r="Y912" s="2"/>
      <c r="Z912" s="2"/>
    </row>
    <row r="913">
      <c r="A913" s="5"/>
      <c r="B913" s="5"/>
      <c r="C913" s="5"/>
      <c r="D913" s="5"/>
      <c r="E913" s="2"/>
      <c r="F913" s="2"/>
      <c r="G913" s="2"/>
      <c r="H913" s="2"/>
      <c r="I913" s="2"/>
      <c r="J913" s="2"/>
      <c r="K913" s="2"/>
      <c r="L913" s="2"/>
      <c r="M913" s="2"/>
      <c r="N913" s="2"/>
      <c r="O913" s="2"/>
      <c r="P913" s="2"/>
      <c r="Q913" s="2"/>
      <c r="R913" s="2"/>
      <c r="S913" s="2"/>
      <c r="T913" s="2"/>
      <c r="U913" s="2"/>
      <c r="V913" s="2"/>
      <c r="W913" s="2"/>
      <c r="X913" s="2"/>
      <c r="Y913" s="2"/>
      <c r="Z913" s="2"/>
    </row>
    <row r="914">
      <c r="A914" s="5"/>
      <c r="B914" s="5"/>
      <c r="C914" s="5"/>
      <c r="D914" s="5"/>
      <c r="E914" s="2"/>
      <c r="F914" s="2"/>
      <c r="G914" s="2"/>
      <c r="H914" s="2"/>
      <c r="I914" s="2"/>
      <c r="J914" s="2"/>
      <c r="K914" s="2"/>
      <c r="L914" s="2"/>
      <c r="M914" s="2"/>
      <c r="N914" s="2"/>
      <c r="O914" s="2"/>
      <c r="P914" s="2"/>
      <c r="Q914" s="2"/>
      <c r="R914" s="2"/>
      <c r="S914" s="2"/>
      <c r="T914" s="2"/>
      <c r="U914" s="2"/>
      <c r="V914" s="2"/>
      <c r="W914" s="2"/>
      <c r="X914" s="2"/>
      <c r="Y914" s="2"/>
      <c r="Z914" s="2"/>
    </row>
    <row r="915">
      <c r="A915" s="5"/>
      <c r="B915" s="5"/>
      <c r="C915" s="5"/>
      <c r="D915" s="5"/>
      <c r="E915" s="2"/>
      <c r="F915" s="2"/>
      <c r="G915" s="2"/>
      <c r="H915" s="2"/>
      <c r="I915" s="2"/>
      <c r="J915" s="2"/>
      <c r="K915" s="2"/>
      <c r="L915" s="2"/>
      <c r="M915" s="2"/>
      <c r="N915" s="2"/>
      <c r="O915" s="2"/>
      <c r="P915" s="2"/>
      <c r="Q915" s="2"/>
      <c r="R915" s="2"/>
      <c r="S915" s="2"/>
      <c r="T915" s="2"/>
      <c r="U915" s="2"/>
      <c r="V915" s="2"/>
      <c r="W915" s="2"/>
      <c r="X915" s="2"/>
      <c r="Y915" s="2"/>
      <c r="Z915" s="2"/>
    </row>
    <row r="916">
      <c r="A916" s="5"/>
      <c r="B916" s="5"/>
      <c r="C916" s="5"/>
      <c r="D916" s="5"/>
      <c r="E916" s="2"/>
      <c r="F916" s="2"/>
      <c r="G916" s="2"/>
      <c r="H916" s="2"/>
      <c r="I916" s="2"/>
      <c r="J916" s="2"/>
      <c r="K916" s="2"/>
      <c r="L916" s="2"/>
      <c r="M916" s="2"/>
      <c r="N916" s="2"/>
      <c r="O916" s="2"/>
      <c r="P916" s="2"/>
      <c r="Q916" s="2"/>
      <c r="R916" s="2"/>
      <c r="S916" s="2"/>
      <c r="T916" s="2"/>
      <c r="U916" s="2"/>
      <c r="V916" s="2"/>
      <c r="W916" s="2"/>
      <c r="X916" s="2"/>
      <c r="Y916" s="2"/>
      <c r="Z916" s="2"/>
    </row>
    <row r="917">
      <c r="A917" s="5"/>
      <c r="B917" s="5"/>
      <c r="C917" s="5"/>
      <c r="D917" s="5"/>
      <c r="E917" s="2"/>
      <c r="F917" s="2"/>
      <c r="G917" s="2"/>
      <c r="H917" s="2"/>
      <c r="I917" s="2"/>
      <c r="J917" s="2"/>
      <c r="K917" s="2"/>
      <c r="L917" s="2"/>
      <c r="M917" s="2"/>
      <c r="N917" s="2"/>
      <c r="O917" s="2"/>
      <c r="P917" s="2"/>
      <c r="Q917" s="2"/>
      <c r="R917" s="2"/>
      <c r="S917" s="2"/>
      <c r="T917" s="2"/>
      <c r="U917" s="2"/>
      <c r="V917" s="2"/>
      <c r="W917" s="2"/>
      <c r="X917" s="2"/>
      <c r="Y917" s="2"/>
      <c r="Z917" s="2"/>
    </row>
    <row r="918">
      <c r="A918" s="5"/>
      <c r="B918" s="5"/>
      <c r="C918" s="5"/>
      <c r="D918" s="5"/>
      <c r="E918" s="2"/>
      <c r="F918" s="2"/>
      <c r="G918" s="2"/>
      <c r="H918" s="2"/>
      <c r="I918" s="2"/>
      <c r="J918" s="2"/>
      <c r="K918" s="2"/>
      <c r="L918" s="2"/>
      <c r="M918" s="2"/>
      <c r="N918" s="2"/>
      <c r="O918" s="2"/>
      <c r="P918" s="2"/>
      <c r="Q918" s="2"/>
      <c r="R918" s="2"/>
      <c r="S918" s="2"/>
      <c r="T918" s="2"/>
      <c r="U918" s="2"/>
      <c r="V918" s="2"/>
      <c r="W918" s="2"/>
      <c r="X918" s="2"/>
      <c r="Y918" s="2"/>
      <c r="Z918" s="2"/>
    </row>
    <row r="919">
      <c r="A919" s="5"/>
      <c r="B919" s="5"/>
      <c r="C919" s="5"/>
      <c r="D919" s="5"/>
      <c r="E919" s="2"/>
      <c r="F919" s="2"/>
      <c r="G919" s="2"/>
      <c r="H919" s="2"/>
      <c r="I919" s="2"/>
      <c r="J919" s="2"/>
      <c r="K919" s="2"/>
      <c r="L919" s="2"/>
      <c r="M919" s="2"/>
      <c r="N919" s="2"/>
      <c r="O919" s="2"/>
      <c r="P919" s="2"/>
      <c r="Q919" s="2"/>
      <c r="R919" s="2"/>
      <c r="S919" s="2"/>
      <c r="T919" s="2"/>
      <c r="U919" s="2"/>
      <c r="V919" s="2"/>
      <c r="W919" s="2"/>
      <c r="X919" s="2"/>
      <c r="Y919" s="2"/>
      <c r="Z919" s="2"/>
    </row>
    <row r="920">
      <c r="A920" s="5"/>
      <c r="B920" s="5"/>
      <c r="C920" s="5"/>
      <c r="D920" s="5"/>
      <c r="E920" s="2"/>
      <c r="F920" s="2"/>
      <c r="G920" s="2"/>
      <c r="H920" s="2"/>
      <c r="I920" s="2"/>
      <c r="J920" s="2"/>
      <c r="K920" s="2"/>
      <c r="L920" s="2"/>
      <c r="M920" s="2"/>
      <c r="N920" s="2"/>
      <c r="O920" s="2"/>
      <c r="P920" s="2"/>
      <c r="Q920" s="2"/>
      <c r="R920" s="2"/>
      <c r="S920" s="2"/>
      <c r="T920" s="2"/>
      <c r="U920" s="2"/>
      <c r="V920" s="2"/>
      <c r="W920" s="2"/>
      <c r="X920" s="2"/>
      <c r="Y920" s="2"/>
      <c r="Z920" s="2"/>
    </row>
    <row r="921">
      <c r="A921" s="5"/>
      <c r="B921" s="5"/>
      <c r="C921" s="5"/>
      <c r="D921" s="5"/>
      <c r="E921" s="2"/>
      <c r="F921" s="2"/>
      <c r="G921" s="2"/>
      <c r="H921" s="2"/>
      <c r="I921" s="2"/>
      <c r="J921" s="2"/>
      <c r="K921" s="2"/>
      <c r="L921" s="2"/>
      <c r="M921" s="2"/>
      <c r="N921" s="2"/>
      <c r="O921" s="2"/>
      <c r="P921" s="2"/>
      <c r="Q921" s="2"/>
      <c r="R921" s="2"/>
      <c r="S921" s="2"/>
      <c r="T921" s="2"/>
      <c r="U921" s="2"/>
      <c r="V921" s="2"/>
      <c r="W921" s="2"/>
      <c r="X921" s="2"/>
      <c r="Y921" s="2"/>
      <c r="Z921" s="2"/>
    </row>
    <row r="922">
      <c r="A922" s="5"/>
      <c r="B922" s="5"/>
      <c r="C922" s="5"/>
      <c r="D922" s="5"/>
      <c r="E922" s="2"/>
      <c r="F922" s="2"/>
      <c r="G922" s="2"/>
      <c r="H922" s="2"/>
      <c r="I922" s="2"/>
      <c r="J922" s="2"/>
      <c r="K922" s="2"/>
      <c r="L922" s="2"/>
      <c r="M922" s="2"/>
      <c r="N922" s="2"/>
      <c r="O922" s="2"/>
      <c r="P922" s="2"/>
      <c r="Q922" s="2"/>
      <c r="R922" s="2"/>
      <c r="S922" s="2"/>
      <c r="T922" s="2"/>
      <c r="U922" s="2"/>
      <c r="V922" s="2"/>
      <c r="W922" s="2"/>
      <c r="X922" s="2"/>
      <c r="Y922" s="2"/>
      <c r="Z922" s="2"/>
    </row>
    <row r="923">
      <c r="A923" s="5"/>
      <c r="B923" s="5"/>
      <c r="C923" s="5"/>
      <c r="D923" s="5"/>
      <c r="E923" s="2"/>
      <c r="F923" s="2"/>
      <c r="G923" s="2"/>
      <c r="H923" s="2"/>
      <c r="I923" s="2"/>
      <c r="J923" s="2"/>
      <c r="K923" s="2"/>
      <c r="L923" s="2"/>
      <c r="M923" s="2"/>
      <c r="N923" s="2"/>
      <c r="O923" s="2"/>
      <c r="P923" s="2"/>
      <c r="Q923" s="2"/>
      <c r="R923" s="2"/>
      <c r="S923" s="2"/>
      <c r="T923" s="2"/>
      <c r="U923" s="2"/>
      <c r="V923" s="2"/>
      <c r="W923" s="2"/>
      <c r="X923" s="2"/>
      <c r="Y923" s="2"/>
      <c r="Z923" s="2"/>
    </row>
    <row r="924">
      <c r="A924" s="5"/>
      <c r="B924" s="5"/>
      <c r="C924" s="5"/>
      <c r="D924" s="5"/>
      <c r="E924" s="2"/>
      <c r="F924" s="2"/>
      <c r="G924" s="2"/>
      <c r="H924" s="2"/>
      <c r="I924" s="2"/>
      <c r="J924" s="2"/>
      <c r="K924" s="2"/>
      <c r="L924" s="2"/>
      <c r="M924" s="2"/>
      <c r="N924" s="2"/>
      <c r="O924" s="2"/>
      <c r="P924" s="2"/>
      <c r="Q924" s="2"/>
      <c r="R924" s="2"/>
      <c r="S924" s="2"/>
      <c r="T924" s="2"/>
      <c r="U924" s="2"/>
      <c r="V924" s="2"/>
      <c r="W924" s="2"/>
      <c r="X924" s="2"/>
      <c r="Y924" s="2"/>
      <c r="Z924" s="2"/>
    </row>
    <row r="925">
      <c r="A925" s="5"/>
      <c r="B925" s="5"/>
      <c r="C925" s="5"/>
      <c r="D925" s="5"/>
      <c r="E925" s="2"/>
      <c r="F925" s="2"/>
      <c r="G925" s="2"/>
      <c r="H925" s="2"/>
      <c r="I925" s="2"/>
      <c r="J925" s="2"/>
      <c r="K925" s="2"/>
      <c r="L925" s="2"/>
      <c r="M925" s="2"/>
      <c r="N925" s="2"/>
      <c r="O925" s="2"/>
      <c r="P925" s="2"/>
      <c r="Q925" s="2"/>
      <c r="R925" s="2"/>
      <c r="S925" s="2"/>
      <c r="T925" s="2"/>
      <c r="U925" s="2"/>
      <c r="V925" s="2"/>
      <c r="W925" s="2"/>
      <c r="X925" s="2"/>
      <c r="Y925" s="2"/>
      <c r="Z925" s="2"/>
    </row>
    <row r="926">
      <c r="A926" s="5"/>
      <c r="B926" s="5"/>
      <c r="C926" s="5"/>
      <c r="D926" s="5"/>
      <c r="E926" s="2"/>
      <c r="F926" s="2"/>
      <c r="G926" s="2"/>
      <c r="H926" s="2"/>
      <c r="I926" s="2"/>
      <c r="J926" s="2"/>
      <c r="K926" s="2"/>
      <c r="L926" s="2"/>
      <c r="M926" s="2"/>
      <c r="N926" s="2"/>
      <c r="O926" s="2"/>
      <c r="P926" s="2"/>
      <c r="Q926" s="2"/>
      <c r="R926" s="2"/>
      <c r="S926" s="2"/>
      <c r="T926" s="2"/>
      <c r="U926" s="2"/>
      <c r="V926" s="2"/>
      <c r="W926" s="2"/>
      <c r="X926" s="2"/>
      <c r="Y926" s="2"/>
      <c r="Z926" s="2"/>
    </row>
    <row r="927">
      <c r="A927" s="5"/>
      <c r="B927" s="5"/>
      <c r="C927" s="5"/>
      <c r="D927" s="5"/>
      <c r="E927" s="2"/>
      <c r="F927" s="2"/>
      <c r="G927" s="2"/>
      <c r="H927" s="2"/>
      <c r="I927" s="2"/>
      <c r="J927" s="2"/>
      <c r="K927" s="2"/>
      <c r="L927" s="2"/>
      <c r="M927" s="2"/>
      <c r="N927" s="2"/>
      <c r="O927" s="2"/>
      <c r="P927" s="2"/>
      <c r="Q927" s="2"/>
      <c r="R927" s="2"/>
      <c r="S927" s="2"/>
      <c r="T927" s="2"/>
      <c r="U927" s="2"/>
      <c r="V927" s="2"/>
      <c r="W927" s="2"/>
      <c r="X927" s="2"/>
      <c r="Y927" s="2"/>
      <c r="Z927" s="2"/>
    </row>
    <row r="928">
      <c r="A928" s="5"/>
      <c r="B928" s="5"/>
      <c r="C928" s="5"/>
      <c r="D928" s="5"/>
      <c r="E928" s="2"/>
      <c r="F928" s="2"/>
      <c r="G928" s="2"/>
      <c r="H928" s="2"/>
      <c r="I928" s="2"/>
      <c r="J928" s="2"/>
      <c r="K928" s="2"/>
      <c r="L928" s="2"/>
      <c r="M928" s="2"/>
      <c r="N928" s="2"/>
      <c r="O928" s="2"/>
      <c r="P928" s="2"/>
      <c r="Q928" s="2"/>
      <c r="R928" s="2"/>
      <c r="S928" s="2"/>
      <c r="T928" s="2"/>
      <c r="U928" s="2"/>
      <c r="V928" s="2"/>
      <c r="W928" s="2"/>
      <c r="X928" s="2"/>
      <c r="Y928" s="2"/>
      <c r="Z928" s="2"/>
    </row>
    <row r="929">
      <c r="A929" s="5"/>
      <c r="B929" s="5"/>
      <c r="C929" s="5"/>
      <c r="D929" s="5"/>
      <c r="E929" s="2"/>
      <c r="F929" s="2"/>
      <c r="G929" s="2"/>
      <c r="H929" s="2"/>
      <c r="I929" s="2"/>
      <c r="J929" s="2"/>
      <c r="K929" s="2"/>
      <c r="L929" s="2"/>
      <c r="M929" s="2"/>
      <c r="N929" s="2"/>
      <c r="O929" s="2"/>
      <c r="P929" s="2"/>
      <c r="Q929" s="2"/>
      <c r="R929" s="2"/>
      <c r="S929" s="2"/>
      <c r="T929" s="2"/>
      <c r="U929" s="2"/>
      <c r="V929" s="2"/>
      <c r="W929" s="2"/>
      <c r="X929" s="2"/>
      <c r="Y929" s="2"/>
      <c r="Z929" s="2"/>
    </row>
    <row r="930">
      <c r="A930" s="5"/>
      <c r="B930" s="5"/>
      <c r="C930" s="5"/>
      <c r="D930" s="5"/>
      <c r="E930" s="2"/>
      <c r="F930" s="2"/>
      <c r="G930" s="2"/>
      <c r="H930" s="2"/>
      <c r="I930" s="2"/>
      <c r="J930" s="2"/>
      <c r="K930" s="2"/>
      <c r="L930" s="2"/>
      <c r="M930" s="2"/>
      <c r="N930" s="2"/>
      <c r="O930" s="2"/>
      <c r="P930" s="2"/>
      <c r="Q930" s="2"/>
      <c r="R930" s="2"/>
      <c r="S930" s="2"/>
      <c r="T930" s="2"/>
      <c r="U930" s="2"/>
      <c r="V930" s="2"/>
      <c r="W930" s="2"/>
      <c r="X930" s="2"/>
      <c r="Y930" s="2"/>
      <c r="Z930" s="2"/>
    </row>
    <row r="931">
      <c r="A931" s="5"/>
      <c r="B931" s="5"/>
      <c r="C931" s="5"/>
      <c r="D931" s="5"/>
      <c r="E931" s="2"/>
      <c r="F931" s="2"/>
      <c r="G931" s="2"/>
      <c r="H931" s="2"/>
      <c r="I931" s="2"/>
      <c r="J931" s="2"/>
      <c r="K931" s="2"/>
      <c r="L931" s="2"/>
      <c r="M931" s="2"/>
      <c r="N931" s="2"/>
      <c r="O931" s="2"/>
      <c r="P931" s="2"/>
      <c r="Q931" s="2"/>
      <c r="R931" s="2"/>
      <c r="S931" s="2"/>
      <c r="T931" s="2"/>
      <c r="U931" s="2"/>
      <c r="V931" s="2"/>
      <c r="W931" s="2"/>
      <c r="X931" s="2"/>
      <c r="Y931" s="2"/>
      <c r="Z931" s="2"/>
    </row>
    <row r="932">
      <c r="A932" s="5"/>
      <c r="B932" s="5"/>
      <c r="C932" s="5"/>
      <c r="D932" s="5"/>
      <c r="E932" s="2"/>
      <c r="F932" s="2"/>
      <c r="G932" s="2"/>
      <c r="H932" s="2"/>
      <c r="I932" s="2"/>
      <c r="J932" s="2"/>
      <c r="K932" s="2"/>
      <c r="L932" s="2"/>
      <c r="M932" s="2"/>
      <c r="N932" s="2"/>
      <c r="O932" s="2"/>
      <c r="P932" s="2"/>
      <c r="Q932" s="2"/>
      <c r="R932" s="2"/>
      <c r="S932" s="2"/>
      <c r="T932" s="2"/>
      <c r="U932" s="2"/>
      <c r="V932" s="2"/>
      <c r="W932" s="2"/>
      <c r="X932" s="2"/>
      <c r="Y932" s="2"/>
      <c r="Z932" s="2"/>
    </row>
    <row r="933">
      <c r="A933" s="5"/>
      <c r="B933" s="5"/>
      <c r="C933" s="5"/>
      <c r="D933" s="5"/>
      <c r="E933" s="2"/>
      <c r="F933" s="2"/>
      <c r="G933" s="2"/>
      <c r="H933" s="2"/>
      <c r="I933" s="2"/>
      <c r="J933" s="2"/>
      <c r="K933" s="2"/>
      <c r="L933" s="2"/>
      <c r="M933" s="2"/>
      <c r="N933" s="2"/>
      <c r="O933" s="2"/>
      <c r="P933" s="2"/>
      <c r="Q933" s="2"/>
      <c r="R933" s="2"/>
      <c r="S933" s="2"/>
      <c r="T933" s="2"/>
      <c r="U933" s="2"/>
      <c r="V933" s="2"/>
      <c r="W933" s="2"/>
      <c r="X933" s="2"/>
      <c r="Y933" s="2"/>
      <c r="Z933" s="2"/>
    </row>
    <row r="934">
      <c r="A934" s="5"/>
      <c r="B934" s="5"/>
      <c r="C934" s="5"/>
      <c r="D934" s="5"/>
      <c r="E934" s="2"/>
      <c r="F934" s="2"/>
      <c r="G934" s="2"/>
      <c r="H934" s="2"/>
      <c r="I934" s="2"/>
      <c r="J934" s="2"/>
      <c r="K934" s="2"/>
      <c r="L934" s="2"/>
      <c r="M934" s="2"/>
      <c r="N934" s="2"/>
      <c r="O934" s="2"/>
      <c r="P934" s="2"/>
      <c r="Q934" s="2"/>
      <c r="R934" s="2"/>
      <c r="S934" s="2"/>
      <c r="T934" s="2"/>
      <c r="U934" s="2"/>
      <c r="V934" s="2"/>
      <c r="W934" s="2"/>
      <c r="X934" s="2"/>
      <c r="Y934" s="2"/>
      <c r="Z934" s="2"/>
    </row>
    <row r="935">
      <c r="A935" s="5"/>
      <c r="B935" s="5"/>
      <c r="C935" s="5"/>
      <c r="D935" s="5"/>
      <c r="E935" s="2"/>
      <c r="F935" s="2"/>
      <c r="G935" s="2"/>
      <c r="H935" s="2"/>
      <c r="I935" s="2"/>
      <c r="J935" s="2"/>
      <c r="K935" s="2"/>
      <c r="L935" s="2"/>
      <c r="M935" s="2"/>
      <c r="N935" s="2"/>
      <c r="O935" s="2"/>
      <c r="P935" s="2"/>
      <c r="Q935" s="2"/>
      <c r="R935" s="2"/>
      <c r="S935" s="2"/>
      <c r="T935" s="2"/>
      <c r="U935" s="2"/>
      <c r="V935" s="2"/>
      <c r="W935" s="2"/>
      <c r="X935" s="2"/>
      <c r="Y935" s="2"/>
      <c r="Z935" s="2"/>
    </row>
    <row r="936">
      <c r="A936" s="5"/>
      <c r="B936" s="5"/>
      <c r="C936" s="5"/>
      <c r="D936" s="5"/>
      <c r="E936" s="2"/>
      <c r="F936" s="2"/>
      <c r="G936" s="2"/>
      <c r="H936" s="2"/>
      <c r="I936" s="2"/>
      <c r="J936" s="2"/>
      <c r="K936" s="2"/>
      <c r="L936" s="2"/>
      <c r="M936" s="2"/>
      <c r="N936" s="2"/>
      <c r="O936" s="2"/>
      <c r="P936" s="2"/>
      <c r="Q936" s="2"/>
      <c r="R936" s="2"/>
      <c r="S936" s="2"/>
      <c r="T936" s="2"/>
      <c r="U936" s="2"/>
      <c r="V936" s="2"/>
      <c r="W936" s="2"/>
      <c r="X936" s="2"/>
      <c r="Y936" s="2"/>
      <c r="Z936" s="2"/>
    </row>
    <row r="937">
      <c r="A937" s="5"/>
      <c r="B937" s="5"/>
      <c r="C937" s="5"/>
      <c r="D937" s="5"/>
      <c r="E937" s="2"/>
      <c r="F937" s="2"/>
      <c r="G937" s="2"/>
      <c r="H937" s="2"/>
      <c r="I937" s="2"/>
      <c r="J937" s="2"/>
      <c r="K937" s="2"/>
      <c r="L937" s="2"/>
      <c r="M937" s="2"/>
      <c r="N937" s="2"/>
      <c r="O937" s="2"/>
      <c r="P937" s="2"/>
      <c r="Q937" s="2"/>
      <c r="R937" s="2"/>
      <c r="S937" s="2"/>
      <c r="T937" s="2"/>
      <c r="U937" s="2"/>
      <c r="V937" s="2"/>
      <c r="W937" s="2"/>
      <c r="X937" s="2"/>
      <c r="Y937" s="2"/>
      <c r="Z937" s="2"/>
    </row>
    <row r="938">
      <c r="A938" s="5"/>
      <c r="B938" s="5"/>
      <c r="C938" s="5"/>
      <c r="D938" s="5"/>
      <c r="E938" s="2"/>
      <c r="F938" s="2"/>
      <c r="G938" s="2"/>
      <c r="H938" s="2"/>
      <c r="I938" s="2"/>
      <c r="J938" s="2"/>
      <c r="K938" s="2"/>
      <c r="L938" s="2"/>
      <c r="M938" s="2"/>
      <c r="N938" s="2"/>
      <c r="O938" s="2"/>
      <c r="P938" s="2"/>
      <c r="Q938" s="2"/>
      <c r="R938" s="2"/>
      <c r="S938" s="2"/>
      <c r="T938" s="2"/>
      <c r="U938" s="2"/>
      <c r="V938" s="2"/>
      <c r="W938" s="2"/>
      <c r="X938" s="2"/>
      <c r="Y938" s="2"/>
      <c r="Z938" s="2"/>
    </row>
    <row r="939">
      <c r="A939" s="5"/>
      <c r="B939" s="5"/>
      <c r="C939" s="5"/>
      <c r="D939" s="5"/>
      <c r="E939" s="2"/>
      <c r="F939" s="2"/>
      <c r="G939" s="2"/>
      <c r="H939" s="2"/>
      <c r="I939" s="2"/>
      <c r="J939" s="2"/>
      <c r="K939" s="2"/>
      <c r="L939" s="2"/>
      <c r="M939" s="2"/>
      <c r="N939" s="2"/>
      <c r="O939" s="2"/>
      <c r="P939" s="2"/>
      <c r="Q939" s="2"/>
      <c r="R939" s="2"/>
      <c r="S939" s="2"/>
      <c r="T939" s="2"/>
      <c r="U939" s="2"/>
      <c r="V939" s="2"/>
      <c r="W939" s="2"/>
      <c r="X939" s="2"/>
      <c r="Y939" s="2"/>
      <c r="Z939" s="2"/>
    </row>
    <row r="940">
      <c r="A940" s="5"/>
      <c r="B940" s="5"/>
      <c r="C940" s="5"/>
      <c r="D940" s="5"/>
      <c r="E940" s="2"/>
      <c r="F940" s="2"/>
      <c r="G940" s="2"/>
      <c r="H940" s="2"/>
      <c r="I940" s="2"/>
      <c r="J940" s="2"/>
      <c r="K940" s="2"/>
      <c r="L940" s="2"/>
      <c r="M940" s="2"/>
      <c r="N940" s="2"/>
      <c r="O940" s="2"/>
      <c r="P940" s="2"/>
      <c r="Q940" s="2"/>
      <c r="R940" s="2"/>
      <c r="S940" s="2"/>
      <c r="T940" s="2"/>
      <c r="U940" s="2"/>
      <c r="V940" s="2"/>
      <c r="W940" s="2"/>
      <c r="X940" s="2"/>
      <c r="Y940" s="2"/>
      <c r="Z940" s="2"/>
    </row>
    <row r="941">
      <c r="A941" s="5"/>
      <c r="B941" s="5"/>
      <c r="C941" s="5"/>
      <c r="D941" s="5"/>
      <c r="E941" s="2"/>
      <c r="F941" s="2"/>
      <c r="G941" s="2"/>
      <c r="H941" s="2"/>
      <c r="I941" s="2"/>
      <c r="J941" s="2"/>
      <c r="K941" s="2"/>
      <c r="L941" s="2"/>
      <c r="M941" s="2"/>
      <c r="N941" s="2"/>
      <c r="O941" s="2"/>
      <c r="P941" s="2"/>
      <c r="Q941" s="2"/>
      <c r="R941" s="2"/>
      <c r="S941" s="2"/>
      <c r="T941" s="2"/>
      <c r="U941" s="2"/>
      <c r="V941" s="2"/>
      <c r="W941" s="2"/>
      <c r="X941" s="2"/>
      <c r="Y941" s="2"/>
      <c r="Z941" s="2"/>
    </row>
    <row r="942">
      <c r="A942" s="5"/>
      <c r="B942" s="5"/>
      <c r="C942" s="5"/>
      <c r="D942" s="5"/>
      <c r="E942" s="2"/>
      <c r="F942" s="2"/>
      <c r="G942" s="2"/>
      <c r="H942" s="2"/>
      <c r="I942" s="2"/>
      <c r="J942" s="2"/>
      <c r="K942" s="2"/>
      <c r="L942" s="2"/>
      <c r="M942" s="2"/>
      <c r="N942" s="2"/>
      <c r="O942" s="2"/>
      <c r="P942" s="2"/>
      <c r="Q942" s="2"/>
      <c r="R942" s="2"/>
      <c r="S942" s="2"/>
      <c r="T942" s="2"/>
      <c r="U942" s="2"/>
      <c r="V942" s="2"/>
      <c r="W942" s="2"/>
      <c r="X942" s="2"/>
      <c r="Y942" s="2"/>
      <c r="Z942" s="2"/>
    </row>
    <row r="943">
      <c r="A943" s="5"/>
      <c r="B943" s="5"/>
      <c r="C943" s="5"/>
      <c r="D943" s="5"/>
      <c r="E943" s="2"/>
      <c r="F943" s="2"/>
      <c r="G943" s="2"/>
      <c r="H943" s="2"/>
      <c r="I943" s="2"/>
      <c r="J943" s="2"/>
      <c r="K943" s="2"/>
      <c r="L943" s="2"/>
      <c r="M943" s="2"/>
      <c r="N943" s="2"/>
      <c r="O943" s="2"/>
      <c r="P943" s="2"/>
      <c r="Q943" s="2"/>
      <c r="R943" s="2"/>
      <c r="S943" s="2"/>
      <c r="T943" s="2"/>
      <c r="U943" s="2"/>
      <c r="V943" s="2"/>
      <c r="W943" s="2"/>
      <c r="X943" s="2"/>
      <c r="Y943" s="2"/>
      <c r="Z943" s="2"/>
    </row>
    <row r="944">
      <c r="A944" s="5"/>
      <c r="B944" s="5"/>
      <c r="C944" s="5"/>
      <c r="D944" s="5"/>
      <c r="E944" s="2"/>
      <c r="F944" s="2"/>
      <c r="G944" s="2"/>
      <c r="H944" s="2"/>
      <c r="I944" s="2"/>
      <c r="J944" s="2"/>
      <c r="K944" s="2"/>
      <c r="L944" s="2"/>
      <c r="M944" s="2"/>
      <c r="N944" s="2"/>
      <c r="O944" s="2"/>
      <c r="P944" s="2"/>
      <c r="Q944" s="2"/>
      <c r="R944" s="2"/>
      <c r="S944" s="2"/>
      <c r="T944" s="2"/>
      <c r="U944" s="2"/>
      <c r="V944" s="2"/>
      <c r="W944" s="2"/>
      <c r="X944" s="2"/>
      <c r="Y944" s="2"/>
      <c r="Z944" s="2"/>
    </row>
    <row r="945">
      <c r="A945" s="5"/>
      <c r="B945" s="5"/>
      <c r="C945" s="5"/>
      <c r="D945" s="5"/>
      <c r="E945" s="2"/>
      <c r="F945" s="2"/>
      <c r="G945" s="2"/>
      <c r="H945" s="2"/>
      <c r="I945" s="2"/>
      <c r="J945" s="2"/>
      <c r="K945" s="2"/>
      <c r="L945" s="2"/>
      <c r="M945" s="2"/>
      <c r="N945" s="2"/>
      <c r="O945" s="2"/>
      <c r="P945" s="2"/>
      <c r="Q945" s="2"/>
      <c r="R945" s="2"/>
      <c r="S945" s="2"/>
      <c r="T945" s="2"/>
      <c r="U945" s="2"/>
      <c r="V945" s="2"/>
      <c r="W945" s="2"/>
      <c r="X945" s="2"/>
      <c r="Y945" s="2"/>
      <c r="Z945" s="2"/>
    </row>
    <row r="946">
      <c r="A946" s="5"/>
      <c r="B946" s="5"/>
      <c r="C946" s="5"/>
      <c r="D946" s="5"/>
      <c r="E946" s="2"/>
      <c r="F946" s="2"/>
      <c r="G946" s="2"/>
      <c r="H946" s="2"/>
      <c r="I946" s="2"/>
      <c r="J946" s="2"/>
      <c r="K946" s="2"/>
      <c r="L946" s="2"/>
      <c r="M946" s="2"/>
      <c r="N946" s="2"/>
      <c r="O946" s="2"/>
      <c r="P946" s="2"/>
      <c r="Q946" s="2"/>
      <c r="R946" s="2"/>
      <c r="S946" s="2"/>
      <c r="T946" s="2"/>
      <c r="U946" s="2"/>
      <c r="V946" s="2"/>
      <c r="W946" s="2"/>
      <c r="X946" s="2"/>
      <c r="Y946" s="2"/>
      <c r="Z946" s="2"/>
    </row>
    <row r="947">
      <c r="A947" s="5"/>
      <c r="B947" s="5"/>
      <c r="C947" s="5"/>
      <c r="D947" s="5"/>
      <c r="E947" s="2"/>
      <c r="F947" s="2"/>
      <c r="G947" s="2"/>
      <c r="H947" s="2"/>
      <c r="I947" s="2"/>
      <c r="J947" s="2"/>
      <c r="K947" s="2"/>
      <c r="L947" s="2"/>
      <c r="M947" s="2"/>
      <c r="N947" s="2"/>
      <c r="O947" s="2"/>
      <c r="P947" s="2"/>
      <c r="Q947" s="2"/>
      <c r="R947" s="2"/>
      <c r="S947" s="2"/>
      <c r="T947" s="2"/>
      <c r="U947" s="2"/>
      <c r="V947" s="2"/>
      <c r="W947" s="2"/>
      <c r="X947" s="2"/>
      <c r="Y947" s="2"/>
      <c r="Z947" s="2"/>
    </row>
    <row r="948">
      <c r="A948" s="5"/>
      <c r="B948" s="5"/>
      <c r="C948" s="5"/>
      <c r="D948" s="5"/>
      <c r="E948" s="2"/>
      <c r="F948" s="2"/>
      <c r="G948" s="2"/>
      <c r="H948" s="2"/>
      <c r="I948" s="2"/>
      <c r="J948" s="2"/>
      <c r="K948" s="2"/>
      <c r="L948" s="2"/>
      <c r="M948" s="2"/>
      <c r="N948" s="2"/>
      <c r="O948" s="2"/>
      <c r="P948" s="2"/>
      <c r="Q948" s="2"/>
      <c r="R948" s="2"/>
      <c r="S948" s="2"/>
      <c r="T948" s="2"/>
      <c r="U948" s="2"/>
      <c r="V948" s="2"/>
      <c r="W948" s="2"/>
      <c r="X948" s="2"/>
      <c r="Y948" s="2"/>
      <c r="Z948" s="2"/>
    </row>
    <row r="949">
      <c r="A949" s="5"/>
      <c r="B949" s="5"/>
      <c r="C949" s="5"/>
      <c r="D949" s="5"/>
      <c r="E949" s="2"/>
      <c r="F949" s="2"/>
      <c r="G949" s="2"/>
      <c r="H949" s="2"/>
      <c r="I949" s="2"/>
      <c r="J949" s="2"/>
      <c r="K949" s="2"/>
      <c r="L949" s="2"/>
      <c r="M949" s="2"/>
      <c r="N949" s="2"/>
      <c r="O949" s="2"/>
      <c r="P949" s="2"/>
      <c r="Q949" s="2"/>
      <c r="R949" s="2"/>
      <c r="S949" s="2"/>
      <c r="T949" s="2"/>
      <c r="U949" s="2"/>
      <c r="V949" s="2"/>
      <c r="W949" s="2"/>
      <c r="X949" s="2"/>
      <c r="Y949" s="2"/>
      <c r="Z949" s="2"/>
    </row>
    <row r="950">
      <c r="A950" s="5"/>
      <c r="B950" s="5"/>
      <c r="C950" s="5"/>
      <c r="D950" s="5"/>
      <c r="E950" s="2"/>
      <c r="F950" s="2"/>
      <c r="G950" s="2"/>
      <c r="H950" s="2"/>
      <c r="I950" s="2"/>
      <c r="J950" s="2"/>
      <c r="K950" s="2"/>
      <c r="L950" s="2"/>
      <c r="M950" s="2"/>
      <c r="N950" s="2"/>
      <c r="O950" s="2"/>
      <c r="P950" s="2"/>
      <c r="Q950" s="2"/>
      <c r="R950" s="2"/>
      <c r="S950" s="2"/>
      <c r="T950" s="2"/>
      <c r="U950" s="2"/>
      <c r="V950" s="2"/>
      <c r="W950" s="2"/>
      <c r="X950" s="2"/>
      <c r="Y950" s="2"/>
      <c r="Z950" s="2"/>
    </row>
    <row r="951">
      <c r="A951" s="5"/>
      <c r="B951" s="5"/>
      <c r="C951" s="5"/>
      <c r="D951" s="5"/>
      <c r="E951" s="2"/>
      <c r="F951" s="2"/>
      <c r="G951" s="2"/>
      <c r="H951" s="2"/>
      <c r="I951" s="2"/>
      <c r="J951" s="2"/>
      <c r="K951" s="2"/>
      <c r="L951" s="2"/>
      <c r="M951" s="2"/>
      <c r="N951" s="2"/>
      <c r="O951" s="2"/>
      <c r="P951" s="2"/>
      <c r="Q951" s="2"/>
      <c r="R951" s="2"/>
      <c r="S951" s="2"/>
      <c r="T951" s="2"/>
      <c r="U951" s="2"/>
      <c r="V951" s="2"/>
      <c r="W951" s="2"/>
      <c r="X951" s="2"/>
      <c r="Y951" s="2"/>
      <c r="Z951" s="2"/>
    </row>
    <row r="952">
      <c r="A952" s="5"/>
      <c r="B952" s="5"/>
      <c r="C952" s="5"/>
      <c r="D952" s="5"/>
      <c r="E952" s="2"/>
      <c r="F952" s="2"/>
      <c r="G952" s="2"/>
      <c r="H952" s="2"/>
      <c r="I952" s="2"/>
      <c r="J952" s="2"/>
      <c r="K952" s="2"/>
      <c r="L952" s="2"/>
      <c r="M952" s="2"/>
      <c r="N952" s="2"/>
      <c r="O952" s="2"/>
      <c r="P952" s="2"/>
      <c r="Q952" s="2"/>
      <c r="R952" s="2"/>
      <c r="S952" s="2"/>
      <c r="T952" s="2"/>
      <c r="U952" s="2"/>
      <c r="V952" s="2"/>
      <c r="W952" s="2"/>
      <c r="X952" s="2"/>
      <c r="Y952" s="2"/>
      <c r="Z952" s="2"/>
    </row>
    <row r="953">
      <c r="A953" s="5"/>
      <c r="B953" s="5"/>
      <c r="C953" s="5"/>
      <c r="D953" s="5"/>
      <c r="E953" s="2"/>
      <c r="F953" s="2"/>
      <c r="G953" s="2"/>
      <c r="H953" s="2"/>
      <c r="I953" s="2"/>
      <c r="J953" s="2"/>
      <c r="K953" s="2"/>
      <c r="L953" s="2"/>
      <c r="M953" s="2"/>
      <c r="N953" s="2"/>
      <c r="O953" s="2"/>
      <c r="P953" s="2"/>
      <c r="Q953" s="2"/>
      <c r="R953" s="2"/>
      <c r="S953" s="2"/>
      <c r="T953" s="2"/>
      <c r="U953" s="2"/>
      <c r="V953" s="2"/>
      <c r="W953" s="2"/>
      <c r="X953" s="2"/>
      <c r="Y953" s="2"/>
      <c r="Z953" s="2"/>
    </row>
    <row r="954">
      <c r="A954" s="5"/>
      <c r="B954" s="5"/>
      <c r="C954" s="5"/>
      <c r="D954" s="5"/>
      <c r="E954" s="2"/>
      <c r="F954" s="2"/>
      <c r="G954" s="2"/>
      <c r="H954" s="2"/>
      <c r="I954" s="2"/>
      <c r="J954" s="2"/>
      <c r="K954" s="2"/>
      <c r="L954" s="2"/>
      <c r="M954" s="2"/>
      <c r="N954" s="2"/>
      <c r="O954" s="2"/>
      <c r="P954" s="2"/>
      <c r="Q954" s="2"/>
      <c r="R954" s="2"/>
      <c r="S954" s="2"/>
      <c r="T954" s="2"/>
      <c r="U954" s="2"/>
      <c r="V954" s="2"/>
      <c r="W954" s="2"/>
      <c r="X954" s="2"/>
      <c r="Y954" s="2"/>
      <c r="Z954" s="2"/>
    </row>
    <row r="955">
      <c r="A955" s="5"/>
      <c r="B955" s="5"/>
      <c r="C955" s="5"/>
      <c r="D955" s="5"/>
      <c r="E955" s="2"/>
      <c r="F955" s="2"/>
      <c r="G955" s="2"/>
      <c r="H955" s="2"/>
      <c r="I955" s="2"/>
      <c r="J955" s="2"/>
      <c r="K955" s="2"/>
      <c r="L955" s="2"/>
      <c r="M955" s="2"/>
      <c r="N955" s="2"/>
      <c r="O955" s="2"/>
      <c r="P955" s="2"/>
      <c r="Q955" s="2"/>
      <c r="R955" s="2"/>
      <c r="S955" s="2"/>
      <c r="T955" s="2"/>
      <c r="U955" s="2"/>
      <c r="V955" s="2"/>
      <c r="W955" s="2"/>
      <c r="X955" s="2"/>
      <c r="Y955" s="2"/>
      <c r="Z955" s="2"/>
    </row>
    <row r="956">
      <c r="A956" s="5"/>
      <c r="B956" s="5"/>
      <c r="C956" s="5"/>
      <c r="D956" s="5"/>
      <c r="E956" s="2"/>
      <c r="F956" s="2"/>
      <c r="G956" s="2"/>
      <c r="H956" s="2"/>
      <c r="I956" s="2"/>
      <c r="J956" s="2"/>
      <c r="K956" s="2"/>
      <c r="L956" s="2"/>
      <c r="M956" s="2"/>
      <c r="N956" s="2"/>
      <c r="O956" s="2"/>
      <c r="P956" s="2"/>
      <c r="Q956" s="2"/>
      <c r="R956" s="2"/>
      <c r="S956" s="2"/>
      <c r="T956" s="2"/>
      <c r="U956" s="2"/>
      <c r="V956" s="2"/>
      <c r="W956" s="2"/>
      <c r="X956" s="2"/>
      <c r="Y956" s="2"/>
      <c r="Z956" s="2"/>
    </row>
    <row r="957">
      <c r="A957" s="5"/>
      <c r="B957" s="5"/>
      <c r="C957" s="5"/>
      <c r="D957" s="5"/>
      <c r="E957" s="2"/>
      <c r="F957" s="2"/>
      <c r="G957" s="2"/>
      <c r="H957" s="2"/>
      <c r="I957" s="2"/>
      <c r="J957" s="2"/>
      <c r="K957" s="2"/>
      <c r="L957" s="2"/>
      <c r="M957" s="2"/>
      <c r="N957" s="2"/>
      <c r="O957" s="2"/>
      <c r="P957" s="2"/>
      <c r="Q957" s="2"/>
      <c r="R957" s="2"/>
      <c r="S957" s="2"/>
      <c r="T957" s="2"/>
      <c r="U957" s="2"/>
      <c r="V957" s="2"/>
      <c r="W957" s="2"/>
      <c r="X957" s="2"/>
      <c r="Y957" s="2"/>
      <c r="Z957" s="2"/>
    </row>
    <row r="958">
      <c r="A958" s="5"/>
      <c r="B958" s="5"/>
      <c r="C958" s="5"/>
      <c r="D958" s="5"/>
      <c r="E958" s="2"/>
      <c r="F958" s="2"/>
      <c r="G958" s="2"/>
      <c r="H958" s="2"/>
      <c r="I958" s="2"/>
      <c r="J958" s="2"/>
      <c r="K958" s="2"/>
      <c r="L958" s="2"/>
      <c r="M958" s="2"/>
      <c r="N958" s="2"/>
      <c r="O958" s="2"/>
      <c r="P958" s="2"/>
      <c r="Q958" s="2"/>
      <c r="R958" s="2"/>
      <c r="S958" s="2"/>
      <c r="T958" s="2"/>
      <c r="U958" s="2"/>
      <c r="V958" s="2"/>
      <c r="W958" s="2"/>
      <c r="X958" s="2"/>
      <c r="Y958" s="2"/>
      <c r="Z958" s="2"/>
    </row>
    <row r="959">
      <c r="A959" s="5"/>
      <c r="B959" s="5"/>
      <c r="C959" s="5"/>
      <c r="D959" s="5"/>
      <c r="E959" s="2"/>
      <c r="F959" s="2"/>
      <c r="G959" s="2"/>
      <c r="H959" s="2"/>
      <c r="I959" s="2"/>
      <c r="J959" s="2"/>
      <c r="K959" s="2"/>
      <c r="L959" s="2"/>
      <c r="M959" s="2"/>
      <c r="N959" s="2"/>
      <c r="O959" s="2"/>
      <c r="P959" s="2"/>
      <c r="Q959" s="2"/>
      <c r="R959" s="2"/>
      <c r="S959" s="2"/>
      <c r="T959" s="2"/>
      <c r="U959" s="2"/>
      <c r="V959" s="2"/>
      <c r="W959" s="2"/>
      <c r="X959" s="2"/>
      <c r="Y959" s="2"/>
      <c r="Z959" s="2"/>
    </row>
    <row r="960">
      <c r="A960" s="5"/>
      <c r="B960" s="5"/>
      <c r="C960" s="5"/>
      <c r="D960" s="5"/>
      <c r="E960" s="2"/>
      <c r="F960" s="2"/>
      <c r="G960" s="2"/>
      <c r="H960" s="2"/>
      <c r="I960" s="2"/>
      <c r="J960" s="2"/>
      <c r="K960" s="2"/>
      <c r="L960" s="2"/>
      <c r="M960" s="2"/>
      <c r="N960" s="2"/>
      <c r="O960" s="2"/>
      <c r="P960" s="2"/>
      <c r="Q960" s="2"/>
      <c r="R960" s="2"/>
      <c r="S960" s="2"/>
      <c r="T960" s="2"/>
      <c r="U960" s="2"/>
      <c r="V960" s="2"/>
      <c r="W960" s="2"/>
      <c r="X960" s="2"/>
      <c r="Y960" s="2"/>
      <c r="Z960" s="2"/>
    </row>
    <row r="961">
      <c r="A961" s="5"/>
      <c r="B961" s="5"/>
      <c r="C961" s="5"/>
      <c r="D961" s="5"/>
      <c r="E961" s="2"/>
      <c r="F961" s="2"/>
      <c r="G961" s="2"/>
      <c r="H961" s="2"/>
      <c r="I961" s="2"/>
      <c r="J961" s="2"/>
      <c r="K961" s="2"/>
      <c r="L961" s="2"/>
      <c r="M961" s="2"/>
      <c r="N961" s="2"/>
      <c r="O961" s="2"/>
      <c r="P961" s="2"/>
      <c r="Q961" s="2"/>
      <c r="R961" s="2"/>
      <c r="S961" s="2"/>
      <c r="T961" s="2"/>
      <c r="U961" s="2"/>
      <c r="V961" s="2"/>
      <c r="W961" s="2"/>
      <c r="X961" s="2"/>
      <c r="Y961" s="2"/>
      <c r="Z961" s="2"/>
    </row>
    <row r="962">
      <c r="A962" s="5"/>
      <c r="B962" s="5"/>
      <c r="C962" s="5"/>
      <c r="D962" s="5"/>
      <c r="E962" s="2"/>
      <c r="F962" s="2"/>
      <c r="G962" s="2"/>
      <c r="H962" s="2"/>
      <c r="I962" s="2"/>
      <c r="J962" s="2"/>
      <c r="K962" s="2"/>
      <c r="L962" s="2"/>
      <c r="M962" s="2"/>
      <c r="N962" s="2"/>
      <c r="O962" s="2"/>
      <c r="P962" s="2"/>
      <c r="Q962" s="2"/>
      <c r="R962" s="2"/>
      <c r="S962" s="2"/>
      <c r="T962" s="2"/>
      <c r="U962" s="2"/>
      <c r="V962" s="2"/>
      <c r="W962" s="2"/>
      <c r="X962" s="2"/>
      <c r="Y962" s="2"/>
      <c r="Z962" s="2"/>
    </row>
    <row r="963">
      <c r="A963" s="5"/>
      <c r="B963" s="5"/>
      <c r="C963" s="5"/>
      <c r="D963" s="5"/>
      <c r="E963" s="2"/>
      <c r="F963" s="2"/>
      <c r="G963" s="2"/>
      <c r="H963" s="2"/>
      <c r="I963" s="2"/>
      <c r="J963" s="2"/>
      <c r="K963" s="2"/>
      <c r="L963" s="2"/>
      <c r="M963" s="2"/>
      <c r="N963" s="2"/>
      <c r="O963" s="2"/>
      <c r="P963" s="2"/>
      <c r="Q963" s="2"/>
      <c r="R963" s="2"/>
      <c r="S963" s="2"/>
      <c r="T963" s="2"/>
      <c r="U963" s="2"/>
      <c r="V963" s="2"/>
      <c r="W963" s="2"/>
      <c r="X963" s="2"/>
      <c r="Y963" s="2"/>
      <c r="Z963" s="2"/>
    </row>
    <row r="964">
      <c r="A964" s="5"/>
      <c r="B964" s="5"/>
      <c r="C964" s="5"/>
      <c r="D964" s="5"/>
      <c r="E964" s="2"/>
      <c r="F964" s="2"/>
      <c r="G964" s="2"/>
      <c r="H964" s="2"/>
      <c r="I964" s="2"/>
      <c r="J964" s="2"/>
      <c r="K964" s="2"/>
      <c r="L964" s="2"/>
      <c r="M964" s="2"/>
      <c r="N964" s="2"/>
      <c r="O964" s="2"/>
      <c r="P964" s="2"/>
      <c r="Q964" s="2"/>
      <c r="R964" s="2"/>
      <c r="S964" s="2"/>
      <c r="T964" s="2"/>
      <c r="U964" s="2"/>
      <c r="V964" s="2"/>
      <c r="W964" s="2"/>
      <c r="X964" s="2"/>
      <c r="Y964" s="2"/>
      <c r="Z964" s="2"/>
    </row>
    <row r="965">
      <c r="A965" s="5"/>
      <c r="B965" s="5"/>
      <c r="C965" s="5"/>
      <c r="D965" s="5"/>
      <c r="E965" s="2"/>
      <c r="F965" s="2"/>
      <c r="G965" s="2"/>
      <c r="H965" s="2"/>
      <c r="I965" s="2"/>
      <c r="J965" s="2"/>
      <c r="K965" s="2"/>
      <c r="L965" s="2"/>
      <c r="M965" s="2"/>
      <c r="N965" s="2"/>
      <c r="O965" s="2"/>
      <c r="P965" s="2"/>
      <c r="Q965" s="2"/>
      <c r="R965" s="2"/>
      <c r="S965" s="2"/>
      <c r="T965" s="2"/>
      <c r="U965" s="2"/>
      <c r="V965" s="2"/>
      <c r="W965" s="2"/>
      <c r="X965" s="2"/>
      <c r="Y965" s="2"/>
      <c r="Z965" s="2"/>
    </row>
    <row r="966">
      <c r="A966" s="5"/>
      <c r="B966" s="5"/>
      <c r="C966" s="5"/>
      <c r="D966" s="5"/>
      <c r="E966" s="2"/>
      <c r="F966" s="2"/>
      <c r="G966" s="2"/>
      <c r="H966" s="2"/>
      <c r="I966" s="2"/>
      <c r="J966" s="2"/>
      <c r="K966" s="2"/>
      <c r="L966" s="2"/>
      <c r="M966" s="2"/>
      <c r="N966" s="2"/>
      <c r="O966" s="2"/>
      <c r="P966" s="2"/>
      <c r="Q966" s="2"/>
      <c r="R966" s="2"/>
      <c r="S966" s="2"/>
      <c r="T966" s="2"/>
      <c r="U966" s="2"/>
      <c r="V966" s="2"/>
      <c r="W966" s="2"/>
      <c r="X966" s="2"/>
      <c r="Y966" s="2"/>
      <c r="Z966" s="2"/>
    </row>
    <row r="967">
      <c r="A967" s="5"/>
      <c r="B967" s="5"/>
      <c r="C967" s="5"/>
      <c r="D967" s="5"/>
      <c r="E967" s="2"/>
      <c r="F967" s="2"/>
      <c r="G967" s="2"/>
      <c r="H967" s="2"/>
      <c r="I967" s="2"/>
      <c r="J967" s="2"/>
      <c r="K967" s="2"/>
      <c r="L967" s="2"/>
      <c r="M967" s="2"/>
      <c r="N967" s="2"/>
      <c r="O967" s="2"/>
      <c r="P967" s="2"/>
      <c r="Q967" s="2"/>
      <c r="R967" s="2"/>
      <c r="S967" s="2"/>
      <c r="T967" s="2"/>
      <c r="U967" s="2"/>
      <c r="V967" s="2"/>
      <c r="W967" s="2"/>
      <c r="X967" s="2"/>
      <c r="Y967" s="2"/>
      <c r="Z967" s="2"/>
    </row>
    <row r="968">
      <c r="A968" s="5"/>
      <c r="B968" s="5"/>
      <c r="C968" s="5"/>
      <c r="D968" s="5"/>
      <c r="E968" s="2"/>
      <c r="F968" s="2"/>
      <c r="G968" s="2"/>
      <c r="H968" s="2"/>
      <c r="I968" s="2"/>
      <c r="J968" s="2"/>
      <c r="K968" s="2"/>
      <c r="L968" s="2"/>
      <c r="M968" s="2"/>
      <c r="N968" s="2"/>
      <c r="O968" s="2"/>
      <c r="P968" s="2"/>
      <c r="Q968" s="2"/>
      <c r="R968" s="2"/>
      <c r="S968" s="2"/>
      <c r="T968" s="2"/>
      <c r="U968" s="2"/>
      <c r="V968" s="2"/>
      <c r="W968" s="2"/>
      <c r="X968" s="2"/>
      <c r="Y968" s="2"/>
      <c r="Z968" s="2"/>
    </row>
    <row r="969">
      <c r="A969" s="5"/>
      <c r="B969" s="5"/>
      <c r="C969" s="5"/>
      <c r="D969" s="5"/>
      <c r="E969" s="2"/>
      <c r="F969" s="2"/>
      <c r="G969" s="2"/>
      <c r="H969" s="2"/>
      <c r="I969" s="2"/>
      <c r="J969" s="2"/>
      <c r="K969" s="2"/>
      <c r="L969" s="2"/>
      <c r="M969" s="2"/>
      <c r="N969" s="2"/>
      <c r="O969" s="2"/>
      <c r="P969" s="2"/>
      <c r="Q969" s="2"/>
      <c r="R969" s="2"/>
      <c r="S969" s="2"/>
      <c r="T969" s="2"/>
      <c r="U969" s="2"/>
      <c r="V969" s="2"/>
      <c r="W969" s="2"/>
      <c r="X969" s="2"/>
      <c r="Y969" s="2"/>
      <c r="Z969" s="2"/>
    </row>
    <row r="970">
      <c r="A970" s="5"/>
      <c r="B970" s="5"/>
      <c r="C970" s="5"/>
      <c r="D970" s="5"/>
      <c r="E970" s="2"/>
      <c r="F970" s="2"/>
      <c r="G970" s="2"/>
      <c r="H970" s="2"/>
      <c r="I970" s="2"/>
      <c r="J970" s="2"/>
      <c r="K970" s="2"/>
      <c r="L970" s="2"/>
      <c r="M970" s="2"/>
      <c r="N970" s="2"/>
      <c r="O970" s="2"/>
      <c r="P970" s="2"/>
      <c r="Q970" s="2"/>
      <c r="R970" s="2"/>
      <c r="S970" s="2"/>
      <c r="T970" s="2"/>
      <c r="U970" s="2"/>
      <c r="V970" s="2"/>
      <c r="W970" s="2"/>
      <c r="X970" s="2"/>
      <c r="Y970" s="2"/>
      <c r="Z970" s="2"/>
    </row>
    <row r="971">
      <c r="A971" s="5"/>
      <c r="B971" s="5"/>
      <c r="C971" s="5"/>
      <c r="D971" s="5"/>
      <c r="E971" s="2"/>
      <c r="F971" s="2"/>
      <c r="G971" s="2"/>
      <c r="H971" s="2"/>
      <c r="I971" s="2"/>
      <c r="J971" s="2"/>
      <c r="K971" s="2"/>
      <c r="L971" s="2"/>
      <c r="M971" s="2"/>
      <c r="N971" s="2"/>
      <c r="O971" s="2"/>
      <c r="P971" s="2"/>
      <c r="Q971" s="2"/>
      <c r="R971" s="2"/>
      <c r="S971" s="2"/>
      <c r="T971" s="2"/>
      <c r="U971" s="2"/>
      <c r="V971" s="2"/>
      <c r="W971" s="2"/>
      <c r="X971" s="2"/>
      <c r="Y971" s="2"/>
      <c r="Z971" s="2"/>
    </row>
    <row r="972">
      <c r="A972" s="5"/>
      <c r="B972" s="5"/>
      <c r="C972" s="5"/>
      <c r="D972" s="5"/>
      <c r="E972" s="2"/>
      <c r="F972" s="2"/>
      <c r="G972" s="2"/>
      <c r="H972" s="2"/>
      <c r="I972" s="2"/>
      <c r="J972" s="2"/>
      <c r="K972" s="2"/>
      <c r="L972" s="2"/>
      <c r="M972" s="2"/>
      <c r="N972" s="2"/>
      <c r="O972" s="2"/>
      <c r="P972" s="2"/>
      <c r="Q972" s="2"/>
      <c r="R972" s="2"/>
      <c r="S972" s="2"/>
      <c r="T972" s="2"/>
      <c r="U972" s="2"/>
      <c r="V972" s="2"/>
      <c r="W972" s="2"/>
      <c r="X972" s="2"/>
      <c r="Y972" s="2"/>
      <c r="Z972" s="2"/>
    </row>
    <row r="973">
      <c r="A973" s="5"/>
      <c r="B973" s="5"/>
      <c r="C973" s="5"/>
      <c r="D973" s="5"/>
      <c r="E973" s="2"/>
      <c r="F973" s="2"/>
      <c r="G973" s="2"/>
      <c r="H973" s="2"/>
      <c r="I973" s="2"/>
      <c r="J973" s="2"/>
      <c r="K973" s="2"/>
      <c r="L973" s="2"/>
      <c r="M973" s="2"/>
      <c r="N973" s="2"/>
      <c r="O973" s="2"/>
      <c r="P973" s="2"/>
      <c r="Q973" s="2"/>
      <c r="R973" s="2"/>
      <c r="S973" s="2"/>
      <c r="T973" s="2"/>
      <c r="U973" s="2"/>
      <c r="V973" s="2"/>
      <c r="W973" s="2"/>
      <c r="X973" s="2"/>
      <c r="Y973" s="2"/>
      <c r="Z973" s="2"/>
    </row>
    <row r="974">
      <c r="A974" s="5"/>
      <c r="B974" s="5"/>
      <c r="C974" s="5"/>
      <c r="D974" s="5"/>
      <c r="E974" s="2"/>
      <c r="F974" s="2"/>
      <c r="G974" s="2"/>
      <c r="H974" s="2"/>
      <c r="I974" s="2"/>
      <c r="J974" s="2"/>
      <c r="K974" s="2"/>
      <c r="L974" s="2"/>
      <c r="M974" s="2"/>
      <c r="N974" s="2"/>
      <c r="O974" s="2"/>
      <c r="P974" s="2"/>
      <c r="Q974" s="2"/>
      <c r="R974" s="2"/>
      <c r="S974" s="2"/>
      <c r="T974" s="2"/>
      <c r="U974" s="2"/>
      <c r="V974" s="2"/>
      <c r="W974" s="2"/>
      <c r="X974" s="2"/>
      <c r="Y974" s="2"/>
      <c r="Z974" s="2"/>
    </row>
    <row r="975">
      <c r="A975" s="5"/>
      <c r="B975" s="5"/>
      <c r="C975" s="5"/>
      <c r="D975" s="5"/>
      <c r="E975" s="2"/>
      <c r="F975" s="2"/>
      <c r="G975" s="2"/>
      <c r="H975" s="2"/>
      <c r="I975" s="2"/>
      <c r="J975" s="2"/>
      <c r="K975" s="2"/>
      <c r="L975" s="2"/>
      <c r="M975" s="2"/>
      <c r="N975" s="2"/>
      <c r="O975" s="2"/>
      <c r="P975" s="2"/>
      <c r="Q975" s="2"/>
      <c r="R975" s="2"/>
      <c r="S975" s="2"/>
      <c r="T975" s="2"/>
      <c r="U975" s="2"/>
      <c r="V975" s="2"/>
      <c r="W975" s="2"/>
      <c r="X975" s="2"/>
      <c r="Y975" s="2"/>
      <c r="Z975" s="2"/>
    </row>
    <row r="976">
      <c r="A976" s="5"/>
      <c r="B976" s="5"/>
      <c r="C976" s="5"/>
      <c r="D976" s="5"/>
      <c r="E976" s="2"/>
      <c r="F976" s="2"/>
      <c r="G976" s="2"/>
      <c r="H976" s="2"/>
      <c r="I976" s="2"/>
      <c r="J976" s="2"/>
      <c r="K976" s="2"/>
      <c r="L976" s="2"/>
      <c r="M976" s="2"/>
      <c r="N976" s="2"/>
      <c r="O976" s="2"/>
      <c r="P976" s="2"/>
      <c r="Q976" s="2"/>
      <c r="R976" s="2"/>
      <c r="S976" s="2"/>
      <c r="T976" s="2"/>
      <c r="U976" s="2"/>
      <c r="V976" s="2"/>
      <c r="W976" s="2"/>
      <c r="X976" s="2"/>
      <c r="Y976" s="2"/>
      <c r="Z976" s="2"/>
    </row>
    <row r="977">
      <c r="A977" s="5"/>
      <c r="B977" s="5"/>
      <c r="C977" s="5"/>
      <c r="D977" s="5"/>
      <c r="E977" s="2"/>
      <c r="F977" s="2"/>
      <c r="G977" s="2"/>
      <c r="H977" s="2"/>
      <c r="I977" s="2"/>
      <c r="J977" s="2"/>
      <c r="K977" s="2"/>
      <c r="L977" s="2"/>
      <c r="M977" s="2"/>
      <c r="N977" s="2"/>
      <c r="O977" s="2"/>
      <c r="P977" s="2"/>
      <c r="Q977" s="2"/>
      <c r="R977" s="2"/>
      <c r="S977" s="2"/>
      <c r="T977" s="2"/>
      <c r="U977" s="2"/>
      <c r="V977" s="2"/>
      <c r="W977" s="2"/>
      <c r="X977" s="2"/>
      <c r="Y977" s="2"/>
      <c r="Z977" s="2"/>
    </row>
    <row r="978">
      <c r="A978" s="5"/>
      <c r="B978" s="5"/>
      <c r="C978" s="5"/>
      <c r="D978" s="5"/>
      <c r="E978" s="2"/>
      <c r="F978" s="2"/>
      <c r="G978" s="2"/>
      <c r="H978" s="2"/>
      <c r="I978" s="2"/>
      <c r="J978" s="2"/>
      <c r="K978" s="2"/>
      <c r="L978" s="2"/>
      <c r="M978" s="2"/>
      <c r="N978" s="2"/>
      <c r="O978" s="2"/>
      <c r="P978" s="2"/>
      <c r="Q978" s="2"/>
      <c r="R978" s="2"/>
      <c r="S978" s="2"/>
      <c r="T978" s="2"/>
      <c r="U978" s="2"/>
      <c r="V978" s="2"/>
      <c r="W978" s="2"/>
      <c r="X978" s="2"/>
      <c r="Y978" s="2"/>
      <c r="Z978" s="2"/>
    </row>
    <row r="979">
      <c r="A979" s="5"/>
      <c r="B979" s="5"/>
      <c r="C979" s="5"/>
      <c r="D979" s="5"/>
      <c r="E979" s="2"/>
      <c r="F979" s="2"/>
      <c r="G979" s="2"/>
      <c r="H979" s="2"/>
      <c r="I979" s="2"/>
      <c r="J979" s="2"/>
      <c r="K979" s="2"/>
      <c r="L979" s="2"/>
      <c r="M979" s="2"/>
      <c r="N979" s="2"/>
      <c r="O979" s="2"/>
      <c r="P979" s="2"/>
      <c r="Q979" s="2"/>
      <c r="R979" s="2"/>
      <c r="S979" s="2"/>
      <c r="T979" s="2"/>
      <c r="U979" s="2"/>
      <c r="V979" s="2"/>
      <c r="W979" s="2"/>
      <c r="X979" s="2"/>
      <c r="Y979" s="2"/>
      <c r="Z979" s="2"/>
    </row>
    <row r="980">
      <c r="A980" s="5"/>
      <c r="B980" s="5"/>
      <c r="C980" s="5"/>
      <c r="D980" s="5"/>
      <c r="E980" s="2"/>
      <c r="F980" s="2"/>
      <c r="G980" s="2"/>
      <c r="H980" s="2"/>
      <c r="I980" s="2"/>
      <c r="J980" s="2"/>
      <c r="K980" s="2"/>
      <c r="L980" s="2"/>
      <c r="M980" s="2"/>
      <c r="N980" s="2"/>
      <c r="O980" s="2"/>
      <c r="P980" s="2"/>
      <c r="Q980" s="2"/>
      <c r="R980" s="2"/>
      <c r="S980" s="2"/>
      <c r="T980" s="2"/>
      <c r="U980" s="2"/>
      <c r="V980" s="2"/>
      <c r="W980" s="2"/>
      <c r="X980" s="2"/>
      <c r="Y980" s="2"/>
      <c r="Z980" s="2"/>
    </row>
    <row r="981">
      <c r="A981" s="5"/>
      <c r="B981" s="5"/>
      <c r="C981" s="5"/>
      <c r="D981" s="5"/>
      <c r="E981" s="2"/>
      <c r="F981" s="2"/>
      <c r="G981" s="2"/>
      <c r="H981" s="2"/>
      <c r="I981" s="2"/>
      <c r="J981" s="2"/>
      <c r="K981" s="2"/>
      <c r="L981" s="2"/>
      <c r="M981" s="2"/>
      <c r="N981" s="2"/>
      <c r="O981" s="2"/>
      <c r="P981" s="2"/>
      <c r="Q981" s="2"/>
      <c r="R981" s="2"/>
      <c r="S981" s="2"/>
      <c r="T981" s="2"/>
      <c r="U981" s="2"/>
      <c r="V981" s="2"/>
      <c r="W981" s="2"/>
      <c r="X981" s="2"/>
      <c r="Y981" s="2"/>
      <c r="Z981" s="2"/>
    </row>
    <row r="982">
      <c r="A982" s="5"/>
      <c r="B982" s="5"/>
      <c r="C982" s="5"/>
      <c r="D982" s="5"/>
      <c r="E982" s="2"/>
      <c r="F982" s="2"/>
      <c r="G982" s="2"/>
      <c r="H982" s="2"/>
      <c r="I982" s="2"/>
      <c r="J982" s="2"/>
      <c r="K982" s="2"/>
      <c r="L982" s="2"/>
      <c r="M982" s="2"/>
      <c r="N982" s="2"/>
      <c r="O982" s="2"/>
      <c r="P982" s="2"/>
      <c r="Q982" s="2"/>
      <c r="R982" s="2"/>
      <c r="S982" s="2"/>
      <c r="T982" s="2"/>
      <c r="U982" s="2"/>
      <c r="V982" s="2"/>
      <c r="W982" s="2"/>
      <c r="X982" s="2"/>
      <c r="Y982" s="2"/>
      <c r="Z982" s="2"/>
    </row>
    <row r="983">
      <c r="A983" s="5"/>
      <c r="B983" s="5"/>
      <c r="C983" s="5"/>
      <c r="D983" s="5"/>
      <c r="E983" s="2"/>
      <c r="F983" s="2"/>
      <c r="G983" s="2"/>
      <c r="H983" s="2"/>
      <c r="I983" s="2"/>
      <c r="J983" s="2"/>
      <c r="K983" s="2"/>
      <c r="L983" s="2"/>
      <c r="M983" s="2"/>
      <c r="N983" s="2"/>
      <c r="O983" s="2"/>
      <c r="P983" s="2"/>
      <c r="Q983" s="2"/>
      <c r="R983" s="2"/>
      <c r="S983" s="2"/>
      <c r="T983" s="2"/>
      <c r="U983" s="2"/>
      <c r="V983" s="2"/>
      <c r="W983" s="2"/>
      <c r="X983" s="2"/>
      <c r="Y983" s="2"/>
      <c r="Z983" s="2"/>
    </row>
    <row r="984">
      <c r="A984" s="5"/>
      <c r="B984" s="5"/>
      <c r="C984" s="5"/>
      <c r="D984" s="5"/>
      <c r="E984" s="2"/>
      <c r="F984" s="2"/>
      <c r="G984" s="2"/>
      <c r="H984" s="2"/>
      <c r="I984" s="2"/>
      <c r="J984" s="2"/>
      <c r="K984" s="2"/>
      <c r="L984" s="2"/>
      <c r="M984" s="2"/>
      <c r="N984" s="2"/>
      <c r="O984" s="2"/>
      <c r="P984" s="2"/>
      <c r="Q984" s="2"/>
      <c r="R984" s="2"/>
      <c r="S984" s="2"/>
      <c r="T984" s="2"/>
      <c r="U984" s="2"/>
      <c r="V984" s="2"/>
      <c r="W984" s="2"/>
      <c r="X984" s="2"/>
      <c r="Y984" s="2"/>
      <c r="Z984" s="2"/>
    </row>
    <row r="985">
      <c r="A985" s="5"/>
      <c r="B985" s="5"/>
      <c r="C985" s="5"/>
      <c r="D985" s="5"/>
      <c r="E985" s="2"/>
      <c r="F985" s="2"/>
      <c r="G985" s="2"/>
      <c r="H985" s="2"/>
      <c r="I985" s="2"/>
      <c r="J985" s="2"/>
      <c r="K985" s="2"/>
      <c r="L985" s="2"/>
      <c r="M985" s="2"/>
      <c r="N985" s="2"/>
      <c r="O985" s="2"/>
      <c r="P985" s="2"/>
      <c r="Q985" s="2"/>
      <c r="R985" s="2"/>
      <c r="S985" s="2"/>
      <c r="T985" s="2"/>
      <c r="U985" s="2"/>
      <c r="V985" s="2"/>
      <c r="W985" s="2"/>
      <c r="X985" s="2"/>
      <c r="Y985" s="2"/>
      <c r="Z985" s="2"/>
    </row>
    <row r="986">
      <c r="A986" s="5"/>
      <c r="B986" s="5"/>
      <c r="C986" s="5"/>
      <c r="D986" s="5"/>
      <c r="E986" s="2"/>
      <c r="F986" s="2"/>
      <c r="G986" s="2"/>
      <c r="H986" s="2"/>
      <c r="I986" s="2"/>
      <c r="J986" s="2"/>
      <c r="K986" s="2"/>
      <c r="L986" s="2"/>
      <c r="M986" s="2"/>
      <c r="N986" s="2"/>
      <c r="O986" s="2"/>
      <c r="P986" s="2"/>
      <c r="Q986" s="2"/>
      <c r="R986" s="2"/>
      <c r="S986" s="2"/>
      <c r="T986" s="2"/>
      <c r="U986" s="2"/>
      <c r="V986" s="2"/>
      <c r="W986" s="2"/>
      <c r="X986" s="2"/>
      <c r="Y986" s="2"/>
      <c r="Z986" s="2"/>
    </row>
    <row r="987">
      <c r="A987" s="5"/>
      <c r="B987" s="5"/>
      <c r="C987" s="5"/>
      <c r="D987" s="5"/>
      <c r="E987" s="2"/>
      <c r="F987" s="2"/>
      <c r="G987" s="2"/>
      <c r="H987" s="2"/>
      <c r="I987" s="2"/>
      <c r="J987" s="2"/>
      <c r="K987" s="2"/>
      <c r="L987" s="2"/>
      <c r="M987" s="2"/>
      <c r="N987" s="2"/>
      <c r="O987" s="2"/>
      <c r="P987" s="2"/>
      <c r="Q987" s="2"/>
      <c r="R987" s="2"/>
      <c r="S987" s="2"/>
      <c r="T987" s="2"/>
      <c r="U987" s="2"/>
      <c r="V987" s="2"/>
      <c r="W987" s="2"/>
      <c r="X987" s="2"/>
      <c r="Y987" s="2"/>
      <c r="Z987" s="2"/>
    </row>
  </sheetData>
  <hyperlinks>
    <hyperlink r:id="rId1" ref="D6"/>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3.63"/>
  </cols>
  <sheetData>
    <row r="1">
      <c r="A1" s="6" t="s">
        <v>27</v>
      </c>
      <c r="B1" s="6" t="s">
        <v>28</v>
      </c>
      <c r="C1" s="6" t="s">
        <v>29</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5"/>
    <col customWidth="1" min="2" max="2" width="76.0"/>
    <col customWidth="1" min="5" max="5" width="42.75"/>
  </cols>
  <sheetData>
    <row r="1">
      <c r="A1" s="7" t="s">
        <v>30</v>
      </c>
      <c r="B1" s="8" t="s">
        <v>31</v>
      </c>
      <c r="C1" s="9" t="s">
        <v>32</v>
      </c>
      <c r="D1" s="9" t="s">
        <v>33</v>
      </c>
      <c r="E1" s="10" t="s">
        <v>34</v>
      </c>
    </row>
    <row r="2">
      <c r="A2" s="10" t="s">
        <v>35</v>
      </c>
      <c r="B2" s="11" t="s">
        <v>36</v>
      </c>
      <c r="C2" s="12" t="s">
        <v>37</v>
      </c>
      <c r="D2" s="12" t="s">
        <v>38</v>
      </c>
      <c r="E2" s="12"/>
    </row>
    <row r="3">
      <c r="A3" s="10" t="s">
        <v>39</v>
      </c>
      <c r="B3" s="11" t="s">
        <v>40</v>
      </c>
      <c r="C3" s="12" t="s">
        <v>41</v>
      </c>
      <c r="D3" s="12"/>
      <c r="E3" s="12" t="s">
        <v>42</v>
      </c>
    </row>
    <row r="4">
      <c r="A4" s="10" t="s">
        <v>43</v>
      </c>
      <c r="B4" s="11" t="s">
        <v>44</v>
      </c>
      <c r="C4" s="12" t="s">
        <v>37</v>
      </c>
      <c r="D4" s="12" t="s">
        <v>38</v>
      </c>
      <c r="E4" s="12"/>
    </row>
    <row r="5">
      <c r="A5" s="10" t="s">
        <v>45</v>
      </c>
      <c r="B5" s="11" t="s">
        <v>46</v>
      </c>
      <c r="C5" s="12" t="s">
        <v>41</v>
      </c>
      <c r="D5" s="12"/>
      <c r="E5" s="12"/>
    </row>
    <row r="6">
      <c r="A6" s="10" t="s">
        <v>47</v>
      </c>
      <c r="B6" s="11" t="s">
        <v>48</v>
      </c>
      <c r="C6" s="12" t="s">
        <v>41</v>
      </c>
      <c r="D6" s="12"/>
      <c r="E6" s="12"/>
    </row>
    <row r="7">
      <c r="A7" s="10" t="s">
        <v>49</v>
      </c>
      <c r="B7" s="11" t="s">
        <v>50</v>
      </c>
      <c r="C7" s="12" t="s">
        <v>37</v>
      </c>
      <c r="D7" s="12" t="s">
        <v>51</v>
      </c>
      <c r="E7" s="12"/>
    </row>
    <row r="8">
      <c r="A8" s="10" t="s">
        <v>52</v>
      </c>
      <c r="B8" s="11" t="s">
        <v>53</v>
      </c>
      <c r="C8" s="12" t="s">
        <v>37</v>
      </c>
      <c r="D8" s="12" t="s">
        <v>54</v>
      </c>
      <c r="E8" s="12"/>
    </row>
    <row r="9">
      <c r="A9" s="10" t="s">
        <v>55</v>
      </c>
      <c r="B9" s="11" t="s">
        <v>56</v>
      </c>
      <c r="C9" s="12" t="s">
        <v>37</v>
      </c>
      <c r="D9" s="12" t="s">
        <v>57</v>
      </c>
      <c r="E9" s="12"/>
    </row>
    <row r="10">
      <c r="A10" s="10" t="s">
        <v>58</v>
      </c>
      <c r="B10" s="13" t="s">
        <v>59</v>
      </c>
      <c r="C10" s="12" t="s">
        <v>37</v>
      </c>
      <c r="D10" s="12" t="s">
        <v>38</v>
      </c>
      <c r="E10" s="12"/>
    </row>
    <row r="11">
      <c r="A11" s="10" t="s">
        <v>60</v>
      </c>
      <c r="B11" s="11" t="s">
        <v>61</v>
      </c>
      <c r="C11" s="12" t="s">
        <v>41</v>
      </c>
      <c r="D11" s="12"/>
      <c r="E11" s="12"/>
    </row>
    <row r="12">
      <c r="A12" s="10" t="s">
        <v>62</v>
      </c>
      <c r="B12" s="11" t="s">
        <v>63</v>
      </c>
      <c r="C12" s="12" t="s">
        <v>41</v>
      </c>
      <c r="D12" s="12"/>
      <c r="E12" s="12"/>
    </row>
    <row r="13">
      <c r="A13" s="10" t="s">
        <v>64</v>
      </c>
      <c r="B13" s="11" t="s">
        <v>65</v>
      </c>
      <c r="C13" s="12" t="s">
        <v>41</v>
      </c>
      <c r="D13" s="12"/>
      <c r="E13" s="12"/>
    </row>
    <row r="14">
      <c r="A14" s="10" t="s">
        <v>66</v>
      </c>
      <c r="B14" s="11" t="s">
        <v>67</v>
      </c>
      <c r="C14" s="12" t="s">
        <v>41</v>
      </c>
      <c r="D14" s="12"/>
      <c r="E14" s="12"/>
    </row>
    <row r="15">
      <c r="A15" s="10" t="s">
        <v>68</v>
      </c>
      <c r="B15" s="11" t="s">
        <v>69</v>
      </c>
      <c r="C15" s="12" t="s">
        <v>41</v>
      </c>
      <c r="D15" s="12"/>
      <c r="E15" s="12"/>
    </row>
    <row r="16">
      <c r="A16" s="10" t="s">
        <v>70</v>
      </c>
      <c r="B16" s="11" t="s">
        <v>71</v>
      </c>
      <c r="C16" s="12" t="s">
        <v>37</v>
      </c>
      <c r="D16" s="12" t="s">
        <v>38</v>
      </c>
      <c r="E16" s="12"/>
    </row>
    <row r="17">
      <c r="A17" s="10" t="s">
        <v>72</v>
      </c>
      <c r="B17" s="11" t="s">
        <v>73</v>
      </c>
      <c r="C17" s="12" t="s">
        <v>37</v>
      </c>
      <c r="D17" s="12" t="s">
        <v>38</v>
      </c>
      <c r="E17" s="12"/>
    </row>
    <row r="18">
      <c r="A18" s="10" t="s">
        <v>74</v>
      </c>
      <c r="B18" s="11" t="s">
        <v>75</v>
      </c>
      <c r="C18" s="12" t="s">
        <v>37</v>
      </c>
      <c r="D18" s="12" t="s">
        <v>38</v>
      </c>
      <c r="E18" s="12"/>
    </row>
    <row r="19">
      <c r="A19" s="10" t="s">
        <v>76</v>
      </c>
      <c r="B19" s="11" t="s">
        <v>77</v>
      </c>
      <c r="C19" s="12" t="s">
        <v>37</v>
      </c>
      <c r="D19" s="12" t="s">
        <v>38</v>
      </c>
      <c r="E19" s="12"/>
    </row>
    <row r="20">
      <c r="A20" s="10" t="s">
        <v>78</v>
      </c>
      <c r="B20" s="11" t="s">
        <v>79</v>
      </c>
      <c r="C20" s="12" t="s">
        <v>37</v>
      </c>
      <c r="D20" s="12" t="s">
        <v>38</v>
      </c>
      <c r="E20" s="12"/>
    </row>
    <row r="21">
      <c r="A21" s="10" t="s">
        <v>80</v>
      </c>
      <c r="B21" s="11" t="s">
        <v>81</v>
      </c>
      <c r="C21" s="12" t="s">
        <v>37</v>
      </c>
      <c r="D21" s="12" t="s">
        <v>38</v>
      </c>
      <c r="E21" s="12"/>
    </row>
    <row r="22">
      <c r="A22" s="10" t="s">
        <v>82</v>
      </c>
      <c r="B22" s="11" t="s">
        <v>83</v>
      </c>
      <c r="C22" s="12" t="s">
        <v>37</v>
      </c>
      <c r="D22" s="12" t="s">
        <v>38</v>
      </c>
      <c r="E22" s="12"/>
    </row>
    <row r="23">
      <c r="A23" s="10" t="s">
        <v>84</v>
      </c>
      <c r="B23" s="11" t="s">
        <v>85</v>
      </c>
      <c r="C23" s="12" t="s">
        <v>37</v>
      </c>
      <c r="D23" s="12" t="s">
        <v>38</v>
      </c>
      <c r="E23" s="12"/>
    </row>
    <row r="24">
      <c r="A24" s="10" t="s">
        <v>86</v>
      </c>
      <c r="B24" s="11" t="s">
        <v>87</v>
      </c>
      <c r="C24" s="12" t="s">
        <v>37</v>
      </c>
      <c r="D24" s="12" t="s">
        <v>38</v>
      </c>
      <c r="E24" s="12"/>
    </row>
    <row r="25">
      <c r="A25" s="10" t="s">
        <v>88</v>
      </c>
      <c r="B25" s="11" t="s">
        <v>89</v>
      </c>
      <c r="C25" s="12" t="s">
        <v>37</v>
      </c>
      <c r="D25" s="12" t="s">
        <v>38</v>
      </c>
      <c r="E25" s="12"/>
    </row>
    <row r="26">
      <c r="A26" s="10" t="s">
        <v>90</v>
      </c>
      <c r="B26" s="11" t="s">
        <v>91</v>
      </c>
      <c r="C26" s="12" t="s">
        <v>37</v>
      </c>
      <c r="D26" s="12" t="s">
        <v>38</v>
      </c>
      <c r="E26" s="12"/>
    </row>
    <row r="27">
      <c r="A27" s="10" t="s">
        <v>92</v>
      </c>
      <c r="B27" s="11" t="s">
        <v>93</v>
      </c>
      <c r="C27" s="12" t="s">
        <v>37</v>
      </c>
      <c r="D27" s="12" t="s">
        <v>38</v>
      </c>
      <c r="E27" s="12"/>
    </row>
    <row r="28">
      <c r="A28" s="10" t="s">
        <v>94</v>
      </c>
      <c r="B28" s="11" t="s">
        <v>95</v>
      </c>
      <c r="C28" s="12" t="s">
        <v>37</v>
      </c>
      <c r="D28" s="12" t="s">
        <v>38</v>
      </c>
      <c r="E28" s="12"/>
    </row>
    <row r="29">
      <c r="A29" s="10" t="s">
        <v>96</v>
      </c>
      <c r="B29" s="11" t="s">
        <v>97</v>
      </c>
      <c r="C29" s="12" t="s">
        <v>37</v>
      </c>
      <c r="D29" s="12" t="s">
        <v>38</v>
      </c>
      <c r="E29" s="12"/>
    </row>
    <row r="30">
      <c r="A30" s="10" t="s">
        <v>98</v>
      </c>
      <c r="B30" s="11" t="s">
        <v>99</v>
      </c>
      <c r="C30" s="12" t="s">
        <v>37</v>
      </c>
      <c r="D30" s="12" t="s">
        <v>38</v>
      </c>
      <c r="E30" s="12"/>
    </row>
    <row r="31">
      <c r="A31" s="10" t="s">
        <v>100</v>
      </c>
      <c r="B31" s="11" t="s">
        <v>101</v>
      </c>
      <c r="C31" s="12" t="s">
        <v>37</v>
      </c>
      <c r="D31" s="12" t="s">
        <v>38</v>
      </c>
      <c r="E31" s="12"/>
    </row>
    <row r="32">
      <c r="A32" s="10" t="s">
        <v>102</v>
      </c>
      <c r="B32" s="11" t="s">
        <v>103</v>
      </c>
      <c r="C32" s="12" t="s">
        <v>37</v>
      </c>
      <c r="D32" s="12" t="s">
        <v>38</v>
      </c>
      <c r="E32" s="12"/>
    </row>
    <row r="33">
      <c r="A33" s="10" t="s">
        <v>104</v>
      </c>
      <c r="B33" s="11" t="s">
        <v>105</v>
      </c>
      <c r="C33" s="12" t="s">
        <v>37</v>
      </c>
      <c r="D33" s="12" t="s">
        <v>38</v>
      </c>
      <c r="E33" s="12"/>
    </row>
    <row r="34">
      <c r="A34" s="10" t="s">
        <v>106</v>
      </c>
      <c r="B34" s="11" t="s">
        <v>107</v>
      </c>
      <c r="C34" s="12" t="s">
        <v>37</v>
      </c>
      <c r="D34" s="12" t="s">
        <v>38</v>
      </c>
      <c r="E34" s="12"/>
    </row>
    <row r="35">
      <c r="A35" s="10" t="s">
        <v>108</v>
      </c>
      <c r="B35" s="11" t="s">
        <v>109</v>
      </c>
      <c r="C35" s="12" t="s">
        <v>37</v>
      </c>
      <c r="D35" s="12" t="s">
        <v>38</v>
      </c>
      <c r="E35" s="12"/>
    </row>
    <row r="36">
      <c r="A36" s="10" t="s">
        <v>110</v>
      </c>
      <c r="B36" s="11" t="s">
        <v>111</v>
      </c>
      <c r="C36" s="12" t="s">
        <v>37</v>
      </c>
      <c r="D36" s="12" t="s">
        <v>38</v>
      </c>
      <c r="E36" s="12"/>
    </row>
    <row r="37">
      <c r="A37" s="10" t="s">
        <v>112</v>
      </c>
      <c r="B37" s="11" t="s">
        <v>113</v>
      </c>
      <c r="C37" s="12" t="s">
        <v>41</v>
      </c>
      <c r="D37" s="12"/>
      <c r="E37" s="12"/>
    </row>
    <row r="38">
      <c r="B38" s="11" t="s">
        <v>114</v>
      </c>
      <c r="C38" s="12"/>
      <c r="D38" s="12"/>
      <c r="E38" s="12"/>
    </row>
    <row r="39">
      <c r="B39" s="11" t="s">
        <v>115</v>
      </c>
      <c r="C39" s="12"/>
      <c r="D39" s="12"/>
      <c r="E39" s="12"/>
    </row>
    <row r="40">
      <c r="B40" s="11" t="s">
        <v>116</v>
      </c>
      <c r="C40" s="12"/>
      <c r="D40" s="12"/>
      <c r="E40" s="12"/>
    </row>
    <row r="41">
      <c r="B41" s="11" t="s">
        <v>117</v>
      </c>
      <c r="C41" s="12"/>
      <c r="D41" s="12"/>
      <c r="E41" s="12"/>
    </row>
    <row r="42">
      <c r="B42" s="11" t="s">
        <v>118</v>
      </c>
      <c r="C42" s="12"/>
      <c r="D42" s="12"/>
      <c r="E42" s="12"/>
    </row>
    <row r="43">
      <c r="B43" s="11" t="s">
        <v>119</v>
      </c>
      <c r="C43" s="12"/>
      <c r="D43" s="12"/>
      <c r="E43" s="12"/>
    </row>
    <row r="44">
      <c r="B44" s="11" t="s">
        <v>120</v>
      </c>
      <c r="C44" s="12"/>
      <c r="D44" s="12"/>
      <c r="E44" s="12"/>
    </row>
    <row r="45">
      <c r="B45" s="11" t="s">
        <v>121</v>
      </c>
      <c r="C45" s="12"/>
      <c r="D45" s="12"/>
      <c r="E45" s="12"/>
    </row>
    <row r="46">
      <c r="B46" s="11" t="s">
        <v>122</v>
      </c>
      <c r="C46" s="12"/>
      <c r="D46" s="12"/>
      <c r="E46" s="12"/>
    </row>
    <row r="47">
      <c r="B47" s="11" t="s">
        <v>123</v>
      </c>
      <c r="C47" s="12"/>
      <c r="D47" s="12"/>
      <c r="E47" s="12"/>
    </row>
    <row r="48">
      <c r="B48" s="11" t="s">
        <v>124</v>
      </c>
      <c r="C48" s="12"/>
      <c r="D48" s="12"/>
      <c r="E48" s="12"/>
    </row>
    <row r="49">
      <c r="B49" s="11" t="s">
        <v>125</v>
      </c>
      <c r="C49" s="12"/>
      <c r="D49" s="12"/>
      <c r="E49" s="12"/>
    </row>
    <row r="50">
      <c r="B50" s="11" t="s">
        <v>126</v>
      </c>
      <c r="C50" s="12"/>
      <c r="D50" s="12"/>
      <c r="E50" s="12"/>
    </row>
    <row r="51">
      <c r="B51" s="11" t="s">
        <v>127</v>
      </c>
      <c r="C51" s="12"/>
      <c r="D51" s="12"/>
      <c r="E51" s="12"/>
    </row>
    <row r="52">
      <c r="B52" s="11" t="s">
        <v>128</v>
      </c>
      <c r="C52" s="12"/>
      <c r="D52" s="12"/>
      <c r="E52" s="12"/>
    </row>
    <row r="53">
      <c r="B53" s="11" t="s">
        <v>129</v>
      </c>
      <c r="C53" s="12"/>
      <c r="D53" s="12"/>
      <c r="E53" s="12"/>
    </row>
    <row r="54">
      <c r="B54" s="11" t="s">
        <v>130</v>
      </c>
      <c r="C54" s="12"/>
      <c r="D54" s="12"/>
      <c r="E54" s="12"/>
    </row>
    <row r="55">
      <c r="B55" s="11" t="s">
        <v>131</v>
      </c>
      <c r="C55" s="12"/>
      <c r="D55" s="12"/>
      <c r="E55" s="12"/>
    </row>
    <row r="56">
      <c r="B56" s="11" t="s">
        <v>132</v>
      </c>
      <c r="C56" s="12"/>
      <c r="D56" s="12"/>
      <c r="E56" s="12"/>
    </row>
    <row r="57">
      <c r="B57" s="11" t="s">
        <v>133</v>
      </c>
      <c r="C57" s="12"/>
      <c r="D57" s="12"/>
      <c r="E57" s="12"/>
    </row>
    <row r="58">
      <c r="B58" s="11" t="s">
        <v>134</v>
      </c>
      <c r="C58" s="12"/>
      <c r="D58" s="12"/>
      <c r="E58" s="12"/>
    </row>
    <row r="59">
      <c r="B59" s="11" t="s">
        <v>135</v>
      </c>
      <c r="C59" s="12"/>
      <c r="D59" s="12"/>
      <c r="E59" s="12"/>
    </row>
    <row r="60">
      <c r="B60" s="11" t="s">
        <v>136</v>
      </c>
      <c r="C60" s="12"/>
      <c r="D60" s="12"/>
      <c r="E60" s="12"/>
    </row>
    <row r="61">
      <c r="B61" s="11" t="s">
        <v>137</v>
      </c>
      <c r="C61" s="12"/>
      <c r="D61" s="12"/>
      <c r="E61" s="12"/>
    </row>
    <row r="62">
      <c r="B62" s="11" t="s">
        <v>138</v>
      </c>
      <c r="C62" s="12"/>
      <c r="D62" s="12"/>
      <c r="E62" s="12"/>
    </row>
    <row r="63">
      <c r="B63" s="11" t="s">
        <v>139</v>
      </c>
      <c r="C63" s="12"/>
      <c r="D63" s="12"/>
      <c r="E63" s="12"/>
    </row>
    <row r="64">
      <c r="B64" s="11" t="s">
        <v>140</v>
      </c>
      <c r="C64" s="12"/>
      <c r="D64" s="12"/>
      <c r="E64" s="12"/>
    </row>
    <row r="65">
      <c r="B65" s="11" t="s">
        <v>141</v>
      </c>
      <c r="C65" s="12"/>
      <c r="D65" s="12"/>
      <c r="E65" s="12"/>
    </row>
    <row r="66">
      <c r="A66" s="10" t="s">
        <v>142</v>
      </c>
      <c r="B66" s="11" t="s">
        <v>143</v>
      </c>
      <c r="C66" s="12" t="s">
        <v>41</v>
      </c>
      <c r="D66" s="12"/>
      <c r="E66" s="12"/>
    </row>
    <row r="67">
      <c r="A67" s="10" t="s">
        <v>144</v>
      </c>
      <c r="B67" s="11" t="s">
        <v>145</v>
      </c>
      <c r="C67" s="12" t="s">
        <v>37</v>
      </c>
      <c r="D67" s="12" t="s">
        <v>51</v>
      </c>
      <c r="E67" s="12"/>
    </row>
    <row r="68">
      <c r="A68" s="10" t="s">
        <v>146</v>
      </c>
      <c r="B68" s="11" t="s">
        <v>147</v>
      </c>
      <c r="C68" s="12" t="s">
        <v>37</v>
      </c>
      <c r="D68" s="12" t="s">
        <v>51</v>
      </c>
      <c r="E68" s="12"/>
    </row>
    <row r="69">
      <c r="A69" s="10" t="s">
        <v>148</v>
      </c>
      <c r="B69" s="11" t="s">
        <v>149</v>
      </c>
      <c r="C69" s="12" t="s">
        <v>37</v>
      </c>
      <c r="D69" s="12" t="s">
        <v>51</v>
      </c>
      <c r="E69" s="12"/>
    </row>
    <row r="70">
      <c r="A70" s="10" t="s">
        <v>150</v>
      </c>
      <c r="B70" s="11" t="s">
        <v>151</v>
      </c>
      <c r="C70" s="12" t="s">
        <v>41</v>
      </c>
      <c r="D70" s="12"/>
      <c r="E70" s="12"/>
    </row>
    <row r="71">
      <c r="A71" s="10" t="s">
        <v>152</v>
      </c>
      <c r="B71" s="11" t="s">
        <v>153</v>
      </c>
      <c r="C71" s="12" t="s">
        <v>37</v>
      </c>
      <c r="D71" s="12" t="s">
        <v>51</v>
      </c>
      <c r="E71" s="12"/>
    </row>
    <row r="72">
      <c r="A72" s="10" t="s">
        <v>154</v>
      </c>
      <c r="B72" s="13" t="s">
        <v>155</v>
      </c>
      <c r="C72" s="12" t="s">
        <v>37</v>
      </c>
      <c r="D72" s="12" t="s">
        <v>51</v>
      </c>
      <c r="E72" s="12"/>
    </row>
    <row r="73">
      <c r="A73" s="10" t="s">
        <v>45</v>
      </c>
      <c r="B73" s="11" t="s">
        <v>156</v>
      </c>
      <c r="C73" s="12" t="s">
        <v>41</v>
      </c>
      <c r="D73" s="12"/>
      <c r="E73" s="12"/>
    </row>
    <row r="74">
      <c r="A74" s="10" t="s">
        <v>100</v>
      </c>
      <c r="B74" s="11" t="s">
        <v>157</v>
      </c>
      <c r="C74" s="12" t="s">
        <v>41</v>
      </c>
      <c r="D74" s="12"/>
      <c r="E74" s="12"/>
    </row>
    <row r="75">
      <c r="A75" s="10" t="s">
        <v>158</v>
      </c>
      <c r="B75" s="11" t="s">
        <v>159</v>
      </c>
      <c r="C75" s="12" t="s">
        <v>41</v>
      </c>
      <c r="D75" s="12"/>
      <c r="E75" s="12"/>
    </row>
    <row r="76">
      <c r="A76" s="10" t="s">
        <v>160</v>
      </c>
      <c r="B76" s="11" t="s">
        <v>161</v>
      </c>
      <c r="C76" s="12" t="s">
        <v>41</v>
      </c>
      <c r="D76" s="12"/>
      <c r="E76" s="12"/>
    </row>
    <row r="77">
      <c r="A77" s="10" t="s">
        <v>162</v>
      </c>
      <c r="B77" s="11" t="s">
        <v>163</v>
      </c>
      <c r="C77" s="12" t="s">
        <v>41</v>
      </c>
      <c r="D77" s="12"/>
      <c r="E77" s="12"/>
    </row>
    <row r="78">
      <c r="A78" s="10" t="s">
        <v>164</v>
      </c>
      <c r="B78" s="11" t="s">
        <v>165</v>
      </c>
      <c r="C78" s="12" t="s">
        <v>41</v>
      </c>
      <c r="D78" s="12"/>
      <c r="E78" s="12"/>
    </row>
    <row r="79">
      <c r="A79" s="10" t="s">
        <v>166</v>
      </c>
      <c r="B79" s="11" t="s">
        <v>167</v>
      </c>
      <c r="C79" s="12" t="s">
        <v>41</v>
      </c>
      <c r="D79" s="12"/>
      <c r="E79" s="12"/>
    </row>
    <row r="80">
      <c r="A80" s="10" t="s">
        <v>168</v>
      </c>
      <c r="B80" s="11" t="s">
        <v>169</v>
      </c>
      <c r="C80" s="12" t="s">
        <v>41</v>
      </c>
      <c r="D80" s="12"/>
      <c r="E80" s="12"/>
    </row>
    <row r="81">
      <c r="A81" s="10" t="s">
        <v>142</v>
      </c>
      <c r="B81" s="11" t="s">
        <v>170</v>
      </c>
      <c r="C81" s="12" t="s">
        <v>41</v>
      </c>
      <c r="D81" s="12"/>
      <c r="E81" s="12"/>
    </row>
    <row r="82">
      <c r="A82" s="10" t="s">
        <v>144</v>
      </c>
      <c r="B82" s="11" t="s">
        <v>171</v>
      </c>
      <c r="C82" s="12" t="s">
        <v>37</v>
      </c>
      <c r="D82" s="12" t="s">
        <v>172</v>
      </c>
      <c r="E82" s="12"/>
    </row>
    <row r="83">
      <c r="A83" s="10" t="s">
        <v>146</v>
      </c>
      <c r="B83" s="11" t="s">
        <v>173</v>
      </c>
      <c r="C83" s="12" t="s">
        <v>37</v>
      </c>
      <c r="D83" s="12" t="s">
        <v>172</v>
      </c>
      <c r="E83" s="12"/>
    </row>
    <row r="84">
      <c r="A84" s="10" t="s">
        <v>148</v>
      </c>
      <c r="B84" s="11" t="s">
        <v>174</v>
      </c>
      <c r="C84" s="12" t="s">
        <v>37</v>
      </c>
      <c r="D84" s="12" t="s">
        <v>172</v>
      </c>
      <c r="E84" s="12"/>
    </row>
    <row r="85">
      <c r="A85" s="10" t="s">
        <v>150</v>
      </c>
      <c r="B85" s="11" t="s">
        <v>175</v>
      </c>
      <c r="C85" s="12" t="s">
        <v>41</v>
      </c>
      <c r="D85" s="12"/>
      <c r="E85" s="12"/>
    </row>
    <row r="86">
      <c r="A86" s="10" t="s">
        <v>152</v>
      </c>
      <c r="B86" s="11" t="s">
        <v>176</v>
      </c>
      <c r="C86" s="12" t="s">
        <v>37</v>
      </c>
      <c r="D86" s="12" t="s">
        <v>172</v>
      </c>
      <c r="E86" s="12"/>
    </row>
    <row r="87">
      <c r="A87" s="10" t="s">
        <v>154</v>
      </c>
      <c r="B87" s="11" t="s">
        <v>177</v>
      </c>
      <c r="C87" s="12" t="s">
        <v>37</v>
      </c>
      <c r="D87" s="12" t="s">
        <v>172</v>
      </c>
      <c r="E87" s="12"/>
    </row>
    <row r="88">
      <c r="A88" s="10" t="s">
        <v>45</v>
      </c>
      <c r="B88" s="11" t="s">
        <v>178</v>
      </c>
      <c r="C88" s="12" t="s">
        <v>41</v>
      </c>
      <c r="D88" s="12"/>
      <c r="E88" s="12"/>
    </row>
    <row r="89">
      <c r="A89" s="10" t="s">
        <v>100</v>
      </c>
      <c r="B89" s="11" t="s">
        <v>179</v>
      </c>
      <c r="C89" s="12" t="s">
        <v>41</v>
      </c>
      <c r="D89" s="12"/>
      <c r="E89" s="12"/>
    </row>
    <row r="90">
      <c r="A90" s="10" t="s">
        <v>164</v>
      </c>
      <c r="B90" s="11" t="s">
        <v>180</v>
      </c>
      <c r="C90" s="12" t="s">
        <v>41</v>
      </c>
      <c r="D90" s="12"/>
      <c r="E90" s="12"/>
    </row>
    <row r="91">
      <c r="A91" s="10" t="s">
        <v>166</v>
      </c>
      <c r="B91" s="11" t="s">
        <v>181</v>
      </c>
      <c r="C91" s="12" t="s">
        <v>41</v>
      </c>
      <c r="D91" s="12"/>
      <c r="E91" s="12"/>
    </row>
    <row r="92">
      <c r="A92" s="10" t="s">
        <v>182</v>
      </c>
      <c r="B92" s="11" t="s">
        <v>183</v>
      </c>
      <c r="C92" s="12" t="s">
        <v>41</v>
      </c>
      <c r="D92" s="12"/>
      <c r="E92" s="12"/>
    </row>
    <row r="93">
      <c r="A93" s="10" t="s">
        <v>184</v>
      </c>
      <c r="B93" s="11" t="s">
        <v>185</v>
      </c>
      <c r="C93" s="12" t="s">
        <v>41</v>
      </c>
      <c r="D93" s="12"/>
      <c r="E93" s="12"/>
    </row>
    <row r="94">
      <c r="A94" s="10" t="s">
        <v>186</v>
      </c>
      <c r="B94" s="11" t="s">
        <v>187</v>
      </c>
      <c r="C94" s="12" t="s">
        <v>41</v>
      </c>
      <c r="D94" s="12"/>
      <c r="E94" s="12"/>
    </row>
    <row r="95">
      <c r="A95" s="10" t="s">
        <v>168</v>
      </c>
      <c r="B95" s="11" t="s">
        <v>188</v>
      </c>
      <c r="C95" s="12" t="s">
        <v>41</v>
      </c>
      <c r="D95" s="12"/>
      <c r="E95" s="12"/>
    </row>
    <row r="96">
      <c r="A96" s="10" t="s">
        <v>142</v>
      </c>
      <c r="B96" s="11" t="s">
        <v>189</v>
      </c>
      <c r="C96" s="12" t="s">
        <v>41</v>
      </c>
      <c r="D96" s="12"/>
      <c r="E96" s="12"/>
    </row>
    <row r="97">
      <c r="A97" s="10" t="s">
        <v>144</v>
      </c>
      <c r="B97" s="11" t="s">
        <v>190</v>
      </c>
      <c r="C97" s="12" t="s">
        <v>37</v>
      </c>
      <c r="D97" s="12" t="s">
        <v>172</v>
      </c>
      <c r="E97" s="12"/>
    </row>
    <row r="98">
      <c r="A98" s="10" t="s">
        <v>146</v>
      </c>
      <c r="B98" s="11" t="s">
        <v>191</v>
      </c>
      <c r="C98" s="12" t="s">
        <v>37</v>
      </c>
      <c r="D98" s="12" t="s">
        <v>172</v>
      </c>
      <c r="E98" s="12"/>
    </row>
    <row r="99">
      <c r="A99" s="10" t="s">
        <v>148</v>
      </c>
      <c r="B99" s="11" t="s">
        <v>192</v>
      </c>
      <c r="C99" s="12" t="s">
        <v>37</v>
      </c>
      <c r="D99" s="12" t="s">
        <v>172</v>
      </c>
      <c r="E99" s="12"/>
    </row>
    <row r="100">
      <c r="A100" s="10" t="s">
        <v>150</v>
      </c>
      <c r="B100" s="11" t="s">
        <v>193</v>
      </c>
      <c r="C100" s="12" t="s">
        <v>41</v>
      </c>
      <c r="D100" s="12"/>
      <c r="E100" s="12"/>
    </row>
    <row r="101">
      <c r="A101" s="10" t="s">
        <v>152</v>
      </c>
      <c r="B101" s="11" t="s">
        <v>194</v>
      </c>
      <c r="C101" s="12" t="s">
        <v>37</v>
      </c>
      <c r="D101" s="12" t="s">
        <v>172</v>
      </c>
      <c r="E101" s="12"/>
    </row>
    <row r="102">
      <c r="A102" s="10" t="s">
        <v>154</v>
      </c>
      <c r="B102" s="11" t="s">
        <v>195</v>
      </c>
      <c r="C102" s="12" t="s">
        <v>37</v>
      </c>
      <c r="D102" s="12" t="s">
        <v>172</v>
      </c>
      <c r="E102" s="12"/>
    </row>
    <row r="103">
      <c r="A103" s="10" t="s">
        <v>45</v>
      </c>
      <c r="B103" s="11" t="s">
        <v>196</v>
      </c>
      <c r="C103" s="12" t="s">
        <v>41</v>
      </c>
      <c r="D103" s="12"/>
      <c r="E103" s="12"/>
    </row>
    <row r="104">
      <c r="A104" s="10" t="s">
        <v>100</v>
      </c>
      <c r="B104" s="11" t="s">
        <v>197</v>
      </c>
      <c r="C104" s="12" t="s">
        <v>41</v>
      </c>
      <c r="D104" s="12"/>
      <c r="E104" s="12"/>
    </row>
    <row r="105">
      <c r="A105" s="10" t="s">
        <v>164</v>
      </c>
      <c r="B105" s="11" t="s">
        <v>198</v>
      </c>
      <c r="C105" s="12" t="s">
        <v>41</v>
      </c>
      <c r="D105" s="12"/>
      <c r="E105" s="12"/>
    </row>
    <row r="106">
      <c r="A106" s="10" t="s">
        <v>166</v>
      </c>
      <c r="B106" s="11" t="s">
        <v>199</v>
      </c>
      <c r="C106" s="12" t="s">
        <v>41</v>
      </c>
      <c r="D106" s="12"/>
      <c r="E106" s="12"/>
    </row>
    <row r="107">
      <c r="A107" s="10" t="s">
        <v>182</v>
      </c>
      <c r="B107" s="11" t="s">
        <v>200</v>
      </c>
      <c r="C107" s="12" t="s">
        <v>41</v>
      </c>
      <c r="D107" s="12"/>
      <c r="E107" s="12"/>
    </row>
    <row r="108">
      <c r="A108" s="10" t="s">
        <v>184</v>
      </c>
      <c r="B108" s="11" t="s">
        <v>201</v>
      </c>
      <c r="C108" s="12" t="s">
        <v>41</v>
      </c>
      <c r="D108" s="12"/>
      <c r="E108" s="12"/>
    </row>
    <row r="109">
      <c r="A109" s="10" t="s">
        <v>186</v>
      </c>
      <c r="B109" s="11" t="s">
        <v>202</v>
      </c>
      <c r="C109" s="12" t="s">
        <v>41</v>
      </c>
      <c r="D109" s="12"/>
      <c r="E109" s="12"/>
    </row>
    <row r="110">
      <c r="A110" s="10" t="s">
        <v>168</v>
      </c>
      <c r="B110" s="11" t="s">
        <v>203</v>
      </c>
      <c r="C110" s="12" t="s">
        <v>41</v>
      </c>
      <c r="D110" s="12"/>
      <c r="E110" s="12"/>
    </row>
    <row r="111">
      <c r="A111" s="10" t="s">
        <v>204</v>
      </c>
      <c r="B111" s="11" t="s">
        <v>205</v>
      </c>
      <c r="C111" s="12" t="s">
        <v>41</v>
      </c>
      <c r="D111" s="12"/>
      <c r="E111" s="12"/>
    </row>
    <row r="112">
      <c r="A112" s="10" t="s">
        <v>206</v>
      </c>
      <c r="B112" s="11" t="s">
        <v>207</v>
      </c>
      <c r="C112" s="12" t="s">
        <v>41</v>
      </c>
      <c r="D112" s="12"/>
      <c r="E112" s="12"/>
    </row>
    <row r="113">
      <c r="A113" s="10" t="s">
        <v>208</v>
      </c>
      <c r="B113" s="11" t="s">
        <v>209</v>
      </c>
      <c r="C113" s="12" t="s">
        <v>41</v>
      </c>
      <c r="D113" s="12"/>
      <c r="E113" s="12"/>
    </row>
    <row r="114">
      <c r="A114" s="10" t="s">
        <v>210</v>
      </c>
      <c r="B114" s="11" t="s">
        <v>211</v>
      </c>
      <c r="C114" s="12" t="s">
        <v>41</v>
      </c>
      <c r="D114" s="12"/>
      <c r="E114" s="12"/>
    </row>
    <row r="115">
      <c r="A115" s="10" t="s">
        <v>150</v>
      </c>
      <c r="B115" s="11" t="s">
        <v>212</v>
      </c>
      <c r="C115" s="12" t="s">
        <v>41</v>
      </c>
      <c r="D115" s="12"/>
      <c r="E115" s="12"/>
    </row>
    <row r="116">
      <c r="A116" s="10" t="s">
        <v>39</v>
      </c>
      <c r="B116" s="11" t="s">
        <v>213</v>
      </c>
      <c r="C116" s="12" t="s">
        <v>41</v>
      </c>
      <c r="D116" s="12"/>
      <c r="E116" s="12"/>
    </row>
    <row r="117">
      <c r="A117" s="10" t="s">
        <v>214</v>
      </c>
      <c r="B117" s="11" t="s">
        <v>215</v>
      </c>
      <c r="C117" s="12" t="s">
        <v>41</v>
      </c>
      <c r="D117" s="12"/>
      <c r="E117" s="12"/>
    </row>
    <row r="118">
      <c r="A118" s="10" t="s">
        <v>214</v>
      </c>
      <c r="B118" s="11" t="s">
        <v>216</v>
      </c>
      <c r="C118" s="12" t="s">
        <v>41</v>
      </c>
      <c r="D118" s="12"/>
      <c r="E118" s="12"/>
    </row>
    <row r="119">
      <c r="A119" s="10" t="s">
        <v>217</v>
      </c>
      <c r="B119" s="11" t="s">
        <v>218</v>
      </c>
      <c r="C119" s="12"/>
      <c r="D119" s="12"/>
      <c r="E119" s="12"/>
    </row>
    <row r="120">
      <c r="A120" s="10" t="s">
        <v>219</v>
      </c>
      <c r="B120" s="11" t="s">
        <v>220</v>
      </c>
      <c r="C120" s="12"/>
      <c r="D120" s="12"/>
      <c r="E120" s="12"/>
    </row>
    <row r="121">
      <c r="B121" s="11" t="s">
        <v>221</v>
      </c>
      <c r="C121" s="12"/>
      <c r="D121" s="12"/>
      <c r="E121" s="12"/>
    </row>
    <row r="122">
      <c r="B122" s="11" t="s">
        <v>222</v>
      </c>
      <c r="C122" s="12"/>
      <c r="D122" s="12"/>
      <c r="E122" s="12"/>
    </row>
    <row r="123">
      <c r="B123" s="11" t="s">
        <v>223</v>
      </c>
      <c r="C123" s="12"/>
      <c r="D123" s="12"/>
      <c r="E123" s="12"/>
    </row>
    <row r="124">
      <c r="B124" s="11" t="s">
        <v>224</v>
      </c>
      <c r="C124" s="12"/>
      <c r="D124" s="12"/>
      <c r="E124" s="12"/>
    </row>
    <row r="125">
      <c r="B125" s="11" t="s">
        <v>225</v>
      </c>
      <c r="C125" s="12"/>
      <c r="D125" s="12"/>
      <c r="E125" s="12"/>
    </row>
    <row r="126">
      <c r="B126" s="11" t="s">
        <v>226</v>
      </c>
      <c r="C126" s="12"/>
      <c r="D126" s="12"/>
      <c r="E126" s="12"/>
    </row>
    <row r="127">
      <c r="B127" s="11" t="s">
        <v>227</v>
      </c>
      <c r="C127" s="12"/>
      <c r="D127" s="12"/>
      <c r="E127" s="12"/>
    </row>
    <row r="128">
      <c r="B128" s="11" t="s">
        <v>228</v>
      </c>
      <c r="C128" s="12"/>
      <c r="D128" s="12"/>
      <c r="E128" s="12"/>
    </row>
    <row r="129">
      <c r="B129" s="11" t="s">
        <v>229</v>
      </c>
      <c r="C129" s="12"/>
      <c r="D129" s="12"/>
      <c r="E129" s="12"/>
    </row>
    <row r="130">
      <c r="B130" s="11" t="s">
        <v>230</v>
      </c>
      <c r="C130" s="12"/>
      <c r="D130" s="12"/>
      <c r="E130" s="12"/>
    </row>
    <row r="131">
      <c r="B131" s="11" t="s">
        <v>231</v>
      </c>
      <c r="C131" s="12"/>
      <c r="D131" s="12"/>
      <c r="E131" s="12"/>
    </row>
    <row r="132">
      <c r="B132" s="11" t="s">
        <v>232</v>
      </c>
      <c r="C132" s="12"/>
      <c r="D132" s="12"/>
      <c r="E132" s="12"/>
    </row>
    <row r="133">
      <c r="B133" s="11" t="s">
        <v>233</v>
      </c>
      <c r="C133" s="12"/>
      <c r="D133" s="12"/>
      <c r="E133" s="12"/>
    </row>
    <row r="134">
      <c r="B134" s="11" t="s">
        <v>234</v>
      </c>
      <c r="C134" s="12"/>
      <c r="D134" s="12"/>
      <c r="E134" s="12"/>
    </row>
    <row r="135">
      <c r="B135" s="11" t="s">
        <v>235</v>
      </c>
      <c r="C135" s="12"/>
      <c r="D135" s="12"/>
      <c r="E135" s="12"/>
    </row>
    <row r="136">
      <c r="B136" s="11" t="s">
        <v>236</v>
      </c>
      <c r="C136" s="12"/>
      <c r="D136" s="12"/>
      <c r="E136" s="12"/>
    </row>
    <row r="137">
      <c r="B137" s="11" t="s">
        <v>237</v>
      </c>
      <c r="C137" s="12"/>
      <c r="D137" s="12"/>
      <c r="E137" s="12"/>
    </row>
    <row r="138">
      <c r="B138" s="11" t="s">
        <v>238</v>
      </c>
      <c r="C138" s="12"/>
      <c r="D138" s="12"/>
      <c r="E138" s="12"/>
    </row>
    <row r="139">
      <c r="B139" s="11" t="s">
        <v>239</v>
      </c>
      <c r="C139" s="12"/>
      <c r="D139" s="12"/>
      <c r="E139" s="12"/>
    </row>
    <row r="140">
      <c r="B140" s="11" t="s">
        <v>240</v>
      </c>
      <c r="C140" s="12"/>
      <c r="D140" s="12"/>
      <c r="E140" s="12"/>
    </row>
    <row r="141">
      <c r="B141" s="11" t="s">
        <v>241</v>
      </c>
      <c r="C141" s="12"/>
      <c r="D141" s="12"/>
      <c r="E141" s="12"/>
    </row>
    <row r="142">
      <c r="B142" s="11" t="s">
        <v>242</v>
      </c>
      <c r="C142" s="12"/>
      <c r="D142" s="12"/>
      <c r="E142" s="12"/>
    </row>
    <row r="143">
      <c r="B143" s="11" t="s">
        <v>243</v>
      </c>
      <c r="C143" s="12"/>
      <c r="D143" s="12"/>
      <c r="E143" s="12"/>
    </row>
    <row r="144">
      <c r="B144" s="11" t="s">
        <v>244</v>
      </c>
      <c r="C144" s="12"/>
      <c r="D144" s="12"/>
      <c r="E144" s="12"/>
    </row>
    <row r="145">
      <c r="B145" s="11" t="s">
        <v>245</v>
      </c>
      <c r="C145" s="12"/>
      <c r="D145" s="12"/>
      <c r="E145" s="12"/>
    </row>
    <row r="146">
      <c r="B146" s="11" t="s">
        <v>246</v>
      </c>
      <c r="C146" s="12"/>
      <c r="D146" s="12"/>
      <c r="E146" s="12"/>
    </row>
    <row r="147">
      <c r="B147" s="11" t="s">
        <v>247</v>
      </c>
      <c r="C147" s="12"/>
      <c r="D147" s="12"/>
      <c r="E147" s="12"/>
    </row>
    <row r="148">
      <c r="B148" s="11" t="s">
        <v>248</v>
      </c>
      <c r="C148" s="12"/>
      <c r="D148" s="12"/>
      <c r="E148" s="12"/>
    </row>
    <row r="149">
      <c r="B149" s="11" t="s">
        <v>249</v>
      </c>
      <c r="C149" s="12"/>
      <c r="D149" s="12"/>
      <c r="E149" s="12"/>
    </row>
    <row r="150">
      <c r="B150" s="11" t="s">
        <v>250</v>
      </c>
      <c r="C150" s="12"/>
      <c r="D150" s="12"/>
      <c r="E150" s="12"/>
    </row>
    <row r="151">
      <c r="B151" s="11" t="s">
        <v>251</v>
      </c>
      <c r="C151" s="12"/>
      <c r="D151" s="12"/>
      <c r="E151" s="12"/>
    </row>
    <row r="152">
      <c r="B152" s="11" t="s">
        <v>252</v>
      </c>
      <c r="C152" s="12"/>
      <c r="D152" s="12"/>
      <c r="E152" s="12"/>
    </row>
    <row r="153">
      <c r="B153" s="11" t="s">
        <v>253</v>
      </c>
      <c r="C153" s="12"/>
      <c r="D153" s="12"/>
      <c r="E153" s="12"/>
    </row>
    <row r="154">
      <c r="B154" s="11" t="s">
        <v>254</v>
      </c>
      <c r="C154" s="12"/>
      <c r="D154" s="12"/>
      <c r="E154" s="12"/>
    </row>
    <row r="155">
      <c r="B155" s="11" t="s">
        <v>255</v>
      </c>
      <c r="C155" s="12"/>
      <c r="D155" s="12"/>
      <c r="E155" s="12"/>
    </row>
    <row r="156">
      <c r="B156" s="11" t="s">
        <v>256</v>
      </c>
      <c r="C156" s="12"/>
      <c r="D156" s="12"/>
      <c r="E156" s="12"/>
    </row>
    <row r="157">
      <c r="B157" s="11" t="s">
        <v>257</v>
      </c>
      <c r="C157" s="12"/>
      <c r="D157" s="12"/>
      <c r="E157" s="12"/>
    </row>
    <row r="158">
      <c r="B158" s="11" t="s">
        <v>258</v>
      </c>
      <c r="C158" s="12"/>
      <c r="D158" s="12"/>
      <c r="E158" s="12"/>
    </row>
    <row r="159">
      <c r="B159" s="11" t="s">
        <v>259</v>
      </c>
      <c r="C159" s="12"/>
      <c r="D159" s="12"/>
      <c r="E159" s="12"/>
    </row>
    <row r="160">
      <c r="B160" s="11" t="s">
        <v>260</v>
      </c>
      <c r="C160" s="12"/>
      <c r="D160" s="12"/>
      <c r="E160" s="12"/>
    </row>
    <row r="161">
      <c r="B161" s="11" t="s">
        <v>261</v>
      </c>
      <c r="C161" s="12"/>
      <c r="D161" s="12"/>
      <c r="E161" s="12"/>
    </row>
    <row r="162">
      <c r="B162" s="11" t="s">
        <v>262</v>
      </c>
      <c r="C162" s="12"/>
      <c r="D162" s="12"/>
      <c r="E162" s="12"/>
    </row>
    <row r="163">
      <c r="B163" s="11" t="s">
        <v>263</v>
      </c>
      <c r="C163" s="12"/>
      <c r="D163" s="12"/>
      <c r="E163" s="12"/>
    </row>
    <row r="164">
      <c r="B164" s="11" t="s">
        <v>264</v>
      </c>
      <c r="C164" s="12"/>
      <c r="D164" s="12"/>
      <c r="E164" s="12"/>
    </row>
    <row r="165">
      <c r="B165" s="11" t="s">
        <v>265</v>
      </c>
      <c r="C165" s="12"/>
      <c r="D165" s="12"/>
      <c r="E165" s="12"/>
    </row>
    <row r="166">
      <c r="B166" s="11" t="s">
        <v>266</v>
      </c>
      <c r="C166" s="12"/>
      <c r="D166" s="12"/>
      <c r="E166" s="12"/>
    </row>
    <row r="167">
      <c r="B167" s="11" t="s">
        <v>267</v>
      </c>
      <c r="C167" s="12"/>
      <c r="D167" s="12"/>
      <c r="E167" s="12"/>
    </row>
    <row r="168">
      <c r="B168" s="11" t="s">
        <v>268</v>
      </c>
      <c r="C168" s="12"/>
      <c r="D168" s="12"/>
      <c r="E168" s="12"/>
    </row>
    <row r="169">
      <c r="B169" s="11" t="s">
        <v>269</v>
      </c>
      <c r="C169" s="12"/>
      <c r="D169" s="12"/>
      <c r="E169" s="12"/>
    </row>
    <row r="170">
      <c r="B170" s="11" t="s">
        <v>270</v>
      </c>
      <c r="C170" s="12"/>
      <c r="D170" s="12"/>
      <c r="E170" s="12"/>
    </row>
    <row r="171">
      <c r="B171" s="11" t="s">
        <v>271</v>
      </c>
      <c r="C171" s="12"/>
      <c r="D171" s="12"/>
      <c r="E171" s="12"/>
    </row>
    <row r="172">
      <c r="B172" s="11" t="s">
        <v>272</v>
      </c>
      <c r="C172" s="12"/>
      <c r="D172" s="12"/>
      <c r="E172" s="12"/>
    </row>
    <row r="173">
      <c r="B173" s="11" t="s">
        <v>273</v>
      </c>
      <c r="C173" s="12"/>
      <c r="D173" s="12"/>
      <c r="E173" s="12"/>
    </row>
    <row r="174">
      <c r="B174" s="11" t="s">
        <v>274</v>
      </c>
      <c r="C174" s="12"/>
      <c r="D174" s="12"/>
      <c r="E174" s="12"/>
    </row>
    <row r="175">
      <c r="B175" s="11" t="s">
        <v>275</v>
      </c>
      <c r="C175" s="12"/>
      <c r="D175" s="12"/>
      <c r="E175" s="12"/>
    </row>
    <row r="176">
      <c r="B176" s="11" t="s">
        <v>276</v>
      </c>
      <c r="C176" s="12"/>
      <c r="D176" s="12"/>
      <c r="E176" s="12"/>
    </row>
    <row r="177">
      <c r="B177" s="11" t="s">
        <v>277</v>
      </c>
      <c r="C177" s="12"/>
      <c r="D177" s="12"/>
      <c r="E177" s="12"/>
    </row>
    <row r="178">
      <c r="B178" s="11" t="s">
        <v>278</v>
      </c>
      <c r="C178" s="12"/>
      <c r="D178" s="12"/>
      <c r="E178" s="12"/>
    </row>
    <row r="179">
      <c r="B179" s="11" t="s">
        <v>279</v>
      </c>
      <c r="C179" s="12"/>
      <c r="D179" s="12"/>
      <c r="E179" s="12"/>
    </row>
    <row r="180">
      <c r="B180" s="11" t="s">
        <v>280</v>
      </c>
      <c r="C180" s="12"/>
      <c r="D180" s="12"/>
      <c r="E180" s="12"/>
    </row>
    <row r="181">
      <c r="B181" s="11" t="s">
        <v>281</v>
      </c>
      <c r="C181" s="12"/>
      <c r="D181" s="12"/>
      <c r="E181" s="12"/>
    </row>
    <row r="182">
      <c r="B182" s="11" t="s">
        <v>282</v>
      </c>
      <c r="C182" s="12"/>
      <c r="D182" s="12"/>
      <c r="E182" s="12"/>
    </row>
    <row r="183">
      <c r="B183" s="11" t="s">
        <v>283</v>
      </c>
      <c r="C183" s="12"/>
      <c r="D183" s="12"/>
      <c r="E183" s="12"/>
    </row>
    <row r="184">
      <c r="B184" s="11" t="s">
        <v>284</v>
      </c>
      <c r="C184" s="12"/>
      <c r="D184" s="12"/>
      <c r="E184" s="12"/>
    </row>
    <row r="185">
      <c r="B185" s="11" t="s">
        <v>285</v>
      </c>
      <c r="C185" s="12"/>
      <c r="D185" s="12"/>
      <c r="E185" s="12"/>
    </row>
    <row r="186">
      <c r="B186" s="11" t="s">
        <v>286</v>
      </c>
      <c r="C186" s="12"/>
      <c r="D186" s="12"/>
      <c r="E186" s="12"/>
    </row>
    <row r="187">
      <c r="B187" s="11" t="s">
        <v>287</v>
      </c>
      <c r="C187" s="12"/>
      <c r="D187" s="12"/>
      <c r="E187" s="12"/>
    </row>
    <row r="188">
      <c r="B188" s="11" t="s">
        <v>288</v>
      </c>
      <c r="C188" s="12"/>
      <c r="D188" s="12"/>
      <c r="E188" s="12"/>
    </row>
    <row r="189">
      <c r="B189" s="11" t="s">
        <v>289</v>
      </c>
      <c r="C189" s="12"/>
      <c r="D189" s="12"/>
      <c r="E189" s="12"/>
    </row>
    <row r="190">
      <c r="B190" s="11" t="s">
        <v>290</v>
      </c>
      <c r="C190" s="12"/>
      <c r="D190" s="12"/>
      <c r="E190" s="12"/>
    </row>
    <row r="191">
      <c r="B191" s="11" t="s">
        <v>291</v>
      </c>
      <c r="C191" s="12"/>
      <c r="D191" s="12"/>
      <c r="E191" s="12"/>
    </row>
    <row r="192">
      <c r="B192" s="11" t="s">
        <v>292</v>
      </c>
      <c r="C192" s="12"/>
      <c r="D192" s="12"/>
      <c r="E192" s="12"/>
    </row>
    <row r="193">
      <c r="B193" s="11" t="s">
        <v>293</v>
      </c>
      <c r="C193" s="12"/>
      <c r="D193" s="12"/>
      <c r="E193" s="12"/>
    </row>
    <row r="194">
      <c r="B194" s="11" t="s">
        <v>294</v>
      </c>
      <c r="C194" s="12"/>
      <c r="D194" s="12"/>
      <c r="E194" s="12"/>
    </row>
    <row r="195">
      <c r="B195" s="11" t="s">
        <v>295</v>
      </c>
      <c r="C195" s="12"/>
      <c r="D195" s="12"/>
      <c r="E195" s="12"/>
    </row>
    <row r="196">
      <c r="B196" s="11" t="s">
        <v>296</v>
      </c>
      <c r="C196" s="12"/>
      <c r="D196" s="12"/>
      <c r="E196" s="12"/>
    </row>
    <row r="197">
      <c r="B197" s="11" t="s">
        <v>297</v>
      </c>
      <c r="C197" s="12"/>
      <c r="D197" s="12"/>
      <c r="E197" s="12"/>
    </row>
    <row r="198">
      <c r="B198" s="11" t="s">
        <v>298</v>
      </c>
      <c r="C198" s="12"/>
      <c r="D198" s="12"/>
      <c r="E198" s="12"/>
    </row>
    <row r="199">
      <c r="B199" s="11" t="s">
        <v>299</v>
      </c>
      <c r="C199" s="12"/>
      <c r="D199" s="12"/>
      <c r="E199" s="12"/>
    </row>
    <row r="200">
      <c r="B200" s="11" t="s">
        <v>300</v>
      </c>
      <c r="C200" s="12"/>
      <c r="D200" s="12"/>
      <c r="E200" s="12"/>
    </row>
    <row r="201">
      <c r="B201" s="11" t="s">
        <v>301</v>
      </c>
      <c r="C201" s="12"/>
      <c r="D201" s="12"/>
      <c r="E201" s="12"/>
    </row>
    <row r="202">
      <c r="B202" s="11" t="s">
        <v>302</v>
      </c>
      <c r="C202" s="12"/>
      <c r="D202" s="12"/>
      <c r="E202" s="12"/>
    </row>
    <row r="203">
      <c r="B203" s="11" t="s">
        <v>303</v>
      </c>
      <c r="C203" s="12"/>
      <c r="D203" s="12"/>
      <c r="E203" s="12"/>
    </row>
    <row r="204">
      <c r="B204" s="11" t="s">
        <v>304</v>
      </c>
      <c r="C204" s="12"/>
      <c r="D204" s="12"/>
      <c r="E204" s="12"/>
    </row>
    <row r="205">
      <c r="B205" s="11" t="s">
        <v>305</v>
      </c>
      <c r="C205" s="12"/>
      <c r="D205" s="12"/>
      <c r="E205" s="12"/>
    </row>
    <row r="206">
      <c r="B206" s="11" t="s">
        <v>306</v>
      </c>
      <c r="C206" s="12"/>
      <c r="D206" s="12"/>
      <c r="E206" s="12"/>
    </row>
    <row r="207">
      <c r="B207" s="11" t="s">
        <v>307</v>
      </c>
      <c r="C207" s="12"/>
      <c r="D207" s="12"/>
      <c r="E207" s="12"/>
    </row>
    <row r="208">
      <c r="B208" s="11" t="s">
        <v>308</v>
      </c>
      <c r="C208" s="12"/>
      <c r="D208" s="12"/>
      <c r="E208" s="12"/>
    </row>
    <row r="209">
      <c r="B209" s="11" t="s">
        <v>309</v>
      </c>
      <c r="C209" s="12"/>
      <c r="D209" s="12"/>
      <c r="E209" s="12"/>
    </row>
    <row r="210">
      <c r="B210" s="11" t="s">
        <v>310</v>
      </c>
      <c r="C210" s="12"/>
      <c r="D210" s="12"/>
      <c r="E210" s="12"/>
    </row>
    <row r="211">
      <c r="B211" s="11" t="s">
        <v>311</v>
      </c>
      <c r="C211" s="12"/>
      <c r="D211" s="12"/>
      <c r="E211" s="12"/>
    </row>
    <row r="212">
      <c r="B212" s="11" t="s">
        <v>312</v>
      </c>
      <c r="C212" s="12"/>
      <c r="D212" s="12"/>
      <c r="E212" s="12"/>
    </row>
    <row r="213">
      <c r="B213" s="11" t="s">
        <v>313</v>
      </c>
      <c r="C213" s="12"/>
      <c r="D213" s="12"/>
      <c r="E213" s="12"/>
    </row>
    <row r="214">
      <c r="B214" s="11" t="s">
        <v>314</v>
      </c>
      <c r="C214" s="12"/>
      <c r="D214" s="12"/>
      <c r="E214" s="12"/>
    </row>
    <row r="215">
      <c r="B215" s="11" t="s">
        <v>315</v>
      </c>
      <c r="C215" s="12"/>
      <c r="D215" s="12"/>
      <c r="E215" s="12"/>
    </row>
    <row r="216">
      <c r="B216" s="11" t="s">
        <v>316</v>
      </c>
      <c r="C216" s="12"/>
      <c r="D216" s="12"/>
      <c r="E216" s="12"/>
    </row>
    <row r="217">
      <c r="B217" s="11" t="s">
        <v>317</v>
      </c>
      <c r="C217" s="12"/>
      <c r="D217" s="12"/>
      <c r="E217" s="12"/>
    </row>
    <row r="218">
      <c r="B218" s="11" t="s">
        <v>318</v>
      </c>
      <c r="C218" s="12"/>
      <c r="D218" s="12"/>
      <c r="E218" s="12"/>
    </row>
    <row r="219">
      <c r="B219" s="11" t="s">
        <v>319</v>
      </c>
      <c r="C219" s="12"/>
      <c r="D219" s="12"/>
      <c r="E219" s="12"/>
    </row>
    <row r="220">
      <c r="B220" s="11" t="s">
        <v>320</v>
      </c>
      <c r="C220" s="12"/>
      <c r="D220" s="12"/>
      <c r="E220" s="12"/>
    </row>
    <row r="221">
      <c r="B221" s="11" t="s">
        <v>321</v>
      </c>
      <c r="C221" s="12"/>
      <c r="D221" s="12"/>
      <c r="E221" s="12"/>
    </row>
    <row r="222">
      <c r="B222" s="11" t="s">
        <v>322</v>
      </c>
      <c r="C222" s="12"/>
      <c r="D222" s="12"/>
      <c r="E222" s="12"/>
    </row>
    <row r="223">
      <c r="B223" s="11" t="s">
        <v>323</v>
      </c>
      <c r="C223" s="12"/>
      <c r="D223" s="12"/>
      <c r="E223" s="12"/>
    </row>
    <row r="224">
      <c r="B224" s="11" t="s">
        <v>324</v>
      </c>
      <c r="C224" s="12"/>
      <c r="D224" s="12"/>
      <c r="E224" s="12"/>
    </row>
    <row r="225">
      <c r="B225" s="11" t="s">
        <v>325</v>
      </c>
      <c r="C225" s="12"/>
      <c r="D225" s="12"/>
      <c r="E225" s="12"/>
    </row>
    <row r="226">
      <c r="B226" s="11" t="s">
        <v>326</v>
      </c>
      <c r="C226" s="12"/>
      <c r="D226" s="12"/>
      <c r="E226" s="12"/>
    </row>
    <row r="227">
      <c r="B227" s="11" t="s">
        <v>327</v>
      </c>
      <c r="C227" s="12"/>
      <c r="D227" s="12"/>
      <c r="E227" s="12"/>
    </row>
    <row r="228">
      <c r="B228" s="11" t="s">
        <v>328</v>
      </c>
      <c r="C228" s="12"/>
      <c r="D228" s="12"/>
      <c r="E228" s="12"/>
    </row>
    <row r="229">
      <c r="B229" s="11" t="s">
        <v>329</v>
      </c>
      <c r="C229" s="12"/>
      <c r="D229" s="12"/>
      <c r="E229" s="12"/>
    </row>
    <row r="230">
      <c r="B230" s="11" t="s">
        <v>330</v>
      </c>
      <c r="C230" s="12"/>
      <c r="D230" s="12"/>
      <c r="E230" s="12"/>
    </row>
    <row r="231">
      <c r="B231" s="11" t="s">
        <v>331</v>
      </c>
      <c r="C231" s="12"/>
      <c r="D231" s="12"/>
      <c r="E231" s="12"/>
    </row>
    <row r="232">
      <c r="B232" s="11" t="s">
        <v>332</v>
      </c>
      <c r="C232" s="12"/>
      <c r="D232" s="12"/>
      <c r="E232" s="12"/>
    </row>
    <row r="233">
      <c r="B233" s="11" t="s">
        <v>333</v>
      </c>
      <c r="C233" s="12"/>
      <c r="D233" s="12"/>
      <c r="E233" s="12"/>
    </row>
    <row r="234">
      <c r="B234" s="11" t="s">
        <v>334</v>
      </c>
      <c r="C234" s="12"/>
      <c r="D234" s="12"/>
      <c r="E234" s="12"/>
    </row>
    <row r="235">
      <c r="B235" s="11" t="s">
        <v>335</v>
      </c>
      <c r="C235" s="12"/>
      <c r="D235" s="12"/>
      <c r="E235" s="12"/>
    </row>
    <row r="236">
      <c r="B236" s="11" t="s">
        <v>336</v>
      </c>
      <c r="C236" s="12"/>
      <c r="D236" s="12"/>
      <c r="E236" s="12"/>
    </row>
    <row r="237">
      <c r="B237" s="11" t="s">
        <v>337</v>
      </c>
      <c r="C237" s="12"/>
      <c r="D237" s="12"/>
      <c r="E237" s="12"/>
    </row>
    <row r="238">
      <c r="B238" s="11" t="s">
        <v>338</v>
      </c>
      <c r="C238" s="12"/>
      <c r="D238" s="12"/>
      <c r="E238" s="12"/>
    </row>
    <row r="239">
      <c r="B239" s="11" t="s">
        <v>339</v>
      </c>
      <c r="C239" s="12"/>
      <c r="D239" s="12"/>
      <c r="E239" s="12"/>
    </row>
    <row r="240">
      <c r="B240" s="11" t="s">
        <v>340</v>
      </c>
      <c r="C240" s="12"/>
      <c r="D240" s="12"/>
      <c r="E240" s="12"/>
    </row>
    <row r="241">
      <c r="B241" s="11" t="s">
        <v>341</v>
      </c>
      <c r="C241" s="12"/>
      <c r="D241" s="12"/>
      <c r="E241" s="12"/>
    </row>
    <row r="242">
      <c r="B242" s="11" t="s">
        <v>342</v>
      </c>
      <c r="C242" s="12"/>
      <c r="D242" s="12"/>
      <c r="E242" s="12"/>
    </row>
    <row r="243">
      <c r="B243" s="11" t="s">
        <v>343</v>
      </c>
      <c r="C243" s="12"/>
      <c r="D243" s="12"/>
      <c r="E243" s="12"/>
    </row>
    <row r="244">
      <c r="B244" s="11" t="s">
        <v>344</v>
      </c>
      <c r="C244" s="12"/>
      <c r="D244" s="12"/>
      <c r="E244" s="12"/>
    </row>
    <row r="245">
      <c r="B245" s="11" t="s">
        <v>345</v>
      </c>
      <c r="C245" s="12"/>
      <c r="D245" s="12"/>
      <c r="E245" s="12"/>
    </row>
    <row r="246">
      <c r="B246" s="11" t="s">
        <v>346</v>
      </c>
      <c r="C246" s="12"/>
      <c r="D246" s="12"/>
      <c r="E246" s="12"/>
    </row>
    <row r="247">
      <c r="B247" s="11" t="s">
        <v>347</v>
      </c>
      <c r="C247" s="12"/>
      <c r="D247" s="12"/>
      <c r="E247" s="12"/>
    </row>
    <row r="248">
      <c r="B248" s="11" t="s">
        <v>348</v>
      </c>
      <c r="C248" s="12"/>
      <c r="D248" s="12"/>
      <c r="E248" s="12"/>
    </row>
    <row r="249">
      <c r="B249" s="11" t="s">
        <v>349</v>
      </c>
      <c r="C249" s="12"/>
      <c r="D249" s="12"/>
      <c r="E249" s="12"/>
    </row>
    <row r="250">
      <c r="B250" s="11" t="s">
        <v>350</v>
      </c>
      <c r="C250" s="12"/>
      <c r="D250" s="12"/>
      <c r="E250" s="12"/>
    </row>
    <row r="251">
      <c r="B251" s="11" t="s">
        <v>351</v>
      </c>
      <c r="C251" s="12"/>
      <c r="D251" s="12"/>
      <c r="E251" s="12"/>
    </row>
    <row r="252">
      <c r="B252" s="11" t="s">
        <v>352</v>
      </c>
      <c r="C252" s="12"/>
      <c r="D252" s="12"/>
      <c r="E252" s="12"/>
    </row>
    <row r="253">
      <c r="B253" s="11" t="s">
        <v>353</v>
      </c>
      <c r="C253" s="12"/>
      <c r="D253" s="12"/>
      <c r="E253" s="12"/>
    </row>
    <row r="254">
      <c r="B254" s="11" t="s">
        <v>354</v>
      </c>
      <c r="C254" s="12"/>
      <c r="D254" s="12"/>
      <c r="E254" s="12"/>
    </row>
    <row r="255">
      <c r="B255" s="11" t="s">
        <v>355</v>
      </c>
      <c r="C255" s="12"/>
      <c r="D255" s="12"/>
      <c r="E255" s="12"/>
    </row>
    <row r="256">
      <c r="B256" s="11" t="s">
        <v>356</v>
      </c>
      <c r="C256" s="12"/>
      <c r="D256" s="12"/>
      <c r="E256" s="12"/>
    </row>
    <row r="257">
      <c r="B257" s="11" t="s">
        <v>357</v>
      </c>
      <c r="C257" s="12"/>
      <c r="D257" s="12"/>
      <c r="E257" s="12"/>
    </row>
    <row r="258">
      <c r="B258" s="11" t="s">
        <v>358</v>
      </c>
      <c r="C258" s="12"/>
      <c r="D258" s="12"/>
      <c r="E258" s="12"/>
    </row>
    <row r="259">
      <c r="B259" s="11" t="s">
        <v>359</v>
      </c>
      <c r="C259" s="12"/>
      <c r="D259" s="12"/>
      <c r="E259" s="12"/>
    </row>
    <row r="260">
      <c r="B260" s="11" t="s">
        <v>360</v>
      </c>
      <c r="C260" s="12"/>
      <c r="D260" s="12"/>
      <c r="E260" s="12"/>
    </row>
    <row r="261">
      <c r="B261" s="11" t="s">
        <v>361</v>
      </c>
      <c r="C261" s="12"/>
      <c r="D261" s="12"/>
      <c r="E261" s="12"/>
    </row>
    <row r="262">
      <c r="B262" s="11" t="s">
        <v>362</v>
      </c>
      <c r="C262" s="12"/>
      <c r="D262" s="12"/>
      <c r="E262" s="12"/>
    </row>
    <row r="263">
      <c r="B263" s="11" t="s">
        <v>363</v>
      </c>
      <c r="C263" s="12"/>
      <c r="D263" s="12"/>
      <c r="E263" s="12"/>
    </row>
    <row r="264">
      <c r="B264" s="11" t="s">
        <v>364</v>
      </c>
      <c r="C264" s="12"/>
      <c r="D264" s="12"/>
      <c r="E264" s="12"/>
    </row>
    <row r="265">
      <c r="B265" s="11" t="s">
        <v>365</v>
      </c>
      <c r="C265" s="12"/>
      <c r="D265" s="12"/>
      <c r="E265" s="12"/>
    </row>
    <row r="266">
      <c r="B266" s="11" t="s">
        <v>366</v>
      </c>
      <c r="C266" s="12"/>
      <c r="D266" s="12"/>
      <c r="E266" s="12"/>
    </row>
    <row r="267">
      <c r="B267" s="11" t="s">
        <v>367</v>
      </c>
      <c r="C267" s="12"/>
      <c r="D267" s="12"/>
      <c r="E267" s="12"/>
    </row>
    <row r="268">
      <c r="B268" s="11" t="s">
        <v>368</v>
      </c>
      <c r="C268" s="12"/>
      <c r="D268" s="12"/>
      <c r="E268" s="12"/>
    </row>
    <row r="269">
      <c r="B269" s="11" t="s">
        <v>369</v>
      </c>
      <c r="C269" s="12"/>
      <c r="D269" s="12"/>
      <c r="E269" s="12"/>
    </row>
    <row r="270">
      <c r="B270" s="11" t="s">
        <v>370</v>
      </c>
      <c r="C270" s="12"/>
      <c r="D270" s="12"/>
      <c r="E270" s="12"/>
    </row>
    <row r="271">
      <c r="B271" s="11" t="s">
        <v>371</v>
      </c>
      <c r="C271" s="12"/>
      <c r="D271" s="12"/>
      <c r="E271" s="12"/>
    </row>
    <row r="272">
      <c r="B272" s="11" t="s">
        <v>372</v>
      </c>
      <c r="C272" s="12"/>
      <c r="D272" s="12"/>
      <c r="E272" s="12"/>
    </row>
    <row r="273">
      <c r="B273" s="11" t="s">
        <v>373</v>
      </c>
      <c r="C273" s="12"/>
      <c r="D273" s="12"/>
      <c r="E273" s="12"/>
    </row>
    <row r="274">
      <c r="B274" s="11" t="s">
        <v>374</v>
      </c>
      <c r="C274" s="12"/>
      <c r="D274" s="12"/>
      <c r="E274" s="12"/>
    </row>
    <row r="275">
      <c r="B275" s="11" t="s">
        <v>375</v>
      </c>
      <c r="C275" s="12"/>
      <c r="D275" s="12"/>
      <c r="E275" s="12"/>
    </row>
    <row r="276">
      <c r="B276" s="11" t="s">
        <v>376</v>
      </c>
      <c r="C276" s="12"/>
      <c r="D276" s="12"/>
      <c r="E276" s="12"/>
    </row>
    <row r="277">
      <c r="B277" s="11" t="s">
        <v>377</v>
      </c>
      <c r="C277" s="12"/>
      <c r="D277" s="12"/>
      <c r="E277" s="12"/>
    </row>
    <row r="278">
      <c r="A278" s="10" t="s">
        <v>182</v>
      </c>
      <c r="B278" s="11" t="s">
        <v>378</v>
      </c>
      <c r="C278" s="12" t="s">
        <v>41</v>
      </c>
      <c r="D278" s="12"/>
      <c r="E278" s="12"/>
    </row>
    <row r="279">
      <c r="A279" s="10" t="s">
        <v>379</v>
      </c>
      <c r="B279" s="11" t="s">
        <v>380</v>
      </c>
      <c r="C279" s="12" t="s">
        <v>41</v>
      </c>
      <c r="D279" s="12"/>
      <c r="E279" s="12"/>
    </row>
    <row r="280">
      <c r="A280" s="10" t="s">
        <v>381</v>
      </c>
      <c r="B280" s="11" t="s">
        <v>382</v>
      </c>
      <c r="C280" s="12" t="s">
        <v>41</v>
      </c>
      <c r="D280" s="12"/>
      <c r="E280" s="12"/>
    </row>
    <row r="281">
      <c r="A281" s="10" t="s">
        <v>383</v>
      </c>
      <c r="B281" s="11" t="s">
        <v>384</v>
      </c>
      <c r="C281" s="12" t="s">
        <v>41</v>
      </c>
      <c r="D281" s="12"/>
      <c r="E281" s="12"/>
    </row>
    <row r="282">
      <c r="A282" s="10" t="s">
        <v>385</v>
      </c>
      <c r="B282" s="11" t="s">
        <v>386</v>
      </c>
      <c r="C282" s="12" t="s">
        <v>41</v>
      </c>
      <c r="D282" s="12"/>
      <c r="E282" s="12"/>
    </row>
    <row r="283">
      <c r="A283" s="10" t="s">
        <v>387</v>
      </c>
      <c r="B283" s="11" t="s">
        <v>388</v>
      </c>
      <c r="C283" s="12" t="s">
        <v>41</v>
      </c>
      <c r="D283" s="12"/>
      <c r="E283" s="12"/>
    </row>
    <row r="284">
      <c r="A284" s="10" t="s">
        <v>64</v>
      </c>
      <c r="B284" s="11" t="s">
        <v>389</v>
      </c>
      <c r="C284" s="12" t="s">
        <v>41</v>
      </c>
      <c r="D284" s="12"/>
      <c r="E284" s="12"/>
    </row>
    <row r="285">
      <c r="A285" s="10" t="s">
        <v>390</v>
      </c>
      <c r="B285" s="11" t="s">
        <v>391</v>
      </c>
      <c r="C285" s="12" t="s">
        <v>41</v>
      </c>
      <c r="D285" s="12"/>
      <c r="E285" s="12"/>
    </row>
    <row r="286">
      <c r="A286" s="10" t="s">
        <v>392</v>
      </c>
      <c r="B286" s="11" t="s">
        <v>393</v>
      </c>
      <c r="C286" s="12" t="s">
        <v>37</v>
      </c>
      <c r="D286" s="12" t="s">
        <v>394</v>
      </c>
      <c r="E286" s="12"/>
    </row>
    <row r="287">
      <c r="A287" s="10" t="s">
        <v>395</v>
      </c>
      <c r="B287" s="11" t="s">
        <v>396</v>
      </c>
      <c r="C287" s="12" t="s">
        <v>37</v>
      </c>
      <c r="D287" s="12" t="s">
        <v>394</v>
      </c>
      <c r="E287" s="12"/>
    </row>
    <row r="288">
      <c r="A288" s="10" t="s">
        <v>397</v>
      </c>
      <c r="B288" s="11" t="s">
        <v>398</v>
      </c>
      <c r="C288" s="12" t="s">
        <v>41</v>
      </c>
      <c r="D288" s="12"/>
      <c r="E288" s="12"/>
    </row>
    <row r="289">
      <c r="A289" s="10" t="s">
        <v>399</v>
      </c>
      <c r="B289" s="11" t="s">
        <v>400</v>
      </c>
      <c r="C289" s="12" t="s">
        <v>41</v>
      </c>
      <c r="D289" s="12"/>
      <c r="E289" s="12"/>
    </row>
    <row r="290">
      <c r="A290" s="10" t="s">
        <v>401</v>
      </c>
      <c r="B290" s="11" t="s">
        <v>402</v>
      </c>
      <c r="C290" s="12" t="s">
        <v>37</v>
      </c>
      <c r="D290" s="12" t="s">
        <v>403</v>
      </c>
      <c r="E290" s="12"/>
    </row>
    <row r="291">
      <c r="A291" s="10" t="s">
        <v>404</v>
      </c>
      <c r="B291" s="11" t="s">
        <v>405</v>
      </c>
      <c r="C291" s="12" t="s">
        <v>41</v>
      </c>
      <c r="D291" s="12"/>
      <c r="E291" s="12"/>
    </row>
    <row r="292">
      <c r="A292" s="10" t="s">
        <v>406</v>
      </c>
      <c r="B292" s="11" t="s">
        <v>407</v>
      </c>
      <c r="C292" s="12" t="s">
        <v>41</v>
      </c>
      <c r="D292" s="12"/>
      <c r="E292" s="12"/>
    </row>
    <row r="293">
      <c r="A293" s="10" t="s">
        <v>395</v>
      </c>
      <c r="B293" s="11" t="s">
        <v>408</v>
      </c>
      <c r="C293" s="12" t="s">
        <v>37</v>
      </c>
      <c r="D293" s="12" t="s">
        <v>403</v>
      </c>
      <c r="E293" s="12"/>
    </row>
    <row r="294">
      <c r="A294" s="10" t="s">
        <v>60</v>
      </c>
      <c r="B294" s="11" t="s">
        <v>409</v>
      </c>
      <c r="C294" s="12" t="s">
        <v>41</v>
      </c>
      <c r="D294" s="12"/>
      <c r="E294" s="12"/>
    </row>
    <row r="295">
      <c r="A295" s="10" t="s">
        <v>62</v>
      </c>
      <c r="B295" s="11" t="s">
        <v>410</v>
      </c>
      <c r="C295" s="12" t="s">
        <v>41</v>
      </c>
      <c r="D295" s="12"/>
      <c r="E295" s="12"/>
    </row>
    <row r="296">
      <c r="A296" s="10" t="s">
        <v>64</v>
      </c>
      <c r="B296" s="11" t="s">
        <v>411</v>
      </c>
      <c r="C296" s="12" t="s">
        <v>41</v>
      </c>
      <c r="D296" s="12"/>
      <c r="E296" s="12"/>
    </row>
    <row r="297">
      <c r="A297" s="10" t="s">
        <v>412</v>
      </c>
      <c r="B297" s="11" t="s">
        <v>413</v>
      </c>
      <c r="C297" s="12" t="s">
        <v>41</v>
      </c>
      <c r="D297" s="12"/>
      <c r="E297" s="12"/>
    </row>
    <row r="298">
      <c r="A298" s="10" t="s">
        <v>206</v>
      </c>
      <c r="B298" s="11" t="s">
        <v>414</v>
      </c>
      <c r="C298" s="12" t="s">
        <v>41</v>
      </c>
      <c r="D298" s="12"/>
      <c r="E298" s="12"/>
    </row>
    <row r="299">
      <c r="A299" s="10" t="s">
        <v>415</v>
      </c>
      <c r="B299" s="11" t="s">
        <v>416</v>
      </c>
      <c r="C299" s="12" t="s">
        <v>41</v>
      </c>
      <c r="D299" s="12"/>
      <c r="E299" s="12"/>
    </row>
    <row r="300">
      <c r="A300" s="10" t="s">
        <v>417</v>
      </c>
      <c r="B300" s="11" t="s">
        <v>418</v>
      </c>
      <c r="C300" s="12" t="s">
        <v>41</v>
      </c>
      <c r="D300" s="12"/>
      <c r="E300" s="12"/>
    </row>
    <row r="301">
      <c r="A301" s="10" t="s">
        <v>390</v>
      </c>
      <c r="B301" s="11" t="s">
        <v>419</v>
      </c>
      <c r="C301" s="12" t="s">
        <v>41</v>
      </c>
      <c r="D301" s="12"/>
      <c r="E301" s="12"/>
    </row>
    <row r="302">
      <c r="A302" s="10" t="s">
        <v>420</v>
      </c>
      <c r="B302" s="11" t="s">
        <v>421</v>
      </c>
      <c r="C302" s="12" t="s">
        <v>41</v>
      </c>
      <c r="D302" s="12"/>
      <c r="E302" s="12"/>
    </row>
    <row r="303">
      <c r="A303" s="10" t="s">
        <v>422</v>
      </c>
      <c r="B303" s="11" t="s">
        <v>423</v>
      </c>
      <c r="C303" s="12" t="s">
        <v>41</v>
      </c>
      <c r="D303" s="12"/>
      <c r="E303" s="12"/>
    </row>
    <row r="304">
      <c r="A304" s="10" t="s">
        <v>401</v>
      </c>
      <c r="B304" s="11" t="s">
        <v>424</v>
      </c>
      <c r="C304" s="12" t="s">
        <v>37</v>
      </c>
      <c r="D304" s="12" t="s">
        <v>425</v>
      </c>
      <c r="E304" s="12"/>
    </row>
    <row r="305">
      <c r="A305" s="10" t="s">
        <v>426</v>
      </c>
      <c r="B305" s="11" t="s">
        <v>427</v>
      </c>
      <c r="C305" s="12" t="s">
        <v>41</v>
      </c>
      <c r="D305" s="12"/>
      <c r="E305" s="12"/>
    </row>
    <row r="306">
      <c r="A306" s="10" t="s">
        <v>406</v>
      </c>
      <c r="B306" s="11" t="s">
        <v>428</v>
      </c>
      <c r="C306" s="12" t="s">
        <v>41</v>
      </c>
      <c r="D306" s="12"/>
      <c r="E306" s="12"/>
    </row>
    <row r="307">
      <c r="A307" s="10" t="s">
        <v>395</v>
      </c>
      <c r="B307" s="11" t="s">
        <v>429</v>
      </c>
      <c r="C307" s="12" t="s">
        <v>37</v>
      </c>
      <c r="D307" s="12" t="s">
        <v>425</v>
      </c>
      <c r="E307" s="12"/>
    </row>
    <row r="308">
      <c r="A308" s="14" t="s">
        <v>60</v>
      </c>
      <c r="B308" s="11" t="s">
        <v>430</v>
      </c>
      <c r="C308" s="12" t="s">
        <v>41</v>
      </c>
      <c r="D308" s="12"/>
      <c r="E308" s="12"/>
    </row>
    <row r="309">
      <c r="A309" s="10" t="s">
        <v>62</v>
      </c>
      <c r="B309" s="11" t="s">
        <v>431</v>
      </c>
      <c r="C309" s="12" t="s">
        <v>41</v>
      </c>
      <c r="D309" s="12"/>
      <c r="E309" s="12"/>
    </row>
    <row r="310">
      <c r="A310" s="14" t="s">
        <v>64</v>
      </c>
      <c r="B310" s="11" t="s">
        <v>432</v>
      </c>
      <c r="C310" s="12" t="s">
        <v>41</v>
      </c>
      <c r="D310" s="12"/>
      <c r="E310" s="12"/>
    </row>
    <row r="311">
      <c r="A311" s="14" t="s">
        <v>204</v>
      </c>
      <c r="B311" s="11" t="s">
        <v>433</v>
      </c>
      <c r="C311" s="12" t="s">
        <v>41</v>
      </c>
      <c r="D311" s="12"/>
      <c r="E311" s="12"/>
    </row>
    <row r="312">
      <c r="A312" s="14" t="s">
        <v>206</v>
      </c>
      <c r="B312" s="11" t="s">
        <v>434</v>
      </c>
      <c r="C312" s="12" t="s">
        <v>41</v>
      </c>
      <c r="D312" s="12"/>
      <c r="E312" s="12"/>
    </row>
    <row r="313">
      <c r="A313" s="14" t="s">
        <v>392</v>
      </c>
      <c r="B313" s="11" t="s">
        <v>435</v>
      </c>
      <c r="C313" s="12" t="s">
        <v>41</v>
      </c>
      <c r="D313" s="12"/>
      <c r="E313" s="12"/>
    </row>
    <row r="314">
      <c r="A314" s="10" t="s">
        <v>436</v>
      </c>
      <c r="B314" s="11" t="s">
        <v>437</v>
      </c>
      <c r="C314" s="12" t="s">
        <v>41</v>
      </c>
      <c r="D314" s="12"/>
      <c r="E314" s="12"/>
    </row>
    <row r="315">
      <c r="A315" s="10" t="s">
        <v>390</v>
      </c>
      <c r="B315" s="11" t="s">
        <v>438</v>
      </c>
      <c r="C315" s="12" t="s">
        <v>41</v>
      </c>
      <c r="D315" s="12"/>
      <c r="E315" s="12"/>
    </row>
    <row r="316">
      <c r="A316" s="10" t="s">
        <v>439</v>
      </c>
      <c r="B316" s="11" t="s">
        <v>440</v>
      </c>
      <c r="C316" s="12" t="s">
        <v>41</v>
      </c>
      <c r="D316" s="12"/>
      <c r="E316" s="12"/>
    </row>
    <row r="317">
      <c r="B317" s="11" t="s">
        <v>441</v>
      </c>
      <c r="C317" s="12"/>
      <c r="D317" s="12"/>
      <c r="E317" s="12"/>
    </row>
    <row r="318">
      <c r="B318" s="11" t="s">
        <v>442</v>
      </c>
      <c r="C318" s="12"/>
      <c r="D318" s="12"/>
      <c r="E318" s="12"/>
    </row>
    <row r="319">
      <c r="B319" s="11" t="s">
        <v>443</v>
      </c>
      <c r="C319" s="12"/>
      <c r="D319" s="12"/>
      <c r="E319" s="12"/>
    </row>
    <row r="320">
      <c r="B320" s="11" t="s">
        <v>444</v>
      </c>
      <c r="C320" s="12"/>
      <c r="D320" s="12"/>
      <c r="E320" s="12"/>
    </row>
    <row r="321">
      <c r="B321" s="11" t="s">
        <v>445</v>
      </c>
      <c r="C321" s="12"/>
      <c r="D321" s="12"/>
      <c r="E321" s="12"/>
    </row>
    <row r="322">
      <c r="B322" s="11" t="s">
        <v>446</v>
      </c>
      <c r="C322" s="12"/>
      <c r="D322" s="12"/>
      <c r="E322" s="12"/>
    </row>
    <row r="323">
      <c r="B323" s="11" t="s">
        <v>447</v>
      </c>
      <c r="C323" s="12"/>
      <c r="D323" s="12"/>
      <c r="E323" s="12"/>
    </row>
    <row r="324">
      <c r="B324" s="11" t="s">
        <v>448</v>
      </c>
      <c r="C324" s="12"/>
      <c r="D324" s="12"/>
      <c r="E324" s="12"/>
    </row>
    <row r="325">
      <c r="B325" s="11" t="s">
        <v>449</v>
      </c>
      <c r="C325" s="12"/>
      <c r="D325" s="12"/>
      <c r="E325" s="12"/>
    </row>
    <row r="326">
      <c r="B326" s="11" t="s">
        <v>450</v>
      </c>
      <c r="C326" s="12"/>
      <c r="D326" s="12"/>
      <c r="E326" s="12"/>
    </row>
    <row r="327">
      <c r="B327" s="11" t="s">
        <v>451</v>
      </c>
      <c r="C327" s="12"/>
      <c r="D327" s="12"/>
      <c r="E327" s="12"/>
    </row>
    <row r="328">
      <c r="B328" s="11" t="s">
        <v>452</v>
      </c>
      <c r="C328" s="12"/>
      <c r="D328" s="12"/>
      <c r="E328" s="12"/>
    </row>
    <row r="329">
      <c r="B329" s="11" t="s">
        <v>453</v>
      </c>
      <c r="C329" s="12"/>
      <c r="D329" s="12"/>
      <c r="E329" s="12"/>
    </row>
    <row r="330">
      <c r="B330" s="11" t="s">
        <v>454</v>
      </c>
      <c r="C330" s="12"/>
      <c r="D330" s="12"/>
      <c r="E330" s="12"/>
    </row>
    <row r="331">
      <c r="B331" s="11" t="s">
        <v>455</v>
      </c>
      <c r="C331" s="12"/>
      <c r="D331" s="12"/>
      <c r="E331" s="12"/>
    </row>
    <row r="332">
      <c r="B332" s="11" t="s">
        <v>456</v>
      </c>
      <c r="C332" s="12"/>
      <c r="D332" s="12"/>
      <c r="E332" s="12"/>
    </row>
    <row r="333">
      <c r="B333" s="11" t="s">
        <v>457</v>
      </c>
      <c r="C333" s="12"/>
      <c r="D333" s="12"/>
      <c r="E333" s="12"/>
    </row>
    <row r="334">
      <c r="B334" s="11" t="s">
        <v>458</v>
      </c>
      <c r="C334" s="12"/>
      <c r="D334" s="12"/>
      <c r="E334" s="12"/>
    </row>
    <row r="335">
      <c r="B335" s="11" t="s">
        <v>459</v>
      </c>
      <c r="C335" s="12"/>
      <c r="D335" s="12"/>
      <c r="E335" s="12"/>
    </row>
    <row r="336">
      <c r="B336" s="11" t="s">
        <v>460</v>
      </c>
      <c r="C336" s="12"/>
      <c r="D336" s="12"/>
      <c r="E336" s="12"/>
    </row>
    <row r="337">
      <c r="B337" s="11" t="s">
        <v>461</v>
      </c>
      <c r="C337" s="12"/>
      <c r="D337" s="12"/>
      <c r="E337" s="12"/>
    </row>
    <row r="338">
      <c r="B338" s="11" t="s">
        <v>462</v>
      </c>
      <c r="C338" s="12"/>
      <c r="D338" s="12"/>
      <c r="E338" s="12"/>
    </row>
    <row r="339">
      <c r="B339" s="11" t="s">
        <v>463</v>
      </c>
      <c r="C339" s="12"/>
      <c r="D339" s="12"/>
      <c r="E339" s="12"/>
    </row>
    <row r="340">
      <c r="B340" s="11" t="s">
        <v>464</v>
      </c>
      <c r="C340" s="12"/>
      <c r="D340" s="12"/>
      <c r="E340" s="12"/>
    </row>
    <row r="341">
      <c r="B341" s="11" t="s">
        <v>465</v>
      </c>
      <c r="C341" s="12"/>
      <c r="D341" s="12"/>
      <c r="E341" s="12"/>
    </row>
    <row r="342">
      <c r="B342" s="11" t="s">
        <v>466</v>
      </c>
      <c r="C342" s="12"/>
      <c r="D342" s="12"/>
      <c r="E342" s="12"/>
    </row>
    <row r="343">
      <c r="B343" s="11" t="s">
        <v>467</v>
      </c>
      <c r="C343" s="12"/>
      <c r="D343" s="12"/>
      <c r="E343" s="12"/>
    </row>
    <row r="344">
      <c r="B344" s="11" t="s">
        <v>468</v>
      </c>
      <c r="C344" s="12"/>
      <c r="D344" s="12"/>
      <c r="E344" s="12"/>
    </row>
    <row r="345">
      <c r="B345" s="11" t="s">
        <v>469</v>
      </c>
      <c r="C345" s="12"/>
      <c r="D345" s="12"/>
      <c r="E345" s="12"/>
    </row>
    <row r="346">
      <c r="B346" s="11" t="s">
        <v>470</v>
      </c>
      <c r="C346" s="12"/>
      <c r="D346" s="12"/>
      <c r="E346" s="12"/>
    </row>
    <row r="347">
      <c r="B347" s="11" t="s">
        <v>471</v>
      </c>
      <c r="C347" s="12"/>
      <c r="D347" s="12"/>
      <c r="E347" s="12"/>
    </row>
    <row r="348">
      <c r="B348" s="11" t="s">
        <v>472</v>
      </c>
      <c r="C348" s="12"/>
      <c r="D348" s="12"/>
      <c r="E348" s="12"/>
    </row>
    <row r="349">
      <c r="B349" s="11" t="s">
        <v>473</v>
      </c>
      <c r="C349" s="12"/>
      <c r="D349" s="12"/>
      <c r="E349" s="12"/>
    </row>
    <row r="350">
      <c r="B350" s="11" t="s">
        <v>474</v>
      </c>
      <c r="C350" s="12"/>
      <c r="D350" s="12"/>
      <c r="E350" s="12"/>
    </row>
    <row r="351">
      <c r="B351" s="11" t="s">
        <v>475</v>
      </c>
      <c r="C351" s="12"/>
      <c r="D351" s="12"/>
      <c r="E351" s="12"/>
    </row>
    <row r="352">
      <c r="B352" s="11" t="s">
        <v>476</v>
      </c>
      <c r="C352" s="12"/>
      <c r="D352" s="12"/>
      <c r="E352" s="12"/>
    </row>
    <row r="353">
      <c r="B353" s="11" t="s">
        <v>477</v>
      </c>
      <c r="C353" s="12"/>
      <c r="D353" s="12"/>
      <c r="E353" s="12"/>
    </row>
    <row r="354">
      <c r="B354" s="11" t="s">
        <v>478</v>
      </c>
      <c r="C354" s="12"/>
      <c r="D354" s="12"/>
      <c r="E354" s="12"/>
    </row>
    <row r="355">
      <c r="B355" s="11" t="s">
        <v>479</v>
      </c>
      <c r="C355" s="12"/>
      <c r="D355" s="12"/>
      <c r="E355" s="12"/>
    </row>
    <row r="356">
      <c r="B356" s="11" t="s">
        <v>480</v>
      </c>
      <c r="C356" s="12"/>
      <c r="D356" s="12"/>
      <c r="E356" s="12"/>
    </row>
    <row r="357">
      <c r="B357" s="11" t="s">
        <v>481</v>
      </c>
      <c r="C357" s="12"/>
      <c r="D357" s="12"/>
      <c r="E357" s="12"/>
    </row>
    <row r="358">
      <c r="B358" s="11" t="s">
        <v>482</v>
      </c>
      <c r="C358" s="12"/>
      <c r="D358" s="12"/>
      <c r="E358" s="12"/>
    </row>
    <row r="359">
      <c r="B359" s="11" t="s">
        <v>483</v>
      </c>
      <c r="C359" s="12"/>
      <c r="D359" s="12"/>
      <c r="E359" s="12"/>
    </row>
    <row r="360">
      <c r="B360" s="11" t="s">
        <v>484</v>
      </c>
      <c r="C360" s="12"/>
      <c r="D360" s="12"/>
      <c r="E360" s="12"/>
    </row>
    <row r="361">
      <c r="B361" s="11" t="s">
        <v>485</v>
      </c>
      <c r="C361" s="12"/>
      <c r="D361" s="12"/>
      <c r="E361" s="12"/>
    </row>
    <row r="362">
      <c r="B362" s="11" t="s">
        <v>486</v>
      </c>
      <c r="C362" s="12"/>
      <c r="D362" s="12"/>
      <c r="E362" s="12"/>
    </row>
    <row r="363">
      <c r="B363" s="11" t="s">
        <v>487</v>
      </c>
      <c r="C363" s="12"/>
      <c r="D363" s="12"/>
      <c r="E363" s="12"/>
    </row>
    <row r="364">
      <c r="B364" s="11" t="s">
        <v>488</v>
      </c>
      <c r="C364" s="12"/>
      <c r="D364" s="12"/>
      <c r="E364" s="12"/>
    </row>
    <row r="365">
      <c r="B365" s="11" t="s">
        <v>489</v>
      </c>
      <c r="C365" s="12"/>
      <c r="D365" s="12"/>
      <c r="E365" s="12"/>
    </row>
    <row r="366">
      <c r="B366" s="11" t="s">
        <v>490</v>
      </c>
      <c r="C366" s="12"/>
      <c r="D366" s="12"/>
      <c r="E366" s="12"/>
    </row>
    <row r="367">
      <c r="B367" s="11" t="s">
        <v>491</v>
      </c>
      <c r="C367" s="12"/>
      <c r="D367" s="12"/>
      <c r="E367" s="12"/>
    </row>
    <row r="368">
      <c r="B368" s="11" t="s">
        <v>492</v>
      </c>
      <c r="C368" s="12"/>
      <c r="D368" s="12"/>
      <c r="E368" s="12"/>
    </row>
    <row r="369">
      <c r="B369" s="11" t="s">
        <v>493</v>
      </c>
      <c r="C369" s="12"/>
      <c r="D369" s="12"/>
      <c r="E369" s="12"/>
    </row>
    <row r="370">
      <c r="B370" s="11" t="s">
        <v>494</v>
      </c>
      <c r="C370" s="12"/>
      <c r="D370" s="12"/>
      <c r="E370" s="12"/>
    </row>
    <row r="371">
      <c r="B371" s="11" t="s">
        <v>495</v>
      </c>
      <c r="C371" s="12"/>
      <c r="D371" s="12"/>
      <c r="E371" s="12"/>
    </row>
    <row r="372">
      <c r="B372" s="11" t="s">
        <v>496</v>
      </c>
      <c r="C372" s="12"/>
      <c r="D372" s="12"/>
      <c r="E372" s="12"/>
    </row>
    <row r="373">
      <c r="B373" s="11" t="s">
        <v>497</v>
      </c>
      <c r="C373" s="12"/>
      <c r="D373" s="12"/>
      <c r="E373" s="12"/>
    </row>
    <row r="374">
      <c r="B374" s="11" t="s">
        <v>498</v>
      </c>
      <c r="C374" s="12"/>
      <c r="D374" s="12"/>
      <c r="E374" s="12"/>
    </row>
    <row r="375">
      <c r="B375" s="11" t="s">
        <v>499</v>
      </c>
      <c r="C375" s="12"/>
      <c r="D375" s="12"/>
      <c r="E375" s="12"/>
    </row>
    <row r="376">
      <c r="B376" s="11" t="s">
        <v>500</v>
      </c>
      <c r="C376" s="12"/>
      <c r="D376" s="12"/>
      <c r="E376" s="12"/>
    </row>
    <row r="377">
      <c r="B377" s="11" t="s">
        <v>501</v>
      </c>
      <c r="C377" s="12"/>
      <c r="D377" s="12"/>
      <c r="E377" s="12"/>
    </row>
    <row r="378">
      <c r="B378" s="11" t="s">
        <v>502</v>
      </c>
      <c r="C378" s="12"/>
      <c r="D378" s="12"/>
      <c r="E378" s="12"/>
    </row>
    <row r="379">
      <c r="B379" s="11" t="s">
        <v>503</v>
      </c>
      <c r="C379" s="12"/>
      <c r="D379" s="12"/>
      <c r="E379" s="12"/>
    </row>
    <row r="380">
      <c r="B380" s="11" t="s">
        <v>504</v>
      </c>
      <c r="C380" s="12"/>
      <c r="D380" s="12"/>
      <c r="E380" s="12"/>
    </row>
    <row r="381">
      <c r="B381" s="11" t="s">
        <v>505</v>
      </c>
      <c r="C381" s="12"/>
      <c r="D381" s="12"/>
      <c r="E381" s="12"/>
    </row>
    <row r="382">
      <c r="B382" s="11" t="s">
        <v>506</v>
      </c>
      <c r="C382" s="12"/>
      <c r="D382" s="12"/>
      <c r="E382" s="12"/>
    </row>
    <row r="383">
      <c r="B383" s="11" t="s">
        <v>507</v>
      </c>
      <c r="C383" s="12"/>
      <c r="D383" s="12"/>
      <c r="E383" s="12"/>
    </row>
    <row r="384">
      <c r="B384" s="11" t="s">
        <v>508</v>
      </c>
      <c r="C384" s="12"/>
      <c r="D384" s="12"/>
      <c r="E384" s="12"/>
    </row>
    <row r="385">
      <c r="B385" s="11" t="s">
        <v>509</v>
      </c>
      <c r="C385" s="12"/>
      <c r="D385" s="12"/>
      <c r="E385" s="12"/>
    </row>
    <row r="386">
      <c r="B386" s="11" t="s">
        <v>510</v>
      </c>
      <c r="C386" s="12"/>
      <c r="D386" s="12"/>
      <c r="E386" s="12"/>
    </row>
    <row r="387">
      <c r="B387" s="11" t="s">
        <v>511</v>
      </c>
      <c r="C387" s="12"/>
      <c r="D387" s="12"/>
      <c r="E387" s="12"/>
    </row>
    <row r="388">
      <c r="B388" s="11" t="s">
        <v>512</v>
      </c>
      <c r="C388" s="12"/>
      <c r="D388" s="12"/>
      <c r="E388" s="12"/>
    </row>
    <row r="389">
      <c r="B389" s="11" t="s">
        <v>513</v>
      </c>
      <c r="C389" s="12"/>
      <c r="D389" s="12"/>
      <c r="E389" s="12"/>
    </row>
    <row r="390">
      <c r="B390" s="11" t="s">
        <v>514</v>
      </c>
      <c r="C390" s="12"/>
      <c r="D390" s="12"/>
      <c r="E390" s="12"/>
    </row>
    <row r="391">
      <c r="B391" s="11" t="s">
        <v>515</v>
      </c>
      <c r="C391" s="12"/>
      <c r="D391" s="12"/>
      <c r="E391" s="12"/>
    </row>
    <row r="392">
      <c r="B392" s="11" t="s">
        <v>516</v>
      </c>
      <c r="C392" s="12"/>
      <c r="D392" s="12"/>
      <c r="E392" s="12"/>
    </row>
    <row r="393">
      <c r="B393" s="11" t="s">
        <v>517</v>
      </c>
      <c r="C393" s="12"/>
      <c r="D393" s="12"/>
      <c r="E393" s="12"/>
    </row>
    <row r="394">
      <c r="B394" s="11" t="s">
        <v>518</v>
      </c>
      <c r="C394" s="12"/>
      <c r="D394" s="12"/>
      <c r="E394" s="12"/>
    </row>
    <row r="395">
      <c r="B395" s="11" t="s">
        <v>519</v>
      </c>
      <c r="C395" s="12"/>
      <c r="D395" s="12"/>
      <c r="E395" s="12"/>
    </row>
    <row r="396">
      <c r="B396" s="11" t="s">
        <v>520</v>
      </c>
      <c r="C396" s="12"/>
      <c r="D396" s="12"/>
      <c r="E396" s="12"/>
    </row>
    <row r="397">
      <c r="B397" s="11" t="s">
        <v>521</v>
      </c>
      <c r="C397" s="12"/>
      <c r="D397" s="12"/>
      <c r="E397" s="12"/>
    </row>
    <row r="398">
      <c r="B398" s="11" t="s">
        <v>522</v>
      </c>
      <c r="C398" s="12"/>
      <c r="D398" s="12"/>
      <c r="E398" s="12"/>
    </row>
    <row r="399">
      <c r="B399" s="11" t="s">
        <v>523</v>
      </c>
      <c r="C399" s="12"/>
      <c r="D399" s="12"/>
      <c r="E399" s="12"/>
    </row>
    <row r="400">
      <c r="B400" s="11" t="s">
        <v>524</v>
      </c>
      <c r="C400" s="12"/>
      <c r="D400" s="12"/>
      <c r="E400" s="12"/>
    </row>
    <row r="401">
      <c r="B401" s="11" t="s">
        <v>525</v>
      </c>
      <c r="C401" s="12"/>
      <c r="D401" s="12"/>
      <c r="E401" s="12"/>
    </row>
    <row r="402">
      <c r="B402" s="11" t="s">
        <v>526</v>
      </c>
      <c r="C402" s="12"/>
      <c r="D402" s="12"/>
      <c r="E402" s="12"/>
    </row>
    <row r="403">
      <c r="B403" s="11" t="s">
        <v>527</v>
      </c>
      <c r="C403" s="12"/>
      <c r="D403" s="12"/>
      <c r="E403" s="12"/>
    </row>
    <row r="404">
      <c r="B404" s="11" t="s">
        <v>528</v>
      </c>
      <c r="C404" s="12"/>
      <c r="D404" s="12"/>
      <c r="E404" s="12"/>
    </row>
    <row r="405">
      <c r="B405" s="11" t="s">
        <v>529</v>
      </c>
      <c r="C405" s="12"/>
      <c r="D405" s="12"/>
      <c r="E405" s="12"/>
    </row>
    <row r="406">
      <c r="B406" s="11" t="s">
        <v>530</v>
      </c>
      <c r="C406" s="12"/>
      <c r="D406" s="12"/>
      <c r="E406" s="12"/>
    </row>
    <row r="407">
      <c r="B407" s="11" t="s">
        <v>531</v>
      </c>
      <c r="C407" s="12"/>
      <c r="D407" s="12"/>
      <c r="E407" s="12"/>
    </row>
    <row r="408">
      <c r="B408" s="11" t="s">
        <v>532</v>
      </c>
      <c r="C408" s="12"/>
      <c r="D408" s="12"/>
      <c r="E408" s="12"/>
    </row>
    <row r="409">
      <c r="B409" s="11" t="s">
        <v>533</v>
      </c>
      <c r="C409" s="12"/>
      <c r="D409" s="12"/>
      <c r="E409" s="12"/>
    </row>
    <row r="410">
      <c r="B410" s="11" t="s">
        <v>534</v>
      </c>
      <c r="C410" s="12"/>
      <c r="D410" s="12"/>
      <c r="E410" s="12"/>
    </row>
    <row r="411">
      <c r="B411" s="11" t="s">
        <v>535</v>
      </c>
      <c r="C411" s="12"/>
      <c r="D411" s="12"/>
      <c r="E411" s="12"/>
    </row>
    <row r="412">
      <c r="B412" s="11" t="s">
        <v>536</v>
      </c>
      <c r="C412" s="12"/>
      <c r="D412" s="12"/>
      <c r="E412" s="12"/>
    </row>
    <row r="413">
      <c r="B413" s="11" t="s">
        <v>537</v>
      </c>
      <c r="C413" s="12"/>
      <c r="D413" s="12"/>
      <c r="E413" s="12"/>
    </row>
    <row r="414">
      <c r="B414" s="11" t="s">
        <v>538</v>
      </c>
      <c r="C414" s="12"/>
      <c r="D414" s="12"/>
      <c r="E414" s="12"/>
    </row>
    <row r="415">
      <c r="B415" s="11" t="s">
        <v>539</v>
      </c>
      <c r="C415" s="12"/>
      <c r="D415" s="12"/>
      <c r="E415" s="12"/>
    </row>
    <row r="416">
      <c r="B416" s="11" t="s">
        <v>540</v>
      </c>
      <c r="C416" s="12"/>
      <c r="D416" s="12"/>
      <c r="E416" s="12"/>
    </row>
    <row r="417">
      <c r="B417" s="11" t="s">
        <v>541</v>
      </c>
      <c r="C417" s="12"/>
      <c r="D417" s="12"/>
      <c r="E417" s="12"/>
    </row>
    <row r="418">
      <c r="B418" s="11" t="s">
        <v>542</v>
      </c>
      <c r="C418" s="12"/>
      <c r="D418" s="12"/>
      <c r="E418" s="12"/>
    </row>
    <row r="419">
      <c r="B419" s="11" t="s">
        <v>543</v>
      </c>
      <c r="C419" s="12"/>
      <c r="D419" s="12"/>
      <c r="E419" s="12"/>
    </row>
    <row r="420">
      <c r="B420" s="11" t="s">
        <v>544</v>
      </c>
      <c r="C420" s="12"/>
      <c r="D420" s="12"/>
      <c r="E420" s="12"/>
    </row>
    <row r="421">
      <c r="B421" s="11" t="s">
        <v>545</v>
      </c>
      <c r="C421" s="12"/>
      <c r="D421" s="12"/>
      <c r="E421" s="12"/>
    </row>
    <row r="422">
      <c r="B422" s="11" t="s">
        <v>546</v>
      </c>
      <c r="C422" s="12"/>
      <c r="D422" s="12"/>
      <c r="E422" s="12"/>
    </row>
    <row r="423">
      <c r="B423" s="11" t="s">
        <v>547</v>
      </c>
      <c r="C423" s="12"/>
      <c r="D423" s="12"/>
      <c r="E423" s="12"/>
    </row>
    <row r="424">
      <c r="B424" s="11" t="s">
        <v>548</v>
      </c>
      <c r="C424" s="12"/>
      <c r="D424" s="12"/>
      <c r="E424" s="12"/>
    </row>
    <row r="425">
      <c r="B425" s="11" t="s">
        <v>549</v>
      </c>
      <c r="C425" s="12"/>
      <c r="D425" s="12"/>
      <c r="E425" s="12"/>
    </row>
    <row r="426">
      <c r="B426" s="11" t="s">
        <v>550</v>
      </c>
      <c r="C426" s="12"/>
      <c r="D426" s="12"/>
      <c r="E426" s="12"/>
    </row>
    <row r="427">
      <c r="B427" s="11" t="s">
        <v>551</v>
      </c>
      <c r="C427" s="12"/>
      <c r="D427" s="12"/>
      <c r="E427" s="12"/>
    </row>
    <row r="428">
      <c r="B428" s="11" t="s">
        <v>552</v>
      </c>
      <c r="C428" s="12"/>
      <c r="D428" s="12"/>
      <c r="E428" s="12"/>
    </row>
    <row r="429">
      <c r="B429" s="11" t="s">
        <v>553</v>
      </c>
      <c r="C429" s="12"/>
      <c r="D429" s="12"/>
      <c r="E429" s="12"/>
    </row>
    <row r="430">
      <c r="B430" s="11" t="s">
        <v>554</v>
      </c>
      <c r="C430" s="12"/>
      <c r="D430" s="12"/>
      <c r="E430" s="12"/>
    </row>
    <row r="431">
      <c r="B431" s="11" t="s">
        <v>555</v>
      </c>
      <c r="C431" s="12"/>
      <c r="D431" s="12"/>
      <c r="E431" s="12"/>
    </row>
    <row r="432">
      <c r="B432" s="11" t="s">
        <v>556</v>
      </c>
      <c r="C432" s="12"/>
      <c r="D432" s="12"/>
      <c r="E432" s="12"/>
    </row>
    <row r="433">
      <c r="B433" s="11" t="s">
        <v>557</v>
      </c>
      <c r="C433" s="12"/>
      <c r="D433" s="12"/>
      <c r="E433" s="12"/>
    </row>
    <row r="434">
      <c r="B434" s="11" t="s">
        <v>558</v>
      </c>
      <c r="C434" s="12"/>
      <c r="D434" s="12"/>
      <c r="E434" s="12"/>
    </row>
    <row r="435">
      <c r="B435" s="11" t="s">
        <v>559</v>
      </c>
      <c r="C435" s="12"/>
      <c r="D435" s="12"/>
      <c r="E435" s="12"/>
    </row>
    <row r="436">
      <c r="B436" s="11" t="s">
        <v>560</v>
      </c>
      <c r="C436" s="12"/>
      <c r="D436" s="12"/>
      <c r="E436" s="12"/>
    </row>
    <row r="437">
      <c r="B437" s="11" t="s">
        <v>561</v>
      </c>
      <c r="C437" s="12"/>
      <c r="D437" s="12"/>
      <c r="E437" s="12"/>
    </row>
    <row r="438">
      <c r="B438" s="11" t="s">
        <v>562</v>
      </c>
      <c r="C438" s="12"/>
      <c r="D438" s="12"/>
      <c r="E438" s="12"/>
    </row>
    <row r="439">
      <c r="B439" s="11" t="s">
        <v>563</v>
      </c>
      <c r="C439" s="12"/>
      <c r="D439" s="12"/>
      <c r="E439" s="12"/>
    </row>
    <row r="440">
      <c r="B440" s="11" t="s">
        <v>564</v>
      </c>
      <c r="C440" s="12"/>
      <c r="D440" s="12"/>
      <c r="E440" s="12"/>
    </row>
    <row r="441">
      <c r="B441" s="11" t="s">
        <v>565</v>
      </c>
      <c r="C441" s="12"/>
      <c r="D441" s="12"/>
      <c r="E441" s="12"/>
    </row>
    <row r="442">
      <c r="B442" s="11" t="s">
        <v>566</v>
      </c>
      <c r="C442" s="12"/>
      <c r="D442" s="12"/>
      <c r="E442" s="12"/>
    </row>
    <row r="443">
      <c r="B443" s="11" t="s">
        <v>567</v>
      </c>
      <c r="C443" s="12"/>
      <c r="D443" s="12"/>
      <c r="E443" s="12"/>
    </row>
    <row r="444">
      <c r="B444" s="11" t="s">
        <v>568</v>
      </c>
      <c r="C444" s="12"/>
      <c r="D444" s="12"/>
      <c r="E444" s="12"/>
    </row>
    <row r="445">
      <c r="B445" s="11" t="s">
        <v>569</v>
      </c>
      <c r="C445" s="12"/>
      <c r="D445" s="12"/>
      <c r="E445" s="12"/>
    </row>
    <row r="446">
      <c r="B446" s="11" t="s">
        <v>570</v>
      </c>
      <c r="C446" s="12"/>
      <c r="D446" s="12"/>
      <c r="E446" s="12"/>
    </row>
    <row r="447">
      <c r="B447" s="11" t="s">
        <v>571</v>
      </c>
      <c r="C447" s="12"/>
      <c r="D447" s="12"/>
      <c r="E447" s="12"/>
    </row>
    <row r="448">
      <c r="B448" s="11" t="s">
        <v>572</v>
      </c>
      <c r="C448" s="12"/>
      <c r="D448" s="12"/>
      <c r="E448" s="12"/>
    </row>
    <row r="449">
      <c r="B449" s="11" t="s">
        <v>573</v>
      </c>
      <c r="C449" s="12"/>
      <c r="D449" s="12"/>
      <c r="E449" s="12"/>
    </row>
    <row r="450">
      <c r="B450" s="11" t="s">
        <v>574</v>
      </c>
      <c r="C450" s="12"/>
      <c r="D450" s="12"/>
      <c r="E450" s="12"/>
    </row>
    <row r="451">
      <c r="B451" s="11" t="s">
        <v>575</v>
      </c>
      <c r="C451" s="12"/>
      <c r="D451" s="12"/>
      <c r="E451" s="12"/>
    </row>
    <row r="452">
      <c r="B452" s="11" t="s">
        <v>576</v>
      </c>
      <c r="C452" s="12"/>
      <c r="D452" s="12"/>
      <c r="E452" s="12"/>
    </row>
    <row r="453">
      <c r="B453" s="11" t="s">
        <v>577</v>
      </c>
      <c r="C453" s="12"/>
      <c r="D453" s="12"/>
      <c r="E453" s="12"/>
    </row>
    <row r="454">
      <c r="B454" s="11" t="s">
        <v>578</v>
      </c>
      <c r="C454" s="12"/>
      <c r="D454" s="12"/>
      <c r="E454" s="12"/>
    </row>
    <row r="455">
      <c r="B455" s="11" t="s">
        <v>579</v>
      </c>
      <c r="C455" s="12"/>
      <c r="D455" s="12"/>
      <c r="E455" s="12"/>
    </row>
    <row r="456">
      <c r="B456" s="11" t="s">
        <v>580</v>
      </c>
      <c r="C456" s="12"/>
      <c r="D456" s="12"/>
      <c r="E456" s="12"/>
    </row>
    <row r="457">
      <c r="B457" s="11" t="s">
        <v>581</v>
      </c>
      <c r="C457" s="12"/>
      <c r="D457" s="12"/>
      <c r="E457" s="12"/>
    </row>
    <row r="458">
      <c r="B458" s="11" t="s">
        <v>582</v>
      </c>
      <c r="C458" s="12"/>
      <c r="D458" s="12"/>
      <c r="E458" s="12"/>
    </row>
    <row r="459">
      <c r="B459" s="11" t="s">
        <v>583</v>
      </c>
      <c r="C459" s="12"/>
      <c r="D459" s="12"/>
      <c r="E459" s="12"/>
    </row>
    <row r="460">
      <c r="B460" s="11" t="s">
        <v>584</v>
      </c>
      <c r="C460" s="12"/>
      <c r="D460" s="12"/>
      <c r="E460" s="12"/>
    </row>
    <row r="461">
      <c r="B461" s="11" t="s">
        <v>585</v>
      </c>
      <c r="C461" s="12"/>
      <c r="D461" s="12"/>
      <c r="E461" s="12"/>
    </row>
    <row r="462">
      <c r="B462" s="11" t="s">
        <v>586</v>
      </c>
      <c r="C462" s="12"/>
      <c r="D462" s="12"/>
      <c r="E462" s="12"/>
    </row>
    <row r="463">
      <c r="B463" s="11" t="s">
        <v>587</v>
      </c>
      <c r="C463" s="12"/>
      <c r="D463" s="12"/>
      <c r="E463" s="12"/>
    </row>
    <row r="464">
      <c r="B464" s="11" t="s">
        <v>588</v>
      </c>
      <c r="C464" s="12"/>
      <c r="D464" s="12"/>
      <c r="E464" s="12"/>
    </row>
    <row r="465">
      <c r="B465" s="11" t="s">
        <v>589</v>
      </c>
      <c r="C465" s="12"/>
      <c r="D465" s="12"/>
      <c r="E465" s="12"/>
    </row>
    <row r="466">
      <c r="B466" s="11" t="s">
        <v>590</v>
      </c>
      <c r="C466" s="12"/>
      <c r="D466" s="12"/>
      <c r="E466" s="12"/>
    </row>
    <row r="467">
      <c r="B467" s="11" t="s">
        <v>591</v>
      </c>
      <c r="C467" s="12"/>
      <c r="D467" s="12"/>
      <c r="E467" s="12"/>
    </row>
    <row r="468">
      <c r="B468" s="11" t="s">
        <v>592</v>
      </c>
      <c r="C468" s="12"/>
      <c r="D468" s="12"/>
      <c r="E468" s="12"/>
    </row>
    <row r="469">
      <c r="B469" s="11" t="s">
        <v>593</v>
      </c>
      <c r="C469" s="12"/>
      <c r="D469" s="12"/>
      <c r="E469" s="12"/>
    </row>
    <row r="470">
      <c r="B470" s="11" t="s">
        <v>594</v>
      </c>
      <c r="C470" s="12"/>
      <c r="D470" s="12"/>
      <c r="E470" s="12"/>
    </row>
    <row r="471">
      <c r="B471" s="11" t="s">
        <v>595</v>
      </c>
      <c r="C471" s="12"/>
      <c r="D471" s="12"/>
      <c r="E471" s="12"/>
    </row>
    <row r="472">
      <c r="B472" s="11" t="s">
        <v>596</v>
      </c>
      <c r="C472" s="12"/>
      <c r="D472" s="12"/>
      <c r="E472" s="12"/>
    </row>
    <row r="473">
      <c r="B473" s="11" t="s">
        <v>597</v>
      </c>
      <c r="C473" s="12"/>
      <c r="D473" s="12"/>
      <c r="E473" s="12"/>
    </row>
    <row r="474">
      <c r="B474" s="11" t="s">
        <v>598</v>
      </c>
      <c r="C474" s="12"/>
      <c r="D474" s="12"/>
      <c r="E474" s="12"/>
    </row>
    <row r="475">
      <c r="B475" s="11" t="s">
        <v>599</v>
      </c>
      <c r="C475" s="12"/>
      <c r="D475" s="12"/>
      <c r="E475" s="12"/>
    </row>
    <row r="476">
      <c r="B476" s="11" t="s">
        <v>600</v>
      </c>
      <c r="C476" s="12"/>
      <c r="D476" s="12"/>
      <c r="E476" s="12"/>
    </row>
    <row r="477">
      <c r="B477" s="11" t="s">
        <v>601</v>
      </c>
      <c r="C477" s="12"/>
      <c r="D477" s="12"/>
      <c r="E477" s="12"/>
    </row>
    <row r="478">
      <c r="B478" s="11" t="s">
        <v>602</v>
      </c>
      <c r="C478" s="12"/>
      <c r="D478" s="12"/>
      <c r="E478" s="12"/>
    </row>
    <row r="479">
      <c r="B479" s="11" t="s">
        <v>603</v>
      </c>
      <c r="C479" s="12"/>
      <c r="D479" s="12"/>
      <c r="E479" s="12"/>
    </row>
    <row r="480">
      <c r="B480" s="11" t="s">
        <v>604</v>
      </c>
      <c r="C480" s="12"/>
      <c r="D480" s="12"/>
      <c r="E480" s="12"/>
    </row>
    <row r="481">
      <c r="B481" s="11" t="s">
        <v>605</v>
      </c>
      <c r="C481" s="12"/>
      <c r="D481" s="12"/>
      <c r="E481" s="12"/>
    </row>
    <row r="482">
      <c r="B482" s="11" t="s">
        <v>606</v>
      </c>
      <c r="C482" s="12"/>
      <c r="D482" s="12"/>
      <c r="E482" s="12"/>
    </row>
    <row r="483">
      <c r="B483" s="11" t="s">
        <v>607</v>
      </c>
      <c r="C483" s="12"/>
      <c r="D483" s="12"/>
      <c r="E483" s="12"/>
    </row>
    <row r="484">
      <c r="B484" s="11" t="s">
        <v>608</v>
      </c>
      <c r="C484" s="12"/>
      <c r="D484" s="12"/>
      <c r="E484" s="12"/>
    </row>
    <row r="485">
      <c r="B485" s="11" t="s">
        <v>609</v>
      </c>
      <c r="C485" s="12"/>
      <c r="D485" s="12"/>
      <c r="E485" s="12"/>
    </row>
    <row r="486">
      <c r="B486" s="11" t="s">
        <v>610</v>
      </c>
      <c r="C486" s="12"/>
      <c r="D486" s="12"/>
      <c r="E486" s="12"/>
    </row>
    <row r="487">
      <c r="B487" s="11" t="s">
        <v>611</v>
      </c>
      <c r="C487" s="12"/>
      <c r="D487" s="12"/>
      <c r="E487" s="12"/>
    </row>
    <row r="488">
      <c r="B488" s="11" t="s">
        <v>612</v>
      </c>
      <c r="C488" s="12"/>
      <c r="D488" s="12"/>
      <c r="E488" s="12"/>
    </row>
    <row r="489">
      <c r="B489" s="11" t="s">
        <v>613</v>
      </c>
      <c r="C489" s="12"/>
      <c r="D489" s="12"/>
      <c r="E489" s="12"/>
    </row>
    <row r="490">
      <c r="B490" s="11" t="s">
        <v>614</v>
      </c>
      <c r="C490" s="12"/>
      <c r="D490" s="12"/>
      <c r="E490" s="12"/>
    </row>
    <row r="491">
      <c r="B491" s="11" t="s">
        <v>615</v>
      </c>
      <c r="C491" s="12"/>
      <c r="D491" s="12"/>
      <c r="E491" s="12"/>
    </row>
    <row r="492">
      <c r="B492" s="11" t="s">
        <v>616</v>
      </c>
      <c r="C492" s="12"/>
      <c r="D492" s="12"/>
      <c r="E492" s="12"/>
    </row>
    <row r="493">
      <c r="B493" s="11" t="s">
        <v>617</v>
      </c>
      <c r="C493" s="12"/>
      <c r="D493" s="12"/>
      <c r="E493" s="12"/>
    </row>
    <row r="494">
      <c r="B494" s="11" t="s">
        <v>618</v>
      </c>
      <c r="C494" s="12"/>
      <c r="D494" s="12"/>
      <c r="E494" s="12"/>
    </row>
    <row r="495">
      <c r="B495" s="11" t="s">
        <v>619</v>
      </c>
      <c r="C495" s="12"/>
      <c r="D495" s="12"/>
      <c r="E495" s="12"/>
    </row>
    <row r="496">
      <c r="B496" s="11" t="s">
        <v>620</v>
      </c>
      <c r="C496" s="12"/>
      <c r="D496" s="12"/>
      <c r="E496" s="12"/>
    </row>
    <row r="497">
      <c r="B497" s="11" t="s">
        <v>621</v>
      </c>
      <c r="C497" s="12"/>
      <c r="D497" s="12"/>
      <c r="E497" s="12"/>
    </row>
    <row r="498">
      <c r="B498" s="11" t="s">
        <v>622</v>
      </c>
      <c r="C498" s="12"/>
      <c r="D498" s="12"/>
      <c r="E498" s="12"/>
    </row>
    <row r="499">
      <c r="B499" s="11" t="s">
        <v>623</v>
      </c>
      <c r="C499" s="12"/>
      <c r="D499" s="12"/>
      <c r="E499" s="12"/>
    </row>
    <row r="500">
      <c r="B500" s="11" t="s">
        <v>624</v>
      </c>
      <c r="C500" s="12"/>
      <c r="D500" s="12"/>
      <c r="E500" s="12"/>
    </row>
    <row r="501">
      <c r="B501" s="11" t="s">
        <v>625</v>
      </c>
    </row>
  </sheetData>
  <autoFilter ref="$A$1:$E$998"/>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ref="B96"/>
    <hyperlink r:id="rId96" ref="B97"/>
    <hyperlink r:id="rId97" ref="B98"/>
    <hyperlink r:id="rId98" ref="B99"/>
    <hyperlink r:id="rId99" ref="B100"/>
    <hyperlink r:id="rId100" ref="B101"/>
    <hyperlink r:id="rId101" ref="B102"/>
    <hyperlink r:id="rId102" ref="B103"/>
    <hyperlink r:id="rId103" ref="B104"/>
    <hyperlink r:id="rId104" ref="B105"/>
    <hyperlink r:id="rId105" ref="B106"/>
    <hyperlink r:id="rId106" ref="B107"/>
    <hyperlink r:id="rId107" ref="B108"/>
    <hyperlink r:id="rId108" ref="B109"/>
    <hyperlink r:id="rId109" ref="B110"/>
    <hyperlink r:id="rId110" ref="B111"/>
    <hyperlink r:id="rId111" ref="B112"/>
    <hyperlink r:id="rId112" ref="B113"/>
    <hyperlink r:id="rId113" ref="B114"/>
    <hyperlink r:id="rId114" ref="B115"/>
    <hyperlink r:id="rId115" ref="B116"/>
    <hyperlink r:id="rId116" ref="B117"/>
    <hyperlink r:id="rId117" ref="B118"/>
    <hyperlink r:id="rId118" ref="B119"/>
    <hyperlink r:id="rId119" ref="B120"/>
    <hyperlink r:id="rId120" ref="B121"/>
    <hyperlink r:id="rId121" ref="B122"/>
    <hyperlink r:id="rId122" ref="B123"/>
    <hyperlink r:id="rId123" ref="B124"/>
    <hyperlink r:id="rId124" ref="B125"/>
    <hyperlink r:id="rId125" ref="B126"/>
    <hyperlink r:id="rId126" ref="B127"/>
    <hyperlink r:id="rId127" ref="B128"/>
    <hyperlink r:id="rId128" ref="B129"/>
    <hyperlink r:id="rId129" ref="B130"/>
    <hyperlink r:id="rId130" ref="B131"/>
    <hyperlink r:id="rId131" ref="B132"/>
    <hyperlink r:id="rId132" ref="B133"/>
    <hyperlink r:id="rId133" ref="B134"/>
    <hyperlink r:id="rId134" ref="B135"/>
    <hyperlink r:id="rId135" ref="B136"/>
    <hyperlink r:id="rId136" ref="B137"/>
    <hyperlink r:id="rId137" ref="B138"/>
    <hyperlink r:id="rId138" ref="B139"/>
    <hyperlink r:id="rId139" ref="B140"/>
    <hyperlink r:id="rId140" ref="B141"/>
    <hyperlink r:id="rId141" ref="B142"/>
    <hyperlink r:id="rId142" ref="B143"/>
    <hyperlink r:id="rId143" ref="B144"/>
    <hyperlink r:id="rId144" ref="B145"/>
    <hyperlink r:id="rId145" ref="B146"/>
    <hyperlink r:id="rId146" ref="B147"/>
    <hyperlink r:id="rId147" ref="B148"/>
    <hyperlink r:id="rId148" ref="B149"/>
    <hyperlink r:id="rId149" ref="B150"/>
    <hyperlink r:id="rId150" ref="B151"/>
    <hyperlink r:id="rId151" ref="B152"/>
    <hyperlink r:id="rId152" ref="B153"/>
    <hyperlink r:id="rId153" ref="B154"/>
    <hyperlink r:id="rId154" ref="B155"/>
    <hyperlink r:id="rId155" ref="B156"/>
    <hyperlink r:id="rId156" ref="B157"/>
    <hyperlink r:id="rId157" ref="B158"/>
    <hyperlink r:id="rId158" ref="B159"/>
    <hyperlink r:id="rId159" ref="B160"/>
    <hyperlink r:id="rId160" ref="B161"/>
    <hyperlink r:id="rId161" ref="B162"/>
    <hyperlink r:id="rId162" ref="B163"/>
    <hyperlink r:id="rId163" ref="B164"/>
    <hyperlink r:id="rId164" ref="B165"/>
    <hyperlink r:id="rId165" ref="B166"/>
    <hyperlink r:id="rId166" ref="B167"/>
    <hyperlink r:id="rId167" ref="B168"/>
    <hyperlink r:id="rId168" ref="B169"/>
    <hyperlink r:id="rId169" ref="B170"/>
    <hyperlink r:id="rId170" ref="B171"/>
    <hyperlink r:id="rId171" ref="B172"/>
    <hyperlink r:id="rId172" ref="B173"/>
    <hyperlink r:id="rId173" ref="B174"/>
    <hyperlink r:id="rId174" ref="B175"/>
    <hyperlink r:id="rId175" ref="B176"/>
    <hyperlink r:id="rId176" ref="B177"/>
    <hyperlink r:id="rId177" ref="B178"/>
    <hyperlink r:id="rId178" ref="B179"/>
    <hyperlink r:id="rId179" ref="B180"/>
    <hyperlink r:id="rId180" ref="B181"/>
    <hyperlink r:id="rId181" ref="B182"/>
    <hyperlink r:id="rId182" ref="B183"/>
    <hyperlink r:id="rId183" ref="B184"/>
    <hyperlink r:id="rId184" ref="B185"/>
    <hyperlink r:id="rId185" ref="B186"/>
    <hyperlink r:id="rId186" ref="B187"/>
    <hyperlink r:id="rId187" ref="B188"/>
    <hyperlink r:id="rId188" ref="B189"/>
    <hyperlink r:id="rId189" ref="B190"/>
    <hyperlink r:id="rId190" ref="B191"/>
    <hyperlink r:id="rId191" ref="B192"/>
    <hyperlink r:id="rId192" ref="B193"/>
    <hyperlink r:id="rId193" ref="B194"/>
    <hyperlink r:id="rId194" ref="B195"/>
    <hyperlink r:id="rId195" ref="B196"/>
    <hyperlink r:id="rId196" ref="B197"/>
    <hyperlink r:id="rId197" ref="B198"/>
    <hyperlink r:id="rId198" ref="B199"/>
    <hyperlink r:id="rId199" ref="B200"/>
    <hyperlink r:id="rId200" ref="B201"/>
    <hyperlink r:id="rId201" ref="B202"/>
    <hyperlink r:id="rId202" ref="B203"/>
    <hyperlink r:id="rId203" ref="B204"/>
    <hyperlink r:id="rId204" ref="B205"/>
    <hyperlink r:id="rId205" ref="B206"/>
    <hyperlink r:id="rId206" ref="B207"/>
    <hyperlink r:id="rId207" ref="B208"/>
    <hyperlink r:id="rId208" ref="B209"/>
    <hyperlink r:id="rId209" ref="B210"/>
    <hyperlink r:id="rId210" ref="B211"/>
    <hyperlink r:id="rId211" ref="B212"/>
    <hyperlink r:id="rId212" ref="B213"/>
    <hyperlink r:id="rId213" ref="B214"/>
    <hyperlink r:id="rId214" ref="B215"/>
    <hyperlink r:id="rId215" ref="B216"/>
    <hyperlink r:id="rId216" ref="B217"/>
    <hyperlink r:id="rId217" ref="B218"/>
    <hyperlink r:id="rId218" ref="B219"/>
    <hyperlink r:id="rId219" ref="B220"/>
    <hyperlink r:id="rId220" ref="B221"/>
    <hyperlink r:id="rId221" ref="B222"/>
    <hyperlink r:id="rId222" ref="B223"/>
    <hyperlink r:id="rId223" ref="B224"/>
    <hyperlink r:id="rId224" ref="B225"/>
    <hyperlink r:id="rId225" ref="B226"/>
    <hyperlink r:id="rId226" ref="B227"/>
    <hyperlink r:id="rId227" ref="B228"/>
    <hyperlink r:id="rId228" ref="B229"/>
    <hyperlink r:id="rId229" ref="B230"/>
    <hyperlink r:id="rId230" ref="B231"/>
    <hyperlink r:id="rId231" ref="B232"/>
    <hyperlink r:id="rId232" ref="B233"/>
    <hyperlink r:id="rId233" ref="B234"/>
    <hyperlink r:id="rId234" ref="B235"/>
    <hyperlink r:id="rId235" ref="B236"/>
    <hyperlink r:id="rId236" ref="B237"/>
    <hyperlink r:id="rId237" ref="B238"/>
    <hyperlink r:id="rId238" ref="B239"/>
    <hyperlink r:id="rId239" ref="B240"/>
    <hyperlink r:id="rId240" ref="B241"/>
    <hyperlink r:id="rId241" ref="B242"/>
    <hyperlink r:id="rId242" ref="B243"/>
    <hyperlink r:id="rId243" ref="B244"/>
    <hyperlink r:id="rId244" ref="B245"/>
    <hyperlink r:id="rId245" ref="B246"/>
    <hyperlink r:id="rId246" ref="B247"/>
    <hyperlink r:id="rId247" ref="B248"/>
    <hyperlink r:id="rId248" ref="B249"/>
    <hyperlink r:id="rId249" ref="B250"/>
    <hyperlink r:id="rId250" ref="B251"/>
    <hyperlink r:id="rId251" ref="B252"/>
    <hyperlink r:id="rId252" ref="B253"/>
    <hyperlink r:id="rId253" ref="B254"/>
    <hyperlink r:id="rId254" ref="B255"/>
    <hyperlink r:id="rId255" ref="B256"/>
    <hyperlink r:id="rId256" ref="B257"/>
    <hyperlink r:id="rId257" ref="B258"/>
    <hyperlink r:id="rId258" ref="B259"/>
    <hyperlink r:id="rId259" ref="B260"/>
    <hyperlink r:id="rId260" ref="B261"/>
    <hyperlink r:id="rId261" ref="B262"/>
    <hyperlink r:id="rId262" ref="B263"/>
    <hyperlink r:id="rId263" ref="B264"/>
    <hyperlink r:id="rId264" ref="B265"/>
    <hyperlink r:id="rId265" ref="B266"/>
    <hyperlink r:id="rId266" ref="B267"/>
    <hyperlink r:id="rId267" ref="B268"/>
    <hyperlink r:id="rId268" ref="B269"/>
    <hyperlink r:id="rId269" ref="B270"/>
    <hyperlink r:id="rId270" ref="B271"/>
    <hyperlink r:id="rId271" ref="B272"/>
    <hyperlink r:id="rId272" ref="B273"/>
    <hyperlink r:id="rId273" ref="B274"/>
    <hyperlink r:id="rId274" ref="B275"/>
    <hyperlink r:id="rId275" ref="B276"/>
    <hyperlink r:id="rId276" ref="B277"/>
    <hyperlink r:id="rId277" ref="B278"/>
    <hyperlink r:id="rId278" ref="B279"/>
    <hyperlink r:id="rId279" ref="B280"/>
    <hyperlink r:id="rId280" ref="B281"/>
    <hyperlink r:id="rId281" ref="B282"/>
    <hyperlink r:id="rId282" ref="B283"/>
    <hyperlink r:id="rId283" ref="B284"/>
    <hyperlink r:id="rId284" ref="B285"/>
    <hyperlink r:id="rId285" ref="B286"/>
    <hyperlink r:id="rId286" ref="B287"/>
    <hyperlink r:id="rId287" ref="B288"/>
    <hyperlink r:id="rId288" ref="B289"/>
    <hyperlink r:id="rId289" ref="B290"/>
    <hyperlink r:id="rId290" ref="B291"/>
    <hyperlink r:id="rId291" ref="B292"/>
    <hyperlink r:id="rId292" ref="B293"/>
    <hyperlink r:id="rId293" ref="B294"/>
    <hyperlink r:id="rId294" ref="B295"/>
    <hyperlink r:id="rId295" ref="B296"/>
    <hyperlink r:id="rId296" ref="B297"/>
    <hyperlink r:id="rId297" ref="B298"/>
    <hyperlink r:id="rId298" ref="B299"/>
    <hyperlink r:id="rId299" ref="B300"/>
    <hyperlink r:id="rId300" ref="B301"/>
    <hyperlink r:id="rId301" ref="B302"/>
    <hyperlink r:id="rId302" ref="B303"/>
    <hyperlink r:id="rId303" ref="B304"/>
    <hyperlink r:id="rId304" ref="B305"/>
    <hyperlink r:id="rId305" ref="B306"/>
    <hyperlink r:id="rId306" ref="B307"/>
    <hyperlink r:id="rId307" ref="B308"/>
    <hyperlink r:id="rId308" ref="B309"/>
    <hyperlink r:id="rId309" ref="B310"/>
    <hyperlink r:id="rId310" ref="B311"/>
    <hyperlink r:id="rId311" ref="B312"/>
    <hyperlink r:id="rId312" ref="B313"/>
    <hyperlink r:id="rId313" ref="B314"/>
    <hyperlink r:id="rId314" ref="B315"/>
    <hyperlink r:id="rId315" ref="B316"/>
    <hyperlink r:id="rId316" ref="B317"/>
    <hyperlink r:id="rId317" ref="B318"/>
    <hyperlink r:id="rId318" ref="B319"/>
    <hyperlink r:id="rId319" ref="B320"/>
    <hyperlink r:id="rId320" ref="B321"/>
    <hyperlink r:id="rId321" ref="B322"/>
    <hyperlink r:id="rId322" ref="B323"/>
    <hyperlink r:id="rId323" ref="B324"/>
    <hyperlink r:id="rId324" ref="B325"/>
    <hyperlink r:id="rId325" ref="B326"/>
    <hyperlink r:id="rId326" ref="B327"/>
    <hyperlink r:id="rId327" ref="B328"/>
    <hyperlink r:id="rId328" ref="B329"/>
    <hyperlink r:id="rId329" ref="B330"/>
    <hyperlink r:id="rId330" ref="B331"/>
    <hyperlink r:id="rId331" ref="B332"/>
    <hyperlink r:id="rId332" ref="B333"/>
    <hyperlink r:id="rId333" ref="B334"/>
    <hyperlink r:id="rId334" ref="B335"/>
    <hyperlink r:id="rId335" ref="B336"/>
    <hyperlink r:id="rId336" ref="B337"/>
    <hyperlink r:id="rId337" ref="B338"/>
    <hyperlink r:id="rId338" ref="B339"/>
    <hyperlink r:id="rId339" ref="B340"/>
    <hyperlink r:id="rId340" ref="B341"/>
    <hyperlink r:id="rId341" ref="B342"/>
    <hyperlink r:id="rId342" ref="B343"/>
    <hyperlink r:id="rId343" ref="B344"/>
    <hyperlink r:id="rId344" ref="B345"/>
    <hyperlink r:id="rId345" ref="B346"/>
    <hyperlink r:id="rId346" ref="B347"/>
    <hyperlink r:id="rId347" ref="B348"/>
    <hyperlink r:id="rId348" ref="B349"/>
    <hyperlink r:id="rId349" ref="B350"/>
    <hyperlink r:id="rId350" ref="B351"/>
    <hyperlink r:id="rId351" ref="B352"/>
    <hyperlink r:id="rId352" ref="B353"/>
    <hyperlink r:id="rId353" ref="B354"/>
    <hyperlink r:id="rId354" ref="B355"/>
    <hyperlink r:id="rId355" ref="B356"/>
    <hyperlink r:id="rId356" ref="B357"/>
    <hyperlink r:id="rId357" ref="B358"/>
    <hyperlink r:id="rId358" ref="B359"/>
    <hyperlink r:id="rId359" ref="B360"/>
    <hyperlink r:id="rId360" ref="B361"/>
    <hyperlink r:id="rId361" ref="B362"/>
    <hyperlink r:id="rId362" ref="B363"/>
    <hyperlink r:id="rId363" ref="B364"/>
    <hyperlink r:id="rId364" ref="B365"/>
    <hyperlink r:id="rId365" ref="B366"/>
    <hyperlink r:id="rId366" ref="B367"/>
    <hyperlink r:id="rId367" ref="B368"/>
    <hyperlink r:id="rId368" ref="B369"/>
    <hyperlink r:id="rId369" ref="B370"/>
    <hyperlink r:id="rId370" ref="B371"/>
    <hyperlink r:id="rId371" ref="B372"/>
    <hyperlink r:id="rId372" ref="B373"/>
    <hyperlink r:id="rId373" ref="B374"/>
    <hyperlink r:id="rId374" ref="B375"/>
    <hyperlink r:id="rId375" ref="B376"/>
    <hyperlink r:id="rId376" ref="B377"/>
    <hyperlink r:id="rId377" ref="B378"/>
    <hyperlink r:id="rId378" ref="B379"/>
    <hyperlink r:id="rId379" ref="B380"/>
    <hyperlink r:id="rId380" ref="B381"/>
    <hyperlink r:id="rId381" ref="B382"/>
    <hyperlink r:id="rId382" ref="B383"/>
    <hyperlink r:id="rId383" ref="B384"/>
    <hyperlink r:id="rId384" ref="B385"/>
    <hyperlink r:id="rId385" ref="B386"/>
    <hyperlink r:id="rId386" ref="B387"/>
    <hyperlink r:id="rId387" ref="B388"/>
    <hyperlink r:id="rId388" ref="B389"/>
    <hyperlink r:id="rId389" ref="B390"/>
    <hyperlink r:id="rId390" ref="B391"/>
    <hyperlink r:id="rId391" ref="B392"/>
    <hyperlink r:id="rId392" ref="B393"/>
    <hyperlink r:id="rId393" ref="B394"/>
    <hyperlink r:id="rId394" ref="B395"/>
    <hyperlink r:id="rId395" ref="B396"/>
    <hyperlink r:id="rId396" ref="B397"/>
    <hyperlink r:id="rId397" ref="B398"/>
    <hyperlink r:id="rId398" ref="B399"/>
    <hyperlink r:id="rId399" ref="B400"/>
    <hyperlink r:id="rId400" ref="B401"/>
    <hyperlink r:id="rId401" ref="B402"/>
    <hyperlink r:id="rId402" ref="B403"/>
    <hyperlink r:id="rId403" ref="B404"/>
    <hyperlink r:id="rId404" ref="B405"/>
    <hyperlink r:id="rId405" ref="B406"/>
    <hyperlink r:id="rId406" ref="B407"/>
    <hyperlink r:id="rId407" ref="B408"/>
    <hyperlink r:id="rId408" ref="B409"/>
    <hyperlink r:id="rId409" ref="B410"/>
    <hyperlink r:id="rId410" ref="B411"/>
    <hyperlink r:id="rId411" ref="B412"/>
    <hyperlink r:id="rId412" ref="B413"/>
    <hyperlink r:id="rId413" ref="B414"/>
    <hyperlink r:id="rId414" ref="B415"/>
    <hyperlink r:id="rId415" ref="B416"/>
    <hyperlink r:id="rId416" ref="B417"/>
    <hyperlink r:id="rId417" ref="B418"/>
    <hyperlink r:id="rId418" ref="B419"/>
    <hyperlink r:id="rId419" ref="B420"/>
    <hyperlink r:id="rId420" ref="B421"/>
    <hyperlink r:id="rId421" ref="B422"/>
    <hyperlink r:id="rId422" ref="B423"/>
    <hyperlink r:id="rId423" ref="B424"/>
    <hyperlink r:id="rId424" ref="B425"/>
    <hyperlink r:id="rId425" ref="B426"/>
    <hyperlink r:id="rId426" ref="B427"/>
    <hyperlink r:id="rId427" ref="B428"/>
    <hyperlink r:id="rId428" ref="B429"/>
    <hyperlink r:id="rId429" ref="B430"/>
    <hyperlink r:id="rId430" ref="B431"/>
    <hyperlink r:id="rId431" ref="B432"/>
    <hyperlink r:id="rId432" ref="B433"/>
    <hyperlink r:id="rId433" ref="B434"/>
    <hyperlink r:id="rId434" ref="B435"/>
    <hyperlink r:id="rId435" ref="B436"/>
    <hyperlink r:id="rId436" ref="B437"/>
    <hyperlink r:id="rId437" ref="B438"/>
    <hyperlink r:id="rId438" ref="B439"/>
    <hyperlink r:id="rId439" ref="B440"/>
    <hyperlink r:id="rId440" ref="B441"/>
    <hyperlink r:id="rId441" ref="B442"/>
    <hyperlink r:id="rId442" ref="B443"/>
    <hyperlink r:id="rId443" ref="B444"/>
    <hyperlink r:id="rId444" ref="B445"/>
    <hyperlink r:id="rId445" ref="B446"/>
    <hyperlink r:id="rId446" ref="B447"/>
    <hyperlink r:id="rId447" ref="B448"/>
    <hyperlink r:id="rId448" ref="B449"/>
    <hyperlink r:id="rId449" ref="B450"/>
    <hyperlink r:id="rId450" ref="B451"/>
    <hyperlink r:id="rId451" ref="B452"/>
    <hyperlink r:id="rId452" ref="B453"/>
    <hyperlink r:id="rId453" ref="B454"/>
    <hyperlink r:id="rId454" ref="B455"/>
    <hyperlink r:id="rId455" ref="B456"/>
    <hyperlink r:id="rId456" ref="B457"/>
    <hyperlink r:id="rId457" ref="B458"/>
    <hyperlink r:id="rId458" ref="B459"/>
    <hyperlink r:id="rId459" ref="B460"/>
    <hyperlink r:id="rId460" ref="B461"/>
    <hyperlink r:id="rId461" ref="B462"/>
    <hyperlink r:id="rId462" ref="B463"/>
    <hyperlink r:id="rId463" ref="B464"/>
    <hyperlink r:id="rId464" ref="B465"/>
    <hyperlink r:id="rId465" ref="B466"/>
    <hyperlink r:id="rId466" ref="B467"/>
    <hyperlink r:id="rId467" ref="B468"/>
    <hyperlink r:id="rId468" ref="B469"/>
    <hyperlink r:id="rId469" ref="B470"/>
    <hyperlink r:id="rId470" ref="B471"/>
    <hyperlink r:id="rId471" ref="B472"/>
    <hyperlink r:id="rId472" ref="B473"/>
    <hyperlink r:id="rId473" ref="B474"/>
    <hyperlink r:id="rId474" ref="B475"/>
    <hyperlink r:id="rId475" ref="B476"/>
    <hyperlink r:id="rId476" ref="B477"/>
    <hyperlink r:id="rId477" ref="B478"/>
    <hyperlink r:id="rId478" ref="B479"/>
    <hyperlink r:id="rId479" ref="B480"/>
    <hyperlink r:id="rId480" ref="B481"/>
    <hyperlink r:id="rId481" ref="B482"/>
    <hyperlink r:id="rId482" ref="B483"/>
    <hyperlink r:id="rId483" ref="B484"/>
    <hyperlink r:id="rId484" ref="B485"/>
    <hyperlink r:id="rId485" ref="B486"/>
    <hyperlink r:id="rId486" ref="B487"/>
    <hyperlink r:id="rId487" ref="B488"/>
    <hyperlink r:id="rId488" ref="B489"/>
    <hyperlink r:id="rId489" ref="B490"/>
    <hyperlink r:id="rId490" ref="B491"/>
    <hyperlink r:id="rId491" ref="B492"/>
    <hyperlink r:id="rId492" ref="B493"/>
    <hyperlink r:id="rId493" ref="B494"/>
    <hyperlink r:id="rId494" ref="B495"/>
    <hyperlink r:id="rId495" ref="B496"/>
    <hyperlink r:id="rId496" ref="B497"/>
    <hyperlink r:id="rId497" ref="B498"/>
    <hyperlink r:id="rId498" ref="B499"/>
    <hyperlink r:id="rId499" ref="B500"/>
    <hyperlink r:id="rId500" ref="B501"/>
  </hyperlinks>
  <drawing r:id="rId50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sheetPr>
  <sheetViews>
    <sheetView workbookViewId="0"/>
  </sheetViews>
  <sheetFormatPr customHeight="1" defaultColWidth="12.63" defaultRowHeight="15.75"/>
  <cols>
    <col customWidth="1" min="1" max="1" width="40.75"/>
    <col customWidth="1" min="2" max="2" width="70.63"/>
    <col customWidth="1" min="5" max="5" width="26.13"/>
  </cols>
  <sheetData>
    <row r="1">
      <c r="A1" s="1" t="s">
        <v>4</v>
      </c>
      <c r="B1" s="1" t="s">
        <v>8</v>
      </c>
      <c r="C1" s="1" t="s">
        <v>12</v>
      </c>
      <c r="D1" s="1" t="s">
        <v>16</v>
      </c>
      <c r="E1" s="1" t="s">
        <v>20</v>
      </c>
      <c r="F1" s="5"/>
      <c r="G1" s="5"/>
      <c r="H1" s="5"/>
      <c r="I1" s="5"/>
      <c r="J1" s="5"/>
      <c r="K1" s="5"/>
      <c r="L1" s="5"/>
      <c r="M1" s="5"/>
      <c r="N1" s="5"/>
      <c r="O1" s="5"/>
      <c r="P1" s="5"/>
      <c r="Q1" s="5"/>
      <c r="R1" s="5"/>
      <c r="S1" s="5"/>
      <c r="T1" s="5"/>
      <c r="U1" s="5"/>
      <c r="V1" s="5"/>
      <c r="W1" s="5"/>
    </row>
    <row r="2">
      <c r="A2" s="3" t="s">
        <v>626</v>
      </c>
      <c r="B2" s="3" t="s">
        <v>627</v>
      </c>
      <c r="C2" s="3" t="s">
        <v>144</v>
      </c>
      <c r="D2" s="3" t="s">
        <v>628</v>
      </c>
      <c r="E2" s="15" t="s">
        <v>50</v>
      </c>
      <c r="F2" s="5"/>
      <c r="G2" s="5"/>
      <c r="H2" s="5"/>
      <c r="I2" s="5"/>
      <c r="J2" s="5"/>
      <c r="K2" s="5"/>
      <c r="L2" s="5"/>
      <c r="M2" s="5"/>
      <c r="N2" s="5"/>
      <c r="O2" s="5"/>
      <c r="P2" s="5"/>
      <c r="Q2" s="5"/>
      <c r="R2" s="5"/>
      <c r="S2" s="5"/>
      <c r="T2" s="5"/>
      <c r="U2" s="5"/>
      <c r="V2" s="5"/>
      <c r="W2" s="5"/>
    </row>
    <row r="3">
      <c r="A3" s="3" t="s">
        <v>629</v>
      </c>
      <c r="B3" s="3" t="s">
        <v>630</v>
      </c>
      <c r="C3" s="3" t="s">
        <v>146</v>
      </c>
      <c r="D3" s="3" t="s">
        <v>631</v>
      </c>
      <c r="E3" s="4" t="s">
        <v>50</v>
      </c>
      <c r="F3" s="5"/>
      <c r="G3" s="5"/>
      <c r="H3" s="5"/>
      <c r="I3" s="5"/>
      <c r="J3" s="5"/>
      <c r="K3" s="5"/>
      <c r="L3" s="5"/>
      <c r="M3" s="5"/>
      <c r="N3" s="5"/>
      <c r="O3" s="5"/>
      <c r="P3" s="5"/>
      <c r="Q3" s="5"/>
      <c r="R3" s="5"/>
      <c r="S3" s="5"/>
      <c r="T3" s="5"/>
      <c r="U3" s="5"/>
      <c r="V3" s="5"/>
      <c r="W3" s="5"/>
    </row>
    <row r="4">
      <c r="A4" s="3" t="s">
        <v>632</v>
      </c>
      <c r="B4" s="3" t="s">
        <v>633</v>
      </c>
      <c r="C4" s="3" t="s">
        <v>634</v>
      </c>
      <c r="D4" s="3" t="s">
        <v>635</v>
      </c>
      <c r="E4" s="4" t="s">
        <v>50</v>
      </c>
      <c r="F4" s="5"/>
      <c r="G4" s="5"/>
      <c r="H4" s="5"/>
      <c r="I4" s="5"/>
      <c r="J4" s="5"/>
      <c r="K4" s="5"/>
      <c r="L4" s="5"/>
      <c r="M4" s="5"/>
      <c r="N4" s="5"/>
      <c r="O4" s="5"/>
      <c r="P4" s="5"/>
      <c r="Q4" s="5"/>
      <c r="R4" s="5"/>
      <c r="S4" s="5"/>
      <c r="T4" s="5"/>
      <c r="U4" s="5"/>
      <c r="V4" s="5"/>
      <c r="W4" s="5"/>
    </row>
    <row r="5">
      <c r="A5" s="3" t="s">
        <v>636</v>
      </c>
      <c r="B5" s="3" t="s">
        <v>637</v>
      </c>
      <c r="C5" s="3" t="s">
        <v>638</v>
      </c>
      <c r="D5" s="3" t="s">
        <v>639</v>
      </c>
      <c r="E5" s="4" t="s">
        <v>50</v>
      </c>
      <c r="F5" s="5"/>
      <c r="G5" s="5"/>
      <c r="H5" s="5"/>
      <c r="I5" s="5"/>
      <c r="J5" s="5"/>
      <c r="K5" s="5"/>
      <c r="L5" s="5"/>
      <c r="M5" s="5"/>
      <c r="N5" s="5"/>
      <c r="O5" s="5"/>
      <c r="P5" s="5"/>
      <c r="Q5" s="5"/>
      <c r="R5" s="5"/>
      <c r="S5" s="5"/>
      <c r="T5" s="5"/>
      <c r="U5" s="5"/>
      <c r="V5" s="5"/>
      <c r="W5" s="5"/>
    </row>
    <row r="6">
      <c r="A6" s="3" t="s">
        <v>640</v>
      </c>
      <c r="B6" s="3" t="s">
        <v>641</v>
      </c>
      <c r="C6" s="3" t="s">
        <v>642</v>
      </c>
      <c r="D6" s="3" t="s">
        <v>643</v>
      </c>
      <c r="E6" s="4" t="s">
        <v>50</v>
      </c>
      <c r="F6" s="5"/>
      <c r="G6" s="5"/>
      <c r="H6" s="5"/>
      <c r="I6" s="5"/>
      <c r="J6" s="5"/>
      <c r="K6" s="5"/>
      <c r="L6" s="5"/>
      <c r="M6" s="5"/>
      <c r="N6" s="5"/>
      <c r="O6" s="5"/>
      <c r="P6" s="5"/>
      <c r="Q6" s="5"/>
      <c r="R6" s="5"/>
      <c r="S6" s="5"/>
      <c r="T6" s="5"/>
      <c r="U6" s="5"/>
      <c r="V6" s="5"/>
      <c r="W6" s="5"/>
    </row>
    <row r="7">
      <c r="A7" s="3" t="s">
        <v>644</v>
      </c>
      <c r="B7" s="3" t="s">
        <v>645</v>
      </c>
      <c r="C7" s="3" t="s">
        <v>646</v>
      </c>
      <c r="D7" s="3" t="s">
        <v>647</v>
      </c>
      <c r="E7" s="4" t="s">
        <v>50</v>
      </c>
      <c r="F7" s="5"/>
      <c r="G7" s="5"/>
      <c r="H7" s="5"/>
      <c r="I7" s="5"/>
      <c r="J7" s="5"/>
      <c r="K7" s="5"/>
      <c r="L7" s="5"/>
      <c r="M7" s="5"/>
      <c r="N7" s="5"/>
      <c r="O7" s="5"/>
      <c r="P7" s="5"/>
      <c r="Q7" s="5"/>
      <c r="R7" s="5"/>
      <c r="S7" s="5"/>
      <c r="T7" s="5"/>
      <c r="U7" s="5"/>
      <c r="V7" s="5"/>
      <c r="W7" s="5"/>
    </row>
    <row r="8">
      <c r="A8" s="3" t="s">
        <v>648</v>
      </c>
      <c r="B8" s="3" t="s">
        <v>649</v>
      </c>
      <c r="C8" s="3" t="s">
        <v>650</v>
      </c>
      <c r="D8" s="3" t="s">
        <v>651</v>
      </c>
      <c r="E8" s="4" t="s">
        <v>50</v>
      </c>
      <c r="F8" s="5"/>
      <c r="G8" s="5"/>
      <c r="H8" s="5"/>
      <c r="I8" s="5"/>
      <c r="J8" s="5"/>
      <c r="K8" s="5"/>
      <c r="L8" s="5"/>
      <c r="M8" s="5"/>
      <c r="N8" s="5"/>
      <c r="O8" s="5"/>
      <c r="P8" s="5"/>
      <c r="Q8" s="5"/>
      <c r="R8" s="5"/>
      <c r="S8" s="5"/>
      <c r="T8" s="5"/>
      <c r="U8" s="5"/>
      <c r="V8" s="5"/>
      <c r="W8" s="5"/>
    </row>
    <row r="9">
      <c r="A9" s="3" t="s">
        <v>652</v>
      </c>
      <c r="B9" s="3" t="s">
        <v>653</v>
      </c>
      <c r="C9" s="3" t="s">
        <v>634</v>
      </c>
      <c r="D9" s="3" t="s">
        <v>654</v>
      </c>
      <c r="E9" s="4" t="s">
        <v>50</v>
      </c>
      <c r="F9" s="5"/>
      <c r="G9" s="5"/>
      <c r="H9" s="5"/>
      <c r="I9" s="5"/>
      <c r="J9" s="5"/>
      <c r="K9" s="5"/>
      <c r="L9" s="5"/>
      <c r="M9" s="5"/>
      <c r="N9" s="5"/>
      <c r="O9" s="5"/>
      <c r="P9" s="5"/>
      <c r="Q9" s="5"/>
      <c r="R9" s="5"/>
      <c r="S9" s="5"/>
      <c r="T9" s="5"/>
      <c r="U9" s="5"/>
      <c r="V9" s="5"/>
      <c r="W9" s="5"/>
    </row>
    <row r="10">
      <c r="A10" s="3" t="s">
        <v>655</v>
      </c>
      <c r="B10" s="3" t="s">
        <v>656</v>
      </c>
      <c r="C10" s="3" t="s">
        <v>634</v>
      </c>
      <c r="D10" s="3" t="s">
        <v>657</v>
      </c>
      <c r="E10" s="4" t="s">
        <v>50</v>
      </c>
      <c r="F10" s="5"/>
      <c r="G10" s="5"/>
      <c r="H10" s="5"/>
      <c r="I10" s="5"/>
      <c r="J10" s="5"/>
      <c r="K10" s="5"/>
      <c r="L10" s="5"/>
      <c r="M10" s="5"/>
      <c r="N10" s="5"/>
      <c r="O10" s="5"/>
      <c r="P10" s="5"/>
      <c r="Q10" s="5"/>
      <c r="R10" s="5"/>
      <c r="S10" s="5"/>
      <c r="T10" s="5"/>
      <c r="U10" s="5"/>
      <c r="V10" s="5"/>
      <c r="W10" s="5"/>
    </row>
    <row r="11">
      <c r="A11" s="3" t="s">
        <v>658</v>
      </c>
      <c r="B11" s="3" t="s">
        <v>659</v>
      </c>
      <c r="C11" s="3" t="s">
        <v>150</v>
      </c>
      <c r="D11" s="3" t="s">
        <v>660</v>
      </c>
      <c r="E11" s="4" t="s">
        <v>50</v>
      </c>
      <c r="F11" s="5"/>
      <c r="G11" s="5"/>
      <c r="H11" s="5"/>
      <c r="I11" s="5"/>
      <c r="J11" s="5"/>
      <c r="K11" s="5"/>
      <c r="L11" s="5"/>
      <c r="M11" s="5"/>
      <c r="N11" s="5"/>
      <c r="O11" s="5"/>
      <c r="P11" s="5"/>
      <c r="Q11" s="5"/>
      <c r="R11" s="5"/>
      <c r="S11" s="5"/>
      <c r="T11" s="5"/>
      <c r="U11" s="5"/>
      <c r="V11" s="5"/>
      <c r="W11" s="5"/>
    </row>
    <row r="12">
      <c r="A12" s="3" t="s">
        <v>661</v>
      </c>
      <c r="B12" s="3" t="s">
        <v>662</v>
      </c>
      <c r="C12" s="3" t="s">
        <v>150</v>
      </c>
      <c r="D12" s="3" t="s">
        <v>663</v>
      </c>
      <c r="E12" s="4" t="s">
        <v>50</v>
      </c>
      <c r="F12" s="5"/>
      <c r="G12" s="5"/>
      <c r="H12" s="5"/>
      <c r="I12" s="5"/>
      <c r="J12" s="5"/>
      <c r="K12" s="5"/>
      <c r="L12" s="5"/>
      <c r="M12" s="5"/>
      <c r="N12" s="5"/>
      <c r="O12" s="5"/>
      <c r="P12" s="5"/>
      <c r="Q12" s="5"/>
      <c r="R12" s="5"/>
      <c r="S12" s="5"/>
      <c r="T12" s="5"/>
      <c r="U12" s="5"/>
      <c r="V12" s="5"/>
      <c r="W12" s="5"/>
    </row>
    <row r="13">
      <c r="A13" s="3" t="s">
        <v>664</v>
      </c>
      <c r="B13" s="3" t="s">
        <v>665</v>
      </c>
      <c r="C13" s="3" t="s">
        <v>144</v>
      </c>
      <c r="D13" s="3" t="s">
        <v>666</v>
      </c>
      <c r="E13" s="4" t="s">
        <v>36</v>
      </c>
      <c r="F13" s="5"/>
      <c r="G13" s="5"/>
      <c r="H13" s="5"/>
      <c r="I13" s="5"/>
      <c r="J13" s="5"/>
      <c r="K13" s="5"/>
      <c r="L13" s="5"/>
      <c r="M13" s="5"/>
      <c r="N13" s="5"/>
      <c r="O13" s="5"/>
      <c r="P13" s="5"/>
      <c r="Q13" s="5"/>
      <c r="R13" s="5"/>
      <c r="S13" s="5"/>
      <c r="T13" s="5"/>
      <c r="U13" s="5"/>
      <c r="V13" s="5"/>
      <c r="W13" s="5"/>
    </row>
    <row r="14">
      <c r="A14" s="3" t="s">
        <v>667</v>
      </c>
      <c r="B14" s="3" t="s">
        <v>668</v>
      </c>
      <c r="C14" s="3" t="s">
        <v>144</v>
      </c>
      <c r="D14" s="3" t="s">
        <v>669</v>
      </c>
      <c r="E14" s="4" t="s">
        <v>36</v>
      </c>
      <c r="F14" s="5"/>
      <c r="G14" s="5"/>
      <c r="H14" s="5"/>
      <c r="I14" s="5"/>
      <c r="J14" s="5"/>
      <c r="K14" s="5"/>
      <c r="L14" s="5"/>
      <c r="M14" s="5"/>
      <c r="N14" s="5"/>
      <c r="O14" s="5"/>
      <c r="P14" s="5"/>
      <c r="Q14" s="5"/>
      <c r="R14" s="5"/>
      <c r="S14" s="5"/>
      <c r="T14" s="5"/>
      <c r="U14" s="5"/>
      <c r="V14" s="5"/>
      <c r="W14" s="5"/>
    </row>
    <row r="15">
      <c r="A15" s="3" t="s">
        <v>670</v>
      </c>
      <c r="B15" s="3" t="s">
        <v>671</v>
      </c>
      <c r="C15" s="3" t="s">
        <v>672</v>
      </c>
      <c r="D15" s="3" t="s">
        <v>673</v>
      </c>
      <c r="E15" s="4" t="s">
        <v>36</v>
      </c>
      <c r="F15" s="5"/>
      <c r="G15" s="5"/>
      <c r="H15" s="5"/>
      <c r="I15" s="5"/>
      <c r="J15" s="5"/>
      <c r="K15" s="5"/>
      <c r="L15" s="5"/>
      <c r="M15" s="5"/>
      <c r="N15" s="5"/>
      <c r="O15" s="5"/>
      <c r="P15" s="5"/>
      <c r="Q15" s="5"/>
      <c r="R15" s="5"/>
      <c r="S15" s="5"/>
      <c r="T15" s="5"/>
      <c r="U15" s="5"/>
      <c r="V15" s="5"/>
      <c r="W15" s="5"/>
    </row>
    <row r="16">
      <c r="A16" s="3" t="s">
        <v>674</v>
      </c>
      <c r="B16" s="3" t="s">
        <v>675</v>
      </c>
      <c r="C16" s="3" t="s">
        <v>144</v>
      </c>
      <c r="D16" s="3" t="s">
        <v>676</v>
      </c>
      <c r="E16" s="4" t="s">
        <v>145</v>
      </c>
      <c r="F16" s="5"/>
      <c r="G16" s="5"/>
      <c r="H16" s="5"/>
      <c r="I16" s="5"/>
      <c r="J16" s="5"/>
      <c r="K16" s="5"/>
      <c r="L16" s="5"/>
      <c r="M16" s="5"/>
      <c r="N16" s="5"/>
      <c r="O16" s="5"/>
      <c r="P16" s="5"/>
      <c r="Q16" s="5"/>
      <c r="R16" s="5"/>
      <c r="S16" s="5"/>
      <c r="T16" s="5"/>
      <c r="U16" s="5"/>
      <c r="V16" s="5"/>
      <c r="W16" s="5"/>
    </row>
    <row r="17">
      <c r="A17" s="3" t="s">
        <v>677</v>
      </c>
      <c r="B17" s="3" t="s">
        <v>678</v>
      </c>
      <c r="C17" s="3" t="s">
        <v>144</v>
      </c>
      <c r="D17" s="3" t="s">
        <v>679</v>
      </c>
      <c r="E17" s="4" t="s">
        <v>145</v>
      </c>
      <c r="F17" s="5"/>
      <c r="G17" s="5"/>
      <c r="H17" s="5"/>
      <c r="I17" s="5"/>
      <c r="J17" s="5"/>
      <c r="K17" s="5"/>
      <c r="L17" s="5"/>
      <c r="M17" s="5"/>
      <c r="N17" s="5"/>
      <c r="O17" s="5"/>
      <c r="P17" s="5"/>
      <c r="Q17" s="5"/>
      <c r="R17" s="5"/>
      <c r="S17" s="5"/>
      <c r="T17" s="5"/>
      <c r="U17" s="5"/>
      <c r="V17" s="5"/>
      <c r="W17" s="5"/>
    </row>
    <row r="18">
      <c r="A18" s="3" t="s">
        <v>680</v>
      </c>
      <c r="B18" s="3" t="s">
        <v>681</v>
      </c>
      <c r="C18" s="3" t="s">
        <v>146</v>
      </c>
      <c r="D18" s="3" t="s">
        <v>682</v>
      </c>
      <c r="E18" s="4" t="s">
        <v>147</v>
      </c>
      <c r="F18" s="5"/>
      <c r="G18" s="5"/>
      <c r="H18" s="5"/>
      <c r="I18" s="5"/>
      <c r="J18" s="5"/>
      <c r="K18" s="5"/>
      <c r="L18" s="5"/>
      <c r="M18" s="5"/>
      <c r="N18" s="5"/>
      <c r="O18" s="5"/>
      <c r="P18" s="5"/>
      <c r="Q18" s="5"/>
      <c r="R18" s="5"/>
      <c r="S18" s="5"/>
      <c r="T18" s="5"/>
      <c r="U18" s="5"/>
      <c r="V18" s="5"/>
      <c r="W18" s="5"/>
    </row>
    <row r="19">
      <c r="A19" s="3" t="s">
        <v>683</v>
      </c>
      <c r="B19" s="3" t="s">
        <v>684</v>
      </c>
      <c r="C19" s="3" t="s">
        <v>146</v>
      </c>
      <c r="D19" s="3" t="s">
        <v>685</v>
      </c>
      <c r="E19" s="4" t="s">
        <v>147</v>
      </c>
      <c r="F19" s="5"/>
      <c r="G19" s="5"/>
      <c r="H19" s="5"/>
      <c r="I19" s="5"/>
      <c r="J19" s="5"/>
      <c r="K19" s="5"/>
      <c r="L19" s="5"/>
      <c r="M19" s="5"/>
      <c r="N19" s="5"/>
      <c r="O19" s="5"/>
      <c r="P19" s="5"/>
      <c r="Q19" s="5"/>
      <c r="R19" s="5"/>
      <c r="S19" s="5"/>
      <c r="T19" s="5"/>
      <c r="U19" s="5"/>
      <c r="V19" s="5"/>
      <c r="W19" s="5"/>
    </row>
    <row r="20">
      <c r="A20" s="3" t="s">
        <v>686</v>
      </c>
      <c r="B20" s="3" t="s">
        <v>687</v>
      </c>
      <c r="C20" s="3" t="s">
        <v>146</v>
      </c>
      <c r="D20" s="3" t="s">
        <v>688</v>
      </c>
      <c r="E20" s="4" t="s">
        <v>147</v>
      </c>
      <c r="F20" s="5"/>
      <c r="G20" s="5"/>
      <c r="H20" s="5"/>
      <c r="I20" s="5"/>
      <c r="J20" s="5"/>
      <c r="K20" s="5"/>
      <c r="L20" s="5"/>
      <c r="M20" s="5"/>
      <c r="N20" s="5"/>
      <c r="O20" s="5"/>
      <c r="P20" s="5"/>
      <c r="Q20" s="5"/>
      <c r="R20" s="5"/>
      <c r="S20" s="5"/>
      <c r="T20" s="5"/>
      <c r="U20" s="5"/>
      <c r="V20" s="5"/>
      <c r="W20" s="5"/>
    </row>
    <row r="21">
      <c r="A21" s="3" t="s">
        <v>689</v>
      </c>
      <c r="B21" s="3" t="s">
        <v>690</v>
      </c>
      <c r="C21" s="3" t="s">
        <v>148</v>
      </c>
      <c r="D21" s="3" t="s">
        <v>691</v>
      </c>
      <c r="E21" s="15" t="s">
        <v>149</v>
      </c>
      <c r="F21" s="5"/>
      <c r="G21" s="5"/>
      <c r="H21" s="5"/>
      <c r="I21" s="5"/>
      <c r="J21" s="5"/>
      <c r="K21" s="5"/>
      <c r="L21" s="5"/>
      <c r="M21" s="5"/>
      <c r="N21" s="5"/>
      <c r="O21" s="5"/>
      <c r="P21" s="5"/>
      <c r="Q21" s="5"/>
      <c r="R21" s="5"/>
      <c r="S21" s="5"/>
      <c r="T21" s="5"/>
      <c r="U21" s="5"/>
      <c r="V21" s="5"/>
      <c r="W21" s="5"/>
    </row>
    <row r="22">
      <c r="A22" s="3" t="s">
        <v>692</v>
      </c>
      <c r="B22" s="3" t="s">
        <v>693</v>
      </c>
      <c r="C22" s="3" t="s">
        <v>148</v>
      </c>
      <c r="D22" s="3" t="s">
        <v>694</v>
      </c>
      <c r="E22" s="15" t="s">
        <v>149</v>
      </c>
      <c r="F22" s="5"/>
      <c r="G22" s="5"/>
      <c r="H22" s="5"/>
      <c r="I22" s="5"/>
      <c r="J22" s="5"/>
      <c r="K22" s="5"/>
      <c r="L22" s="5"/>
      <c r="M22" s="5"/>
      <c r="N22" s="5"/>
      <c r="O22" s="5"/>
      <c r="P22" s="5"/>
      <c r="Q22" s="5"/>
      <c r="R22" s="5"/>
      <c r="S22" s="5"/>
      <c r="T22" s="5"/>
      <c r="U22" s="5"/>
      <c r="V22" s="5"/>
      <c r="W22" s="5"/>
    </row>
    <row r="23">
      <c r="A23" s="3" t="s">
        <v>695</v>
      </c>
      <c r="B23" s="3" t="s">
        <v>696</v>
      </c>
      <c r="C23" s="3" t="s">
        <v>148</v>
      </c>
      <c r="D23" s="3" t="s">
        <v>697</v>
      </c>
      <c r="E23" s="15" t="s">
        <v>149</v>
      </c>
      <c r="F23" s="5"/>
      <c r="G23" s="5"/>
      <c r="H23" s="5"/>
      <c r="I23" s="5"/>
      <c r="J23" s="5"/>
      <c r="K23" s="5"/>
      <c r="L23" s="5"/>
      <c r="M23" s="5"/>
      <c r="N23" s="5"/>
      <c r="O23" s="5"/>
      <c r="P23" s="5"/>
      <c r="Q23" s="5"/>
      <c r="R23" s="5"/>
      <c r="S23" s="5"/>
      <c r="T23" s="5"/>
      <c r="U23" s="5"/>
      <c r="V23" s="5"/>
      <c r="W23" s="5"/>
    </row>
    <row r="24">
      <c r="A24" s="3" t="s">
        <v>698</v>
      </c>
      <c r="B24" s="3" t="s">
        <v>699</v>
      </c>
      <c r="C24" s="3" t="s">
        <v>148</v>
      </c>
      <c r="D24" s="3" t="s">
        <v>700</v>
      </c>
      <c r="E24" s="15" t="s">
        <v>149</v>
      </c>
      <c r="F24" s="5"/>
      <c r="G24" s="5"/>
      <c r="H24" s="5"/>
      <c r="I24" s="5"/>
      <c r="J24" s="5"/>
      <c r="K24" s="5"/>
      <c r="L24" s="5"/>
      <c r="M24" s="5"/>
      <c r="N24" s="5"/>
      <c r="O24" s="5"/>
      <c r="P24" s="5"/>
      <c r="Q24" s="5"/>
      <c r="R24" s="5"/>
      <c r="S24" s="5"/>
      <c r="T24" s="5"/>
      <c r="U24" s="5"/>
      <c r="V24" s="5"/>
      <c r="W24" s="5"/>
    </row>
    <row r="25">
      <c r="A25" s="3" t="s">
        <v>701</v>
      </c>
      <c r="B25" s="3" t="s">
        <v>702</v>
      </c>
      <c r="C25" s="3" t="s">
        <v>148</v>
      </c>
      <c r="D25" s="3" t="s">
        <v>703</v>
      </c>
      <c r="E25" s="15" t="s">
        <v>149</v>
      </c>
      <c r="F25" s="5"/>
      <c r="G25" s="5"/>
      <c r="H25" s="5"/>
      <c r="I25" s="5"/>
      <c r="J25" s="5"/>
      <c r="K25" s="5"/>
      <c r="L25" s="5"/>
      <c r="M25" s="5"/>
      <c r="N25" s="5"/>
      <c r="O25" s="5"/>
      <c r="P25" s="5"/>
      <c r="Q25" s="5"/>
      <c r="R25" s="5"/>
      <c r="S25" s="5"/>
      <c r="T25" s="5"/>
      <c r="U25" s="5"/>
      <c r="V25" s="5"/>
      <c r="W25" s="5"/>
    </row>
    <row r="26">
      <c r="A26" s="3" t="s">
        <v>704</v>
      </c>
      <c r="B26" s="3" t="s">
        <v>705</v>
      </c>
      <c r="C26" s="3" t="s">
        <v>706</v>
      </c>
      <c r="D26" s="3" t="s">
        <v>707</v>
      </c>
      <c r="E26" s="4" t="s">
        <v>153</v>
      </c>
      <c r="F26" s="5"/>
      <c r="G26" s="5"/>
      <c r="H26" s="5"/>
      <c r="I26" s="5"/>
      <c r="J26" s="5"/>
      <c r="K26" s="5"/>
      <c r="L26" s="5"/>
      <c r="M26" s="5"/>
      <c r="N26" s="5"/>
      <c r="O26" s="5"/>
      <c r="P26" s="5"/>
      <c r="Q26" s="5"/>
      <c r="R26" s="5"/>
      <c r="S26" s="5"/>
      <c r="T26" s="5"/>
      <c r="U26" s="5"/>
      <c r="V26" s="5"/>
      <c r="W26" s="5"/>
    </row>
    <row r="27">
      <c r="A27" s="3" t="s">
        <v>708</v>
      </c>
      <c r="B27" s="3" t="s">
        <v>709</v>
      </c>
      <c r="C27" s="3" t="s">
        <v>710</v>
      </c>
      <c r="D27" s="3" t="s">
        <v>711</v>
      </c>
      <c r="E27" s="4" t="s">
        <v>153</v>
      </c>
      <c r="F27" s="5"/>
      <c r="G27" s="5"/>
      <c r="H27" s="5"/>
      <c r="I27" s="5"/>
      <c r="J27" s="5"/>
      <c r="K27" s="5"/>
      <c r="L27" s="5"/>
      <c r="M27" s="5"/>
      <c r="N27" s="5"/>
      <c r="O27" s="5"/>
      <c r="P27" s="5"/>
      <c r="Q27" s="5"/>
      <c r="R27" s="5"/>
      <c r="S27" s="5"/>
      <c r="T27" s="5"/>
      <c r="U27" s="5"/>
      <c r="V27" s="5"/>
      <c r="W27" s="5"/>
    </row>
    <row r="28">
      <c r="A28" s="3" t="s">
        <v>712</v>
      </c>
      <c r="B28" s="3" t="s">
        <v>713</v>
      </c>
      <c r="C28" s="3" t="s">
        <v>714</v>
      </c>
      <c r="D28" s="3" t="s">
        <v>715</v>
      </c>
      <c r="E28" s="4" t="s">
        <v>153</v>
      </c>
      <c r="F28" s="5"/>
      <c r="G28" s="5"/>
      <c r="H28" s="5"/>
      <c r="I28" s="5"/>
      <c r="J28" s="5"/>
      <c r="K28" s="5"/>
      <c r="L28" s="5"/>
      <c r="M28" s="5"/>
      <c r="N28" s="5"/>
      <c r="O28" s="5"/>
      <c r="P28" s="5"/>
      <c r="Q28" s="5"/>
      <c r="R28" s="5"/>
      <c r="S28" s="5"/>
      <c r="T28" s="5"/>
      <c r="U28" s="5"/>
      <c r="V28" s="5"/>
      <c r="W28" s="5"/>
    </row>
    <row r="29">
      <c r="A29" s="3" t="s">
        <v>716</v>
      </c>
      <c r="B29" s="3" t="s">
        <v>717</v>
      </c>
      <c r="C29" s="3" t="s">
        <v>718</v>
      </c>
      <c r="D29" s="3" t="s">
        <v>719</v>
      </c>
      <c r="E29" s="4" t="s">
        <v>153</v>
      </c>
      <c r="F29" s="5"/>
      <c r="G29" s="5"/>
      <c r="H29" s="5"/>
      <c r="I29" s="5"/>
      <c r="J29" s="5"/>
      <c r="K29" s="5"/>
      <c r="L29" s="5"/>
      <c r="M29" s="5"/>
      <c r="N29" s="5"/>
      <c r="O29" s="5"/>
      <c r="P29" s="5"/>
      <c r="Q29" s="5"/>
      <c r="R29" s="5"/>
      <c r="S29" s="5"/>
      <c r="T29" s="5"/>
      <c r="U29" s="5"/>
      <c r="V29" s="5"/>
      <c r="W29" s="5"/>
    </row>
    <row r="30">
      <c r="A30" s="3" t="s">
        <v>720</v>
      </c>
      <c r="B30" s="3" t="s">
        <v>721</v>
      </c>
      <c r="C30" s="3" t="s">
        <v>722</v>
      </c>
      <c r="D30" s="3" t="s">
        <v>723</v>
      </c>
      <c r="E30" s="4" t="s">
        <v>153</v>
      </c>
      <c r="F30" s="5"/>
      <c r="G30" s="5"/>
      <c r="H30" s="5"/>
      <c r="I30" s="5"/>
      <c r="J30" s="5"/>
      <c r="K30" s="5"/>
      <c r="L30" s="5"/>
      <c r="M30" s="5"/>
      <c r="N30" s="5"/>
      <c r="O30" s="5"/>
      <c r="P30" s="5"/>
      <c r="Q30" s="5"/>
      <c r="R30" s="5"/>
      <c r="S30" s="5"/>
      <c r="T30" s="5"/>
      <c r="U30" s="5"/>
      <c r="V30" s="5"/>
      <c r="W30" s="5"/>
    </row>
    <row r="31">
      <c r="A31" s="3" t="s">
        <v>724</v>
      </c>
      <c r="B31" s="3" t="s">
        <v>725</v>
      </c>
      <c r="C31" s="3" t="s">
        <v>726</v>
      </c>
      <c r="D31" s="3" t="s">
        <v>727</v>
      </c>
      <c r="E31" s="4" t="s">
        <v>153</v>
      </c>
      <c r="F31" s="5"/>
      <c r="G31" s="5"/>
      <c r="H31" s="5"/>
      <c r="I31" s="5"/>
      <c r="J31" s="5"/>
      <c r="K31" s="5"/>
      <c r="L31" s="5"/>
      <c r="M31" s="5"/>
      <c r="N31" s="5"/>
      <c r="O31" s="5"/>
      <c r="P31" s="5"/>
      <c r="Q31" s="5"/>
      <c r="R31" s="5"/>
      <c r="S31" s="5"/>
      <c r="T31" s="5"/>
      <c r="U31" s="5"/>
      <c r="V31" s="5"/>
      <c r="W31" s="5"/>
    </row>
    <row r="32">
      <c r="A32" s="3" t="s">
        <v>728</v>
      </c>
      <c r="B32" s="3" t="s">
        <v>729</v>
      </c>
      <c r="C32" s="3" t="s">
        <v>730</v>
      </c>
      <c r="D32" s="3" t="s">
        <v>731</v>
      </c>
      <c r="E32" s="4" t="s">
        <v>153</v>
      </c>
      <c r="F32" s="5"/>
      <c r="G32" s="5"/>
      <c r="H32" s="5"/>
      <c r="I32" s="5"/>
      <c r="J32" s="5"/>
      <c r="K32" s="5"/>
      <c r="L32" s="5"/>
      <c r="M32" s="5"/>
      <c r="N32" s="5"/>
      <c r="O32" s="5"/>
      <c r="P32" s="5"/>
      <c r="Q32" s="5"/>
      <c r="R32" s="5"/>
      <c r="S32" s="5"/>
      <c r="T32" s="5"/>
      <c r="U32" s="5"/>
      <c r="V32" s="5"/>
      <c r="W32" s="5"/>
    </row>
    <row r="33">
      <c r="A33" s="3" t="s">
        <v>732</v>
      </c>
      <c r="B33" s="3" t="s">
        <v>733</v>
      </c>
      <c r="C33" s="3" t="s">
        <v>734</v>
      </c>
      <c r="D33" s="3" t="s">
        <v>735</v>
      </c>
      <c r="E33" s="4" t="s">
        <v>153</v>
      </c>
      <c r="F33" s="5"/>
      <c r="G33" s="5"/>
      <c r="H33" s="5"/>
      <c r="I33" s="5"/>
      <c r="J33" s="5"/>
      <c r="K33" s="5"/>
      <c r="L33" s="5"/>
      <c r="M33" s="5"/>
      <c r="N33" s="5"/>
      <c r="O33" s="5"/>
      <c r="P33" s="5"/>
      <c r="Q33" s="5"/>
      <c r="R33" s="5"/>
      <c r="S33" s="5"/>
      <c r="T33" s="5"/>
      <c r="U33" s="5"/>
      <c r="V33" s="5"/>
      <c r="W33" s="5"/>
    </row>
    <row r="34">
      <c r="A34" s="3" t="s">
        <v>736</v>
      </c>
      <c r="B34" s="3" t="s">
        <v>737</v>
      </c>
      <c r="C34" s="3" t="s">
        <v>738</v>
      </c>
      <c r="D34" s="3" t="s">
        <v>739</v>
      </c>
      <c r="E34" s="4" t="s">
        <v>153</v>
      </c>
      <c r="F34" s="5"/>
      <c r="G34" s="5"/>
      <c r="H34" s="5"/>
      <c r="I34" s="5"/>
      <c r="J34" s="5"/>
      <c r="K34" s="5"/>
      <c r="L34" s="5"/>
      <c r="M34" s="5"/>
      <c r="N34" s="5"/>
      <c r="O34" s="5"/>
      <c r="P34" s="5"/>
      <c r="Q34" s="5"/>
      <c r="R34" s="5"/>
      <c r="S34" s="5"/>
      <c r="T34" s="5"/>
      <c r="U34" s="5"/>
      <c r="V34" s="5"/>
      <c r="W34" s="5"/>
    </row>
    <row r="35">
      <c r="A35" s="3" t="s">
        <v>740</v>
      </c>
      <c r="B35" s="3" t="s">
        <v>741</v>
      </c>
      <c r="C35" s="3" t="s">
        <v>742</v>
      </c>
      <c r="D35" s="3" t="s">
        <v>743</v>
      </c>
      <c r="E35" s="4" t="s">
        <v>153</v>
      </c>
      <c r="F35" s="5"/>
      <c r="G35" s="5"/>
      <c r="H35" s="5"/>
      <c r="I35" s="5"/>
      <c r="J35" s="5"/>
      <c r="K35" s="5"/>
      <c r="L35" s="5"/>
      <c r="M35" s="5"/>
      <c r="N35" s="5"/>
      <c r="O35" s="5"/>
      <c r="P35" s="5"/>
      <c r="Q35" s="5"/>
      <c r="R35" s="5"/>
      <c r="S35" s="5"/>
      <c r="T35" s="5"/>
      <c r="U35" s="5"/>
      <c r="V35" s="5"/>
      <c r="W35" s="5"/>
    </row>
    <row r="36">
      <c r="A36" s="3" t="s">
        <v>744</v>
      </c>
      <c r="B36" s="3" t="s">
        <v>745</v>
      </c>
      <c r="C36" s="3" t="s">
        <v>746</v>
      </c>
      <c r="D36" s="3" t="s">
        <v>747</v>
      </c>
      <c r="E36" s="4" t="s">
        <v>153</v>
      </c>
      <c r="F36" s="5"/>
      <c r="G36" s="5"/>
      <c r="H36" s="5"/>
      <c r="I36" s="5"/>
      <c r="J36" s="5"/>
      <c r="K36" s="5"/>
      <c r="L36" s="5"/>
      <c r="M36" s="5"/>
      <c r="N36" s="5"/>
      <c r="O36" s="5"/>
      <c r="P36" s="5"/>
      <c r="Q36" s="5"/>
      <c r="R36" s="5"/>
      <c r="S36" s="5"/>
      <c r="T36" s="5"/>
      <c r="U36" s="5"/>
      <c r="V36" s="5"/>
      <c r="W36" s="5"/>
    </row>
    <row r="37">
      <c r="A37" s="3" t="s">
        <v>748</v>
      </c>
      <c r="B37" s="3" t="s">
        <v>749</v>
      </c>
      <c r="C37" s="3" t="s">
        <v>750</v>
      </c>
      <c r="D37" s="3" t="s">
        <v>751</v>
      </c>
      <c r="E37" s="4" t="s">
        <v>153</v>
      </c>
      <c r="F37" s="5"/>
      <c r="G37" s="5"/>
      <c r="H37" s="5"/>
      <c r="I37" s="5"/>
      <c r="J37" s="5"/>
      <c r="K37" s="5"/>
      <c r="L37" s="5"/>
      <c r="M37" s="5"/>
      <c r="N37" s="5"/>
      <c r="O37" s="5"/>
      <c r="P37" s="5"/>
      <c r="Q37" s="5"/>
      <c r="R37" s="5"/>
      <c r="S37" s="5"/>
      <c r="T37" s="5"/>
      <c r="U37" s="5"/>
      <c r="V37" s="5"/>
      <c r="W37" s="5"/>
    </row>
    <row r="38">
      <c r="A38" s="3" t="s">
        <v>752</v>
      </c>
      <c r="B38" s="3" t="s">
        <v>753</v>
      </c>
      <c r="C38" s="3" t="s">
        <v>754</v>
      </c>
      <c r="D38" s="3" t="s">
        <v>755</v>
      </c>
      <c r="E38" s="4" t="s">
        <v>153</v>
      </c>
      <c r="F38" s="5"/>
      <c r="G38" s="5"/>
      <c r="H38" s="5"/>
      <c r="I38" s="5"/>
      <c r="J38" s="5"/>
      <c r="K38" s="5"/>
      <c r="L38" s="5"/>
      <c r="M38" s="5"/>
      <c r="N38" s="5"/>
      <c r="O38" s="5"/>
      <c r="P38" s="5"/>
      <c r="Q38" s="5"/>
      <c r="R38" s="5"/>
      <c r="S38" s="5"/>
      <c r="T38" s="5"/>
      <c r="U38" s="5"/>
      <c r="V38" s="5"/>
      <c r="W38" s="5"/>
    </row>
    <row r="39">
      <c r="A39" s="3" t="s">
        <v>756</v>
      </c>
      <c r="B39" s="3" t="s">
        <v>757</v>
      </c>
      <c r="C39" s="3" t="s">
        <v>750</v>
      </c>
      <c r="D39" s="3" t="s">
        <v>758</v>
      </c>
      <c r="E39" s="4" t="s">
        <v>153</v>
      </c>
      <c r="F39" s="5"/>
      <c r="G39" s="5"/>
      <c r="H39" s="5"/>
      <c r="I39" s="5"/>
      <c r="J39" s="5"/>
      <c r="K39" s="5"/>
      <c r="L39" s="5"/>
      <c r="M39" s="5"/>
      <c r="N39" s="5"/>
      <c r="O39" s="5"/>
      <c r="P39" s="5"/>
      <c r="Q39" s="5"/>
      <c r="R39" s="5"/>
      <c r="S39" s="5"/>
      <c r="T39" s="5"/>
      <c r="U39" s="5"/>
      <c r="V39" s="5"/>
      <c r="W39" s="5"/>
    </row>
    <row r="40">
      <c r="A40" s="3" t="s">
        <v>759</v>
      </c>
      <c r="B40" s="3" t="s">
        <v>760</v>
      </c>
      <c r="C40" s="3" t="s">
        <v>754</v>
      </c>
      <c r="D40" s="3" t="s">
        <v>761</v>
      </c>
      <c r="E40" s="4" t="s">
        <v>153</v>
      </c>
      <c r="F40" s="5"/>
      <c r="G40" s="5"/>
      <c r="H40" s="5"/>
      <c r="I40" s="5"/>
      <c r="J40" s="5"/>
      <c r="K40" s="5"/>
      <c r="L40" s="5"/>
      <c r="M40" s="5"/>
      <c r="N40" s="5"/>
      <c r="O40" s="5"/>
      <c r="P40" s="5"/>
      <c r="Q40" s="5"/>
      <c r="R40" s="5"/>
      <c r="S40" s="5"/>
      <c r="T40" s="5"/>
      <c r="U40" s="5"/>
      <c r="V40" s="5"/>
      <c r="W40" s="5"/>
    </row>
    <row r="41">
      <c r="A41" s="3" t="s">
        <v>762</v>
      </c>
      <c r="B41" s="3" t="s">
        <v>763</v>
      </c>
      <c r="C41" s="3" t="s">
        <v>750</v>
      </c>
      <c r="D41" s="3" t="s">
        <v>764</v>
      </c>
      <c r="E41" s="4" t="s">
        <v>153</v>
      </c>
      <c r="F41" s="5"/>
      <c r="G41" s="5"/>
      <c r="H41" s="5"/>
      <c r="I41" s="5"/>
      <c r="J41" s="5"/>
      <c r="K41" s="5"/>
      <c r="L41" s="5"/>
      <c r="M41" s="5"/>
      <c r="N41" s="5"/>
      <c r="O41" s="5"/>
      <c r="P41" s="5"/>
      <c r="Q41" s="5"/>
      <c r="R41" s="5"/>
      <c r="S41" s="5"/>
      <c r="T41" s="5"/>
      <c r="U41" s="5"/>
      <c r="V41" s="5"/>
      <c r="W41" s="5"/>
    </row>
    <row r="42">
      <c r="A42" s="3" t="s">
        <v>765</v>
      </c>
      <c r="B42" s="3" t="s">
        <v>766</v>
      </c>
      <c r="C42" s="3" t="s">
        <v>754</v>
      </c>
      <c r="D42" s="3" t="s">
        <v>767</v>
      </c>
      <c r="E42" s="4" t="s">
        <v>153</v>
      </c>
      <c r="F42" s="5"/>
      <c r="G42" s="5"/>
      <c r="H42" s="5"/>
      <c r="I42" s="5"/>
      <c r="J42" s="5"/>
      <c r="K42" s="5"/>
      <c r="L42" s="5"/>
      <c r="M42" s="5"/>
      <c r="N42" s="5"/>
      <c r="O42" s="5"/>
      <c r="P42" s="5"/>
      <c r="Q42" s="5"/>
      <c r="R42" s="5"/>
      <c r="S42" s="5"/>
      <c r="T42" s="5"/>
      <c r="U42" s="5"/>
      <c r="V42" s="5"/>
      <c r="W42" s="5"/>
    </row>
    <row r="43">
      <c r="A43" s="3" t="s">
        <v>768</v>
      </c>
      <c r="B43" s="3" t="s">
        <v>769</v>
      </c>
      <c r="C43" s="3" t="s">
        <v>750</v>
      </c>
      <c r="D43" s="3" t="s">
        <v>770</v>
      </c>
      <c r="E43" s="4" t="s">
        <v>153</v>
      </c>
      <c r="F43" s="5"/>
      <c r="G43" s="5"/>
      <c r="H43" s="5"/>
      <c r="I43" s="5"/>
      <c r="J43" s="5"/>
      <c r="K43" s="5"/>
      <c r="L43" s="5"/>
      <c r="M43" s="5"/>
      <c r="N43" s="5"/>
      <c r="O43" s="5"/>
      <c r="P43" s="5"/>
      <c r="Q43" s="5"/>
      <c r="R43" s="5"/>
      <c r="S43" s="5"/>
      <c r="T43" s="5"/>
      <c r="U43" s="5"/>
      <c r="V43" s="5"/>
      <c r="W43" s="5"/>
    </row>
    <row r="44">
      <c r="A44" s="3" t="s">
        <v>771</v>
      </c>
      <c r="B44" s="3" t="s">
        <v>772</v>
      </c>
      <c r="C44" s="3" t="s">
        <v>754</v>
      </c>
      <c r="D44" s="3" t="s">
        <v>773</v>
      </c>
      <c r="E44" s="4" t="s">
        <v>153</v>
      </c>
      <c r="F44" s="5"/>
      <c r="G44" s="5"/>
      <c r="H44" s="5"/>
      <c r="I44" s="5"/>
      <c r="J44" s="5"/>
      <c r="K44" s="5"/>
      <c r="L44" s="5"/>
      <c r="M44" s="5"/>
      <c r="N44" s="5"/>
      <c r="O44" s="5"/>
      <c r="P44" s="5"/>
      <c r="Q44" s="5"/>
      <c r="R44" s="5"/>
      <c r="S44" s="5"/>
      <c r="T44" s="5"/>
      <c r="U44" s="5"/>
      <c r="V44" s="5"/>
      <c r="W44" s="5"/>
    </row>
    <row r="45">
      <c r="A45" s="3" t="s">
        <v>774</v>
      </c>
      <c r="B45" s="3" t="s">
        <v>775</v>
      </c>
      <c r="C45" s="3" t="s">
        <v>750</v>
      </c>
      <c r="D45" s="3" t="s">
        <v>776</v>
      </c>
      <c r="E45" s="4" t="s">
        <v>153</v>
      </c>
      <c r="F45" s="5"/>
      <c r="G45" s="5"/>
      <c r="H45" s="5"/>
      <c r="I45" s="5"/>
      <c r="J45" s="5"/>
      <c r="K45" s="5"/>
      <c r="L45" s="5"/>
      <c r="M45" s="5"/>
      <c r="N45" s="5"/>
      <c r="O45" s="5"/>
      <c r="P45" s="5"/>
      <c r="Q45" s="5"/>
      <c r="R45" s="5"/>
      <c r="S45" s="5"/>
      <c r="T45" s="5"/>
      <c r="U45" s="5"/>
      <c r="V45" s="5"/>
      <c r="W45" s="5"/>
    </row>
    <row r="46">
      <c r="A46" s="3" t="s">
        <v>777</v>
      </c>
      <c r="B46" s="3" t="s">
        <v>778</v>
      </c>
      <c r="C46" s="3" t="s">
        <v>754</v>
      </c>
      <c r="D46" s="3" t="s">
        <v>779</v>
      </c>
      <c r="E46" s="4" t="s">
        <v>153</v>
      </c>
      <c r="F46" s="5"/>
      <c r="G46" s="5"/>
      <c r="H46" s="5"/>
      <c r="I46" s="5"/>
      <c r="J46" s="5"/>
      <c r="K46" s="5"/>
      <c r="L46" s="5"/>
      <c r="M46" s="5"/>
      <c r="N46" s="5"/>
      <c r="O46" s="5"/>
      <c r="P46" s="5"/>
      <c r="Q46" s="5"/>
      <c r="R46" s="5"/>
      <c r="S46" s="5"/>
      <c r="T46" s="5"/>
      <c r="U46" s="5"/>
      <c r="V46" s="5"/>
      <c r="W46" s="5"/>
    </row>
    <row r="47">
      <c r="A47" s="3" t="s">
        <v>780</v>
      </c>
      <c r="B47" s="3" t="s">
        <v>781</v>
      </c>
      <c r="C47" s="3" t="s">
        <v>750</v>
      </c>
      <c r="D47" s="3" t="s">
        <v>782</v>
      </c>
      <c r="E47" s="4" t="s">
        <v>153</v>
      </c>
      <c r="F47" s="5"/>
      <c r="G47" s="5"/>
      <c r="H47" s="5"/>
      <c r="I47" s="5"/>
      <c r="J47" s="5"/>
      <c r="K47" s="5"/>
      <c r="L47" s="5"/>
      <c r="M47" s="5"/>
      <c r="N47" s="5"/>
      <c r="O47" s="5"/>
      <c r="P47" s="5"/>
      <c r="Q47" s="5"/>
      <c r="R47" s="5"/>
      <c r="S47" s="5"/>
      <c r="T47" s="5"/>
      <c r="U47" s="5"/>
      <c r="V47" s="5"/>
      <c r="W47" s="5"/>
    </row>
    <row r="48">
      <c r="A48" s="3" t="s">
        <v>783</v>
      </c>
      <c r="B48" s="3" t="s">
        <v>784</v>
      </c>
      <c r="C48" s="3" t="s">
        <v>754</v>
      </c>
      <c r="D48" s="3" t="s">
        <v>785</v>
      </c>
      <c r="E48" s="4" t="s">
        <v>153</v>
      </c>
      <c r="F48" s="5"/>
      <c r="G48" s="5"/>
      <c r="H48" s="5"/>
      <c r="I48" s="5"/>
      <c r="J48" s="5"/>
      <c r="K48" s="5"/>
      <c r="L48" s="5"/>
      <c r="M48" s="5"/>
      <c r="N48" s="5"/>
      <c r="O48" s="5"/>
      <c r="P48" s="5"/>
      <c r="Q48" s="5"/>
      <c r="R48" s="5"/>
      <c r="S48" s="5"/>
      <c r="T48" s="5"/>
      <c r="U48" s="5"/>
      <c r="V48" s="5"/>
      <c r="W48" s="5"/>
    </row>
    <row r="49">
      <c r="A49" s="3" t="s">
        <v>786</v>
      </c>
      <c r="B49" s="3" t="s">
        <v>787</v>
      </c>
      <c r="C49" s="3" t="s">
        <v>750</v>
      </c>
      <c r="D49" s="3" t="s">
        <v>788</v>
      </c>
      <c r="E49" s="4" t="s">
        <v>153</v>
      </c>
      <c r="F49" s="5"/>
      <c r="G49" s="5"/>
      <c r="H49" s="5"/>
      <c r="I49" s="5"/>
      <c r="J49" s="5"/>
      <c r="K49" s="5"/>
      <c r="L49" s="5"/>
      <c r="M49" s="5"/>
      <c r="N49" s="5"/>
      <c r="O49" s="5"/>
      <c r="P49" s="5"/>
      <c r="Q49" s="5"/>
      <c r="R49" s="5"/>
      <c r="S49" s="5"/>
      <c r="T49" s="5"/>
      <c r="U49" s="5"/>
      <c r="V49" s="5"/>
      <c r="W49" s="5"/>
    </row>
    <row r="50">
      <c r="A50" s="3" t="s">
        <v>789</v>
      </c>
      <c r="B50" s="3" t="s">
        <v>790</v>
      </c>
      <c r="C50" s="3" t="s">
        <v>754</v>
      </c>
      <c r="D50" s="3" t="s">
        <v>791</v>
      </c>
      <c r="E50" s="4" t="s">
        <v>153</v>
      </c>
      <c r="F50" s="5"/>
      <c r="G50" s="5"/>
      <c r="H50" s="5"/>
      <c r="I50" s="5"/>
      <c r="J50" s="5"/>
      <c r="K50" s="5"/>
      <c r="L50" s="5"/>
      <c r="M50" s="5"/>
      <c r="N50" s="5"/>
      <c r="O50" s="5"/>
      <c r="P50" s="5"/>
      <c r="Q50" s="5"/>
      <c r="R50" s="5"/>
      <c r="S50" s="5"/>
      <c r="T50" s="5"/>
      <c r="U50" s="5"/>
      <c r="V50" s="5"/>
      <c r="W50" s="5"/>
    </row>
    <row r="51">
      <c r="A51" s="3" t="s">
        <v>792</v>
      </c>
      <c r="B51" s="3" t="s">
        <v>793</v>
      </c>
      <c r="C51" s="3" t="s">
        <v>750</v>
      </c>
      <c r="D51" s="3" t="s">
        <v>794</v>
      </c>
      <c r="E51" s="4" t="s">
        <v>153</v>
      </c>
      <c r="F51" s="5"/>
      <c r="G51" s="5"/>
      <c r="H51" s="5"/>
      <c r="I51" s="5"/>
      <c r="J51" s="5"/>
      <c r="K51" s="5"/>
      <c r="L51" s="5"/>
      <c r="M51" s="5"/>
      <c r="N51" s="5"/>
      <c r="O51" s="5"/>
      <c r="P51" s="5"/>
      <c r="Q51" s="5"/>
      <c r="R51" s="5"/>
      <c r="S51" s="5"/>
      <c r="T51" s="5"/>
      <c r="U51" s="5"/>
      <c r="V51" s="5"/>
      <c r="W51" s="5"/>
    </row>
    <row r="52">
      <c r="A52" s="3" t="s">
        <v>795</v>
      </c>
      <c r="B52" s="3" t="s">
        <v>796</v>
      </c>
      <c r="C52" s="3" t="s">
        <v>754</v>
      </c>
      <c r="D52" s="3" t="s">
        <v>797</v>
      </c>
      <c r="E52" s="4" t="s">
        <v>153</v>
      </c>
      <c r="F52" s="5"/>
      <c r="G52" s="5"/>
      <c r="H52" s="5"/>
      <c r="I52" s="5"/>
      <c r="J52" s="5"/>
      <c r="K52" s="5"/>
      <c r="L52" s="5"/>
      <c r="M52" s="5"/>
      <c r="N52" s="5"/>
      <c r="O52" s="5"/>
      <c r="P52" s="5"/>
      <c r="Q52" s="5"/>
      <c r="R52" s="5"/>
      <c r="S52" s="5"/>
      <c r="T52" s="5"/>
      <c r="U52" s="5"/>
      <c r="V52" s="5"/>
      <c r="W52" s="5"/>
    </row>
    <row r="53">
      <c r="A53" s="3" t="s">
        <v>798</v>
      </c>
      <c r="B53" s="3" t="s">
        <v>799</v>
      </c>
      <c r="C53" s="3" t="s">
        <v>800</v>
      </c>
      <c r="D53" s="3" t="s">
        <v>801</v>
      </c>
      <c r="E53" s="4" t="s">
        <v>153</v>
      </c>
      <c r="F53" s="5"/>
      <c r="G53" s="5"/>
      <c r="H53" s="5"/>
      <c r="I53" s="5"/>
      <c r="J53" s="5"/>
      <c r="K53" s="5"/>
      <c r="L53" s="5"/>
      <c r="M53" s="5"/>
      <c r="N53" s="5"/>
      <c r="O53" s="5"/>
      <c r="P53" s="5"/>
      <c r="Q53" s="5"/>
      <c r="R53" s="5"/>
      <c r="S53" s="5"/>
      <c r="T53" s="5"/>
      <c r="U53" s="5"/>
      <c r="V53" s="5"/>
      <c r="W53" s="5"/>
    </row>
    <row r="54">
      <c r="A54" s="3" t="s">
        <v>802</v>
      </c>
      <c r="B54" s="3" t="s">
        <v>803</v>
      </c>
      <c r="C54" s="3" t="s">
        <v>804</v>
      </c>
      <c r="D54" s="3" t="s">
        <v>805</v>
      </c>
      <c r="E54" s="4" t="s">
        <v>153</v>
      </c>
      <c r="F54" s="5"/>
      <c r="G54" s="5"/>
      <c r="H54" s="5"/>
      <c r="I54" s="5"/>
      <c r="J54" s="5"/>
      <c r="K54" s="5"/>
      <c r="L54" s="5"/>
      <c r="M54" s="5"/>
      <c r="N54" s="5"/>
      <c r="O54" s="5"/>
      <c r="P54" s="5"/>
      <c r="Q54" s="5"/>
      <c r="R54" s="5"/>
      <c r="S54" s="5"/>
      <c r="T54" s="5"/>
      <c r="U54" s="5"/>
      <c r="V54" s="5"/>
      <c r="W54" s="5"/>
    </row>
    <row r="55">
      <c r="A55" s="3" t="s">
        <v>806</v>
      </c>
      <c r="B55" s="3" t="s">
        <v>807</v>
      </c>
      <c r="C55" s="3" t="s">
        <v>800</v>
      </c>
      <c r="D55" s="3" t="s">
        <v>801</v>
      </c>
      <c r="E55" s="4" t="s">
        <v>153</v>
      </c>
      <c r="F55" s="5"/>
      <c r="G55" s="5"/>
      <c r="H55" s="5"/>
      <c r="I55" s="5"/>
      <c r="J55" s="5"/>
      <c r="K55" s="5"/>
      <c r="L55" s="5"/>
      <c r="M55" s="5"/>
      <c r="N55" s="5"/>
      <c r="O55" s="5"/>
      <c r="P55" s="5"/>
      <c r="Q55" s="5"/>
      <c r="R55" s="5"/>
      <c r="S55" s="5"/>
      <c r="T55" s="5"/>
      <c r="U55" s="5"/>
      <c r="V55" s="5"/>
      <c r="W55" s="5"/>
    </row>
    <row r="56">
      <c r="A56" s="3" t="s">
        <v>808</v>
      </c>
      <c r="B56" s="3" t="s">
        <v>809</v>
      </c>
      <c r="C56" s="3" t="s">
        <v>800</v>
      </c>
      <c r="D56" s="3" t="s">
        <v>810</v>
      </c>
      <c r="E56" s="4" t="s">
        <v>153</v>
      </c>
      <c r="F56" s="5"/>
      <c r="G56" s="5"/>
      <c r="H56" s="5"/>
      <c r="I56" s="5"/>
      <c r="J56" s="5"/>
      <c r="K56" s="5"/>
      <c r="L56" s="5"/>
      <c r="M56" s="5"/>
      <c r="N56" s="5"/>
      <c r="O56" s="5"/>
      <c r="P56" s="5"/>
      <c r="Q56" s="5"/>
      <c r="R56" s="5"/>
      <c r="S56" s="5"/>
      <c r="T56" s="5"/>
      <c r="U56" s="5"/>
      <c r="V56" s="5"/>
      <c r="W56" s="5"/>
    </row>
    <row r="57">
      <c r="A57" s="3" t="s">
        <v>811</v>
      </c>
      <c r="B57" s="3" t="s">
        <v>812</v>
      </c>
      <c r="C57" s="3" t="s">
        <v>804</v>
      </c>
      <c r="D57" s="3" t="s">
        <v>813</v>
      </c>
      <c r="E57" s="4" t="s">
        <v>153</v>
      </c>
      <c r="F57" s="5"/>
      <c r="G57" s="5"/>
      <c r="H57" s="5"/>
      <c r="I57" s="5"/>
      <c r="J57" s="5"/>
      <c r="K57" s="5"/>
      <c r="L57" s="5"/>
      <c r="M57" s="5"/>
      <c r="N57" s="5"/>
      <c r="O57" s="5"/>
      <c r="P57" s="5"/>
      <c r="Q57" s="5"/>
      <c r="R57" s="5"/>
      <c r="S57" s="5"/>
      <c r="T57" s="5"/>
      <c r="U57" s="5"/>
      <c r="V57" s="5"/>
      <c r="W57" s="5"/>
    </row>
    <row r="58">
      <c r="A58" s="3" t="s">
        <v>814</v>
      </c>
      <c r="B58" s="3" t="s">
        <v>815</v>
      </c>
      <c r="C58" s="3" t="s">
        <v>816</v>
      </c>
      <c r="D58" s="3" t="s">
        <v>817</v>
      </c>
      <c r="E58" s="4" t="s">
        <v>153</v>
      </c>
      <c r="F58" s="5"/>
      <c r="G58" s="5"/>
      <c r="H58" s="5"/>
      <c r="I58" s="5"/>
      <c r="J58" s="5"/>
      <c r="K58" s="5"/>
      <c r="L58" s="5"/>
      <c r="M58" s="5"/>
      <c r="N58" s="5"/>
      <c r="O58" s="5"/>
      <c r="P58" s="5"/>
      <c r="Q58" s="5"/>
      <c r="R58" s="5"/>
      <c r="S58" s="5"/>
      <c r="T58" s="5"/>
      <c r="U58" s="5"/>
      <c r="V58" s="5"/>
      <c r="W58" s="5"/>
    </row>
    <row r="59">
      <c r="A59" s="3" t="s">
        <v>818</v>
      </c>
      <c r="B59" s="3" t="s">
        <v>819</v>
      </c>
      <c r="C59" s="3" t="s">
        <v>820</v>
      </c>
      <c r="D59" s="3" t="s">
        <v>821</v>
      </c>
      <c r="E59" s="4" t="s">
        <v>153</v>
      </c>
      <c r="F59" s="5"/>
      <c r="G59" s="5"/>
      <c r="H59" s="5"/>
      <c r="I59" s="5"/>
      <c r="J59" s="5"/>
      <c r="K59" s="5"/>
      <c r="L59" s="5"/>
      <c r="M59" s="5"/>
      <c r="N59" s="5"/>
      <c r="O59" s="5"/>
      <c r="P59" s="5"/>
      <c r="Q59" s="5"/>
      <c r="R59" s="5"/>
      <c r="S59" s="5"/>
      <c r="T59" s="5"/>
      <c r="U59" s="5"/>
      <c r="V59" s="5"/>
      <c r="W59" s="5"/>
    </row>
    <row r="60">
      <c r="A60" s="3" t="s">
        <v>822</v>
      </c>
      <c r="B60" s="3" t="s">
        <v>823</v>
      </c>
      <c r="C60" s="3" t="s">
        <v>816</v>
      </c>
      <c r="D60" s="3" t="s">
        <v>824</v>
      </c>
      <c r="E60" s="4" t="s">
        <v>153</v>
      </c>
      <c r="F60" s="5"/>
      <c r="G60" s="5"/>
      <c r="H60" s="5"/>
      <c r="I60" s="5"/>
      <c r="J60" s="5"/>
      <c r="K60" s="5"/>
      <c r="L60" s="5"/>
      <c r="M60" s="5"/>
      <c r="N60" s="5"/>
      <c r="O60" s="5"/>
      <c r="P60" s="5"/>
      <c r="Q60" s="5"/>
      <c r="R60" s="5"/>
      <c r="S60" s="5"/>
      <c r="T60" s="5"/>
      <c r="U60" s="5"/>
      <c r="V60" s="5"/>
      <c r="W60" s="5"/>
    </row>
    <row r="61">
      <c r="A61" s="3" t="s">
        <v>825</v>
      </c>
      <c r="B61" s="3" t="s">
        <v>826</v>
      </c>
      <c r="C61" s="3" t="s">
        <v>827</v>
      </c>
      <c r="D61" s="3" t="s">
        <v>828</v>
      </c>
      <c r="E61" s="4" t="s">
        <v>153</v>
      </c>
      <c r="F61" s="5"/>
      <c r="G61" s="5"/>
      <c r="H61" s="5"/>
      <c r="I61" s="5"/>
      <c r="J61" s="5"/>
      <c r="K61" s="5"/>
      <c r="L61" s="5"/>
      <c r="M61" s="5"/>
      <c r="N61" s="5"/>
      <c r="O61" s="5"/>
      <c r="P61" s="5"/>
      <c r="Q61" s="5"/>
      <c r="R61" s="5"/>
      <c r="S61" s="5"/>
      <c r="T61" s="5"/>
      <c r="U61" s="5"/>
      <c r="V61" s="5"/>
      <c r="W61" s="5"/>
    </row>
    <row r="62">
      <c r="A62" s="3" t="s">
        <v>829</v>
      </c>
      <c r="B62" s="3" t="s">
        <v>830</v>
      </c>
      <c r="C62" s="3" t="s">
        <v>816</v>
      </c>
      <c r="D62" s="3" t="s">
        <v>831</v>
      </c>
      <c r="E62" s="4" t="s">
        <v>153</v>
      </c>
      <c r="F62" s="5"/>
      <c r="G62" s="5"/>
      <c r="H62" s="5"/>
      <c r="I62" s="5"/>
      <c r="J62" s="5"/>
      <c r="K62" s="5"/>
      <c r="L62" s="5"/>
      <c r="M62" s="5"/>
      <c r="N62" s="5"/>
      <c r="O62" s="5"/>
      <c r="P62" s="5"/>
      <c r="Q62" s="5"/>
      <c r="R62" s="5"/>
      <c r="S62" s="5"/>
      <c r="T62" s="5"/>
      <c r="U62" s="5"/>
      <c r="V62" s="5"/>
      <c r="W62" s="5"/>
    </row>
    <row r="63">
      <c r="A63" s="3" t="s">
        <v>832</v>
      </c>
      <c r="B63" s="3" t="s">
        <v>833</v>
      </c>
      <c r="C63" s="3" t="s">
        <v>834</v>
      </c>
      <c r="D63" s="3" t="s">
        <v>835</v>
      </c>
      <c r="E63" s="4" t="s">
        <v>153</v>
      </c>
      <c r="F63" s="5"/>
      <c r="G63" s="5"/>
      <c r="H63" s="5"/>
      <c r="I63" s="5"/>
      <c r="J63" s="5"/>
      <c r="K63" s="5"/>
      <c r="L63" s="5"/>
      <c r="M63" s="5"/>
      <c r="N63" s="5"/>
      <c r="O63" s="5"/>
      <c r="P63" s="5"/>
      <c r="Q63" s="5"/>
      <c r="R63" s="5"/>
      <c r="S63" s="5"/>
      <c r="T63" s="5"/>
      <c r="U63" s="5"/>
      <c r="V63" s="5"/>
      <c r="W63" s="5"/>
    </row>
    <row r="64">
      <c r="A64" s="3" t="s">
        <v>836</v>
      </c>
      <c r="B64" s="3" t="s">
        <v>837</v>
      </c>
      <c r="C64" s="3" t="s">
        <v>838</v>
      </c>
      <c r="D64" s="3" t="s">
        <v>839</v>
      </c>
      <c r="E64" s="4" t="s">
        <v>153</v>
      </c>
      <c r="F64" s="5"/>
      <c r="G64" s="5"/>
      <c r="H64" s="5"/>
      <c r="I64" s="5"/>
      <c r="J64" s="5"/>
      <c r="K64" s="5"/>
      <c r="L64" s="5"/>
      <c r="M64" s="5"/>
      <c r="N64" s="5"/>
      <c r="O64" s="5"/>
      <c r="P64" s="5"/>
      <c r="Q64" s="5"/>
      <c r="R64" s="5"/>
      <c r="S64" s="5"/>
      <c r="T64" s="5"/>
      <c r="U64" s="5"/>
      <c r="V64" s="5"/>
      <c r="W64" s="5"/>
    </row>
    <row r="65">
      <c r="A65" s="3" t="s">
        <v>840</v>
      </c>
      <c r="B65" s="3" t="s">
        <v>841</v>
      </c>
      <c r="C65" s="3" t="s">
        <v>842</v>
      </c>
      <c r="D65" s="3" t="s">
        <v>843</v>
      </c>
      <c r="E65" s="4" t="s">
        <v>153</v>
      </c>
      <c r="F65" s="5"/>
      <c r="G65" s="5"/>
      <c r="H65" s="5"/>
      <c r="I65" s="5"/>
      <c r="J65" s="5"/>
      <c r="K65" s="5"/>
      <c r="L65" s="5"/>
      <c r="M65" s="5"/>
      <c r="N65" s="5"/>
      <c r="O65" s="5"/>
      <c r="P65" s="5"/>
      <c r="Q65" s="5"/>
      <c r="R65" s="5"/>
      <c r="S65" s="5"/>
      <c r="T65" s="5"/>
      <c r="U65" s="5"/>
      <c r="V65" s="5"/>
      <c r="W65" s="5"/>
    </row>
    <row r="66">
      <c r="A66" s="3" t="s">
        <v>844</v>
      </c>
      <c r="B66" s="3" t="s">
        <v>845</v>
      </c>
      <c r="C66" s="3" t="s">
        <v>846</v>
      </c>
      <c r="D66" s="3" t="s">
        <v>847</v>
      </c>
      <c r="E66" s="4" t="s">
        <v>153</v>
      </c>
      <c r="F66" s="5"/>
      <c r="G66" s="5"/>
      <c r="H66" s="5"/>
      <c r="I66" s="5"/>
      <c r="J66" s="5"/>
      <c r="K66" s="5"/>
      <c r="L66" s="5"/>
      <c r="M66" s="5"/>
      <c r="N66" s="5"/>
      <c r="O66" s="5"/>
      <c r="P66" s="5"/>
      <c r="Q66" s="5"/>
      <c r="R66" s="5"/>
      <c r="S66" s="5"/>
      <c r="T66" s="5"/>
      <c r="U66" s="5"/>
      <c r="V66" s="5"/>
      <c r="W66" s="5"/>
    </row>
    <row r="67">
      <c r="A67" s="3" t="s">
        <v>848</v>
      </c>
      <c r="B67" s="3" t="s">
        <v>849</v>
      </c>
      <c r="C67" s="3" t="s">
        <v>850</v>
      </c>
      <c r="D67" s="3" t="s">
        <v>851</v>
      </c>
      <c r="E67" s="4" t="s">
        <v>153</v>
      </c>
      <c r="F67" s="5"/>
      <c r="G67" s="5"/>
      <c r="H67" s="5"/>
      <c r="I67" s="5"/>
      <c r="J67" s="5"/>
      <c r="K67" s="5"/>
      <c r="L67" s="5"/>
      <c r="M67" s="5"/>
      <c r="N67" s="5"/>
      <c r="O67" s="5"/>
      <c r="P67" s="5"/>
      <c r="Q67" s="5"/>
      <c r="R67" s="5"/>
      <c r="S67" s="5"/>
      <c r="T67" s="5"/>
      <c r="U67" s="5"/>
      <c r="V67" s="5"/>
      <c r="W67" s="5"/>
    </row>
    <row r="68">
      <c r="A68" s="3" t="s">
        <v>852</v>
      </c>
      <c r="B68" s="3" t="s">
        <v>853</v>
      </c>
      <c r="C68" s="3" t="s">
        <v>854</v>
      </c>
      <c r="D68" s="3" t="s">
        <v>855</v>
      </c>
      <c r="E68" s="4" t="s">
        <v>153</v>
      </c>
      <c r="F68" s="5"/>
      <c r="G68" s="5"/>
      <c r="H68" s="5"/>
      <c r="I68" s="5"/>
      <c r="J68" s="5"/>
      <c r="K68" s="5"/>
      <c r="L68" s="5"/>
      <c r="M68" s="5"/>
      <c r="N68" s="5"/>
      <c r="O68" s="5"/>
      <c r="P68" s="5"/>
      <c r="Q68" s="5"/>
      <c r="R68" s="5"/>
      <c r="S68" s="5"/>
      <c r="T68" s="5"/>
      <c r="U68" s="5"/>
      <c r="V68" s="5"/>
      <c r="W68" s="5"/>
    </row>
    <row r="69">
      <c r="A69" s="3" t="s">
        <v>856</v>
      </c>
      <c r="B69" s="3" t="s">
        <v>857</v>
      </c>
      <c r="C69" s="3" t="s">
        <v>858</v>
      </c>
      <c r="D69" s="3" t="s">
        <v>859</v>
      </c>
      <c r="E69" s="4" t="s">
        <v>153</v>
      </c>
      <c r="F69" s="5"/>
      <c r="G69" s="5"/>
      <c r="H69" s="5"/>
      <c r="I69" s="5"/>
      <c r="J69" s="5"/>
      <c r="K69" s="5"/>
      <c r="L69" s="5"/>
      <c r="M69" s="5"/>
      <c r="N69" s="5"/>
      <c r="O69" s="5"/>
      <c r="P69" s="5"/>
      <c r="Q69" s="5"/>
      <c r="R69" s="5"/>
      <c r="S69" s="5"/>
      <c r="T69" s="5"/>
      <c r="U69" s="5"/>
      <c r="V69" s="5"/>
      <c r="W69" s="5"/>
    </row>
    <row r="70">
      <c r="A70" s="3" t="s">
        <v>860</v>
      </c>
      <c r="B70" s="3" t="s">
        <v>861</v>
      </c>
      <c r="C70" s="3" t="s">
        <v>862</v>
      </c>
      <c r="D70" s="3" t="s">
        <v>863</v>
      </c>
      <c r="E70" s="4" t="s">
        <v>153</v>
      </c>
      <c r="F70" s="5"/>
      <c r="G70" s="5"/>
      <c r="H70" s="5"/>
      <c r="I70" s="5"/>
      <c r="J70" s="5"/>
      <c r="K70" s="5"/>
      <c r="L70" s="5"/>
      <c r="M70" s="5"/>
      <c r="N70" s="5"/>
      <c r="O70" s="5"/>
      <c r="P70" s="5"/>
      <c r="Q70" s="5"/>
      <c r="R70" s="5"/>
      <c r="S70" s="5"/>
      <c r="T70" s="5"/>
      <c r="U70" s="5"/>
      <c r="V70" s="5"/>
      <c r="W70" s="5"/>
    </row>
    <row r="71">
      <c r="A71" s="3" t="s">
        <v>864</v>
      </c>
      <c r="B71" s="3" t="s">
        <v>865</v>
      </c>
      <c r="C71" s="3" t="s">
        <v>866</v>
      </c>
      <c r="D71" s="3" t="s">
        <v>867</v>
      </c>
      <c r="E71" s="4" t="s">
        <v>153</v>
      </c>
      <c r="F71" s="5"/>
      <c r="G71" s="5"/>
      <c r="H71" s="5"/>
      <c r="I71" s="5"/>
      <c r="J71" s="5"/>
      <c r="K71" s="5"/>
      <c r="L71" s="5"/>
      <c r="M71" s="5"/>
      <c r="N71" s="5"/>
      <c r="O71" s="5"/>
      <c r="P71" s="5"/>
      <c r="Q71" s="5"/>
      <c r="R71" s="5"/>
      <c r="S71" s="5"/>
      <c r="T71" s="5"/>
      <c r="U71" s="5"/>
      <c r="V71" s="5"/>
      <c r="W71" s="5"/>
    </row>
    <row r="72">
      <c r="A72" s="3" t="s">
        <v>868</v>
      </c>
      <c r="B72" s="3" t="s">
        <v>869</v>
      </c>
      <c r="C72" s="3" t="s">
        <v>870</v>
      </c>
      <c r="D72" s="3" t="s">
        <v>871</v>
      </c>
      <c r="E72" s="4" t="s">
        <v>153</v>
      </c>
      <c r="F72" s="5"/>
      <c r="G72" s="5"/>
      <c r="H72" s="5"/>
      <c r="I72" s="5"/>
      <c r="J72" s="5"/>
      <c r="K72" s="5"/>
      <c r="L72" s="5"/>
      <c r="M72" s="5"/>
      <c r="N72" s="5"/>
      <c r="O72" s="5"/>
      <c r="P72" s="5"/>
      <c r="Q72" s="5"/>
      <c r="R72" s="5"/>
      <c r="S72" s="5"/>
      <c r="T72" s="5"/>
      <c r="U72" s="5"/>
      <c r="V72" s="5"/>
      <c r="W72" s="5"/>
    </row>
    <row r="73">
      <c r="A73" s="3" t="s">
        <v>872</v>
      </c>
      <c r="B73" s="3" t="s">
        <v>873</v>
      </c>
      <c r="C73" s="3" t="s">
        <v>874</v>
      </c>
      <c r="D73" s="3" t="s">
        <v>875</v>
      </c>
      <c r="E73" s="4" t="s">
        <v>153</v>
      </c>
      <c r="F73" s="5"/>
      <c r="G73" s="5"/>
      <c r="H73" s="5"/>
      <c r="I73" s="5"/>
      <c r="J73" s="5"/>
      <c r="K73" s="5"/>
      <c r="L73" s="5"/>
      <c r="M73" s="5"/>
      <c r="N73" s="5"/>
      <c r="O73" s="5"/>
      <c r="P73" s="5"/>
      <c r="Q73" s="5"/>
      <c r="R73" s="5"/>
      <c r="S73" s="5"/>
      <c r="T73" s="5"/>
      <c r="U73" s="5"/>
      <c r="V73" s="5"/>
      <c r="W73" s="5"/>
    </row>
    <row r="74">
      <c r="A74" s="3" t="s">
        <v>876</v>
      </c>
      <c r="B74" s="3" t="s">
        <v>877</v>
      </c>
      <c r="C74" s="3" t="s">
        <v>878</v>
      </c>
      <c r="D74" s="3" t="s">
        <v>879</v>
      </c>
      <c r="E74" s="4" t="s">
        <v>153</v>
      </c>
      <c r="F74" s="5"/>
      <c r="G74" s="5"/>
      <c r="H74" s="5"/>
      <c r="I74" s="5"/>
      <c r="J74" s="5"/>
      <c r="K74" s="5"/>
      <c r="L74" s="5"/>
      <c r="M74" s="5"/>
      <c r="N74" s="5"/>
      <c r="O74" s="5"/>
      <c r="P74" s="5"/>
      <c r="Q74" s="5"/>
      <c r="R74" s="5"/>
      <c r="S74" s="5"/>
      <c r="T74" s="5"/>
      <c r="U74" s="5"/>
      <c r="V74" s="5"/>
      <c r="W74" s="5"/>
    </row>
    <row r="75">
      <c r="A75" s="3" t="s">
        <v>880</v>
      </c>
      <c r="B75" s="3" t="s">
        <v>881</v>
      </c>
      <c r="C75" s="3" t="s">
        <v>882</v>
      </c>
      <c r="D75" s="3" t="s">
        <v>883</v>
      </c>
      <c r="E75" s="4" t="s">
        <v>153</v>
      </c>
      <c r="F75" s="5"/>
      <c r="G75" s="5"/>
      <c r="H75" s="5"/>
      <c r="I75" s="5"/>
      <c r="J75" s="5"/>
      <c r="K75" s="5"/>
      <c r="L75" s="5"/>
      <c r="M75" s="5"/>
      <c r="N75" s="5"/>
      <c r="O75" s="5"/>
      <c r="P75" s="5"/>
      <c r="Q75" s="5"/>
      <c r="R75" s="5"/>
      <c r="S75" s="5"/>
      <c r="T75" s="5"/>
      <c r="U75" s="5"/>
      <c r="V75" s="5"/>
      <c r="W75" s="5"/>
    </row>
    <row r="76">
      <c r="A76" s="3" t="s">
        <v>884</v>
      </c>
      <c r="B76" s="3" t="s">
        <v>885</v>
      </c>
      <c r="C76" s="3" t="s">
        <v>878</v>
      </c>
      <c r="D76" s="3" t="s">
        <v>886</v>
      </c>
      <c r="E76" s="4" t="s">
        <v>153</v>
      </c>
      <c r="F76" s="5"/>
      <c r="G76" s="5"/>
      <c r="H76" s="5"/>
      <c r="I76" s="5"/>
      <c r="J76" s="5"/>
      <c r="K76" s="5"/>
      <c r="L76" s="5"/>
      <c r="M76" s="5"/>
      <c r="N76" s="5"/>
      <c r="O76" s="5"/>
      <c r="P76" s="5"/>
      <c r="Q76" s="5"/>
      <c r="R76" s="5"/>
      <c r="S76" s="5"/>
      <c r="T76" s="5"/>
      <c r="U76" s="5"/>
      <c r="V76" s="5"/>
      <c r="W76" s="5"/>
    </row>
    <row r="77">
      <c r="A77" s="3" t="s">
        <v>887</v>
      </c>
      <c r="B77" s="3" t="s">
        <v>888</v>
      </c>
      <c r="C77" s="3" t="s">
        <v>882</v>
      </c>
      <c r="D77" s="3" t="s">
        <v>889</v>
      </c>
      <c r="E77" s="4" t="s">
        <v>153</v>
      </c>
      <c r="F77" s="5"/>
      <c r="G77" s="5"/>
      <c r="H77" s="5"/>
      <c r="I77" s="5"/>
      <c r="J77" s="5"/>
      <c r="K77" s="5"/>
      <c r="L77" s="5"/>
      <c r="M77" s="5"/>
      <c r="N77" s="5"/>
      <c r="O77" s="5"/>
      <c r="P77" s="5"/>
      <c r="Q77" s="5"/>
      <c r="R77" s="5"/>
      <c r="S77" s="5"/>
      <c r="T77" s="5"/>
      <c r="U77" s="5"/>
      <c r="V77" s="5"/>
      <c r="W77" s="5"/>
    </row>
    <row r="78">
      <c r="A78" s="3" t="s">
        <v>890</v>
      </c>
      <c r="B78" s="3" t="s">
        <v>891</v>
      </c>
      <c r="C78" s="3" t="s">
        <v>878</v>
      </c>
      <c r="D78" s="3" t="s">
        <v>892</v>
      </c>
      <c r="E78" s="4" t="s">
        <v>153</v>
      </c>
      <c r="F78" s="5"/>
      <c r="G78" s="5"/>
      <c r="H78" s="5"/>
      <c r="I78" s="5"/>
      <c r="J78" s="5"/>
      <c r="K78" s="5"/>
      <c r="L78" s="5"/>
      <c r="M78" s="5"/>
      <c r="N78" s="5"/>
      <c r="O78" s="5"/>
      <c r="P78" s="5"/>
      <c r="Q78" s="5"/>
      <c r="R78" s="5"/>
      <c r="S78" s="5"/>
      <c r="T78" s="5"/>
      <c r="U78" s="5"/>
      <c r="V78" s="5"/>
      <c r="W78" s="5"/>
    </row>
    <row r="79">
      <c r="A79" s="3" t="s">
        <v>893</v>
      </c>
      <c r="B79" s="3" t="s">
        <v>894</v>
      </c>
      <c r="C79" s="3" t="s">
        <v>878</v>
      </c>
      <c r="D79" s="3" t="s">
        <v>895</v>
      </c>
      <c r="E79" s="4" t="s">
        <v>153</v>
      </c>
      <c r="F79" s="5"/>
      <c r="G79" s="5"/>
      <c r="H79" s="5"/>
      <c r="I79" s="5"/>
      <c r="J79" s="5"/>
      <c r="K79" s="5"/>
      <c r="L79" s="5"/>
      <c r="M79" s="5"/>
      <c r="N79" s="5"/>
      <c r="O79" s="5"/>
      <c r="P79" s="5"/>
      <c r="Q79" s="5"/>
      <c r="R79" s="5"/>
      <c r="S79" s="5"/>
      <c r="T79" s="5"/>
      <c r="U79" s="5"/>
      <c r="V79" s="5"/>
      <c r="W79" s="5"/>
    </row>
    <row r="80">
      <c r="A80" s="3" t="s">
        <v>896</v>
      </c>
      <c r="B80" s="3" t="s">
        <v>897</v>
      </c>
      <c r="C80" s="3" t="s">
        <v>878</v>
      </c>
      <c r="D80" s="3" t="s">
        <v>898</v>
      </c>
      <c r="E80" s="4" t="s">
        <v>153</v>
      </c>
      <c r="F80" s="5"/>
      <c r="G80" s="5"/>
      <c r="H80" s="5"/>
      <c r="I80" s="5"/>
      <c r="J80" s="5"/>
      <c r="K80" s="5"/>
      <c r="L80" s="5"/>
      <c r="M80" s="5"/>
      <c r="N80" s="5"/>
      <c r="O80" s="5"/>
      <c r="P80" s="5"/>
      <c r="Q80" s="5"/>
      <c r="R80" s="5"/>
      <c r="S80" s="5"/>
      <c r="T80" s="5"/>
      <c r="U80" s="5"/>
      <c r="V80" s="5"/>
      <c r="W80" s="5"/>
    </row>
    <row r="81">
      <c r="A81" s="3" t="s">
        <v>899</v>
      </c>
      <c r="B81" s="3" t="s">
        <v>900</v>
      </c>
      <c r="C81" s="3" t="s">
        <v>882</v>
      </c>
      <c r="D81" s="3" t="s">
        <v>901</v>
      </c>
      <c r="E81" s="4" t="s">
        <v>153</v>
      </c>
      <c r="F81" s="5"/>
      <c r="G81" s="5"/>
      <c r="H81" s="5"/>
      <c r="I81" s="5"/>
      <c r="J81" s="5"/>
      <c r="K81" s="5"/>
      <c r="L81" s="5"/>
      <c r="M81" s="5"/>
      <c r="N81" s="5"/>
      <c r="O81" s="5"/>
      <c r="P81" s="5"/>
      <c r="Q81" s="5"/>
      <c r="R81" s="5"/>
      <c r="S81" s="5"/>
      <c r="T81" s="5"/>
      <c r="U81" s="5"/>
      <c r="V81" s="5"/>
      <c r="W81" s="5"/>
    </row>
    <row r="82">
      <c r="A82" s="3" t="s">
        <v>902</v>
      </c>
      <c r="B82" s="3" t="s">
        <v>903</v>
      </c>
      <c r="C82" s="3" t="s">
        <v>882</v>
      </c>
      <c r="D82" s="3" t="s">
        <v>904</v>
      </c>
      <c r="E82" s="4" t="s">
        <v>153</v>
      </c>
      <c r="F82" s="5"/>
      <c r="G82" s="5"/>
      <c r="H82" s="5"/>
      <c r="I82" s="5"/>
      <c r="J82" s="5"/>
      <c r="K82" s="5"/>
      <c r="L82" s="5"/>
      <c r="M82" s="5"/>
      <c r="N82" s="5"/>
      <c r="O82" s="5"/>
      <c r="P82" s="5"/>
      <c r="Q82" s="5"/>
      <c r="R82" s="5"/>
      <c r="S82" s="5"/>
      <c r="T82" s="5"/>
      <c r="U82" s="5"/>
      <c r="V82" s="5"/>
      <c r="W82" s="5"/>
    </row>
    <row r="83">
      <c r="A83" s="3" t="s">
        <v>905</v>
      </c>
      <c r="B83" s="3" t="s">
        <v>906</v>
      </c>
      <c r="C83" s="3" t="s">
        <v>878</v>
      </c>
      <c r="D83" s="3" t="s">
        <v>907</v>
      </c>
      <c r="E83" s="4" t="s">
        <v>153</v>
      </c>
      <c r="F83" s="5"/>
      <c r="G83" s="5"/>
      <c r="H83" s="5"/>
      <c r="I83" s="5"/>
      <c r="J83" s="5"/>
      <c r="K83" s="5"/>
      <c r="L83" s="5"/>
      <c r="M83" s="5"/>
      <c r="N83" s="5"/>
      <c r="O83" s="5"/>
      <c r="P83" s="5"/>
      <c r="Q83" s="5"/>
      <c r="R83" s="5"/>
      <c r="S83" s="5"/>
      <c r="T83" s="5"/>
      <c r="U83" s="5"/>
      <c r="V83" s="5"/>
      <c r="W83" s="5"/>
    </row>
    <row r="84">
      <c r="A84" s="3" t="s">
        <v>908</v>
      </c>
      <c r="B84" s="3" t="s">
        <v>909</v>
      </c>
      <c r="C84" s="3" t="s">
        <v>878</v>
      </c>
      <c r="D84" s="3" t="s">
        <v>910</v>
      </c>
      <c r="E84" s="4" t="s">
        <v>153</v>
      </c>
      <c r="F84" s="5"/>
      <c r="G84" s="5"/>
      <c r="H84" s="5"/>
      <c r="I84" s="5"/>
      <c r="J84" s="5"/>
      <c r="K84" s="5"/>
      <c r="L84" s="5"/>
      <c r="M84" s="5"/>
      <c r="N84" s="5"/>
      <c r="O84" s="5"/>
      <c r="P84" s="5"/>
      <c r="Q84" s="5"/>
      <c r="R84" s="5"/>
      <c r="S84" s="5"/>
      <c r="T84" s="5"/>
      <c r="U84" s="5"/>
      <c r="V84" s="5"/>
      <c r="W84" s="5"/>
    </row>
    <row r="85">
      <c r="A85" s="3" t="s">
        <v>896</v>
      </c>
      <c r="B85" s="3" t="s">
        <v>911</v>
      </c>
      <c r="C85" s="3" t="s">
        <v>816</v>
      </c>
      <c r="D85" s="3" t="s">
        <v>912</v>
      </c>
      <c r="E85" s="4" t="s">
        <v>153</v>
      </c>
      <c r="F85" s="5"/>
      <c r="G85" s="5"/>
      <c r="H85" s="5"/>
      <c r="I85" s="5"/>
      <c r="J85" s="5"/>
      <c r="K85" s="5"/>
      <c r="L85" s="5"/>
      <c r="M85" s="5"/>
      <c r="N85" s="5"/>
      <c r="O85" s="5"/>
      <c r="P85" s="5"/>
      <c r="Q85" s="5"/>
      <c r="R85" s="5"/>
      <c r="S85" s="5"/>
      <c r="T85" s="5"/>
      <c r="U85" s="5"/>
      <c r="V85" s="5"/>
      <c r="W85" s="5"/>
    </row>
    <row r="86">
      <c r="A86" s="3" t="s">
        <v>890</v>
      </c>
      <c r="B86" s="3" t="s">
        <v>913</v>
      </c>
      <c r="C86" s="3" t="s">
        <v>816</v>
      </c>
      <c r="D86" s="3" t="s">
        <v>914</v>
      </c>
      <c r="E86" s="4" t="s">
        <v>153</v>
      </c>
      <c r="F86" s="5"/>
      <c r="G86" s="5"/>
      <c r="H86" s="5"/>
      <c r="I86" s="5"/>
      <c r="J86" s="5"/>
      <c r="K86" s="5"/>
      <c r="L86" s="5"/>
      <c r="M86" s="5"/>
      <c r="N86" s="5"/>
      <c r="O86" s="5"/>
      <c r="P86" s="5"/>
      <c r="Q86" s="5"/>
      <c r="R86" s="5"/>
      <c r="S86" s="5"/>
      <c r="T86" s="5"/>
      <c r="U86" s="5"/>
      <c r="V86" s="5"/>
      <c r="W86" s="5"/>
    </row>
    <row r="87">
      <c r="A87" s="3" t="s">
        <v>915</v>
      </c>
      <c r="B87" s="3" t="s">
        <v>916</v>
      </c>
      <c r="C87" s="3" t="s">
        <v>917</v>
      </c>
      <c r="D87" s="3" t="s">
        <v>918</v>
      </c>
      <c r="E87" s="4" t="s">
        <v>153</v>
      </c>
      <c r="F87" s="5"/>
      <c r="G87" s="5"/>
      <c r="H87" s="5"/>
      <c r="I87" s="5"/>
      <c r="J87" s="5"/>
      <c r="K87" s="5"/>
      <c r="L87" s="5"/>
      <c r="M87" s="5"/>
      <c r="N87" s="5"/>
      <c r="O87" s="5"/>
      <c r="P87" s="5"/>
      <c r="Q87" s="5"/>
      <c r="R87" s="5"/>
      <c r="S87" s="5"/>
      <c r="T87" s="5"/>
      <c r="U87" s="5"/>
      <c r="V87" s="5"/>
      <c r="W87" s="5"/>
    </row>
    <row r="88">
      <c r="A88" s="3" t="s">
        <v>919</v>
      </c>
      <c r="B88" s="3" t="s">
        <v>920</v>
      </c>
      <c r="C88" s="3" t="s">
        <v>917</v>
      </c>
      <c r="D88" s="3" t="s">
        <v>921</v>
      </c>
      <c r="E88" s="4" t="s">
        <v>153</v>
      </c>
      <c r="F88" s="5"/>
      <c r="G88" s="5"/>
      <c r="H88" s="5"/>
      <c r="I88" s="5"/>
      <c r="J88" s="5"/>
      <c r="K88" s="5"/>
      <c r="L88" s="5"/>
      <c r="M88" s="5"/>
      <c r="N88" s="5"/>
      <c r="O88" s="5"/>
      <c r="P88" s="5"/>
      <c r="Q88" s="5"/>
      <c r="R88" s="5"/>
      <c r="S88" s="5"/>
      <c r="T88" s="5"/>
      <c r="U88" s="5"/>
      <c r="V88" s="5"/>
      <c r="W88" s="5"/>
    </row>
    <row r="89">
      <c r="A89" s="3" t="s">
        <v>922</v>
      </c>
      <c r="B89" s="3" t="s">
        <v>923</v>
      </c>
      <c r="C89" s="3" t="s">
        <v>816</v>
      </c>
      <c r="D89" s="3" t="s">
        <v>924</v>
      </c>
      <c r="E89" s="4" t="s">
        <v>153</v>
      </c>
      <c r="F89" s="5"/>
      <c r="G89" s="5"/>
      <c r="H89" s="5"/>
      <c r="I89" s="5"/>
      <c r="J89" s="5"/>
      <c r="K89" s="5"/>
      <c r="L89" s="5"/>
      <c r="M89" s="5"/>
      <c r="N89" s="5"/>
      <c r="O89" s="5"/>
      <c r="P89" s="5"/>
      <c r="Q89" s="5"/>
      <c r="R89" s="5"/>
      <c r="S89" s="5"/>
      <c r="T89" s="5"/>
      <c r="U89" s="5"/>
      <c r="V89" s="5"/>
      <c r="W89" s="5"/>
    </row>
    <row r="90">
      <c r="A90" s="3" t="s">
        <v>925</v>
      </c>
      <c r="B90" s="3" t="s">
        <v>926</v>
      </c>
      <c r="C90" s="3" t="s">
        <v>927</v>
      </c>
      <c r="D90" s="3" t="s">
        <v>928</v>
      </c>
      <c r="E90" s="4" t="s">
        <v>153</v>
      </c>
      <c r="F90" s="5"/>
      <c r="G90" s="5"/>
      <c r="H90" s="5"/>
      <c r="I90" s="5"/>
      <c r="J90" s="5"/>
      <c r="K90" s="5"/>
      <c r="L90" s="5"/>
      <c r="M90" s="5"/>
      <c r="N90" s="5"/>
      <c r="O90" s="5"/>
      <c r="P90" s="5"/>
      <c r="Q90" s="5"/>
      <c r="R90" s="5"/>
      <c r="S90" s="5"/>
      <c r="T90" s="5"/>
      <c r="U90" s="5"/>
      <c r="V90" s="5"/>
      <c r="W90" s="5"/>
    </row>
    <row r="91">
      <c r="A91" s="3" t="s">
        <v>929</v>
      </c>
      <c r="B91" s="3" t="s">
        <v>930</v>
      </c>
      <c r="C91" s="3" t="s">
        <v>931</v>
      </c>
      <c r="D91" s="3" t="s">
        <v>932</v>
      </c>
      <c r="E91" s="4" t="s">
        <v>153</v>
      </c>
      <c r="F91" s="5"/>
      <c r="G91" s="5"/>
      <c r="H91" s="5"/>
      <c r="I91" s="5"/>
      <c r="J91" s="5"/>
      <c r="K91" s="5"/>
      <c r="L91" s="5"/>
      <c r="M91" s="5"/>
      <c r="N91" s="5"/>
      <c r="O91" s="5"/>
      <c r="P91" s="5"/>
      <c r="Q91" s="5"/>
      <c r="R91" s="5"/>
      <c r="S91" s="5"/>
      <c r="T91" s="5"/>
      <c r="U91" s="5"/>
      <c r="V91" s="5"/>
      <c r="W91" s="5"/>
    </row>
    <row r="92">
      <c r="A92" s="3" t="s">
        <v>933</v>
      </c>
      <c r="B92" s="3" t="s">
        <v>934</v>
      </c>
      <c r="C92" s="3" t="s">
        <v>935</v>
      </c>
      <c r="D92" s="3" t="s">
        <v>936</v>
      </c>
      <c r="E92" s="4" t="s">
        <v>155</v>
      </c>
      <c r="F92" s="5"/>
      <c r="G92" s="5"/>
      <c r="H92" s="5"/>
      <c r="I92" s="5"/>
      <c r="J92" s="5"/>
      <c r="K92" s="5"/>
      <c r="L92" s="5"/>
      <c r="M92" s="5"/>
      <c r="N92" s="5"/>
      <c r="O92" s="5"/>
      <c r="P92" s="5"/>
      <c r="Q92" s="5"/>
      <c r="R92" s="5"/>
      <c r="S92" s="5"/>
      <c r="T92" s="5"/>
      <c r="U92" s="5"/>
      <c r="V92" s="5"/>
      <c r="W92" s="5"/>
    </row>
    <row r="93">
      <c r="A93" s="3" t="s">
        <v>937</v>
      </c>
      <c r="B93" s="3" t="s">
        <v>938</v>
      </c>
      <c r="C93" s="3" t="s">
        <v>935</v>
      </c>
      <c r="D93" s="3" t="s">
        <v>939</v>
      </c>
      <c r="E93" s="4" t="s">
        <v>155</v>
      </c>
      <c r="F93" s="5"/>
      <c r="G93" s="5"/>
      <c r="H93" s="5"/>
      <c r="I93" s="5"/>
      <c r="J93" s="5"/>
      <c r="K93" s="5"/>
      <c r="L93" s="5"/>
      <c r="M93" s="5"/>
      <c r="N93" s="5"/>
      <c r="O93" s="5"/>
      <c r="P93" s="5"/>
      <c r="Q93" s="5"/>
      <c r="R93" s="5"/>
      <c r="S93" s="5"/>
      <c r="T93" s="5"/>
      <c r="U93" s="5"/>
      <c r="V93" s="5"/>
      <c r="W93" s="5"/>
    </row>
    <row r="94">
      <c r="A94" s="3" t="s">
        <v>940</v>
      </c>
      <c r="B94" s="3" t="s">
        <v>941</v>
      </c>
      <c r="C94" s="3" t="s">
        <v>935</v>
      </c>
      <c r="D94" s="3" t="s">
        <v>942</v>
      </c>
      <c r="E94" s="4" t="s">
        <v>155</v>
      </c>
      <c r="F94" s="5"/>
      <c r="G94" s="5"/>
      <c r="H94" s="5"/>
      <c r="I94" s="5"/>
      <c r="J94" s="5"/>
      <c r="K94" s="5"/>
      <c r="L94" s="5"/>
      <c r="M94" s="5"/>
      <c r="N94" s="5"/>
      <c r="O94" s="5"/>
      <c r="P94" s="5"/>
      <c r="Q94" s="5"/>
      <c r="R94" s="5"/>
      <c r="S94" s="5"/>
      <c r="T94" s="5"/>
      <c r="U94" s="5"/>
      <c r="V94" s="5"/>
      <c r="W94" s="5"/>
    </row>
    <row r="95">
      <c r="A95" s="3" t="s">
        <v>943</v>
      </c>
      <c r="B95" s="3" t="s">
        <v>944</v>
      </c>
      <c r="C95" s="3" t="s">
        <v>935</v>
      </c>
      <c r="D95" s="3" t="s">
        <v>945</v>
      </c>
      <c r="E95" s="4" t="s">
        <v>155</v>
      </c>
      <c r="F95" s="5"/>
      <c r="G95" s="5"/>
      <c r="H95" s="5"/>
      <c r="I95" s="5"/>
      <c r="J95" s="5"/>
      <c r="K95" s="5"/>
      <c r="L95" s="5"/>
      <c r="M95" s="5"/>
      <c r="N95" s="5"/>
      <c r="O95" s="5"/>
      <c r="P95" s="5"/>
      <c r="Q95" s="5"/>
      <c r="R95" s="5"/>
      <c r="S95" s="5"/>
      <c r="T95" s="5"/>
      <c r="U95" s="5"/>
      <c r="V95" s="5"/>
      <c r="W95" s="5"/>
    </row>
    <row r="96">
      <c r="A96" s="3" t="s">
        <v>946</v>
      </c>
      <c r="B96" s="3" t="s">
        <v>947</v>
      </c>
      <c r="C96" s="3" t="s">
        <v>948</v>
      </c>
      <c r="D96" s="3" t="s">
        <v>949</v>
      </c>
      <c r="E96" s="5"/>
      <c r="F96" s="5"/>
      <c r="G96" s="5"/>
      <c r="H96" s="5"/>
      <c r="I96" s="5"/>
      <c r="J96" s="5"/>
      <c r="K96" s="5"/>
      <c r="L96" s="5"/>
      <c r="M96" s="5"/>
      <c r="N96" s="5"/>
      <c r="O96" s="5"/>
      <c r="P96" s="5"/>
      <c r="Q96" s="5"/>
      <c r="R96" s="5"/>
      <c r="S96" s="5"/>
      <c r="T96" s="5"/>
      <c r="U96" s="5"/>
      <c r="V96" s="5"/>
      <c r="W96" s="5"/>
    </row>
    <row r="97">
      <c r="A97" s="5"/>
      <c r="B97" s="3"/>
      <c r="C97" s="5"/>
      <c r="D97" s="3"/>
      <c r="E97" s="5"/>
      <c r="F97" s="5"/>
      <c r="G97" s="5"/>
      <c r="H97" s="5"/>
      <c r="I97" s="5"/>
      <c r="J97" s="5"/>
      <c r="K97" s="5"/>
      <c r="L97" s="5"/>
      <c r="M97" s="5"/>
      <c r="N97" s="5"/>
      <c r="O97" s="5"/>
      <c r="P97" s="5"/>
      <c r="Q97" s="5"/>
      <c r="R97" s="5"/>
      <c r="S97" s="5"/>
      <c r="T97" s="5"/>
      <c r="U97" s="5"/>
      <c r="V97" s="5"/>
      <c r="W97" s="5"/>
    </row>
    <row r="98">
      <c r="A98" s="5"/>
      <c r="B98" s="3"/>
      <c r="C98" s="5"/>
      <c r="D98" s="5"/>
      <c r="E98" s="5"/>
      <c r="F98" s="5"/>
      <c r="G98" s="5"/>
      <c r="H98" s="5"/>
      <c r="I98" s="5"/>
      <c r="J98" s="5"/>
      <c r="K98" s="5"/>
      <c r="L98" s="5"/>
      <c r="M98" s="5"/>
      <c r="N98" s="5"/>
      <c r="O98" s="5"/>
      <c r="P98" s="5"/>
      <c r="Q98" s="5"/>
      <c r="R98" s="5"/>
      <c r="S98" s="5"/>
      <c r="T98" s="5"/>
      <c r="U98" s="5"/>
      <c r="V98" s="5"/>
      <c r="W98" s="5"/>
    </row>
    <row r="99">
      <c r="A99" s="5"/>
      <c r="B99" s="3"/>
      <c r="C99" s="5"/>
      <c r="D99" s="5"/>
      <c r="E99" s="5"/>
      <c r="F99" s="5"/>
      <c r="G99" s="5"/>
      <c r="H99" s="5"/>
      <c r="I99" s="5"/>
      <c r="J99" s="5"/>
      <c r="K99" s="5"/>
      <c r="L99" s="5"/>
      <c r="M99" s="5"/>
      <c r="N99" s="5"/>
      <c r="O99" s="5"/>
      <c r="P99" s="5"/>
      <c r="Q99" s="5"/>
      <c r="R99" s="5"/>
      <c r="S99" s="5"/>
      <c r="T99" s="5"/>
      <c r="U99" s="5"/>
      <c r="V99" s="5"/>
      <c r="W99" s="5"/>
    </row>
    <row r="100">
      <c r="A100" s="5"/>
      <c r="B100" s="3"/>
      <c r="C100" s="5"/>
      <c r="D100" s="5"/>
      <c r="E100" s="5"/>
      <c r="F100" s="5"/>
      <c r="G100" s="5"/>
      <c r="H100" s="5"/>
      <c r="I100" s="5"/>
      <c r="J100" s="5"/>
      <c r="K100" s="5"/>
      <c r="L100" s="5"/>
      <c r="M100" s="5"/>
      <c r="N100" s="5"/>
      <c r="O100" s="5"/>
      <c r="P100" s="5"/>
      <c r="Q100" s="5"/>
      <c r="R100" s="5"/>
      <c r="S100" s="5"/>
      <c r="T100" s="5"/>
      <c r="U100" s="5"/>
      <c r="V100" s="5"/>
      <c r="W100" s="5"/>
    </row>
    <row r="101">
      <c r="A101" s="5"/>
      <c r="B101" s="3"/>
      <c r="C101" s="5"/>
      <c r="D101" s="5"/>
      <c r="E101" s="5"/>
      <c r="F101" s="5"/>
      <c r="G101" s="5"/>
      <c r="H101" s="5"/>
      <c r="I101" s="5"/>
      <c r="J101" s="5"/>
      <c r="K101" s="5"/>
      <c r="L101" s="5"/>
      <c r="M101" s="5"/>
      <c r="N101" s="5"/>
      <c r="O101" s="5"/>
      <c r="P101" s="5"/>
      <c r="Q101" s="5"/>
      <c r="R101" s="5"/>
      <c r="S101" s="5"/>
      <c r="T101" s="5"/>
      <c r="U101" s="5"/>
      <c r="V101" s="5"/>
      <c r="W101" s="5"/>
    </row>
    <row r="102">
      <c r="A102" s="5"/>
      <c r="B102" s="3"/>
      <c r="C102" s="5"/>
      <c r="D102" s="5"/>
      <c r="E102" s="5"/>
      <c r="F102" s="5"/>
      <c r="G102" s="5"/>
      <c r="H102" s="5"/>
      <c r="I102" s="5"/>
      <c r="J102" s="5"/>
      <c r="K102" s="5"/>
      <c r="L102" s="5"/>
      <c r="M102" s="5"/>
      <c r="N102" s="5"/>
      <c r="O102" s="5"/>
      <c r="P102" s="5"/>
      <c r="Q102" s="5"/>
      <c r="R102" s="5"/>
      <c r="S102" s="5"/>
      <c r="T102" s="5"/>
      <c r="U102" s="5"/>
      <c r="V102" s="5"/>
      <c r="W102" s="5"/>
    </row>
    <row r="103">
      <c r="A103" s="5"/>
      <c r="B103" s="3"/>
      <c r="C103" s="5"/>
      <c r="D103" s="5"/>
      <c r="E103" s="5"/>
      <c r="F103" s="5"/>
      <c r="G103" s="5"/>
      <c r="H103" s="5"/>
      <c r="I103" s="5"/>
      <c r="J103" s="5"/>
      <c r="K103" s="5"/>
      <c r="L103" s="5"/>
      <c r="M103" s="5"/>
      <c r="N103" s="5"/>
      <c r="O103" s="5"/>
      <c r="P103" s="5"/>
      <c r="Q103" s="5"/>
      <c r="R103" s="5"/>
      <c r="S103" s="5"/>
      <c r="T103" s="5"/>
      <c r="U103" s="5"/>
      <c r="V103" s="5"/>
      <c r="W103" s="5"/>
    </row>
    <row r="104">
      <c r="A104" s="5"/>
      <c r="B104" s="3"/>
      <c r="C104" s="5"/>
      <c r="D104" s="5"/>
      <c r="E104" s="5"/>
      <c r="F104" s="5"/>
      <c r="G104" s="5"/>
      <c r="H104" s="5"/>
      <c r="I104" s="5"/>
      <c r="J104" s="5"/>
      <c r="K104" s="5"/>
      <c r="L104" s="5"/>
      <c r="M104" s="5"/>
      <c r="N104" s="5"/>
      <c r="O104" s="5"/>
      <c r="P104" s="5"/>
      <c r="Q104" s="5"/>
      <c r="R104" s="5"/>
      <c r="S104" s="5"/>
      <c r="T104" s="5"/>
      <c r="U104" s="5"/>
      <c r="V104" s="5"/>
      <c r="W104" s="5"/>
    </row>
    <row r="105">
      <c r="A105" s="5"/>
      <c r="B105" s="3"/>
      <c r="C105" s="5"/>
      <c r="D105" s="5"/>
      <c r="E105" s="5"/>
      <c r="F105" s="5"/>
      <c r="G105" s="5"/>
      <c r="H105" s="5"/>
      <c r="I105" s="5"/>
      <c r="J105" s="5"/>
      <c r="K105" s="5"/>
      <c r="L105" s="5"/>
      <c r="M105" s="5"/>
      <c r="N105" s="5"/>
      <c r="O105" s="5"/>
      <c r="P105" s="5"/>
      <c r="Q105" s="5"/>
      <c r="R105" s="5"/>
      <c r="S105" s="5"/>
      <c r="T105" s="5"/>
      <c r="U105" s="5"/>
      <c r="V105" s="5"/>
      <c r="W105" s="5"/>
    </row>
    <row r="106">
      <c r="A106" s="5"/>
      <c r="B106" s="3"/>
      <c r="C106" s="5"/>
      <c r="D106" s="5"/>
      <c r="E106" s="5"/>
      <c r="F106" s="5"/>
      <c r="G106" s="5"/>
      <c r="H106" s="5"/>
      <c r="I106" s="5"/>
      <c r="J106" s="5"/>
      <c r="K106" s="5"/>
      <c r="L106" s="5"/>
      <c r="M106" s="5"/>
      <c r="N106" s="5"/>
      <c r="O106" s="5"/>
      <c r="P106" s="5"/>
      <c r="Q106" s="5"/>
      <c r="R106" s="5"/>
      <c r="S106" s="5"/>
      <c r="T106" s="5"/>
      <c r="U106" s="5"/>
      <c r="V106" s="5"/>
      <c r="W106" s="5"/>
    </row>
    <row r="107">
      <c r="A107" s="5"/>
      <c r="B107" s="3"/>
      <c r="C107" s="5"/>
      <c r="D107" s="5"/>
      <c r="E107" s="5"/>
      <c r="F107" s="5"/>
      <c r="G107" s="5"/>
      <c r="H107" s="5"/>
      <c r="I107" s="5"/>
      <c r="J107" s="5"/>
      <c r="K107" s="5"/>
      <c r="L107" s="5"/>
      <c r="M107" s="5"/>
      <c r="N107" s="5"/>
      <c r="O107" s="5"/>
      <c r="P107" s="5"/>
      <c r="Q107" s="5"/>
      <c r="R107" s="5"/>
      <c r="S107" s="5"/>
      <c r="T107" s="5"/>
      <c r="U107" s="5"/>
      <c r="V107" s="5"/>
      <c r="W107" s="5"/>
    </row>
    <row r="108">
      <c r="A108" s="5"/>
      <c r="B108" s="3"/>
      <c r="C108" s="5"/>
      <c r="D108" s="5"/>
      <c r="E108" s="5"/>
      <c r="F108" s="5"/>
      <c r="G108" s="5"/>
      <c r="H108" s="5"/>
      <c r="I108" s="5"/>
      <c r="J108" s="5"/>
      <c r="K108" s="5"/>
      <c r="L108" s="5"/>
      <c r="M108" s="5"/>
      <c r="N108" s="5"/>
      <c r="O108" s="5"/>
      <c r="P108" s="5"/>
      <c r="Q108" s="5"/>
      <c r="R108" s="5"/>
      <c r="S108" s="5"/>
      <c r="T108" s="5"/>
      <c r="U108" s="5"/>
      <c r="V108" s="5"/>
      <c r="W108" s="5"/>
    </row>
    <row r="109">
      <c r="A109" s="5"/>
      <c r="B109" s="3"/>
      <c r="C109" s="5"/>
      <c r="D109" s="5"/>
      <c r="E109" s="5"/>
      <c r="F109" s="5"/>
      <c r="G109" s="5"/>
      <c r="H109" s="5"/>
      <c r="I109" s="5"/>
      <c r="J109" s="5"/>
      <c r="K109" s="5"/>
      <c r="L109" s="5"/>
      <c r="M109" s="5"/>
      <c r="N109" s="5"/>
      <c r="O109" s="5"/>
      <c r="P109" s="5"/>
      <c r="Q109" s="5"/>
      <c r="R109" s="5"/>
      <c r="S109" s="5"/>
      <c r="T109" s="5"/>
      <c r="U109" s="5"/>
      <c r="V109" s="5"/>
      <c r="W109" s="5"/>
    </row>
    <row r="110">
      <c r="A110" s="5"/>
      <c r="B110" s="3"/>
      <c r="C110" s="5"/>
      <c r="D110" s="5"/>
      <c r="E110" s="5"/>
      <c r="F110" s="5"/>
      <c r="G110" s="5"/>
      <c r="H110" s="5"/>
      <c r="I110" s="5"/>
      <c r="J110" s="5"/>
      <c r="K110" s="5"/>
      <c r="L110" s="5"/>
      <c r="M110" s="5"/>
      <c r="N110" s="5"/>
      <c r="O110" s="5"/>
      <c r="P110" s="5"/>
      <c r="Q110" s="5"/>
      <c r="R110" s="5"/>
      <c r="S110" s="5"/>
      <c r="T110" s="5"/>
      <c r="U110" s="5"/>
      <c r="V110" s="5"/>
      <c r="W110" s="5"/>
    </row>
    <row r="111">
      <c r="A111" s="5"/>
      <c r="B111" s="3"/>
      <c r="C111" s="5"/>
      <c r="D111" s="5"/>
      <c r="E111" s="5"/>
      <c r="F111" s="5"/>
      <c r="G111" s="5"/>
      <c r="H111" s="5"/>
      <c r="I111" s="5"/>
      <c r="J111" s="5"/>
      <c r="K111" s="5"/>
      <c r="L111" s="5"/>
      <c r="M111" s="5"/>
      <c r="N111" s="5"/>
      <c r="O111" s="5"/>
      <c r="P111" s="5"/>
      <c r="Q111" s="5"/>
      <c r="R111" s="5"/>
      <c r="S111" s="5"/>
      <c r="T111" s="5"/>
      <c r="U111" s="5"/>
      <c r="V111" s="5"/>
      <c r="W111" s="5"/>
    </row>
    <row r="112">
      <c r="A112" s="5"/>
      <c r="B112" s="3"/>
      <c r="C112" s="5"/>
      <c r="D112" s="5"/>
      <c r="E112" s="5"/>
      <c r="F112" s="5"/>
      <c r="G112" s="5"/>
      <c r="H112" s="5"/>
      <c r="I112" s="5"/>
      <c r="J112" s="5"/>
      <c r="K112" s="5"/>
      <c r="L112" s="5"/>
      <c r="M112" s="5"/>
      <c r="N112" s="5"/>
      <c r="O112" s="5"/>
      <c r="P112" s="5"/>
      <c r="Q112" s="5"/>
      <c r="R112" s="5"/>
      <c r="S112" s="5"/>
      <c r="T112" s="5"/>
      <c r="U112" s="5"/>
      <c r="V112" s="5"/>
      <c r="W112" s="5"/>
    </row>
    <row r="113">
      <c r="A113" s="5"/>
      <c r="B113" s="3"/>
      <c r="C113" s="5"/>
      <c r="D113" s="5"/>
      <c r="E113" s="5"/>
      <c r="F113" s="5"/>
      <c r="G113" s="5"/>
      <c r="H113" s="5"/>
      <c r="I113" s="5"/>
      <c r="J113" s="5"/>
      <c r="K113" s="5"/>
      <c r="L113" s="5"/>
      <c r="M113" s="5"/>
      <c r="N113" s="5"/>
      <c r="O113" s="5"/>
      <c r="P113" s="5"/>
      <c r="Q113" s="5"/>
      <c r="R113" s="5"/>
      <c r="S113" s="5"/>
      <c r="T113" s="5"/>
      <c r="U113" s="5"/>
      <c r="V113" s="5"/>
      <c r="W113" s="5"/>
    </row>
    <row r="114">
      <c r="A114" s="5"/>
      <c r="B114" s="3"/>
      <c r="C114" s="5"/>
      <c r="D114" s="5"/>
      <c r="E114" s="5"/>
      <c r="F114" s="5"/>
      <c r="G114" s="5"/>
      <c r="H114" s="5"/>
      <c r="I114" s="5"/>
      <c r="J114" s="5"/>
      <c r="K114" s="5"/>
      <c r="L114" s="5"/>
      <c r="M114" s="5"/>
      <c r="N114" s="5"/>
      <c r="O114" s="5"/>
      <c r="P114" s="5"/>
      <c r="Q114" s="5"/>
      <c r="R114" s="5"/>
      <c r="S114" s="5"/>
      <c r="T114" s="5"/>
      <c r="U114" s="5"/>
      <c r="V114" s="5"/>
      <c r="W114" s="5"/>
    </row>
    <row r="115">
      <c r="A115" s="5"/>
      <c r="B115" s="3"/>
      <c r="C115" s="5"/>
      <c r="D115" s="5"/>
      <c r="E115" s="5"/>
      <c r="F115" s="5"/>
      <c r="G115" s="5"/>
      <c r="H115" s="5"/>
      <c r="I115" s="5"/>
      <c r="J115" s="5"/>
      <c r="K115" s="5"/>
      <c r="L115" s="5"/>
      <c r="M115" s="5"/>
      <c r="N115" s="5"/>
      <c r="O115" s="5"/>
      <c r="P115" s="5"/>
      <c r="Q115" s="5"/>
      <c r="R115" s="5"/>
      <c r="S115" s="5"/>
      <c r="T115" s="5"/>
      <c r="U115" s="5"/>
      <c r="V115" s="5"/>
      <c r="W115" s="5"/>
    </row>
    <row r="116">
      <c r="A116" s="5"/>
      <c r="B116" s="3"/>
      <c r="C116" s="5"/>
      <c r="D116" s="5"/>
      <c r="E116" s="5"/>
      <c r="F116" s="5"/>
      <c r="G116" s="5"/>
      <c r="H116" s="5"/>
      <c r="I116" s="5"/>
      <c r="J116" s="5"/>
      <c r="K116" s="5"/>
      <c r="L116" s="5"/>
      <c r="M116" s="5"/>
      <c r="N116" s="5"/>
      <c r="O116" s="5"/>
      <c r="P116" s="5"/>
      <c r="Q116" s="5"/>
      <c r="R116" s="5"/>
      <c r="S116" s="5"/>
      <c r="T116" s="5"/>
      <c r="U116" s="5"/>
      <c r="V116" s="5"/>
      <c r="W116" s="5"/>
    </row>
    <row r="117">
      <c r="A117" s="5"/>
      <c r="B117" s="3"/>
      <c r="C117" s="5"/>
      <c r="D117" s="5"/>
      <c r="E117" s="5"/>
      <c r="F117" s="5"/>
      <c r="G117" s="5"/>
      <c r="H117" s="5"/>
      <c r="I117" s="5"/>
      <c r="J117" s="5"/>
      <c r="K117" s="5"/>
      <c r="L117" s="5"/>
      <c r="M117" s="5"/>
      <c r="N117" s="5"/>
      <c r="O117" s="5"/>
      <c r="P117" s="5"/>
      <c r="Q117" s="5"/>
      <c r="R117" s="5"/>
      <c r="S117" s="5"/>
      <c r="T117" s="5"/>
      <c r="U117" s="5"/>
      <c r="V117" s="5"/>
      <c r="W117" s="5"/>
    </row>
    <row r="118">
      <c r="A118" s="5"/>
      <c r="B118" s="3"/>
      <c r="C118" s="5"/>
      <c r="D118" s="5"/>
      <c r="E118" s="5"/>
      <c r="F118" s="5"/>
      <c r="G118" s="5"/>
      <c r="H118" s="5"/>
      <c r="I118" s="5"/>
      <c r="J118" s="5"/>
      <c r="K118" s="5"/>
      <c r="L118" s="5"/>
      <c r="M118" s="5"/>
      <c r="N118" s="5"/>
      <c r="O118" s="5"/>
      <c r="P118" s="5"/>
      <c r="Q118" s="5"/>
      <c r="R118" s="5"/>
      <c r="S118" s="5"/>
      <c r="T118" s="5"/>
      <c r="U118" s="5"/>
      <c r="V118" s="5"/>
      <c r="W118" s="5"/>
    </row>
    <row r="119">
      <c r="A119" s="5"/>
      <c r="B119" s="3"/>
      <c r="C119" s="5"/>
      <c r="D119" s="5"/>
      <c r="E119" s="5"/>
      <c r="F119" s="5"/>
      <c r="G119" s="5"/>
      <c r="H119" s="5"/>
      <c r="I119" s="5"/>
      <c r="J119" s="5"/>
      <c r="K119" s="5"/>
      <c r="L119" s="5"/>
      <c r="M119" s="5"/>
      <c r="N119" s="5"/>
      <c r="O119" s="5"/>
      <c r="P119" s="5"/>
      <c r="Q119" s="5"/>
      <c r="R119" s="5"/>
      <c r="S119" s="5"/>
      <c r="T119" s="5"/>
      <c r="U119" s="5"/>
      <c r="V119" s="5"/>
      <c r="W119" s="5"/>
    </row>
    <row r="120">
      <c r="A120" s="5"/>
      <c r="B120" s="3"/>
      <c r="C120" s="5"/>
      <c r="D120" s="5"/>
      <c r="E120" s="5"/>
      <c r="F120" s="5"/>
      <c r="G120" s="5"/>
      <c r="H120" s="5"/>
      <c r="I120" s="5"/>
      <c r="J120" s="5"/>
      <c r="K120" s="5"/>
      <c r="L120" s="5"/>
      <c r="M120" s="5"/>
      <c r="N120" s="5"/>
      <c r="O120" s="5"/>
      <c r="P120" s="5"/>
      <c r="Q120" s="5"/>
      <c r="R120" s="5"/>
      <c r="S120" s="5"/>
      <c r="T120" s="5"/>
      <c r="U120" s="5"/>
      <c r="V120" s="5"/>
      <c r="W120" s="5"/>
    </row>
    <row r="121">
      <c r="A121" s="5"/>
      <c r="B121" s="3"/>
      <c r="C121" s="5"/>
      <c r="D121" s="5"/>
      <c r="E121" s="5"/>
      <c r="F121" s="5"/>
      <c r="G121" s="5"/>
      <c r="H121" s="5"/>
      <c r="I121" s="5"/>
      <c r="J121" s="5"/>
      <c r="K121" s="5"/>
      <c r="L121" s="5"/>
      <c r="M121" s="5"/>
      <c r="N121" s="5"/>
      <c r="O121" s="5"/>
      <c r="P121" s="5"/>
      <c r="Q121" s="5"/>
      <c r="R121" s="5"/>
      <c r="S121" s="5"/>
      <c r="T121" s="5"/>
      <c r="U121" s="5"/>
      <c r="V121" s="5"/>
      <c r="W121" s="5"/>
    </row>
    <row r="122">
      <c r="A122" s="5"/>
      <c r="B122" s="3"/>
      <c r="C122" s="5"/>
      <c r="D122" s="5"/>
      <c r="E122" s="5"/>
      <c r="F122" s="5"/>
      <c r="G122" s="5"/>
      <c r="H122" s="5"/>
      <c r="I122" s="5"/>
      <c r="J122" s="5"/>
      <c r="K122" s="5"/>
      <c r="L122" s="5"/>
      <c r="M122" s="5"/>
      <c r="N122" s="5"/>
      <c r="O122" s="5"/>
      <c r="P122" s="5"/>
      <c r="Q122" s="5"/>
      <c r="R122" s="5"/>
      <c r="S122" s="5"/>
      <c r="T122" s="5"/>
      <c r="U122" s="5"/>
      <c r="V122" s="5"/>
      <c r="W122" s="5"/>
    </row>
    <row r="123">
      <c r="A123" s="5"/>
      <c r="B123" s="3"/>
      <c r="C123" s="5"/>
      <c r="D123" s="5"/>
      <c r="E123" s="5"/>
      <c r="F123" s="5"/>
      <c r="G123" s="5"/>
      <c r="H123" s="5"/>
      <c r="I123" s="5"/>
      <c r="J123" s="5"/>
      <c r="K123" s="5"/>
      <c r="L123" s="5"/>
      <c r="M123" s="5"/>
      <c r="N123" s="5"/>
      <c r="O123" s="5"/>
      <c r="P123" s="5"/>
      <c r="Q123" s="5"/>
      <c r="R123" s="5"/>
      <c r="S123" s="5"/>
      <c r="T123" s="5"/>
      <c r="U123" s="5"/>
      <c r="V123" s="5"/>
      <c r="W123" s="5"/>
    </row>
    <row r="124">
      <c r="A124" s="5"/>
      <c r="B124" s="3"/>
      <c r="C124" s="5"/>
      <c r="D124" s="5"/>
      <c r="E124" s="5"/>
      <c r="F124" s="5"/>
      <c r="G124" s="5"/>
      <c r="H124" s="5"/>
      <c r="I124" s="5"/>
      <c r="J124" s="5"/>
      <c r="K124" s="5"/>
      <c r="L124" s="5"/>
      <c r="M124" s="5"/>
      <c r="N124" s="5"/>
      <c r="O124" s="5"/>
      <c r="P124" s="5"/>
      <c r="Q124" s="5"/>
      <c r="R124" s="5"/>
      <c r="S124" s="5"/>
      <c r="T124" s="5"/>
      <c r="U124" s="5"/>
      <c r="V124" s="5"/>
      <c r="W124" s="5"/>
    </row>
    <row r="125">
      <c r="A125" s="5"/>
      <c r="B125" s="3"/>
      <c r="C125" s="5"/>
      <c r="D125" s="5"/>
      <c r="E125" s="5"/>
      <c r="F125" s="5"/>
      <c r="G125" s="5"/>
      <c r="H125" s="5"/>
      <c r="I125" s="5"/>
      <c r="J125" s="5"/>
      <c r="K125" s="5"/>
      <c r="L125" s="5"/>
      <c r="M125" s="5"/>
      <c r="N125" s="5"/>
      <c r="O125" s="5"/>
      <c r="P125" s="5"/>
      <c r="Q125" s="5"/>
      <c r="R125" s="5"/>
      <c r="S125" s="5"/>
      <c r="T125" s="5"/>
      <c r="U125" s="5"/>
      <c r="V125" s="5"/>
      <c r="W125" s="5"/>
    </row>
    <row r="126">
      <c r="A126" s="5"/>
      <c r="B126" s="3"/>
      <c r="C126" s="5"/>
      <c r="D126" s="5"/>
      <c r="E126" s="5"/>
      <c r="F126" s="5"/>
      <c r="G126" s="5"/>
      <c r="H126" s="5"/>
      <c r="I126" s="5"/>
      <c r="J126" s="5"/>
      <c r="K126" s="5"/>
      <c r="L126" s="5"/>
      <c r="M126" s="5"/>
      <c r="N126" s="5"/>
      <c r="O126" s="5"/>
      <c r="P126" s="5"/>
      <c r="Q126" s="5"/>
      <c r="R126" s="5"/>
      <c r="S126" s="5"/>
      <c r="T126" s="5"/>
      <c r="U126" s="5"/>
      <c r="V126" s="5"/>
      <c r="W126" s="5"/>
    </row>
    <row r="127">
      <c r="A127" s="5"/>
      <c r="B127" s="3"/>
      <c r="C127" s="5"/>
      <c r="D127" s="5"/>
      <c r="E127" s="5"/>
      <c r="F127" s="5"/>
      <c r="G127" s="5"/>
      <c r="H127" s="5"/>
      <c r="I127" s="5"/>
      <c r="J127" s="5"/>
      <c r="K127" s="5"/>
      <c r="L127" s="5"/>
      <c r="M127" s="5"/>
      <c r="N127" s="5"/>
      <c r="O127" s="5"/>
      <c r="P127" s="5"/>
      <c r="Q127" s="5"/>
      <c r="R127" s="5"/>
      <c r="S127" s="5"/>
      <c r="T127" s="5"/>
      <c r="U127" s="5"/>
      <c r="V127" s="5"/>
      <c r="W127" s="5"/>
    </row>
    <row r="128">
      <c r="A128" s="5"/>
      <c r="B128" s="3"/>
      <c r="C128" s="5"/>
      <c r="D128" s="5"/>
      <c r="E128" s="5"/>
      <c r="F128" s="5"/>
      <c r="G128" s="5"/>
      <c r="H128" s="5"/>
      <c r="I128" s="5"/>
      <c r="J128" s="5"/>
      <c r="K128" s="5"/>
      <c r="L128" s="5"/>
      <c r="M128" s="5"/>
      <c r="N128" s="5"/>
      <c r="O128" s="5"/>
      <c r="P128" s="5"/>
      <c r="Q128" s="5"/>
      <c r="R128" s="5"/>
      <c r="S128" s="5"/>
      <c r="T128" s="5"/>
      <c r="U128" s="5"/>
      <c r="V128" s="5"/>
      <c r="W128" s="5"/>
    </row>
    <row r="129">
      <c r="A129" s="5"/>
      <c r="B129" s="3"/>
      <c r="C129" s="5"/>
      <c r="D129" s="3"/>
      <c r="E129" s="5"/>
      <c r="F129" s="5"/>
      <c r="G129" s="5"/>
      <c r="H129" s="5"/>
      <c r="I129" s="5"/>
      <c r="J129" s="5"/>
      <c r="K129" s="5"/>
      <c r="L129" s="5"/>
      <c r="M129" s="5"/>
      <c r="N129" s="5"/>
      <c r="O129" s="5"/>
      <c r="P129" s="5"/>
      <c r="Q129" s="5"/>
      <c r="R129" s="5"/>
      <c r="S129" s="5"/>
      <c r="T129" s="5"/>
      <c r="U129" s="5"/>
      <c r="V129" s="5"/>
      <c r="W129" s="5"/>
    </row>
    <row r="130">
      <c r="A130" s="5"/>
      <c r="B130" s="3"/>
      <c r="C130" s="5"/>
      <c r="D130" s="5"/>
      <c r="E130" s="5"/>
      <c r="F130" s="5"/>
      <c r="G130" s="5"/>
      <c r="H130" s="5"/>
      <c r="I130" s="5"/>
      <c r="J130" s="5"/>
      <c r="K130" s="5"/>
      <c r="L130" s="5"/>
      <c r="M130" s="5"/>
      <c r="N130" s="5"/>
      <c r="O130" s="5"/>
      <c r="P130" s="5"/>
      <c r="Q130" s="5"/>
      <c r="R130" s="5"/>
      <c r="S130" s="5"/>
      <c r="T130" s="5"/>
      <c r="U130" s="5"/>
      <c r="V130" s="5"/>
      <c r="W130" s="5"/>
    </row>
    <row r="131">
      <c r="A131" s="5"/>
      <c r="B131" s="3"/>
      <c r="C131" s="5"/>
      <c r="D131" s="5"/>
      <c r="E131" s="5"/>
      <c r="F131" s="5"/>
      <c r="G131" s="5"/>
      <c r="H131" s="5"/>
      <c r="I131" s="5"/>
      <c r="J131" s="5"/>
      <c r="K131" s="5"/>
      <c r="L131" s="5"/>
      <c r="M131" s="5"/>
      <c r="N131" s="5"/>
      <c r="O131" s="5"/>
      <c r="P131" s="5"/>
      <c r="Q131" s="5"/>
      <c r="R131" s="5"/>
      <c r="S131" s="5"/>
      <c r="T131" s="5"/>
      <c r="U131" s="5"/>
      <c r="V131" s="5"/>
      <c r="W131" s="5"/>
    </row>
    <row r="132">
      <c r="A132" s="5"/>
      <c r="B132" s="3"/>
      <c r="C132" s="5"/>
      <c r="D132" s="5"/>
      <c r="E132" s="5"/>
      <c r="F132" s="5"/>
      <c r="G132" s="5"/>
      <c r="H132" s="5"/>
      <c r="I132" s="5"/>
      <c r="J132" s="5"/>
      <c r="K132" s="5"/>
      <c r="L132" s="5"/>
      <c r="M132" s="5"/>
      <c r="N132" s="5"/>
      <c r="O132" s="5"/>
      <c r="P132" s="5"/>
      <c r="Q132" s="5"/>
      <c r="R132" s="5"/>
      <c r="S132" s="5"/>
      <c r="T132" s="5"/>
      <c r="U132" s="5"/>
      <c r="V132" s="5"/>
      <c r="W132" s="5"/>
    </row>
    <row r="133">
      <c r="A133" s="5"/>
      <c r="B133" s="3"/>
      <c r="C133" s="5"/>
      <c r="D133" s="3"/>
      <c r="E133" s="5"/>
      <c r="F133" s="5"/>
      <c r="G133" s="5"/>
      <c r="H133" s="5"/>
      <c r="I133" s="5"/>
      <c r="J133" s="5"/>
      <c r="K133" s="5"/>
      <c r="L133" s="5"/>
      <c r="M133" s="5"/>
      <c r="N133" s="5"/>
      <c r="O133" s="5"/>
      <c r="P133" s="5"/>
      <c r="Q133" s="5"/>
      <c r="R133" s="5"/>
      <c r="S133" s="5"/>
      <c r="T133" s="5"/>
      <c r="U133" s="5"/>
      <c r="V133" s="5"/>
      <c r="W133" s="5"/>
    </row>
    <row r="134">
      <c r="A134" s="5"/>
      <c r="B134" s="3"/>
      <c r="C134" s="5"/>
      <c r="D134" s="5"/>
      <c r="E134" s="5"/>
      <c r="F134" s="5"/>
      <c r="G134" s="5"/>
      <c r="H134" s="5"/>
      <c r="I134" s="5"/>
      <c r="J134" s="5"/>
      <c r="K134" s="5"/>
      <c r="L134" s="5"/>
      <c r="M134" s="5"/>
      <c r="N134" s="5"/>
      <c r="O134" s="5"/>
      <c r="P134" s="5"/>
      <c r="Q134" s="5"/>
      <c r="R134" s="5"/>
      <c r="S134" s="5"/>
      <c r="T134" s="5"/>
      <c r="U134" s="5"/>
      <c r="V134" s="5"/>
      <c r="W134" s="5"/>
    </row>
    <row r="135">
      <c r="A135" s="5"/>
      <c r="B135" s="3"/>
      <c r="C135" s="5"/>
      <c r="D135" s="5"/>
      <c r="E135" s="5"/>
      <c r="F135" s="5"/>
      <c r="G135" s="5"/>
      <c r="H135" s="5"/>
      <c r="I135" s="5"/>
      <c r="J135" s="5"/>
      <c r="K135" s="5"/>
      <c r="L135" s="5"/>
      <c r="M135" s="5"/>
      <c r="N135" s="5"/>
      <c r="O135" s="5"/>
      <c r="P135" s="5"/>
      <c r="Q135" s="5"/>
      <c r="R135" s="5"/>
      <c r="S135" s="5"/>
      <c r="T135" s="5"/>
      <c r="U135" s="5"/>
      <c r="V135" s="5"/>
      <c r="W135" s="5"/>
    </row>
    <row r="136">
      <c r="A136" s="5"/>
      <c r="B136" s="3"/>
      <c r="C136" s="5"/>
      <c r="D136" s="5"/>
      <c r="E136" s="5"/>
      <c r="F136" s="5"/>
      <c r="G136" s="5"/>
      <c r="H136" s="5"/>
      <c r="I136" s="5"/>
      <c r="J136" s="5"/>
      <c r="K136" s="5"/>
      <c r="L136" s="5"/>
      <c r="M136" s="5"/>
      <c r="N136" s="5"/>
      <c r="O136" s="5"/>
      <c r="P136" s="5"/>
      <c r="Q136" s="5"/>
      <c r="R136" s="5"/>
      <c r="S136" s="5"/>
      <c r="T136" s="5"/>
      <c r="U136" s="5"/>
      <c r="V136" s="5"/>
      <c r="W136" s="5"/>
    </row>
    <row r="137">
      <c r="A137" s="5"/>
      <c r="B137" s="3"/>
      <c r="C137" s="5"/>
      <c r="D137" s="5"/>
      <c r="E137" s="5"/>
      <c r="F137" s="5"/>
      <c r="G137" s="5"/>
      <c r="H137" s="5"/>
      <c r="I137" s="5"/>
      <c r="J137" s="5"/>
      <c r="K137" s="5"/>
      <c r="L137" s="5"/>
      <c r="M137" s="5"/>
      <c r="N137" s="5"/>
      <c r="O137" s="5"/>
      <c r="P137" s="5"/>
      <c r="Q137" s="5"/>
      <c r="R137" s="5"/>
      <c r="S137" s="5"/>
      <c r="T137" s="5"/>
      <c r="U137" s="5"/>
      <c r="V137" s="5"/>
      <c r="W137" s="5"/>
    </row>
    <row r="138">
      <c r="A138" s="5"/>
      <c r="B138" s="3"/>
      <c r="C138" s="5"/>
      <c r="D138" s="5"/>
      <c r="E138" s="5"/>
      <c r="F138" s="5"/>
      <c r="G138" s="5"/>
      <c r="H138" s="5"/>
      <c r="I138" s="5"/>
      <c r="J138" s="5"/>
      <c r="K138" s="5"/>
      <c r="L138" s="5"/>
      <c r="M138" s="5"/>
      <c r="N138" s="5"/>
      <c r="O138" s="5"/>
      <c r="P138" s="5"/>
      <c r="Q138" s="5"/>
      <c r="R138" s="5"/>
      <c r="S138" s="5"/>
      <c r="T138" s="5"/>
      <c r="U138" s="5"/>
      <c r="V138" s="5"/>
      <c r="W138" s="5"/>
    </row>
    <row r="139">
      <c r="A139" s="5"/>
      <c r="B139" s="3"/>
      <c r="C139" s="5"/>
      <c r="D139" s="5"/>
      <c r="E139" s="5"/>
      <c r="F139" s="5"/>
      <c r="G139" s="5"/>
      <c r="H139" s="5"/>
      <c r="I139" s="5"/>
      <c r="J139" s="5"/>
      <c r="K139" s="5"/>
      <c r="L139" s="5"/>
      <c r="M139" s="5"/>
      <c r="N139" s="5"/>
      <c r="O139" s="5"/>
      <c r="P139" s="5"/>
      <c r="Q139" s="5"/>
      <c r="R139" s="5"/>
      <c r="S139" s="5"/>
      <c r="T139" s="5"/>
      <c r="U139" s="5"/>
      <c r="V139" s="5"/>
      <c r="W139" s="5"/>
    </row>
    <row r="140">
      <c r="A140" s="5"/>
      <c r="B140" s="3"/>
      <c r="C140" s="5"/>
      <c r="D140" s="5"/>
      <c r="E140" s="5"/>
      <c r="F140" s="5"/>
      <c r="G140" s="5"/>
      <c r="H140" s="5"/>
      <c r="I140" s="5"/>
      <c r="J140" s="5"/>
      <c r="K140" s="5"/>
      <c r="L140" s="5"/>
      <c r="M140" s="5"/>
      <c r="N140" s="5"/>
      <c r="O140" s="5"/>
      <c r="P140" s="5"/>
      <c r="Q140" s="5"/>
      <c r="R140" s="5"/>
      <c r="S140" s="5"/>
      <c r="T140" s="5"/>
      <c r="U140" s="5"/>
      <c r="V140" s="5"/>
      <c r="W140" s="5"/>
    </row>
    <row r="141">
      <c r="A141" s="5"/>
      <c r="B141" s="3"/>
      <c r="C141" s="5"/>
      <c r="D141" s="5"/>
      <c r="E141" s="5"/>
      <c r="F141" s="5"/>
      <c r="G141" s="5"/>
      <c r="H141" s="5"/>
      <c r="I141" s="5"/>
      <c r="J141" s="5"/>
      <c r="K141" s="5"/>
      <c r="L141" s="5"/>
      <c r="M141" s="5"/>
      <c r="N141" s="5"/>
      <c r="O141" s="5"/>
      <c r="P141" s="5"/>
      <c r="Q141" s="5"/>
      <c r="R141" s="5"/>
      <c r="S141" s="5"/>
      <c r="T141" s="5"/>
      <c r="U141" s="5"/>
      <c r="V141" s="5"/>
      <c r="W141" s="5"/>
    </row>
    <row r="142">
      <c r="A142" s="5"/>
      <c r="B142" s="3"/>
      <c r="C142" s="5"/>
      <c r="D142" s="5"/>
      <c r="E142" s="5"/>
      <c r="F142" s="5"/>
      <c r="G142" s="5"/>
      <c r="H142" s="5"/>
      <c r="I142" s="5"/>
      <c r="J142" s="5"/>
      <c r="K142" s="5"/>
      <c r="L142" s="5"/>
      <c r="M142" s="5"/>
      <c r="N142" s="5"/>
      <c r="O142" s="5"/>
      <c r="P142" s="5"/>
      <c r="Q142" s="5"/>
      <c r="R142" s="5"/>
      <c r="S142" s="5"/>
      <c r="T142" s="5"/>
      <c r="U142" s="5"/>
      <c r="V142" s="5"/>
      <c r="W142" s="5"/>
    </row>
    <row r="143">
      <c r="A143" s="5"/>
      <c r="B143" s="3"/>
      <c r="C143" s="5"/>
      <c r="D143" s="5"/>
      <c r="E143" s="5"/>
      <c r="F143" s="5"/>
      <c r="G143" s="5"/>
      <c r="H143" s="5"/>
      <c r="I143" s="5"/>
      <c r="J143" s="5"/>
      <c r="K143" s="5"/>
      <c r="L143" s="5"/>
      <c r="M143" s="5"/>
      <c r="N143" s="5"/>
      <c r="O143" s="5"/>
      <c r="P143" s="5"/>
      <c r="Q143" s="5"/>
      <c r="R143" s="5"/>
      <c r="S143" s="5"/>
      <c r="T143" s="5"/>
      <c r="U143" s="5"/>
      <c r="V143" s="5"/>
      <c r="W143" s="5"/>
    </row>
    <row r="144">
      <c r="A144" s="5"/>
      <c r="B144" s="3"/>
      <c r="C144" s="5"/>
      <c r="D144" s="5"/>
      <c r="E144" s="5"/>
      <c r="F144" s="5"/>
      <c r="G144" s="5"/>
      <c r="H144" s="5"/>
      <c r="I144" s="5"/>
      <c r="J144" s="5"/>
      <c r="K144" s="5"/>
      <c r="L144" s="5"/>
      <c r="M144" s="5"/>
      <c r="N144" s="5"/>
      <c r="O144" s="5"/>
      <c r="P144" s="5"/>
      <c r="Q144" s="5"/>
      <c r="R144" s="5"/>
      <c r="S144" s="5"/>
      <c r="T144" s="5"/>
      <c r="U144" s="5"/>
      <c r="V144" s="5"/>
      <c r="W144" s="5"/>
    </row>
    <row r="145">
      <c r="A145" s="5"/>
      <c r="B145" s="3"/>
      <c r="C145" s="5"/>
      <c r="D145" s="5"/>
      <c r="E145" s="5"/>
      <c r="F145" s="5"/>
      <c r="G145" s="5"/>
      <c r="H145" s="5"/>
      <c r="I145" s="5"/>
      <c r="J145" s="5"/>
      <c r="K145" s="5"/>
      <c r="L145" s="5"/>
      <c r="M145" s="5"/>
      <c r="N145" s="5"/>
      <c r="O145" s="5"/>
      <c r="P145" s="5"/>
      <c r="Q145" s="5"/>
      <c r="R145" s="5"/>
      <c r="S145" s="5"/>
      <c r="T145" s="5"/>
      <c r="U145" s="5"/>
      <c r="V145" s="5"/>
      <c r="W145" s="5"/>
    </row>
    <row r="146">
      <c r="A146" s="5"/>
      <c r="B146" s="3"/>
      <c r="C146" s="5"/>
      <c r="D146" s="5"/>
      <c r="E146" s="5"/>
      <c r="F146" s="5"/>
      <c r="G146" s="5"/>
      <c r="H146" s="5"/>
      <c r="I146" s="5"/>
      <c r="J146" s="5"/>
      <c r="K146" s="5"/>
      <c r="L146" s="5"/>
      <c r="M146" s="5"/>
      <c r="N146" s="5"/>
      <c r="O146" s="5"/>
      <c r="P146" s="5"/>
      <c r="Q146" s="5"/>
      <c r="R146" s="5"/>
      <c r="S146" s="5"/>
      <c r="T146" s="5"/>
      <c r="U146" s="5"/>
      <c r="V146" s="5"/>
      <c r="W146" s="5"/>
    </row>
    <row r="147">
      <c r="A147" s="5"/>
      <c r="B147" s="3"/>
      <c r="C147" s="5"/>
      <c r="D147" s="5"/>
      <c r="E147" s="5"/>
      <c r="F147" s="5"/>
      <c r="G147" s="5"/>
      <c r="H147" s="5"/>
      <c r="I147" s="5"/>
      <c r="J147" s="5"/>
      <c r="K147" s="5"/>
      <c r="L147" s="5"/>
      <c r="M147" s="5"/>
      <c r="N147" s="5"/>
      <c r="O147" s="5"/>
      <c r="P147" s="5"/>
      <c r="Q147" s="5"/>
      <c r="R147" s="5"/>
      <c r="S147" s="5"/>
      <c r="T147" s="5"/>
      <c r="U147" s="5"/>
      <c r="V147" s="5"/>
      <c r="W147" s="5"/>
    </row>
    <row r="148">
      <c r="A148" s="5"/>
      <c r="B148" s="3"/>
      <c r="C148" s="5"/>
      <c r="D148" s="5"/>
      <c r="E148" s="5"/>
      <c r="F148" s="5"/>
      <c r="G148" s="5"/>
      <c r="H148" s="5"/>
      <c r="I148" s="5"/>
      <c r="J148" s="5"/>
      <c r="K148" s="5"/>
      <c r="L148" s="5"/>
      <c r="M148" s="5"/>
      <c r="N148" s="5"/>
      <c r="O148" s="5"/>
      <c r="P148" s="5"/>
      <c r="Q148" s="5"/>
      <c r="R148" s="5"/>
      <c r="S148" s="5"/>
      <c r="T148" s="5"/>
      <c r="U148" s="5"/>
      <c r="V148" s="5"/>
      <c r="W148" s="5"/>
    </row>
    <row r="149">
      <c r="A149" s="5"/>
      <c r="B149" s="3"/>
      <c r="C149" s="5"/>
      <c r="D149" s="5"/>
      <c r="E149" s="5"/>
      <c r="F149" s="5"/>
      <c r="G149" s="5"/>
      <c r="H149" s="5"/>
      <c r="I149" s="5"/>
      <c r="J149" s="5"/>
      <c r="K149" s="5"/>
      <c r="L149" s="5"/>
      <c r="M149" s="5"/>
      <c r="N149" s="5"/>
      <c r="O149" s="5"/>
      <c r="P149" s="5"/>
      <c r="Q149" s="5"/>
      <c r="R149" s="5"/>
      <c r="S149" s="5"/>
      <c r="T149" s="5"/>
      <c r="U149" s="5"/>
      <c r="V149" s="5"/>
      <c r="W149" s="5"/>
    </row>
    <row r="150">
      <c r="A150" s="5"/>
      <c r="B150" s="3"/>
      <c r="C150" s="5"/>
      <c r="D150" s="5"/>
      <c r="E150" s="5"/>
      <c r="F150" s="5"/>
      <c r="G150" s="5"/>
      <c r="H150" s="5"/>
      <c r="I150" s="5"/>
      <c r="J150" s="5"/>
      <c r="K150" s="5"/>
      <c r="L150" s="5"/>
      <c r="M150" s="5"/>
      <c r="N150" s="5"/>
      <c r="O150" s="5"/>
      <c r="P150" s="5"/>
      <c r="Q150" s="5"/>
      <c r="R150" s="5"/>
      <c r="S150" s="5"/>
      <c r="T150" s="5"/>
      <c r="U150" s="5"/>
      <c r="V150" s="5"/>
      <c r="W150" s="5"/>
    </row>
    <row r="151">
      <c r="A151" s="5"/>
      <c r="B151" s="3"/>
      <c r="C151" s="5"/>
      <c r="D151" s="5"/>
      <c r="E151" s="5"/>
      <c r="F151" s="5"/>
      <c r="G151" s="5"/>
      <c r="H151" s="5"/>
      <c r="I151" s="5"/>
      <c r="J151" s="5"/>
      <c r="K151" s="5"/>
      <c r="L151" s="5"/>
      <c r="M151" s="5"/>
      <c r="N151" s="5"/>
      <c r="O151" s="5"/>
      <c r="P151" s="5"/>
      <c r="Q151" s="5"/>
      <c r="R151" s="5"/>
      <c r="S151" s="5"/>
      <c r="T151" s="5"/>
      <c r="U151" s="5"/>
      <c r="V151" s="5"/>
      <c r="W151" s="5"/>
    </row>
    <row r="152">
      <c r="A152" s="5"/>
      <c r="B152" s="3"/>
      <c r="C152" s="5"/>
      <c r="D152" s="5"/>
      <c r="E152" s="5"/>
      <c r="F152" s="5"/>
      <c r="G152" s="5"/>
      <c r="H152" s="5"/>
      <c r="I152" s="5"/>
      <c r="J152" s="5"/>
      <c r="K152" s="5"/>
      <c r="L152" s="5"/>
      <c r="M152" s="5"/>
      <c r="N152" s="5"/>
      <c r="O152" s="5"/>
      <c r="P152" s="5"/>
      <c r="Q152" s="5"/>
      <c r="R152" s="5"/>
      <c r="S152" s="5"/>
      <c r="T152" s="5"/>
      <c r="U152" s="5"/>
      <c r="V152" s="5"/>
      <c r="W152" s="5"/>
    </row>
    <row r="153">
      <c r="A153" s="5"/>
      <c r="B153" s="3"/>
      <c r="C153" s="5"/>
      <c r="D153" s="5"/>
      <c r="E153" s="5"/>
      <c r="F153" s="5"/>
      <c r="G153" s="5"/>
      <c r="H153" s="5"/>
      <c r="I153" s="5"/>
      <c r="J153" s="5"/>
      <c r="K153" s="5"/>
      <c r="L153" s="5"/>
      <c r="M153" s="5"/>
      <c r="N153" s="5"/>
      <c r="O153" s="5"/>
      <c r="P153" s="5"/>
      <c r="Q153" s="5"/>
      <c r="R153" s="5"/>
      <c r="S153" s="5"/>
      <c r="T153" s="5"/>
      <c r="U153" s="5"/>
      <c r="V153" s="5"/>
      <c r="W153" s="5"/>
    </row>
    <row r="154">
      <c r="A154" s="5"/>
      <c r="B154" s="3"/>
      <c r="C154" s="5"/>
      <c r="D154" s="5"/>
      <c r="E154" s="5"/>
      <c r="F154" s="5"/>
      <c r="G154" s="5"/>
      <c r="H154" s="5"/>
      <c r="I154" s="5"/>
      <c r="J154" s="5"/>
      <c r="K154" s="5"/>
      <c r="L154" s="5"/>
      <c r="M154" s="5"/>
      <c r="N154" s="5"/>
      <c r="O154" s="5"/>
      <c r="P154" s="5"/>
      <c r="Q154" s="5"/>
      <c r="R154" s="5"/>
      <c r="S154" s="5"/>
      <c r="T154" s="5"/>
      <c r="U154" s="5"/>
      <c r="V154" s="5"/>
      <c r="W154" s="5"/>
    </row>
    <row r="155">
      <c r="A155" s="5"/>
      <c r="B155" s="3"/>
      <c r="C155" s="5"/>
      <c r="D155" s="5"/>
      <c r="E155" s="5"/>
      <c r="F155" s="5"/>
      <c r="G155" s="5"/>
      <c r="H155" s="5"/>
      <c r="I155" s="5"/>
      <c r="J155" s="5"/>
      <c r="K155" s="5"/>
      <c r="L155" s="5"/>
      <c r="M155" s="5"/>
      <c r="N155" s="5"/>
      <c r="O155" s="5"/>
      <c r="P155" s="5"/>
      <c r="Q155" s="5"/>
      <c r="R155" s="5"/>
      <c r="S155" s="5"/>
      <c r="T155" s="5"/>
      <c r="U155" s="5"/>
      <c r="V155" s="5"/>
      <c r="W155" s="5"/>
    </row>
    <row r="156">
      <c r="A156" s="5"/>
      <c r="B156" s="3"/>
      <c r="C156" s="5"/>
      <c r="D156" s="5"/>
      <c r="E156" s="5"/>
      <c r="F156" s="5"/>
      <c r="G156" s="5"/>
      <c r="H156" s="5"/>
      <c r="I156" s="5"/>
      <c r="J156" s="5"/>
      <c r="K156" s="5"/>
      <c r="L156" s="5"/>
      <c r="M156" s="5"/>
      <c r="N156" s="5"/>
      <c r="O156" s="5"/>
      <c r="P156" s="5"/>
      <c r="Q156" s="5"/>
      <c r="R156" s="5"/>
      <c r="S156" s="5"/>
      <c r="T156" s="5"/>
      <c r="U156" s="5"/>
      <c r="V156" s="5"/>
      <c r="W156" s="5"/>
    </row>
    <row r="157">
      <c r="A157" s="5"/>
      <c r="B157" s="3"/>
      <c r="C157" s="5"/>
      <c r="D157" s="5"/>
      <c r="E157" s="5"/>
      <c r="F157" s="5"/>
      <c r="G157" s="5"/>
      <c r="H157" s="5"/>
      <c r="I157" s="5"/>
      <c r="J157" s="5"/>
      <c r="K157" s="5"/>
      <c r="L157" s="5"/>
      <c r="M157" s="5"/>
      <c r="N157" s="5"/>
      <c r="O157" s="5"/>
      <c r="P157" s="5"/>
      <c r="Q157" s="5"/>
      <c r="R157" s="5"/>
      <c r="S157" s="5"/>
      <c r="T157" s="5"/>
      <c r="U157" s="5"/>
      <c r="V157" s="5"/>
      <c r="W157" s="5"/>
    </row>
    <row r="158">
      <c r="A158" s="5"/>
      <c r="B158" s="3"/>
      <c r="C158" s="5"/>
      <c r="D158" s="5"/>
      <c r="E158" s="5"/>
      <c r="F158" s="5"/>
      <c r="G158" s="5"/>
      <c r="H158" s="5"/>
      <c r="I158" s="5"/>
      <c r="J158" s="5"/>
      <c r="K158" s="5"/>
      <c r="L158" s="5"/>
      <c r="M158" s="5"/>
      <c r="N158" s="5"/>
      <c r="O158" s="5"/>
      <c r="P158" s="5"/>
      <c r="Q158" s="5"/>
      <c r="R158" s="5"/>
      <c r="S158" s="5"/>
      <c r="T158" s="5"/>
      <c r="U158" s="5"/>
      <c r="V158" s="5"/>
      <c r="W158" s="5"/>
    </row>
    <row r="159">
      <c r="A159" s="5"/>
      <c r="B159" s="3"/>
      <c r="C159" s="5"/>
      <c r="D159" s="5"/>
      <c r="E159" s="5"/>
      <c r="F159" s="5"/>
      <c r="G159" s="5"/>
      <c r="H159" s="5"/>
      <c r="I159" s="5"/>
      <c r="J159" s="5"/>
      <c r="K159" s="5"/>
      <c r="L159" s="5"/>
      <c r="M159" s="5"/>
      <c r="N159" s="5"/>
      <c r="O159" s="5"/>
      <c r="P159" s="5"/>
      <c r="Q159" s="5"/>
      <c r="R159" s="5"/>
      <c r="S159" s="5"/>
      <c r="T159" s="5"/>
      <c r="U159" s="5"/>
      <c r="V159" s="5"/>
      <c r="W159" s="5"/>
    </row>
    <row r="160">
      <c r="A160" s="5"/>
      <c r="B160" s="3"/>
      <c r="C160" s="5"/>
      <c r="D160" s="5"/>
      <c r="E160" s="5"/>
      <c r="F160" s="5"/>
      <c r="G160" s="5"/>
      <c r="H160" s="5"/>
      <c r="I160" s="5"/>
      <c r="J160" s="5"/>
      <c r="K160" s="5"/>
      <c r="L160" s="5"/>
      <c r="M160" s="5"/>
      <c r="N160" s="5"/>
      <c r="O160" s="5"/>
      <c r="P160" s="5"/>
      <c r="Q160" s="5"/>
      <c r="R160" s="5"/>
      <c r="S160" s="5"/>
      <c r="T160" s="5"/>
      <c r="U160" s="5"/>
      <c r="V160" s="5"/>
      <c r="W160" s="5"/>
    </row>
    <row r="161">
      <c r="A161" s="5"/>
      <c r="B161" s="3"/>
      <c r="C161" s="5"/>
      <c r="D161" s="5"/>
      <c r="E161" s="5"/>
      <c r="F161" s="5"/>
      <c r="G161" s="5"/>
      <c r="H161" s="5"/>
      <c r="I161" s="5"/>
      <c r="J161" s="5"/>
      <c r="K161" s="5"/>
      <c r="L161" s="5"/>
      <c r="M161" s="5"/>
      <c r="N161" s="5"/>
      <c r="O161" s="5"/>
      <c r="P161" s="5"/>
      <c r="Q161" s="5"/>
      <c r="R161" s="5"/>
      <c r="S161" s="5"/>
      <c r="T161" s="5"/>
      <c r="U161" s="5"/>
      <c r="V161" s="5"/>
      <c r="W161" s="5"/>
    </row>
    <row r="162">
      <c r="A162" s="5"/>
      <c r="B162" s="3"/>
      <c r="C162" s="5"/>
      <c r="D162" s="5"/>
      <c r="E162" s="5"/>
      <c r="F162" s="5"/>
      <c r="G162" s="5"/>
      <c r="H162" s="5"/>
      <c r="I162" s="5"/>
      <c r="J162" s="5"/>
      <c r="K162" s="5"/>
      <c r="L162" s="5"/>
      <c r="M162" s="5"/>
      <c r="N162" s="5"/>
      <c r="O162" s="5"/>
      <c r="P162" s="5"/>
      <c r="Q162" s="5"/>
      <c r="R162" s="5"/>
      <c r="S162" s="5"/>
      <c r="T162" s="5"/>
      <c r="U162" s="5"/>
      <c r="V162" s="5"/>
      <c r="W162" s="5"/>
    </row>
    <row r="163">
      <c r="A163" s="5"/>
      <c r="B163" s="3"/>
      <c r="C163" s="5"/>
      <c r="D163" s="5"/>
      <c r="E163" s="5"/>
      <c r="F163" s="5"/>
      <c r="G163" s="5"/>
      <c r="H163" s="5"/>
      <c r="I163" s="5"/>
      <c r="J163" s="5"/>
      <c r="K163" s="5"/>
      <c r="L163" s="5"/>
      <c r="M163" s="5"/>
      <c r="N163" s="5"/>
      <c r="O163" s="5"/>
      <c r="P163" s="5"/>
      <c r="Q163" s="5"/>
      <c r="R163" s="5"/>
      <c r="S163" s="5"/>
      <c r="T163" s="5"/>
      <c r="U163" s="5"/>
      <c r="V163" s="5"/>
      <c r="W163" s="5"/>
    </row>
    <row r="164">
      <c r="A164" s="5"/>
      <c r="B164" s="3"/>
      <c r="C164" s="5"/>
      <c r="D164" s="5"/>
      <c r="E164" s="5"/>
      <c r="F164" s="5"/>
      <c r="G164" s="5"/>
      <c r="H164" s="5"/>
      <c r="I164" s="5"/>
      <c r="J164" s="5"/>
      <c r="K164" s="5"/>
      <c r="L164" s="5"/>
      <c r="M164" s="5"/>
      <c r="N164" s="5"/>
      <c r="O164" s="5"/>
      <c r="P164" s="5"/>
      <c r="Q164" s="5"/>
      <c r="R164" s="5"/>
      <c r="S164" s="5"/>
      <c r="T164" s="5"/>
      <c r="U164" s="5"/>
      <c r="V164" s="5"/>
      <c r="W164" s="5"/>
    </row>
    <row r="165">
      <c r="A165" s="5"/>
      <c r="B165" s="3"/>
      <c r="C165" s="5"/>
      <c r="D165" s="5"/>
      <c r="E165" s="5"/>
      <c r="F165" s="5"/>
      <c r="G165" s="5"/>
      <c r="H165" s="5"/>
      <c r="I165" s="5"/>
      <c r="J165" s="5"/>
      <c r="K165" s="5"/>
      <c r="L165" s="5"/>
      <c r="M165" s="5"/>
      <c r="N165" s="5"/>
      <c r="O165" s="5"/>
      <c r="P165" s="5"/>
      <c r="Q165" s="5"/>
      <c r="R165" s="5"/>
      <c r="S165" s="5"/>
      <c r="T165" s="5"/>
      <c r="U165" s="5"/>
      <c r="V165" s="5"/>
      <c r="W165" s="5"/>
    </row>
    <row r="166">
      <c r="A166" s="5"/>
      <c r="B166" s="3"/>
      <c r="C166" s="5"/>
      <c r="D166" s="5"/>
      <c r="E166" s="5"/>
      <c r="F166" s="5"/>
      <c r="G166" s="5"/>
      <c r="H166" s="5"/>
      <c r="I166" s="5"/>
      <c r="J166" s="5"/>
      <c r="K166" s="5"/>
      <c r="L166" s="5"/>
      <c r="M166" s="5"/>
      <c r="N166" s="5"/>
      <c r="O166" s="5"/>
      <c r="P166" s="5"/>
      <c r="Q166" s="5"/>
      <c r="R166" s="5"/>
      <c r="S166" s="5"/>
      <c r="T166" s="5"/>
      <c r="U166" s="5"/>
      <c r="V166" s="5"/>
      <c r="W166" s="5"/>
    </row>
    <row r="167">
      <c r="A167" s="5"/>
      <c r="B167" s="3"/>
      <c r="C167" s="5"/>
      <c r="D167" s="5"/>
      <c r="E167" s="5"/>
      <c r="F167" s="5"/>
      <c r="G167" s="5"/>
      <c r="H167" s="5"/>
      <c r="I167" s="5"/>
      <c r="J167" s="5"/>
      <c r="K167" s="5"/>
      <c r="L167" s="5"/>
      <c r="M167" s="5"/>
      <c r="N167" s="5"/>
      <c r="O167" s="5"/>
      <c r="P167" s="5"/>
      <c r="Q167" s="5"/>
      <c r="R167" s="5"/>
      <c r="S167" s="5"/>
      <c r="T167" s="5"/>
      <c r="U167" s="5"/>
      <c r="V167" s="5"/>
      <c r="W167" s="5"/>
    </row>
    <row r="168">
      <c r="A168" s="5"/>
      <c r="B168" s="3"/>
      <c r="C168" s="5"/>
      <c r="D168" s="5"/>
      <c r="E168" s="5"/>
      <c r="F168" s="5"/>
      <c r="G168" s="5"/>
      <c r="H168" s="5"/>
      <c r="I168" s="5"/>
      <c r="J168" s="5"/>
      <c r="K168" s="5"/>
      <c r="L168" s="5"/>
      <c r="M168" s="5"/>
      <c r="N168" s="5"/>
      <c r="O168" s="5"/>
      <c r="P168" s="5"/>
      <c r="Q168" s="5"/>
      <c r="R168" s="5"/>
      <c r="S168" s="5"/>
      <c r="T168" s="5"/>
      <c r="U168" s="5"/>
      <c r="V168" s="5"/>
      <c r="W168" s="5"/>
    </row>
    <row r="169">
      <c r="A169" s="5"/>
      <c r="B169" s="3"/>
      <c r="C169" s="5"/>
      <c r="D169" s="5"/>
      <c r="E169" s="5"/>
      <c r="F169" s="5"/>
      <c r="G169" s="5"/>
      <c r="H169" s="5"/>
      <c r="I169" s="5"/>
      <c r="J169" s="5"/>
      <c r="K169" s="5"/>
      <c r="L169" s="5"/>
      <c r="M169" s="5"/>
      <c r="N169" s="5"/>
      <c r="O169" s="5"/>
      <c r="P169" s="5"/>
      <c r="Q169" s="5"/>
      <c r="R169" s="5"/>
      <c r="S169" s="5"/>
      <c r="T169" s="5"/>
      <c r="U169" s="5"/>
      <c r="V169" s="5"/>
      <c r="W169" s="5"/>
    </row>
    <row r="170">
      <c r="A170" s="5"/>
      <c r="B170" s="3"/>
      <c r="C170" s="5"/>
      <c r="D170" s="5"/>
      <c r="E170" s="5"/>
      <c r="F170" s="5"/>
      <c r="G170" s="5"/>
      <c r="H170" s="5"/>
      <c r="I170" s="5"/>
      <c r="J170" s="5"/>
      <c r="K170" s="5"/>
      <c r="L170" s="5"/>
      <c r="M170" s="5"/>
      <c r="N170" s="5"/>
      <c r="O170" s="5"/>
      <c r="P170" s="5"/>
      <c r="Q170" s="5"/>
      <c r="R170" s="5"/>
      <c r="S170" s="5"/>
      <c r="T170" s="5"/>
      <c r="U170" s="5"/>
      <c r="V170" s="5"/>
      <c r="W170" s="5"/>
    </row>
    <row r="171">
      <c r="A171" s="5"/>
      <c r="B171" s="3"/>
      <c r="C171" s="5"/>
      <c r="D171" s="5"/>
      <c r="E171" s="5"/>
      <c r="F171" s="5"/>
      <c r="G171" s="5"/>
      <c r="H171" s="5"/>
      <c r="I171" s="5"/>
      <c r="J171" s="5"/>
      <c r="K171" s="5"/>
      <c r="L171" s="5"/>
      <c r="M171" s="5"/>
      <c r="N171" s="5"/>
      <c r="O171" s="5"/>
      <c r="P171" s="5"/>
      <c r="Q171" s="5"/>
      <c r="R171" s="5"/>
      <c r="S171" s="5"/>
      <c r="T171" s="5"/>
      <c r="U171" s="5"/>
      <c r="V171" s="5"/>
      <c r="W171" s="5"/>
    </row>
    <row r="172">
      <c r="A172" s="5"/>
      <c r="B172" s="3"/>
      <c r="C172" s="5"/>
      <c r="D172" s="5"/>
      <c r="E172" s="5"/>
      <c r="F172" s="5"/>
      <c r="G172" s="5"/>
      <c r="H172" s="5"/>
      <c r="I172" s="5"/>
      <c r="J172" s="5"/>
      <c r="K172" s="5"/>
      <c r="L172" s="5"/>
      <c r="M172" s="5"/>
      <c r="N172" s="5"/>
      <c r="O172" s="5"/>
      <c r="P172" s="5"/>
      <c r="Q172" s="5"/>
      <c r="R172" s="5"/>
      <c r="S172" s="5"/>
      <c r="T172" s="5"/>
      <c r="U172" s="5"/>
      <c r="V172" s="5"/>
      <c r="W172" s="5"/>
    </row>
    <row r="173">
      <c r="A173" s="5"/>
      <c r="B173" s="3"/>
      <c r="C173" s="5"/>
      <c r="D173" s="5"/>
      <c r="E173" s="5"/>
      <c r="F173" s="5"/>
      <c r="G173" s="5"/>
      <c r="H173" s="5"/>
      <c r="I173" s="5"/>
      <c r="J173" s="5"/>
      <c r="K173" s="5"/>
      <c r="L173" s="5"/>
      <c r="M173" s="5"/>
      <c r="N173" s="5"/>
      <c r="O173" s="5"/>
      <c r="P173" s="5"/>
      <c r="Q173" s="5"/>
      <c r="R173" s="5"/>
      <c r="S173" s="5"/>
      <c r="T173" s="5"/>
      <c r="U173" s="5"/>
      <c r="V173" s="5"/>
      <c r="W173" s="5"/>
    </row>
    <row r="174">
      <c r="A174" s="5"/>
      <c r="B174" s="3"/>
      <c r="C174" s="5"/>
      <c r="D174" s="5"/>
      <c r="E174" s="5"/>
      <c r="F174" s="5"/>
      <c r="G174" s="5"/>
      <c r="H174" s="5"/>
      <c r="I174" s="5"/>
      <c r="J174" s="5"/>
      <c r="K174" s="5"/>
      <c r="L174" s="5"/>
      <c r="M174" s="5"/>
      <c r="N174" s="5"/>
      <c r="O174" s="5"/>
      <c r="P174" s="5"/>
      <c r="Q174" s="5"/>
      <c r="R174" s="5"/>
      <c r="S174" s="5"/>
      <c r="T174" s="5"/>
      <c r="U174" s="5"/>
      <c r="V174" s="5"/>
      <c r="W174" s="5"/>
    </row>
    <row r="175">
      <c r="A175" s="5"/>
      <c r="B175" s="3"/>
      <c r="C175" s="5"/>
      <c r="D175" s="5"/>
      <c r="E175" s="5"/>
      <c r="F175" s="5"/>
      <c r="G175" s="5"/>
      <c r="H175" s="5"/>
      <c r="I175" s="5"/>
      <c r="J175" s="5"/>
      <c r="K175" s="5"/>
      <c r="L175" s="5"/>
      <c r="M175" s="5"/>
      <c r="N175" s="5"/>
      <c r="O175" s="5"/>
      <c r="P175" s="5"/>
      <c r="Q175" s="5"/>
      <c r="R175" s="5"/>
      <c r="S175" s="5"/>
      <c r="T175" s="5"/>
      <c r="U175" s="5"/>
      <c r="V175" s="5"/>
      <c r="W175" s="5"/>
    </row>
    <row r="176">
      <c r="A176" s="5"/>
      <c r="B176" s="3"/>
      <c r="C176" s="5"/>
      <c r="D176" s="5"/>
      <c r="E176" s="5"/>
      <c r="F176" s="5"/>
      <c r="G176" s="5"/>
      <c r="H176" s="5"/>
      <c r="I176" s="5"/>
      <c r="J176" s="5"/>
      <c r="K176" s="5"/>
      <c r="L176" s="5"/>
      <c r="M176" s="5"/>
      <c r="N176" s="5"/>
      <c r="O176" s="5"/>
      <c r="P176" s="5"/>
      <c r="Q176" s="5"/>
      <c r="R176" s="5"/>
      <c r="S176" s="5"/>
      <c r="T176" s="5"/>
      <c r="U176" s="5"/>
      <c r="V176" s="5"/>
      <c r="W176" s="5"/>
    </row>
    <row r="177">
      <c r="A177" s="5"/>
      <c r="B177" s="3"/>
      <c r="C177" s="5"/>
      <c r="D177" s="5"/>
      <c r="E177" s="5"/>
      <c r="F177" s="5"/>
      <c r="G177" s="5"/>
      <c r="H177" s="5"/>
      <c r="I177" s="5"/>
      <c r="J177" s="5"/>
      <c r="K177" s="5"/>
      <c r="L177" s="5"/>
      <c r="M177" s="5"/>
      <c r="N177" s="5"/>
      <c r="O177" s="5"/>
      <c r="P177" s="5"/>
      <c r="Q177" s="5"/>
      <c r="R177" s="5"/>
      <c r="S177" s="5"/>
      <c r="T177" s="5"/>
      <c r="U177" s="5"/>
      <c r="V177" s="5"/>
      <c r="W177" s="5"/>
    </row>
    <row r="178">
      <c r="A178" s="5"/>
      <c r="B178" s="3"/>
      <c r="C178" s="5"/>
      <c r="D178" s="5"/>
      <c r="E178" s="5"/>
      <c r="F178" s="5"/>
      <c r="G178" s="5"/>
      <c r="H178" s="5"/>
      <c r="I178" s="5"/>
      <c r="J178" s="5"/>
      <c r="K178" s="5"/>
      <c r="L178" s="5"/>
      <c r="M178" s="5"/>
      <c r="N178" s="5"/>
      <c r="O178" s="5"/>
      <c r="P178" s="5"/>
      <c r="Q178" s="5"/>
      <c r="R178" s="5"/>
      <c r="S178" s="5"/>
      <c r="T178" s="5"/>
      <c r="U178" s="5"/>
      <c r="V178" s="5"/>
      <c r="W178" s="5"/>
    </row>
    <row r="179">
      <c r="A179" s="5"/>
      <c r="B179" s="3"/>
      <c r="C179" s="5"/>
      <c r="D179" s="5"/>
      <c r="E179" s="5"/>
      <c r="F179" s="5"/>
      <c r="G179" s="5"/>
      <c r="H179" s="5"/>
      <c r="I179" s="5"/>
      <c r="J179" s="5"/>
      <c r="K179" s="5"/>
      <c r="L179" s="5"/>
      <c r="M179" s="5"/>
      <c r="N179" s="5"/>
      <c r="O179" s="5"/>
      <c r="P179" s="5"/>
      <c r="Q179" s="5"/>
      <c r="R179" s="5"/>
      <c r="S179" s="5"/>
      <c r="T179" s="5"/>
      <c r="U179" s="5"/>
      <c r="V179" s="5"/>
      <c r="W179" s="5"/>
    </row>
    <row r="180">
      <c r="A180" s="5"/>
      <c r="B180" s="3"/>
      <c r="C180" s="5"/>
      <c r="D180" s="5"/>
      <c r="E180" s="5"/>
      <c r="F180" s="5"/>
      <c r="G180" s="5"/>
      <c r="H180" s="5"/>
      <c r="I180" s="5"/>
      <c r="J180" s="5"/>
      <c r="K180" s="5"/>
      <c r="L180" s="5"/>
      <c r="M180" s="5"/>
      <c r="N180" s="5"/>
      <c r="O180" s="5"/>
      <c r="P180" s="5"/>
      <c r="Q180" s="5"/>
      <c r="R180" s="5"/>
      <c r="S180" s="5"/>
      <c r="T180" s="5"/>
      <c r="U180" s="5"/>
      <c r="V180" s="5"/>
      <c r="W180" s="5"/>
    </row>
    <row r="181">
      <c r="A181" s="5"/>
      <c r="B181" s="3"/>
      <c r="C181" s="5"/>
      <c r="D181" s="5"/>
      <c r="E181" s="5"/>
      <c r="F181" s="5"/>
      <c r="G181" s="5"/>
      <c r="H181" s="5"/>
      <c r="I181" s="5"/>
      <c r="J181" s="5"/>
      <c r="K181" s="5"/>
      <c r="L181" s="5"/>
      <c r="M181" s="5"/>
      <c r="N181" s="5"/>
      <c r="O181" s="5"/>
      <c r="P181" s="5"/>
      <c r="Q181" s="5"/>
      <c r="R181" s="5"/>
      <c r="S181" s="5"/>
      <c r="T181" s="5"/>
      <c r="U181" s="5"/>
      <c r="V181" s="5"/>
      <c r="W181" s="5"/>
    </row>
    <row r="182">
      <c r="A182" s="5"/>
      <c r="B182" s="3"/>
      <c r="C182" s="5"/>
      <c r="D182" s="5"/>
      <c r="E182" s="5"/>
      <c r="F182" s="5"/>
      <c r="G182" s="5"/>
      <c r="H182" s="5"/>
      <c r="I182" s="5"/>
      <c r="J182" s="5"/>
      <c r="K182" s="5"/>
      <c r="L182" s="5"/>
      <c r="M182" s="5"/>
      <c r="N182" s="5"/>
      <c r="O182" s="5"/>
      <c r="P182" s="5"/>
      <c r="Q182" s="5"/>
      <c r="R182" s="5"/>
      <c r="S182" s="5"/>
      <c r="T182" s="5"/>
      <c r="U182" s="5"/>
      <c r="V182" s="5"/>
      <c r="W182" s="5"/>
    </row>
    <row r="183">
      <c r="A183" s="5"/>
      <c r="B183" s="3"/>
      <c r="C183" s="5"/>
      <c r="D183" s="5"/>
      <c r="E183" s="5"/>
      <c r="F183" s="5"/>
      <c r="G183" s="5"/>
      <c r="H183" s="5"/>
      <c r="I183" s="5"/>
      <c r="J183" s="5"/>
      <c r="K183" s="5"/>
      <c r="L183" s="5"/>
      <c r="M183" s="5"/>
      <c r="N183" s="5"/>
      <c r="O183" s="5"/>
      <c r="P183" s="5"/>
      <c r="Q183" s="5"/>
      <c r="R183" s="5"/>
      <c r="S183" s="5"/>
      <c r="T183" s="5"/>
      <c r="U183" s="5"/>
      <c r="V183" s="5"/>
      <c r="W183" s="5"/>
    </row>
    <row r="184">
      <c r="A184" s="5"/>
      <c r="B184" s="3"/>
      <c r="C184" s="5"/>
      <c r="D184" s="5"/>
      <c r="E184" s="5"/>
      <c r="F184" s="5"/>
      <c r="G184" s="5"/>
      <c r="H184" s="5"/>
      <c r="I184" s="5"/>
      <c r="J184" s="5"/>
      <c r="K184" s="5"/>
      <c r="L184" s="5"/>
      <c r="M184" s="5"/>
      <c r="N184" s="5"/>
      <c r="O184" s="5"/>
      <c r="P184" s="5"/>
      <c r="Q184" s="5"/>
      <c r="R184" s="5"/>
      <c r="S184" s="5"/>
      <c r="T184" s="5"/>
      <c r="U184" s="5"/>
      <c r="V184" s="5"/>
      <c r="W184" s="5"/>
    </row>
    <row r="185">
      <c r="A185" s="5"/>
      <c r="B185" s="3"/>
      <c r="C185" s="5"/>
      <c r="D185" s="5"/>
      <c r="E185" s="5"/>
      <c r="F185" s="5"/>
      <c r="G185" s="5"/>
      <c r="H185" s="5"/>
      <c r="I185" s="5"/>
      <c r="J185" s="5"/>
      <c r="K185" s="5"/>
      <c r="L185" s="5"/>
      <c r="M185" s="5"/>
      <c r="N185" s="5"/>
      <c r="O185" s="5"/>
      <c r="P185" s="5"/>
      <c r="Q185" s="5"/>
      <c r="R185" s="5"/>
      <c r="S185" s="5"/>
      <c r="T185" s="5"/>
      <c r="U185" s="5"/>
      <c r="V185" s="5"/>
      <c r="W185" s="5"/>
    </row>
    <row r="186">
      <c r="A186" s="5"/>
      <c r="B186" s="3"/>
      <c r="C186" s="5"/>
      <c r="D186" s="5"/>
      <c r="E186" s="5"/>
      <c r="F186" s="5"/>
      <c r="G186" s="5"/>
      <c r="H186" s="5"/>
      <c r="I186" s="5"/>
      <c r="J186" s="5"/>
      <c r="K186" s="5"/>
      <c r="L186" s="5"/>
      <c r="M186" s="5"/>
      <c r="N186" s="5"/>
      <c r="O186" s="5"/>
      <c r="P186" s="5"/>
      <c r="Q186" s="5"/>
      <c r="R186" s="5"/>
      <c r="S186" s="5"/>
      <c r="T186" s="5"/>
      <c r="U186" s="5"/>
      <c r="V186" s="5"/>
      <c r="W186" s="5"/>
    </row>
    <row r="187">
      <c r="A187" s="5"/>
      <c r="B187" s="3"/>
      <c r="C187" s="5"/>
      <c r="D187" s="5"/>
      <c r="E187" s="5"/>
      <c r="F187" s="5"/>
      <c r="G187" s="5"/>
      <c r="H187" s="5"/>
      <c r="I187" s="5"/>
      <c r="J187" s="5"/>
      <c r="K187" s="5"/>
      <c r="L187" s="5"/>
      <c r="M187" s="5"/>
      <c r="N187" s="5"/>
      <c r="O187" s="5"/>
      <c r="P187" s="5"/>
      <c r="Q187" s="5"/>
      <c r="R187" s="5"/>
      <c r="S187" s="5"/>
      <c r="T187" s="5"/>
      <c r="U187" s="5"/>
      <c r="V187" s="5"/>
      <c r="W187" s="5"/>
    </row>
    <row r="188">
      <c r="A188" s="5"/>
      <c r="B188" s="3"/>
      <c r="C188" s="5"/>
      <c r="D188" s="5"/>
      <c r="E188" s="5"/>
      <c r="F188" s="5"/>
      <c r="G188" s="5"/>
      <c r="H188" s="5"/>
      <c r="I188" s="5"/>
      <c r="J188" s="5"/>
      <c r="K188" s="5"/>
      <c r="L188" s="5"/>
      <c r="M188" s="5"/>
      <c r="N188" s="5"/>
      <c r="O188" s="5"/>
      <c r="P188" s="5"/>
      <c r="Q188" s="5"/>
      <c r="R188" s="5"/>
      <c r="S188" s="5"/>
      <c r="T188" s="5"/>
      <c r="U188" s="5"/>
      <c r="V188" s="5"/>
      <c r="W188" s="5"/>
    </row>
    <row r="189">
      <c r="A189" s="5"/>
      <c r="B189" s="3"/>
      <c r="C189" s="5"/>
      <c r="D189" s="5"/>
      <c r="E189" s="5"/>
      <c r="F189" s="5"/>
      <c r="G189" s="5"/>
      <c r="H189" s="5"/>
      <c r="I189" s="5"/>
      <c r="J189" s="5"/>
      <c r="K189" s="5"/>
      <c r="L189" s="5"/>
      <c r="M189" s="5"/>
      <c r="N189" s="5"/>
      <c r="O189" s="5"/>
      <c r="P189" s="5"/>
      <c r="Q189" s="5"/>
      <c r="R189" s="5"/>
      <c r="S189" s="5"/>
      <c r="T189" s="5"/>
      <c r="U189" s="5"/>
      <c r="V189" s="5"/>
      <c r="W189" s="5"/>
    </row>
    <row r="190">
      <c r="A190" s="5"/>
      <c r="B190" s="3"/>
      <c r="C190" s="5"/>
      <c r="D190" s="5"/>
      <c r="E190" s="5"/>
      <c r="F190" s="5"/>
      <c r="G190" s="5"/>
      <c r="H190" s="5"/>
      <c r="I190" s="5"/>
      <c r="J190" s="5"/>
      <c r="K190" s="5"/>
      <c r="L190" s="5"/>
      <c r="M190" s="5"/>
      <c r="N190" s="5"/>
      <c r="O190" s="5"/>
      <c r="P190" s="5"/>
      <c r="Q190" s="5"/>
      <c r="R190" s="5"/>
      <c r="S190" s="5"/>
      <c r="T190" s="5"/>
      <c r="U190" s="5"/>
      <c r="V190" s="5"/>
      <c r="W190" s="5"/>
    </row>
    <row r="191">
      <c r="A191" s="5"/>
      <c r="B191" s="3"/>
      <c r="C191" s="5"/>
      <c r="D191" s="5"/>
      <c r="E191" s="5"/>
      <c r="F191" s="5"/>
      <c r="G191" s="5"/>
      <c r="H191" s="5"/>
      <c r="I191" s="5"/>
      <c r="J191" s="5"/>
      <c r="K191" s="5"/>
      <c r="L191" s="5"/>
      <c r="M191" s="5"/>
      <c r="N191" s="5"/>
      <c r="O191" s="5"/>
      <c r="P191" s="5"/>
      <c r="Q191" s="5"/>
      <c r="R191" s="5"/>
      <c r="S191" s="5"/>
      <c r="T191" s="5"/>
      <c r="U191" s="5"/>
      <c r="V191" s="5"/>
      <c r="W191" s="5"/>
    </row>
    <row r="192">
      <c r="A192" s="5"/>
      <c r="B192" s="3"/>
      <c r="C192" s="5"/>
      <c r="D192" s="5"/>
      <c r="E192" s="5"/>
      <c r="F192" s="5"/>
      <c r="G192" s="5"/>
      <c r="H192" s="5"/>
      <c r="I192" s="5"/>
      <c r="J192" s="5"/>
      <c r="K192" s="5"/>
      <c r="L192" s="5"/>
      <c r="M192" s="5"/>
      <c r="N192" s="5"/>
      <c r="O192" s="5"/>
      <c r="P192" s="5"/>
      <c r="Q192" s="5"/>
      <c r="R192" s="5"/>
      <c r="S192" s="5"/>
      <c r="T192" s="5"/>
      <c r="U192" s="5"/>
      <c r="V192" s="5"/>
      <c r="W192" s="5"/>
    </row>
    <row r="193">
      <c r="A193" s="5"/>
      <c r="B193" s="3"/>
      <c r="C193" s="5"/>
      <c r="D193" s="5"/>
      <c r="E193" s="5"/>
      <c r="F193" s="5"/>
      <c r="G193" s="5"/>
      <c r="H193" s="5"/>
      <c r="I193" s="5"/>
      <c r="J193" s="5"/>
      <c r="K193" s="5"/>
      <c r="L193" s="5"/>
      <c r="M193" s="5"/>
      <c r="N193" s="5"/>
      <c r="O193" s="5"/>
      <c r="P193" s="5"/>
      <c r="Q193" s="5"/>
      <c r="R193" s="5"/>
      <c r="S193" s="5"/>
      <c r="T193" s="5"/>
      <c r="U193" s="5"/>
      <c r="V193" s="5"/>
      <c r="W193" s="5"/>
    </row>
    <row r="194">
      <c r="A194" s="5"/>
      <c r="B194" s="3"/>
      <c r="C194" s="5"/>
      <c r="D194" s="5"/>
      <c r="E194" s="5"/>
      <c r="F194" s="5"/>
      <c r="G194" s="5"/>
      <c r="H194" s="5"/>
      <c r="I194" s="5"/>
      <c r="J194" s="5"/>
      <c r="K194" s="5"/>
      <c r="L194" s="5"/>
      <c r="M194" s="5"/>
      <c r="N194" s="5"/>
      <c r="O194" s="5"/>
      <c r="P194" s="5"/>
      <c r="Q194" s="5"/>
      <c r="R194" s="5"/>
      <c r="S194" s="5"/>
      <c r="T194" s="5"/>
      <c r="U194" s="5"/>
      <c r="V194" s="5"/>
      <c r="W194" s="5"/>
    </row>
    <row r="195">
      <c r="A195" s="5"/>
      <c r="B195" s="3"/>
      <c r="C195" s="5"/>
      <c r="D195" s="5"/>
      <c r="E195" s="5"/>
      <c r="F195" s="5"/>
      <c r="G195" s="5"/>
      <c r="H195" s="5"/>
      <c r="I195" s="5"/>
      <c r="J195" s="5"/>
      <c r="K195" s="5"/>
      <c r="L195" s="5"/>
      <c r="M195" s="5"/>
      <c r="N195" s="5"/>
      <c r="O195" s="5"/>
      <c r="P195" s="5"/>
      <c r="Q195" s="5"/>
      <c r="R195" s="5"/>
      <c r="S195" s="5"/>
      <c r="T195" s="5"/>
      <c r="U195" s="5"/>
      <c r="V195" s="5"/>
      <c r="W195" s="5"/>
    </row>
    <row r="196">
      <c r="A196" s="5"/>
      <c r="B196" s="3"/>
      <c r="C196" s="5"/>
      <c r="D196" s="5"/>
      <c r="E196" s="5"/>
      <c r="F196" s="5"/>
      <c r="G196" s="5"/>
      <c r="H196" s="5"/>
      <c r="I196" s="5"/>
      <c r="J196" s="5"/>
      <c r="K196" s="5"/>
      <c r="L196" s="5"/>
      <c r="M196" s="5"/>
      <c r="N196" s="5"/>
      <c r="O196" s="5"/>
      <c r="P196" s="5"/>
      <c r="Q196" s="5"/>
      <c r="R196" s="5"/>
      <c r="S196" s="5"/>
      <c r="T196" s="5"/>
      <c r="U196" s="5"/>
      <c r="V196" s="5"/>
      <c r="W196" s="5"/>
    </row>
    <row r="197">
      <c r="A197" s="5"/>
      <c r="B197" s="3"/>
      <c r="C197" s="5"/>
      <c r="D197" s="5"/>
      <c r="E197" s="5"/>
      <c r="F197" s="5"/>
      <c r="G197" s="5"/>
      <c r="H197" s="5"/>
      <c r="I197" s="5"/>
      <c r="J197" s="5"/>
      <c r="K197" s="5"/>
      <c r="L197" s="5"/>
      <c r="M197" s="5"/>
      <c r="N197" s="5"/>
      <c r="O197" s="5"/>
      <c r="P197" s="5"/>
      <c r="Q197" s="5"/>
      <c r="R197" s="5"/>
      <c r="S197" s="5"/>
      <c r="T197" s="5"/>
      <c r="U197" s="5"/>
      <c r="V197" s="5"/>
      <c r="W197" s="5"/>
    </row>
    <row r="198">
      <c r="A198" s="5"/>
      <c r="B198" s="3"/>
      <c r="C198" s="5"/>
      <c r="D198" s="5"/>
      <c r="E198" s="5"/>
      <c r="F198" s="5"/>
      <c r="G198" s="5"/>
      <c r="H198" s="5"/>
      <c r="I198" s="5"/>
      <c r="J198" s="5"/>
      <c r="K198" s="5"/>
      <c r="L198" s="5"/>
      <c r="M198" s="5"/>
      <c r="N198" s="5"/>
      <c r="O198" s="5"/>
      <c r="P198" s="5"/>
      <c r="Q198" s="5"/>
      <c r="R198" s="5"/>
      <c r="S198" s="5"/>
      <c r="T198" s="5"/>
      <c r="U198" s="5"/>
      <c r="V198" s="5"/>
      <c r="W198" s="5"/>
    </row>
    <row r="199">
      <c r="A199" s="5"/>
      <c r="B199" s="3"/>
      <c r="C199" s="5"/>
      <c r="D199" s="5"/>
      <c r="E199" s="5"/>
      <c r="F199" s="5"/>
      <c r="G199" s="5"/>
      <c r="H199" s="5"/>
      <c r="I199" s="5"/>
      <c r="J199" s="5"/>
      <c r="K199" s="5"/>
      <c r="L199" s="5"/>
      <c r="M199" s="5"/>
      <c r="N199" s="5"/>
      <c r="O199" s="5"/>
      <c r="P199" s="5"/>
      <c r="Q199" s="5"/>
      <c r="R199" s="5"/>
      <c r="S199" s="5"/>
      <c r="T199" s="5"/>
      <c r="U199" s="5"/>
      <c r="V199" s="5"/>
      <c r="W199" s="5"/>
    </row>
    <row r="200">
      <c r="A200" s="5"/>
      <c r="B200" s="3"/>
      <c r="C200" s="5"/>
      <c r="D200" s="5"/>
      <c r="E200" s="5"/>
      <c r="F200" s="5"/>
      <c r="G200" s="5"/>
      <c r="H200" s="5"/>
      <c r="I200" s="5"/>
      <c r="J200" s="5"/>
      <c r="K200" s="5"/>
      <c r="L200" s="5"/>
      <c r="M200" s="5"/>
      <c r="N200" s="5"/>
      <c r="O200" s="5"/>
      <c r="P200" s="5"/>
      <c r="Q200" s="5"/>
      <c r="R200" s="5"/>
      <c r="S200" s="5"/>
      <c r="T200" s="5"/>
      <c r="U200" s="5"/>
      <c r="V200" s="5"/>
      <c r="W200" s="5"/>
    </row>
    <row r="201">
      <c r="A201" s="5"/>
      <c r="B201" s="3"/>
      <c r="C201" s="5"/>
      <c r="D201" s="5"/>
      <c r="E201" s="5"/>
      <c r="F201" s="5"/>
      <c r="G201" s="5"/>
      <c r="H201" s="5"/>
      <c r="I201" s="5"/>
      <c r="J201" s="5"/>
      <c r="K201" s="5"/>
      <c r="L201" s="5"/>
      <c r="M201" s="5"/>
      <c r="N201" s="5"/>
      <c r="O201" s="5"/>
      <c r="P201" s="5"/>
      <c r="Q201" s="5"/>
      <c r="R201" s="5"/>
      <c r="S201" s="5"/>
      <c r="T201" s="5"/>
      <c r="U201" s="5"/>
      <c r="V201" s="5"/>
      <c r="W201" s="5"/>
    </row>
    <row r="202">
      <c r="A202" s="5"/>
      <c r="B202" s="3"/>
      <c r="C202" s="5"/>
      <c r="D202" s="5"/>
      <c r="E202" s="5"/>
      <c r="F202" s="5"/>
      <c r="G202" s="5"/>
      <c r="H202" s="5"/>
      <c r="I202" s="5"/>
      <c r="J202" s="5"/>
      <c r="K202" s="5"/>
      <c r="L202" s="5"/>
      <c r="M202" s="5"/>
      <c r="N202" s="5"/>
      <c r="O202" s="5"/>
      <c r="P202" s="5"/>
      <c r="Q202" s="5"/>
      <c r="R202" s="5"/>
      <c r="S202" s="5"/>
      <c r="T202" s="5"/>
      <c r="U202" s="5"/>
      <c r="V202" s="5"/>
      <c r="W202" s="5"/>
    </row>
    <row r="203">
      <c r="A203" s="5"/>
      <c r="B203" s="3"/>
      <c r="C203" s="5"/>
      <c r="D203" s="5"/>
      <c r="E203" s="5"/>
      <c r="F203" s="5"/>
      <c r="G203" s="5"/>
      <c r="H203" s="5"/>
      <c r="I203" s="5"/>
      <c r="J203" s="5"/>
      <c r="K203" s="5"/>
      <c r="L203" s="5"/>
      <c r="M203" s="5"/>
      <c r="N203" s="5"/>
      <c r="O203" s="5"/>
      <c r="P203" s="5"/>
      <c r="Q203" s="5"/>
      <c r="R203" s="5"/>
      <c r="S203" s="5"/>
      <c r="T203" s="5"/>
      <c r="U203" s="5"/>
      <c r="V203" s="5"/>
      <c r="W203" s="5"/>
    </row>
    <row r="204">
      <c r="A204" s="5"/>
      <c r="B204" s="3"/>
      <c r="C204" s="5"/>
      <c r="D204" s="5"/>
      <c r="E204" s="5"/>
      <c r="F204" s="5"/>
      <c r="G204" s="5"/>
      <c r="H204" s="5"/>
      <c r="I204" s="5"/>
      <c r="J204" s="5"/>
      <c r="K204" s="5"/>
      <c r="L204" s="5"/>
      <c r="M204" s="5"/>
      <c r="N204" s="5"/>
      <c r="O204" s="5"/>
      <c r="P204" s="5"/>
      <c r="Q204" s="5"/>
      <c r="R204" s="5"/>
      <c r="S204" s="5"/>
      <c r="T204" s="5"/>
      <c r="U204" s="5"/>
      <c r="V204" s="5"/>
      <c r="W204" s="5"/>
    </row>
    <row r="205">
      <c r="A205" s="5"/>
      <c r="B205" s="3"/>
      <c r="C205" s="5"/>
      <c r="D205" s="5"/>
      <c r="E205" s="5"/>
      <c r="F205" s="5"/>
      <c r="G205" s="5"/>
      <c r="H205" s="5"/>
      <c r="I205" s="5"/>
      <c r="J205" s="5"/>
      <c r="K205" s="5"/>
      <c r="L205" s="5"/>
      <c r="M205" s="5"/>
      <c r="N205" s="5"/>
      <c r="O205" s="5"/>
      <c r="P205" s="5"/>
      <c r="Q205" s="5"/>
      <c r="R205" s="5"/>
      <c r="S205" s="5"/>
      <c r="T205" s="5"/>
      <c r="U205" s="5"/>
      <c r="V205" s="5"/>
      <c r="W205" s="5"/>
    </row>
    <row r="206">
      <c r="A206" s="5"/>
      <c r="B206" s="3"/>
      <c r="C206" s="5"/>
      <c r="D206" s="5"/>
      <c r="E206" s="5"/>
      <c r="F206" s="5"/>
      <c r="G206" s="5"/>
      <c r="H206" s="5"/>
      <c r="I206" s="5"/>
      <c r="J206" s="5"/>
      <c r="K206" s="5"/>
      <c r="L206" s="5"/>
      <c r="M206" s="5"/>
      <c r="N206" s="5"/>
      <c r="O206" s="5"/>
      <c r="P206" s="5"/>
      <c r="Q206" s="5"/>
      <c r="R206" s="5"/>
      <c r="S206" s="5"/>
      <c r="T206" s="5"/>
      <c r="U206" s="5"/>
      <c r="V206" s="5"/>
      <c r="W206" s="5"/>
    </row>
    <row r="207">
      <c r="A207" s="5"/>
      <c r="B207" s="3"/>
      <c r="C207" s="5"/>
      <c r="D207" s="5"/>
      <c r="E207" s="5"/>
      <c r="F207" s="5"/>
      <c r="G207" s="5"/>
      <c r="H207" s="5"/>
      <c r="I207" s="5"/>
      <c r="J207" s="5"/>
      <c r="K207" s="5"/>
      <c r="L207" s="5"/>
      <c r="M207" s="5"/>
      <c r="N207" s="5"/>
      <c r="O207" s="5"/>
      <c r="P207" s="5"/>
      <c r="Q207" s="5"/>
      <c r="R207" s="5"/>
      <c r="S207" s="5"/>
      <c r="T207" s="5"/>
      <c r="U207" s="5"/>
      <c r="V207" s="5"/>
      <c r="W207" s="5"/>
    </row>
    <row r="208">
      <c r="A208" s="5"/>
      <c r="B208" s="3"/>
      <c r="C208" s="5"/>
      <c r="D208" s="5"/>
      <c r="E208" s="5"/>
      <c r="F208" s="5"/>
      <c r="G208" s="5"/>
      <c r="H208" s="5"/>
      <c r="I208" s="5"/>
      <c r="J208" s="5"/>
      <c r="K208" s="5"/>
      <c r="L208" s="5"/>
      <c r="M208" s="5"/>
      <c r="N208" s="5"/>
      <c r="O208" s="5"/>
      <c r="P208" s="5"/>
      <c r="Q208" s="5"/>
      <c r="R208" s="5"/>
      <c r="S208" s="5"/>
      <c r="T208" s="5"/>
      <c r="U208" s="5"/>
      <c r="V208" s="5"/>
      <c r="W208" s="5"/>
    </row>
    <row r="209">
      <c r="A209" s="5"/>
      <c r="B209" s="3"/>
      <c r="C209" s="5"/>
      <c r="D209" s="5"/>
      <c r="E209" s="5"/>
      <c r="F209" s="5"/>
      <c r="G209" s="5"/>
      <c r="H209" s="5"/>
      <c r="I209" s="5"/>
      <c r="J209" s="5"/>
      <c r="K209" s="5"/>
      <c r="L209" s="5"/>
      <c r="M209" s="5"/>
      <c r="N209" s="5"/>
      <c r="O209" s="5"/>
      <c r="P209" s="5"/>
      <c r="Q209" s="5"/>
      <c r="R209" s="5"/>
      <c r="S209" s="5"/>
      <c r="T209" s="5"/>
      <c r="U209" s="5"/>
      <c r="V209" s="5"/>
      <c r="W209" s="5"/>
    </row>
    <row r="210">
      <c r="A210" s="5"/>
      <c r="B210" s="3"/>
      <c r="C210" s="5"/>
      <c r="D210" s="5"/>
      <c r="E210" s="5"/>
      <c r="F210" s="5"/>
      <c r="G210" s="5"/>
      <c r="H210" s="5"/>
      <c r="I210" s="5"/>
      <c r="J210" s="5"/>
      <c r="K210" s="5"/>
      <c r="L210" s="5"/>
      <c r="M210" s="5"/>
      <c r="N210" s="5"/>
      <c r="O210" s="5"/>
      <c r="P210" s="5"/>
      <c r="Q210" s="5"/>
      <c r="R210" s="5"/>
      <c r="S210" s="5"/>
      <c r="T210" s="5"/>
      <c r="U210" s="5"/>
      <c r="V210" s="5"/>
      <c r="W210" s="5"/>
    </row>
    <row r="211">
      <c r="A211" s="5"/>
      <c r="B211" s="3"/>
      <c r="C211" s="5"/>
      <c r="D211" s="5"/>
      <c r="E211" s="5"/>
      <c r="F211" s="5"/>
      <c r="G211" s="5"/>
      <c r="H211" s="5"/>
      <c r="I211" s="5"/>
      <c r="J211" s="5"/>
      <c r="K211" s="5"/>
      <c r="L211" s="5"/>
      <c r="M211" s="5"/>
      <c r="N211" s="5"/>
      <c r="O211" s="5"/>
      <c r="P211" s="5"/>
      <c r="Q211" s="5"/>
      <c r="R211" s="5"/>
      <c r="S211" s="5"/>
      <c r="T211" s="5"/>
      <c r="U211" s="5"/>
      <c r="V211" s="5"/>
      <c r="W211" s="5"/>
    </row>
    <row r="212">
      <c r="A212" s="5"/>
      <c r="B212" s="3"/>
      <c r="C212" s="5"/>
      <c r="D212" s="5"/>
      <c r="E212" s="5"/>
      <c r="F212" s="5"/>
      <c r="G212" s="5"/>
      <c r="H212" s="5"/>
      <c r="I212" s="5"/>
      <c r="J212" s="5"/>
      <c r="K212" s="5"/>
      <c r="L212" s="5"/>
      <c r="M212" s="5"/>
      <c r="N212" s="5"/>
      <c r="O212" s="5"/>
      <c r="P212" s="5"/>
      <c r="Q212" s="5"/>
      <c r="R212" s="5"/>
      <c r="S212" s="5"/>
      <c r="T212" s="5"/>
      <c r="U212" s="5"/>
      <c r="V212" s="5"/>
      <c r="W212" s="5"/>
    </row>
    <row r="213">
      <c r="A213" s="5"/>
      <c r="B213" s="3"/>
      <c r="C213" s="5"/>
      <c r="D213" s="5"/>
      <c r="E213" s="5"/>
      <c r="F213" s="5"/>
      <c r="G213" s="5"/>
      <c r="H213" s="5"/>
      <c r="I213" s="5"/>
      <c r="J213" s="5"/>
      <c r="K213" s="5"/>
      <c r="L213" s="5"/>
      <c r="M213" s="5"/>
      <c r="N213" s="5"/>
      <c r="O213" s="5"/>
      <c r="P213" s="5"/>
      <c r="Q213" s="5"/>
      <c r="R213" s="5"/>
      <c r="S213" s="5"/>
      <c r="T213" s="5"/>
      <c r="U213" s="5"/>
      <c r="V213" s="5"/>
      <c r="W213" s="5"/>
    </row>
    <row r="214">
      <c r="A214" s="5"/>
      <c r="B214" s="3"/>
      <c r="C214" s="5"/>
      <c r="D214" s="5"/>
      <c r="E214" s="5"/>
      <c r="F214" s="5"/>
      <c r="G214" s="5"/>
      <c r="H214" s="5"/>
      <c r="I214" s="5"/>
      <c r="J214" s="5"/>
      <c r="K214" s="5"/>
      <c r="L214" s="5"/>
      <c r="M214" s="5"/>
      <c r="N214" s="5"/>
      <c r="O214" s="5"/>
      <c r="P214" s="5"/>
      <c r="Q214" s="5"/>
      <c r="R214" s="5"/>
      <c r="S214" s="5"/>
      <c r="T214" s="5"/>
      <c r="U214" s="5"/>
      <c r="V214" s="5"/>
      <c r="W214" s="5"/>
    </row>
    <row r="215">
      <c r="A215" s="5"/>
      <c r="B215" s="3"/>
      <c r="C215" s="5"/>
      <c r="D215" s="5"/>
      <c r="E215" s="5"/>
      <c r="F215" s="5"/>
      <c r="G215" s="5"/>
      <c r="H215" s="5"/>
      <c r="I215" s="5"/>
      <c r="J215" s="5"/>
      <c r="K215" s="5"/>
      <c r="L215" s="5"/>
      <c r="M215" s="5"/>
      <c r="N215" s="5"/>
      <c r="O215" s="5"/>
      <c r="P215" s="5"/>
      <c r="Q215" s="5"/>
      <c r="R215" s="5"/>
      <c r="S215" s="5"/>
      <c r="T215" s="5"/>
      <c r="U215" s="5"/>
      <c r="V215" s="5"/>
      <c r="W215" s="5"/>
    </row>
    <row r="216">
      <c r="A216" s="5"/>
      <c r="B216" s="3"/>
      <c r="C216" s="5"/>
      <c r="D216" s="5"/>
      <c r="E216" s="5"/>
      <c r="F216" s="5"/>
      <c r="G216" s="5"/>
      <c r="H216" s="5"/>
      <c r="I216" s="5"/>
      <c r="J216" s="5"/>
      <c r="K216" s="5"/>
      <c r="L216" s="5"/>
      <c r="M216" s="5"/>
      <c r="N216" s="5"/>
      <c r="O216" s="5"/>
      <c r="P216" s="5"/>
      <c r="Q216" s="5"/>
      <c r="R216" s="5"/>
      <c r="S216" s="5"/>
      <c r="T216" s="5"/>
      <c r="U216" s="5"/>
      <c r="V216" s="5"/>
      <c r="W216" s="5"/>
    </row>
    <row r="217">
      <c r="A217" s="5"/>
      <c r="B217" s="3"/>
      <c r="C217" s="5"/>
      <c r="D217" s="5"/>
      <c r="E217" s="5"/>
      <c r="F217" s="5"/>
      <c r="G217" s="5"/>
      <c r="H217" s="5"/>
      <c r="I217" s="5"/>
      <c r="J217" s="5"/>
      <c r="K217" s="5"/>
      <c r="L217" s="5"/>
      <c r="M217" s="5"/>
      <c r="N217" s="5"/>
      <c r="O217" s="5"/>
      <c r="P217" s="5"/>
      <c r="Q217" s="5"/>
      <c r="R217" s="5"/>
      <c r="S217" s="5"/>
      <c r="T217" s="5"/>
      <c r="U217" s="5"/>
      <c r="V217" s="5"/>
      <c r="W217" s="5"/>
    </row>
    <row r="218">
      <c r="A218" s="5"/>
      <c r="B218" s="3"/>
      <c r="C218" s="5"/>
      <c r="D218" s="5"/>
      <c r="E218" s="5"/>
      <c r="F218" s="5"/>
      <c r="G218" s="5"/>
      <c r="H218" s="5"/>
      <c r="I218" s="5"/>
      <c r="J218" s="5"/>
      <c r="K218" s="5"/>
      <c r="L218" s="5"/>
      <c r="M218" s="5"/>
      <c r="N218" s="5"/>
      <c r="O218" s="5"/>
      <c r="P218" s="5"/>
      <c r="Q218" s="5"/>
      <c r="R218" s="5"/>
      <c r="S218" s="5"/>
      <c r="T218" s="5"/>
      <c r="U218" s="5"/>
      <c r="V218" s="5"/>
      <c r="W218" s="5"/>
    </row>
    <row r="219">
      <c r="A219" s="5"/>
      <c r="B219" s="3"/>
      <c r="C219" s="5"/>
      <c r="D219" s="3"/>
      <c r="E219" s="5"/>
      <c r="F219" s="5"/>
      <c r="G219" s="5"/>
      <c r="H219" s="5"/>
      <c r="I219" s="5"/>
      <c r="J219" s="5"/>
      <c r="K219" s="5"/>
      <c r="L219" s="5"/>
      <c r="M219" s="5"/>
      <c r="N219" s="5"/>
      <c r="O219" s="5"/>
      <c r="P219" s="5"/>
      <c r="Q219" s="5"/>
      <c r="R219" s="5"/>
      <c r="S219" s="5"/>
      <c r="T219" s="5"/>
      <c r="U219" s="5"/>
      <c r="V219" s="5"/>
      <c r="W219" s="5"/>
    </row>
    <row r="220">
      <c r="A220" s="5"/>
      <c r="B220" s="3"/>
      <c r="C220" s="5"/>
      <c r="D220" s="3"/>
      <c r="E220" s="5"/>
      <c r="F220" s="5"/>
      <c r="G220" s="5"/>
      <c r="H220" s="5"/>
      <c r="I220" s="5"/>
      <c r="J220" s="5"/>
      <c r="K220" s="5"/>
      <c r="L220" s="5"/>
      <c r="M220" s="5"/>
      <c r="N220" s="5"/>
      <c r="O220" s="5"/>
      <c r="P220" s="5"/>
      <c r="Q220" s="5"/>
      <c r="R220" s="5"/>
      <c r="S220" s="5"/>
      <c r="T220" s="5"/>
      <c r="U220" s="5"/>
      <c r="V220" s="5"/>
      <c r="W220" s="5"/>
    </row>
    <row r="221">
      <c r="A221" s="5"/>
      <c r="B221" s="3"/>
      <c r="C221" s="5"/>
      <c r="D221" s="3"/>
      <c r="E221" s="5"/>
      <c r="F221" s="5"/>
      <c r="G221" s="5"/>
      <c r="H221" s="5"/>
      <c r="I221" s="5"/>
      <c r="J221" s="5"/>
      <c r="K221" s="5"/>
      <c r="L221" s="5"/>
      <c r="M221" s="5"/>
      <c r="N221" s="5"/>
      <c r="O221" s="5"/>
      <c r="P221" s="5"/>
      <c r="Q221" s="5"/>
      <c r="R221" s="5"/>
      <c r="S221" s="5"/>
      <c r="T221" s="5"/>
      <c r="U221" s="5"/>
      <c r="V221" s="5"/>
      <c r="W221" s="5"/>
    </row>
    <row r="222">
      <c r="A222" s="5"/>
      <c r="B222" s="3"/>
      <c r="C222" s="5"/>
      <c r="D222" s="3"/>
      <c r="E222" s="5"/>
      <c r="F222" s="5"/>
      <c r="G222" s="5"/>
      <c r="H222" s="5"/>
      <c r="I222" s="5"/>
      <c r="J222" s="5"/>
      <c r="K222" s="5"/>
      <c r="L222" s="5"/>
      <c r="M222" s="5"/>
      <c r="N222" s="5"/>
      <c r="O222" s="5"/>
      <c r="P222" s="5"/>
      <c r="Q222" s="5"/>
      <c r="R222" s="5"/>
      <c r="S222" s="5"/>
      <c r="T222" s="5"/>
      <c r="U222" s="5"/>
      <c r="V222" s="5"/>
      <c r="W222" s="5"/>
    </row>
    <row r="223">
      <c r="A223" s="5"/>
      <c r="B223" s="3"/>
      <c r="C223" s="5"/>
      <c r="D223" s="3"/>
      <c r="E223" s="5"/>
      <c r="F223" s="5"/>
      <c r="G223" s="5"/>
      <c r="H223" s="5"/>
      <c r="I223" s="5"/>
      <c r="J223" s="5"/>
      <c r="K223" s="5"/>
      <c r="L223" s="5"/>
      <c r="M223" s="5"/>
      <c r="N223" s="5"/>
      <c r="O223" s="5"/>
      <c r="P223" s="5"/>
      <c r="Q223" s="5"/>
      <c r="R223" s="5"/>
      <c r="S223" s="5"/>
      <c r="T223" s="5"/>
      <c r="U223" s="5"/>
      <c r="V223" s="5"/>
      <c r="W223" s="5"/>
    </row>
    <row r="224">
      <c r="A224" s="5"/>
      <c r="B224" s="3"/>
      <c r="C224" s="5"/>
      <c r="D224" s="3"/>
      <c r="E224" s="5"/>
      <c r="F224" s="5"/>
      <c r="G224" s="5"/>
      <c r="H224" s="5"/>
      <c r="I224" s="5"/>
      <c r="J224" s="5"/>
      <c r="K224" s="5"/>
      <c r="L224" s="5"/>
      <c r="M224" s="5"/>
      <c r="N224" s="5"/>
      <c r="O224" s="5"/>
      <c r="P224" s="5"/>
      <c r="Q224" s="5"/>
      <c r="R224" s="5"/>
      <c r="S224" s="5"/>
      <c r="T224" s="5"/>
      <c r="U224" s="5"/>
      <c r="V224" s="5"/>
      <c r="W224" s="5"/>
    </row>
    <row r="225">
      <c r="A225" s="5"/>
      <c r="B225" s="3"/>
      <c r="C225" s="5"/>
      <c r="D225" s="3"/>
      <c r="E225" s="5"/>
      <c r="F225" s="5"/>
      <c r="G225" s="5"/>
      <c r="H225" s="5"/>
      <c r="I225" s="5"/>
      <c r="J225" s="5"/>
      <c r="K225" s="5"/>
      <c r="L225" s="5"/>
      <c r="M225" s="5"/>
      <c r="N225" s="5"/>
      <c r="O225" s="5"/>
      <c r="P225" s="5"/>
      <c r="Q225" s="5"/>
      <c r="R225" s="5"/>
      <c r="S225" s="5"/>
      <c r="T225" s="5"/>
      <c r="U225" s="5"/>
      <c r="V225" s="5"/>
      <c r="W225" s="5"/>
    </row>
    <row r="226">
      <c r="A226" s="5"/>
      <c r="B226" s="3"/>
      <c r="C226" s="5"/>
      <c r="D226" s="3"/>
      <c r="E226" s="5"/>
      <c r="F226" s="5"/>
      <c r="G226" s="5"/>
      <c r="H226" s="5"/>
      <c r="I226" s="5"/>
      <c r="J226" s="5"/>
      <c r="K226" s="5"/>
      <c r="L226" s="5"/>
      <c r="M226" s="5"/>
      <c r="N226" s="5"/>
      <c r="O226" s="5"/>
      <c r="P226" s="5"/>
      <c r="Q226" s="5"/>
      <c r="R226" s="5"/>
      <c r="S226" s="5"/>
      <c r="T226" s="5"/>
      <c r="U226" s="5"/>
      <c r="V226" s="5"/>
      <c r="W226" s="5"/>
    </row>
    <row r="227">
      <c r="A227" s="5"/>
      <c r="B227" s="3"/>
      <c r="C227" s="5"/>
      <c r="D227" s="3"/>
      <c r="E227" s="5"/>
      <c r="F227" s="5"/>
      <c r="G227" s="5"/>
      <c r="H227" s="5"/>
      <c r="I227" s="5"/>
      <c r="J227" s="5"/>
      <c r="K227" s="5"/>
      <c r="L227" s="5"/>
      <c r="M227" s="5"/>
      <c r="N227" s="5"/>
      <c r="O227" s="5"/>
      <c r="P227" s="5"/>
      <c r="Q227" s="5"/>
      <c r="R227" s="5"/>
      <c r="S227" s="5"/>
      <c r="T227" s="5"/>
      <c r="U227" s="5"/>
      <c r="V227" s="5"/>
      <c r="W227" s="5"/>
    </row>
    <row r="228">
      <c r="A228" s="5"/>
      <c r="B228" s="3"/>
      <c r="C228" s="5"/>
      <c r="D228" s="3"/>
      <c r="E228" s="5"/>
      <c r="F228" s="5"/>
      <c r="G228" s="5"/>
      <c r="H228" s="5"/>
      <c r="I228" s="5"/>
      <c r="J228" s="5"/>
      <c r="K228" s="5"/>
      <c r="L228" s="5"/>
      <c r="M228" s="5"/>
      <c r="N228" s="5"/>
      <c r="O228" s="5"/>
      <c r="P228" s="5"/>
      <c r="Q228" s="5"/>
      <c r="R228" s="5"/>
      <c r="S228" s="5"/>
      <c r="T228" s="5"/>
      <c r="U228" s="5"/>
      <c r="V228" s="5"/>
      <c r="W228" s="5"/>
    </row>
    <row r="229">
      <c r="A229" s="5"/>
      <c r="B229" s="3"/>
      <c r="C229" s="5"/>
      <c r="D229" s="3"/>
      <c r="E229" s="5"/>
      <c r="F229" s="5"/>
      <c r="G229" s="5"/>
      <c r="H229" s="5"/>
      <c r="I229" s="5"/>
      <c r="J229" s="5"/>
      <c r="K229" s="5"/>
      <c r="L229" s="5"/>
      <c r="M229" s="5"/>
      <c r="N229" s="5"/>
      <c r="O229" s="5"/>
      <c r="P229" s="5"/>
      <c r="Q229" s="5"/>
      <c r="R229" s="5"/>
      <c r="S229" s="5"/>
      <c r="T229" s="5"/>
      <c r="U229" s="5"/>
      <c r="V229" s="5"/>
      <c r="W229" s="5"/>
    </row>
    <row r="230">
      <c r="A230" s="5"/>
      <c r="B230" s="3"/>
      <c r="C230" s="5"/>
      <c r="D230" s="3"/>
      <c r="E230" s="5"/>
      <c r="F230" s="5"/>
      <c r="G230" s="5"/>
      <c r="H230" s="5"/>
      <c r="I230" s="5"/>
      <c r="J230" s="5"/>
      <c r="K230" s="5"/>
      <c r="L230" s="5"/>
      <c r="M230" s="5"/>
      <c r="N230" s="5"/>
      <c r="O230" s="5"/>
      <c r="P230" s="5"/>
      <c r="Q230" s="5"/>
      <c r="R230" s="5"/>
      <c r="S230" s="5"/>
      <c r="T230" s="5"/>
      <c r="U230" s="5"/>
      <c r="V230" s="5"/>
      <c r="W230" s="5"/>
    </row>
    <row r="231">
      <c r="A231" s="5"/>
      <c r="B231" s="3"/>
      <c r="C231" s="5"/>
      <c r="D231" s="3"/>
      <c r="E231" s="5"/>
      <c r="F231" s="5"/>
      <c r="G231" s="5"/>
      <c r="H231" s="5"/>
      <c r="I231" s="5"/>
      <c r="J231" s="5"/>
      <c r="K231" s="5"/>
      <c r="L231" s="5"/>
      <c r="M231" s="5"/>
      <c r="N231" s="5"/>
      <c r="O231" s="5"/>
      <c r="P231" s="5"/>
      <c r="Q231" s="5"/>
      <c r="R231" s="5"/>
      <c r="S231" s="5"/>
      <c r="T231" s="5"/>
      <c r="U231" s="5"/>
      <c r="V231" s="5"/>
      <c r="W231" s="5"/>
    </row>
    <row r="232">
      <c r="A232" s="5"/>
      <c r="B232" s="3"/>
      <c r="C232" s="5"/>
      <c r="D232" s="3"/>
      <c r="E232" s="5"/>
      <c r="F232" s="5"/>
      <c r="G232" s="5"/>
      <c r="H232" s="5"/>
      <c r="I232" s="5"/>
      <c r="J232" s="5"/>
      <c r="K232" s="5"/>
      <c r="L232" s="5"/>
      <c r="M232" s="5"/>
      <c r="N232" s="5"/>
      <c r="O232" s="5"/>
      <c r="P232" s="5"/>
      <c r="Q232" s="5"/>
      <c r="R232" s="5"/>
      <c r="S232" s="5"/>
      <c r="T232" s="5"/>
      <c r="U232" s="5"/>
      <c r="V232" s="5"/>
      <c r="W232" s="5"/>
    </row>
    <row r="233">
      <c r="A233" s="5"/>
      <c r="B233" s="3"/>
      <c r="C233" s="5"/>
      <c r="D233" s="3"/>
      <c r="E233" s="5"/>
      <c r="F233" s="5"/>
      <c r="G233" s="5"/>
      <c r="H233" s="5"/>
      <c r="I233" s="5"/>
      <c r="J233" s="5"/>
      <c r="K233" s="5"/>
      <c r="L233" s="5"/>
      <c r="M233" s="5"/>
      <c r="N233" s="5"/>
      <c r="O233" s="5"/>
      <c r="P233" s="5"/>
      <c r="Q233" s="5"/>
      <c r="R233" s="5"/>
      <c r="S233" s="5"/>
      <c r="T233" s="5"/>
      <c r="U233" s="5"/>
      <c r="V233" s="5"/>
      <c r="W233" s="5"/>
    </row>
    <row r="234">
      <c r="A234" s="5"/>
      <c r="B234" s="3"/>
      <c r="C234" s="5"/>
      <c r="D234" s="5"/>
      <c r="E234" s="5"/>
      <c r="F234" s="5"/>
      <c r="G234" s="5"/>
      <c r="H234" s="5"/>
      <c r="I234" s="5"/>
      <c r="J234" s="5"/>
      <c r="K234" s="5"/>
      <c r="L234" s="5"/>
      <c r="M234" s="5"/>
      <c r="N234" s="5"/>
      <c r="O234" s="5"/>
      <c r="P234" s="5"/>
      <c r="Q234" s="5"/>
      <c r="R234" s="5"/>
      <c r="S234" s="5"/>
      <c r="T234" s="5"/>
      <c r="U234" s="5"/>
      <c r="V234" s="5"/>
      <c r="W234" s="5"/>
    </row>
    <row r="235">
      <c r="A235" s="5"/>
      <c r="B235" s="3"/>
      <c r="C235" s="5"/>
      <c r="D235" s="5"/>
      <c r="E235" s="5"/>
      <c r="F235" s="5"/>
      <c r="G235" s="5"/>
      <c r="H235" s="5"/>
      <c r="I235" s="5"/>
      <c r="J235" s="5"/>
      <c r="K235" s="5"/>
      <c r="L235" s="5"/>
      <c r="M235" s="5"/>
      <c r="N235" s="5"/>
      <c r="O235" s="5"/>
      <c r="P235" s="5"/>
      <c r="Q235" s="5"/>
      <c r="R235" s="5"/>
      <c r="S235" s="5"/>
      <c r="T235" s="5"/>
      <c r="U235" s="5"/>
      <c r="V235" s="5"/>
      <c r="W235" s="5"/>
    </row>
    <row r="236">
      <c r="A236" s="5"/>
      <c r="B236" s="3"/>
      <c r="C236" s="5"/>
      <c r="D236" s="5"/>
      <c r="E236" s="5"/>
      <c r="F236" s="5"/>
      <c r="G236" s="5"/>
      <c r="H236" s="5"/>
      <c r="I236" s="5"/>
      <c r="J236" s="5"/>
      <c r="K236" s="5"/>
      <c r="L236" s="5"/>
      <c r="M236" s="5"/>
      <c r="N236" s="5"/>
      <c r="O236" s="5"/>
      <c r="P236" s="5"/>
      <c r="Q236" s="5"/>
      <c r="R236" s="5"/>
      <c r="S236" s="5"/>
      <c r="T236" s="5"/>
      <c r="U236" s="5"/>
      <c r="V236" s="5"/>
      <c r="W236" s="5"/>
    </row>
    <row r="237">
      <c r="A237" s="5"/>
      <c r="B237" s="3"/>
      <c r="C237" s="5"/>
      <c r="D237" s="5"/>
      <c r="E237" s="5"/>
      <c r="F237" s="5"/>
      <c r="G237" s="5"/>
      <c r="H237" s="5"/>
      <c r="I237" s="5"/>
      <c r="J237" s="5"/>
      <c r="K237" s="5"/>
      <c r="L237" s="5"/>
      <c r="M237" s="5"/>
      <c r="N237" s="5"/>
      <c r="O237" s="5"/>
      <c r="P237" s="5"/>
      <c r="Q237" s="5"/>
      <c r="R237" s="5"/>
      <c r="S237" s="5"/>
      <c r="T237" s="5"/>
      <c r="U237" s="5"/>
      <c r="V237" s="5"/>
      <c r="W237" s="5"/>
    </row>
    <row r="238">
      <c r="A238" s="5"/>
      <c r="B238" s="3"/>
      <c r="C238" s="5"/>
      <c r="D238" s="5"/>
      <c r="E238" s="5"/>
      <c r="F238" s="5"/>
      <c r="G238" s="5"/>
      <c r="H238" s="5"/>
      <c r="I238" s="5"/>
      <c r="J238" s="5"/>
      <c r="K238" s="5"/>
      <c r="L238" s="5"/>
      <c r="M238" s="5"/>
      <c r="N238" s="5"/>
      <c r="O238" s="5"/>
      <c r="P238" s="5"/>
      <c r="Q238" s="5"/>
      <c r="R238" s="5"/>
      <c r="S238" s="5"/>
      <c r="T238" s="5"/>
      <c r="U238" s="5"/>
      <c r="V238" s="5"/>
      <c r="W238" s="5"/>
    </row>
    <row r="239">
      <c r="A239" s="5"/>
      <c r="B239" s="3"/>
      <c r="C239" s="5"/>
      <c r="D239" s="5"/>
      <c r="E239" s="5"/>
      <c r="F239" s="5"/>
      <c r="G239" s="5"/>
      <c r="H239" s="5"/>
      <c r="I239" s="5"/>
      <c r="J239" s="5"/>
      <c r="K239" s="5"/>
      <c r="L239" s="5"/>
      <c r="M239" s="5"/>
      <c r="N239" s="5"/>
      <c r="O239" s="5"/>
      <c r="P239" s="5"/>
      <c r="Q239" s="5"/>
      <c r="R239" s="5"/>
      <c r="S239" s="5"/>
      <c r="T239" s="5"/>
      <c r="U239" s="5"/>
      <c r="V239" s="5"/>
      <c r="W239" s="5"/>
    </row>
    <row r="240">
      <c r="A240" s="5"/>
      <c r="B240" s="3"/>
      <c r="C240" s="5"/>
      <c r="D240" s="5"/>
      <c r="E240" s="5"/>
      <c r="F240" s="5"/>
      <c r="G240" s="5"/>
      <c r="H240" s="5"/>
      <c r="I240" s="5"/>
      <c r="J240" s="5"/>
      <c r="K240" s="5"/>
      <c r="L240" s="5"/>
      <c r="M240" s="5"/>
      <c r="N240" s="5"/>
      <c r="O240" s="5"/>
      <c r="P240" s="5"/>
      <c r="Q240" s="5"/>
      <c r="R240" s="5"/>
      <c r="S240" s="5"/>
      <c r="T240" s="5"/>
      <c r="U240" s="5"/>
      <c r="V240" s="5"/>
      <c r="W240" s="5"/>
    </row>
    <row r="241">
      <c r="A241" s="5"/>
      <c r="B241" s="3"/>
      <c r="C241" s="5"/>
      <c r="D241" s="5"/>
      <c r="E241" s="5"/>
      <c r="F241" s="5"/>
      <c r="G241" s="5"/>
      <c r="H241" s="5"/>
      <c r="I241" s="5"/>
      <c r="J241" s="5"/>
      <c r="K241" s="5"/>
      <c r="L241" s="5"/>
      <c r="M241" s="5"/>
      <c r="N241" s="5"/>
      <c r="O241" s="5"/>
      <c r="P241" s="5"/>
      <c r="Q241" s="5"/>
      <c r="R241" s="5"/>
      <c r="S241" s="5"/>
      <c r="T241" s="5"/>
      <c r="U241" s="5"/>
      <c r="V241" s="5"/>
      <c r="W241" s="5"/>
    </row>
    <row r="242">
      <c r="A242" s="5"/>
      <c r="B242" s="3"/>
      <c r="C242" s="5"/>
      <c r="D242" s="5"/>
      <c r="E242" s="5"/>
      <c r="F242" s="5"/>
      <c r="G242" s="5"/>
      <c r="H242" s="5"/>
      <c r="I242" s="5"/>
      <c r="J242" s="5"/>
      <c r="K242" s="5"/>
      <c r="L242" s="5"/>
      <c r="M242" s="5"/>
      <c r="N242" s="5"/>
      <c r="O242" s="5"/>
      <c r="P242" s="5"/>
      <c r="Q242" s="5"/>
      <c r="R242" s="5"/>
      <c r="S242" s="5"/>
      <c r="T242" s="5"/>
      <c r="U242" s="5"/>
      <c r="V242" s="5"/>
      <c r="W242" s="5"/>
    </row>
    <row r="243">
      <c r="A243" s="5"/>
      <c r="B243" s="3"/>
      <c r="C243" s="5"/>
      <c r="D243" s="5"/>
      <c r="E243" s="5"/>
      <c r="F243" s="5"/>
      <c r="G243" s="5"/>
      <c r="H243" s="5"/>
      <c r="I243" s="5"/>
      <c r="J243" s="5"/>
      <c r="K243" s="5"/>
      <c r="L243" s="5"/>
      <c r="M243" s="5"/>
      <c r="N243" s="5"/>
      <c r="O243" s="5"/>
      <c r="P243" s="5"/>
      <c r="Q243" s="5"/>
      <c r="R243" s="5"/>
      <c r="S243" s="5"/>
      <c r="T243" s="5"/>
      <c r="U243" s="5"/>
      <c r="V243" s="5"/>
      <c r="W243" s="5"/>
    </row>
    <row r="244">
      <c r="A244" s="5"/>
      <c r="B244" s="3"/>
      <c r="C244" s="5"/>
      <c r="D244" s="5"/>
      <c r="E244" s="5"/>
      <c r="F244" s="5"/>
      <c r="G244" s="5"/>
      <c r="H244" s="5"/>
      <c r="I244" s="5"/>
      <c r="J244" s="5"/>
      <c r="K244" s="5"/>
      <c r="L244" s="5"/>
      <c r="M244" s="5"/>
      <c r="N244" s="5"/>
      <c r="O244" s="5"/>
      <c r="P244" s="5"/>
      <c r="Q244" s="5"/>
      <c r="R244" s="5"/>
      <c r="S244" s="5"/>
      <c r="T244" s="5"/>
      <c r="U244" s="5"/>
      <c r="V244" s="5"/>
      <c r="W244" s="5"/>
    </row>
    <row r="245">
      <c r="A245" s="5"/>
      <c r="B245" s="3"/>
      <c r="C245" s="5"/>
      <c r="D245" s="5"/>
      <c r="E245" s="5"/>
      <c r="F245" s="5"/>
      <c r="G245" s="5"/>
      <c r="H245" s="5"/>
      <c r="I245" s="5"/>
      <c r="J245" s="5"/>
      <c r="K245" s="5"/>
      <c r="L245" s="5"/>
      <c r="M245" s="5"/>
      <c r="N245" s="5"/>
      <c r="O245" s="5"/>
      <c r="P245" s="5"/>
      <c r="Q245" s="5"/>
      <c r="R245" s="5"/>
      <c r="S245" s="5"/>
      <c r="T245" s="5"/>
      <c r="U245" s="5"/>
      <c r="V245" s="5"/>
      <c r="W245" s="5"/>
    </row>
    <row r="246">
      <c r="A246" s="5"/>
      <c r="B246" s="3"/>
      <c r="C246" s="5"/>
      <c r="D246" s="5"/>
      <c r="E246" s="5"/>
      <c r="F246" s="5"/>
      <c r="G246" s="5"/>
      <c r="H246" s="5"/>
      <c r="I246" s="5"/>
      <c r="J246" s="5"/>
      <c r="K246" s="5"/>
      <c r="L246" s="5"/>
      <c r="M246" s="5"/>
      <c r="N246" s="5"/>
      <c r="O246" s="5"/>
      <c r="P246" s="5"/>
      <c r="Q246" s="5"/>
      <c r="R246" s="5"/>
      <c r="S246" s="5"/>
      <c r="T246" s="5"/>
      <c r="U246" s="5"/>
      <c r="V246" s="5"/>
      <c r="W246" s="5"/>
    </row>
    <row r="247">
      <c r="A247" s="5"/>
      <c r="B247" s="3"/>
      <c r="C247" s="5"/>
      <c r="D247" s="5"/>
      <c r="E247" s="5"/>
      <c r="F247" s="5"/>
      <c r="G247" s="5"/>
      <c r="H247" s="5"/>
      <c r="I247" s="5"/>
      <c r="J247" s="5"/>
      <c r="K247" s="5"/>
      <c r="L247" s="5"/>
      <c r="M247" s="5"/>
      <c r="N247" s="5"/>
      <c r="O247" s="5"/>
      <c r="P247" s="5"/>
      <c r="Q247" s="5"/>
      <c r="R247" s="5"/>
      <c r="S247" s="5"/>
      <c r="T247" s="5"/>
      <c r="U247" s="5"/>
      <c r="V247" s="5"/>
      <c r="W247" s="5"/>
    </row>
    <row r="248">
      <c r="A248" s="5"/>
      <c r="B248" s="3"/>
      <c r="C248" s="5"/>
      <c r="D248" s="5"/>
      <c r="E248" s="5"/>
      <c r="F248" s="5"/>
      <c r="G248" s="5"/>
      <c r="H248" s="5"/>
      <c r="I248" s="5"/>
      <c r="J248" s="5"/>
      <c r="K248" s="5"/>
      <c r="L248" s="5"/>
      <c r="M248" s="5"/>
      <c r="N248" s="5"/>
      <c r="O248" s="5"/>
      <c r="P248" s="5"/>
      <c r="Q248" s="5"/>
      <c r="R248" s="5"/>
      <c r="S248" s="5"/>
      <c r="T248" s="5"/>
      <c r="U248" s="5"/>
      <c r="V248" s="5"/>
      <c r="W248" s="5"/>
    </row>
    <row r="249">
      <c r="A249" s="5"/>
      <c r="B249" s="3"/>
      <c r="C249" s="5"/>
      <c r="D249" s="5"/>
      <c r="E249" s="5"/>
      <c r="F249" s="5"/>
      <c r="G249" s="5"/>
      <c r="H249" s="5"/>
      <c r="I249" s="5"/>
      <c r="J249" s="5"/>
      <c r="K249" s="5"/>
      <c r="L249" s="5"/>
      <c r="M249" s="5"/>
      <c r="N249" s="5"/>
      <c r="O249" s="5"/>
      <c r="P249" s="5"/>
      <c r="Q249" s="5"/>
      <c r="R249" s="5"/>
      <c r="S249" s="5"/>
      <c r="T249" s="5"/>
      <c r="U249" s="5"/>
      <c r="V249" s="5"/>
      <c r="W249" s="5"/>
    </row>
    <row r="250">
      <c r="A250" s="5"/>
      <c r="B250" s="3"/>
      <c r="C250" s="5"/>
      <c r="D250" s="5"/>
      <c r="E250" s="5"/>
      <c r="F250" s="5"/>
      <c r="G250" s="5"/>
      <c r="H250" s="5"/>
      <c r="I250" s="5"/>
      <c r="J250" s="5"/>
      <c r="K250" s="5"/>
      <c r="L250" s="5"/>
      <c r="M250" s="5"/>
      <c r="N250" s="5"/>
      <c r="O250" s="5"/>
      <c r="P250" s="5"/>
      <c r="Q250" s="5"/>
      <c r="R250" s="5"/>
      <c r="S250" s="5"/>
      <c r="T250" s="5"/>
      <c r="U250" s="5"/>
      <c r="V250" s="5"/>
      <c r="W250" s="5"/>
    </row>
    <row r="251">
      <c r="A251" s="5"/>
      <c r="B251" s="3"/>
      <c r="C251" s="5"/>
      <c r="D251" s="5"/>
      <c r="E251" s="5"/>
      <c r="F251" s="5"/>
      <c r="G251" s="5"/>
      <c r="H251" s="5"/>
      <c r="I251" s="5"/>
      <c r="J251" s="5"/>
      <c r="K251" s="5"/>
      <c r="L251" s="5"/>
      <c r="M251" s="5"/>
      <c r="N251" s="5"/>
      <c r="O251" s="5"/>
      <c r="P251" s="5"/>
      <c r="Q251" s="5"/>
      <c r="R251" s="5"/>
      <c r="S251" s="5"/>
      <c r="T251" s="5"/>
      <c r="U251" s="5"/>
      <c r="V251" s="5"/>
      <c r="W251" s="5"/>
    </row>
    <row r="252">
      <c r="A252" s="5"/>
      <c r="B252" s="3"/>
      <c r="C252" s="5"/>
      <c r="D252" s="5"/>
      <c r="E252" s="5"/>
      <c r="F252" s="5"/>
      <c r="G252" s="5"/>
      <c r="H252" s="5"/>
      <c r="I252" s="5"/>
      <c r="J252" s="5"/>
      <c r="K252" s="5"/>
      <c r="L252" s="5"/>
      <c r="M252" s="5"/>
      <c r="N252" s="5"/>
      <c r="O252" s="5"/>
      <c r="P252" s="5"/>
      <c r="Q252" s="5"/>
      <c r="R252" s="5"/>
      <c r="S252" s="5"/>
      <c r="T252" s="5"/>
      <c r="U252" s="5"/>
      <c r="V252" s="5"/>
      <c r="W252" s="5"/>
    </row>
    <row r="253">
      <c r="A253" s="5"/>
      <c r="B253" s="3"/>
      <c r="C253" s="5"/>
      <c r="D253" s="5"/>
      <c r="E253" s="5"/>
      <c r="F253" s="5"/>
      <c r="G253" s="5"/>
      <c r="H253" s="5"/>
      <c r="I253" s="5"/>
      <c r="J253" s="5"/>
      <c r="K253" s="5"/>
      <c r="L253" s="5"/>
      <c r="M253" s="5"/>
      <c r="N253" s="5"/>
      <c r="O253" s="5"/>
      <c r="P253" s="5"/>
      <c r="Q253" s="5"/>
      <c r="R253" s="5"/>
      <c r="S253" s="5"/>
      <c r="T253" s="5"/>
      <c r="U253" s="5"/>
      <c r="V253" s="5"/>
      <c r="W253" s="5"/>
    </row>
    <row r="254">
      <c r="A254" s="5"/>
      <c r="B254" s="3"/>
      <c r="C254" s="5"/>
      <c r="D254" s="5"/>
      <c r="E254" s="5"/>
      <c r="F254" s="5"/>
      <c r="G254" s="5"/>
      <c r="H254" s="5"/>
      <c r="I254" s="5"/>
      <c r="J254" s="5"/>
      <c r="K254" s="5"/>
      <c r="L254" s="5"/>
      <c r="M254" s="5"/>
      <c r="N254" s="5"/>
      <c r="O254" s="5"/>
      <c r="P254" s="5"/>
      <c r="Q254" s="5"/>
      <c r="R254" s="5"/>
      <c r="S254" s="5"/>
      <c r="T254" s="5"/>
      <c r="U254" s="5"/>
      <c r="V254" s="5"/>
      <c r="W254" s="5"/>
    </row>
    <row r="255">
      <c r="A255" s="5"/>
      <c r="B255" s="3"/>
      <c r="C255" s="5"/>
      <c r="D255" s="5"/>
      <c r="E255" s="5"/>
      <c r="F255" s="5"/>
      <c r="G255" s="5"/>
      <c r="H255" s="5"/>
      <c r="I255" s="5"/>
      <c r="J255" s="5"/>
      <c r="K255" s="5"/>
      <c r="L255" s="5"/>
      <c r="M255" s="5"/>
      <c r="N255" s="5"/>
      <c r="O255" s="5"/>
      <c r="P255" s="5"/>
      <c r="Q255" s="5"/>
      <c r="R255" s="5"/>
      <c r="S255" s="5"/>
      <c r="T255" s="5"/>
      <c r="U255" s="5"/>
      <c r="V255" s="5"/>
      <c r="W255" s="5"/>
    </row>
    <row r="256">
      <c r="A256" s="5"/>
      <c r="B256" s="3"/>
      <c r="C256" s="5"/>
      <c r="D256" s="5"/>
      <c r="E256" s="5"/>
      <c r="F256" s="5"/>
      <c r="G256" s="5"/>
      <c r="H256" s="5"/>
      <c r="I256" s="5"/>
      <c r="J256" s="5"/>
      <c r="K256" s="5"/>
      <c r="L256" s="5"/>
      <c r="M256" s="5"/>
      <c r="N256" s="5"/>
      <c r="O256" s="5"/>
      <c r="P256" s="5"/>
      <c r="Q256" s="5"/>
      <c r="R256" s="5"/>
      <c r="S256" s="5"/>
      <c r="T256" s="5"/>
      <c r="U256" s="5"/>
      <c r="V256" s="5"/>
      <c r="W256" s="5"/>
    </row>
    <row r="257">
      <c r="A257" s="5"/>
      <c r="B257" s="3"/>
      <c r="C257" s="5"/>
      <c r="D257" s="5"/>
      <c r="E257" s="5"/>
      <c r="F257" s="5"/>
      <c r="G257" s="5"/>
      <c r="H257" s="5"/>
      <c r="I257" s="5"/>
      <c r="J257" s="5"/>
      <c r="K257" s="5"/>
      <c r="L257" s="5"/>
      <c r="M257" s="5"/>
      <c r="N257" s="5"/>
      <c r="O257" s="5"/>
      <c r="P257" s="5"/>
      <c r="Q257" s="5"/>
      <c r="R257" s="5"/>
      <c r="S257" s="5"/>
      <c r="T257" s="5"/>
      <c r="U257" s="5"/>
      <c r="V257" s="5"/>
      <c r="W257" s="5"/>
    </row>
    <row r="258">
      <c r="A258" s="5"/>
      <c r="B258" s="3"/>
      <c r="C258" s="5"/>
      <c r="D258" s="5"/>
      <c r="E258" s="5"/>
      <c r="F258" s="5"/>
      <c r="G258" s="5"/>
      <c r="H258" s="5"/>
      <c r="I258" s="5"/>
      <c r="J258" s="5"/>
      <c r="K258" s="5"/>
      <c r="L258" s="5"/>
      <c r="M258" s="5"/>
      <c r="N258" s="5"/>
      <c r="O258" s="5"/>
      <c r="P258" s="5"/>
      <c r="Q258" s="5"/>
      <c r="R258" s="5"/>
      <c r="S258" s="5"/>
      <c r="T258" s="5"/>
      <c r="U258" s="5"/>
      <c r="V258" s="5"/>
      <c r="W258" s="5"/>
    </row>
    <row r="259">
      <c r="A259" s="5"/>
      <c r="B259" s="3"/>
      <c r="C259" s="5"/>
      <c r="D259" s="5"/>
      <c r="E259" s="5"/>
      <c r="F259" s="5"/>
      <c r="G259" s="5"/>
      <c r="H259" s="5"/>
      <c r="I259" s="5"/>
      <c r="J259" s="5"/>
      <c r="K259" s="5"/>
      <c r="L259" s="5"/>
      <c r="M259" s="5"/>
      <c r="N259" s="5"/>
      <c r="O259" s="5"/>
      <c r="P259" s="5"/>
      <c r="Q259" s="5"/>
      <c r="R259" s="5"/>
      <c r="S259" s="5"/>
      <c r="T259" s="5"/>
      <c r="U259" s="5"/>
      <c r="V259" s="5"/>
      <c r="W259" s="5"/>
    </row>
    <row r="260">
      <c r="A260" s="5"/>
      <c r="B260" s="3"/>
      <c r="C260" s="5"/>
      <c r="D260" s="5"/>
      <c r="E260" s="5"/>
      <c r="F260" s="5"/>
      <c r="G260" s="5"/>
      <c r="H260" s="5"/>
      <c r="I260" s="5"/>
      <c r="J260" s="5"/>
      <c r="K260" s="5"/>
      <c r="L260" s="5"/>
      <c r="M260" s="5"/>
      <c r="N260" s="5"/>
      <c r="O260" s="5"/>
      <c r="P260" s="5"/>
      <c r="Q260" s="5"/>
      <c r="R260" s="5"/>
      <c r="S260" s="5"/>
      <c r="T260" s="5"/>
      <c r="U260" s="5"/>
      <c r="V260" s="5"/>
      <c r="W260" s="5"/>
    </row>
    <row r="261">
      <c r="A261" s="5"/>
      <c r="B261" s="3"/>
      <c r="C261" s="5"/>
      <c r="D261" s="5"/>
      <c r="E261" s="5"/>
      <c r="F261" s="5"/>
      <c r="G261" s="5"/>
      <c r="H261" s="5"/>
      <c r="I261" s="5"/>
      <c r="J261" s="5"/>
      <c r="K261" s="5"/>
      <c r="L261" s="5"/>
      <c r="M261" s="5"/>
      <c r="N261" s="5"/>
      <c r="O261" s="5"/>
      <c r="P261" s="5"/>
      <c r="Q261" s="5"/>
      <c r="R261" s="5"/>
      <c r="S261" s="5"/>
      <c r="T261" s="5"/>
      <c r="U261" s="5"/>
      <c r="V261" s="5"/>
      <c r="W261" s="5"/>
    </row>
    <row r="262">
      <c r="A262" s="5"/>
      <c r="B262" s="3"/>
      <c r="C262" s="5"/>
      <c r="D262" s="5"/>
      <c r="E262" s="5"/>
      <c r="F262" s="5"/>
      <c r="G262" s="5"/>
      <c r="H262" s="5"/>
      <c r="I262" s="5"/>
      <c r="J262" s="5"/>
      <c r="K262" s="5"/>
      <c r="L262" s="5"/>
      <c r="M262" s="5"/>
      <c r="N262" s="5"/>
      <c r="O262" s="5"/>
      <c r="P262" s="5"/>
      <c r="Q262" s="5"/>
      <c r="R262" s="5"/>
      <c r="S262" s="5"/>
      <c r="T262" s="5"/>
      <c r="U262" s="5"/>
      <c r="V262" s="5"/>
      <c r="W262" s="5"/>
    </row>
    <row r="263">
      <c r="A263" s="5"/>
      <c r="B263" s="3"/>
      <c r="C263" s="5"/>
      <c r="D263" s="5"/>
      <c r="E263" s="5"/>
      <c r="F263" s="5"/>
      <c r="G263" s="5"/>
      <c r="H263" s="5"/>
      <c r="I263" s="5"/>
      <c r="J263" s="5"/>
      <c r="K263" s="5"/>
      <c r="L263" s="5"/>
      <c r="M263" s="5"/>
      <c r="N263" s="5"/>
      <c r="O263" s="5"/>
      <c r="P263" s="5"/>
      <c r="Q263" s="5"/>
      <c r="R263" s="5"/>
      <c r="S263" s="5"/>
      <c r="T263" s="5"/>
      <c r="U263" s="5"/>
      <c r="V263" s="5"/>
      <c r="W263" s="5"/>
    </row>
    <row r="264">
      <c r="A264" s="5"/>
      <c r="B264" s="3"/>
      <c r="C264" s="5"/>
      <c r="D264" s="5"/>
      <c r="E264" s="5"/>
      <c r="F264" s="5"/>
      <c r="G264" s="5"/>
      <c r="H264" s="5"/>
      <c r="I264" s="5"/>
      <c r="J264" s="5"/>
      <c r="K264" s="5"/>
      <c r="L264" s="5"/>
      <c r="M264" s="5"/>
      <c r="N264" s="5"/>
      <c r="O264" s="5"/>
      <c r="P264" s="5"/>
      <c r="Q264" s="5"/>
      <c r="R264" s="5"/>
      <c r="S264" s="5"/>
      <c r="T264" s="5"/>
      <c r="U264" s="5"/>
      <c r="V264" s="5"/>
      <c r="W264" s="5"/>
    </row>
    <row r="265">
      <c r="A265" s="5"/>
      <c r="B265" s="3"/>
      <c r="C265" s="5"/>
      <c r="D265" s="5"/>
      <c r="E265" s="5"/>
      <c r="F265" s="5"/>
      <c r="G265" s="5"/>
      <c r="H265" s="5"/>
      <c r="I265" s="5"/>
      <c r="J265" s="5"/>
      <c r="K265" s="5"/>
      <c r="L265" s="5"/>
      <c r="M265" s="5"/>
      <c r="N265" s="5"/>
      <c r="O265" s="5"/>
      <c r="P265" s="5"/>
      <c r="Q265" s="5"/>
      <c r="R265" s="5"/>
      <c r="S265" s="5"/>
      <c r="T265" s="5"/>
      <c r="U265" s="5"/>
      <c r="V265" s="5"/>
      <c r="W265" s="5"/>
    </row>
    <row r="266">
      <c r="A266" s="5"/>
      <c r="B266" s="3"/>
      <c r="C266" s="5"/>
      <c r="D266" s="5"/>
      <c r="E266" s="5"/>
      <c r="F266" s="5"/>
      <c r="G266" s="5"/>
      <c r="H266" s="5"/>
      <c r="I266" s="5"/>
      <c r="J266" s="5"/>
      <c r="K266" s="5"/>
      <c r="L266" s="5"/>
      <c r="M266" s="5"/>
      <c r="N266" s="5"/>
      <c r="O266" s="5"/>
      <c r="P266" s="5"/>
      <c r="Q266" s="5"/>
      <c r="R266" s="5"/>
      <c r="S266" s="5"/>
      <c r="T266" s="5"/>
      <c r="U266" s="5"/>
      <c r="V266" s="5"/>
      <c r="W266" s="5"/>
    </row>
    <row r="267">
      <c r="A267" s="5"/>
      <c r="B267" s="3"/>
      <c r="C267" s="5"/>
      <c r="D267" s="5"/>
      <c r="E267" s="5"/>
      <c r="F267" s="5"/>
      <c r="G267" s="5"/>
      <c r="H267" s="5"/>
      <c r="I267" s="5"/>
      <c r="J267" s="5"/>
      <c r="K267" s="5"/>
      <c r="L267" s="5"/>
      <c r="M267" s="5"/>
      <c r="N267" s="5"/>
      <c r="O267" s="5"/>
      <c r="P267" s="5"/>
      <c r="Q267" s="5"/>
      <c r="R267" s="5"/>
      <c r="S267" s="5"/>
      <c r="T267" s="5"/>
      <c r="U267" s="5"/>
      <c r="V267" s="5"/>
      <c r="W267" s="5"/>
    </row>
    <row r="268">
      <c r="A268" s="5"/>
      <c r="B268" s="3"/>
      <c r="C268" s="5"/>
      <c r="D268" s="5"/>
      <c r="E268" s="5"/>
      <c r="F268" s="5"/>
      <c r="G268" s="5"/>
      <c r="H268" s="5"/>
      <c r="I268" s="5"/>
      <c r="J268" s="5"/>
      <c r="K268" s="5"/>
      <c r="L268" s="5"/>
      <c r="M268" s="5"/>
      <c r="N268" s="5"/>
      <c r="O268" s="5"/>
      <c r="P268" s="5"/>
      <c r="Q268" s="5"/>
      <c r="R268" s="5"/>
      <c r="S268" s="5"/>
      <c r="T268" s="5"/>
      <c r="U268" s="5"/>
      <c r="V268" s="5"/>
      <c r="W268" s="5"/>
    </row>
    <row r="269">
      <c r="A269" s="5"/>
      <c r="B269" s="3"/>
      <c r="C269" s="5"/>
      <c r="D269" s="5"/>
      <c r="E269" s="5"/>
      <c r="F269" s="5"/>
      <c r="G269" s="5"/>
      <c r="H269" s="5"/>
      <c r="I269" s="5"/>
      <c r="J269" s="5"/>
      <c r="K269" s="5"/>
      <c r="L269" s="5"/>
      <c r="M269" s="5"/>
      <c r="N269" s="5"/>
      <c r="O269" s="5"/>
      <c r="P269" s="5"/>
      <c r="Q269" s="5"/>
      <c r="R269" s="5"/>
      <c r="S269" s="5"/>
      <c r="T269" s="5"/>
      <c r="U269" s="5"/>
      <c r="V269" s="5"/>
      <c r="W269" s="5"/>
    </row>
    <row r="270">
      <c r="A270" s="5"/>
      <c r="B270" s="3"/>
      <c r="C270" s="5"/>
      <c r="D270" s="5"/>
      <c r="E270" s="5"/>
      <c r="F270" s="5"/>
      <c r="G270" s="5"/>
      <c r="H270" s="5"/>
      <c r="I270" s="5"/>
      <c r="J270" s="5"/>
      <c r="K270" s="5"/>
      <c r="L270" s="5"/>
      <c r="M270" s="5"/>
      <c r="N270" s="5"/>
      <c r="O270" s="5"/>
      <c r="P270" s="5"/>
      <c r="Q270" s="5"/>
      <c r="R270" s="5"/>
      <c r="S270" s="5"/>
      <c r="T270" s="5"/>
      <c r="U270" s="5"/>
      <c r="V270" s="5"/>
      <c r="W270" s="5"/>
    </row>
    <row r="271">
      <c r="A271" s="5"/>
      <c r="B271" s="3"/>
      <c r="C271" s="5"/>
      <c r="D271" s="5"/>
      <c r="E271" s="5"/>
      <c r="F271" s="5"/>
      <c r="G271" s="5"/>
      <c r="H271" s="5"/>
      <c r="I271" s="5"/>
      <c r="J271" s="5"/>
      <c r="K271" s="5"/>
      <c r="L271" s="5"/>
      <c r="M271" s="5"/>
      <c r="N271" s="5"/>
      <c r="O271" s="5"/>
      <c r="P271" s="5"/>
      <c r="Q271" s="5"/>
      <c r="R271" s="5"/>
      <c r="S271" s="5"/>
      <c r="T271" s="5"/>
      <c r="U271" s="5"/>
      <c r="V271" s="5"/>
      <c r="W271" s="5"/>
    </row>
    <row r="272">
      <c r="A272" s="5"/>
      <c r="B272" s="3"/>
      <c r="C272" s="5"/>
      <c r="D272" s="5"/>
      <c r="E272" s="5"/>
      <c r="F272" s="5"/>
      <c r="G272" s="5"/>
      <c r="H272" s="5"/>
      <c r="I272" s="5"/>
      <c r="J272" s="5"/>
      <c r="K272" s="5"/>
      <c r="L272" s="5"/>
      <c r="M272" s="5"/>
      <c r="N272" s="5"/>
      <c r="O272" s="5"/>
      <c r="P272" s="5"/>
      <c r="Q272" s="5"/>
      <c r="R272" s="5"/>
      <c r="S272" s="5"/>
      <c r="T272" s="5"/>
      <c r="U272" s="5"/>
      <c r="V272" s="5"/>
      <c r="W272" s="5"/>
    </row>
    <row r="273">
      <c r="A273" s="5"/>
      <c r="B273" s="3"/>
      <c r="C273" s="5"/>
      <c r="D273" s="5"/>
      <c r="E273" s="5"/>
      <c r="F273" s="5"/>
      <c r="G273" s="5"/>
      <c r="H273" s="5"/>
      <c r="I273" s="5"/>
      <c r="J273" s="5"/>
      <c r="K273" s="5"/>
      <c r="L273" s="5"/>
      <c r="M273" s="5"/>
      <c r="N273" s="5"/>
      <c r="O273" s="5"/>
      <c r="P273" s="5"/>
      <c r="Q273" s="5"/>
      <c r="R273" s="5"/>
      <c r="S273" s="5"/>
      <c r="T273" s="5"/>
      <c r="U273" s="5"/>
      <c r="V273" s="5"/>
      <c r="W273" s="5"/>
    </row>
    <row r="274">
      <c r="A274" s="5"/>
      <c r="B274" s="3"/>
      <c r="C274" s="5"/>
      <c r="D274" s="5"/>
      <c r="E274" s="5"/>
      <c r="F274" s="5"/>
      <c r="G274" s="5"/>
      <c r="H274" s="5"/>
      <c r="I274" s="5"/>
      <c r="J274" s="5"/>
      <c r="K274" s="5"/>
      <c r="L274" s="5"/>
      <c r="M274" s="5"/>
      <c r="N274" s="5"/>
      <c r="O274" s="5"/>
      <c r="P274" s="5"/>
      <c r="Q274" s="5"/>
      <c r="R274" s="5"/>
      <c r="S274" s="5"/>
      <c r="T274" s="5"/>
      <c r="U274" s="5"/>
      <c r="V274" s="5"/>
      <c r="W274" s="5"/>
    </row>
    <row r="275">
      <c r="A275" s="5"/>
      <c r="B275" s="3"/>
      <c r="C275" s="5"/>
      <c r="D275" s="5"/>
      <c r="E275" s="5"/>
      <c r="F275" s="5"/>
      <c r="G275" s="5"/>
      <c r="H275" s="5"/>
      <c r="I275" s="5"/>
      <c r="J275" s="5"/>
      <c r="K275" s="5"/>
      <c r="L275" s="5"/>
      <c r="M275" s="5"/>
      <c r="N275" s="5"/>
      <c r="O275" s="5"/>
      <c r="P275" s="5"/>
      <c r="Q275" s="5"/>
      <c r="R275" s="5"/>
      <c r="S275" s="5"/>
      <c r="T275" s="5"/>
      <c r="U275" s="5"/>
      <c r="V275" s="5"/>
      <c r="W275" s="5"/>
    </row>
    <row r="276">
      <c r="A276" s="5"/>
      <c r="B276" s="3"/>
      <c r="C276" s="5"/>
      <c r="D276" s="5"/>
      <c r="E276" s="5"/>
      <c r="F276" s="5"/>
      <c r="G276" s="5"/>
      <c r="H276" s="5"/>
      <c r="I276" s="5"/>
      <c r="J276" s="5"/>
      <c r="K276" s="5"/>
      <c r="L276" s="5"/>
      <c r="M276" s="5"/>
      <c r="N276" s="5"/>
      <c r="O276" s="5"/>
      <c r="P276" s="5"/>
      <c r="Q276" s="5"/>
      <c r="R276" s="5"/>
      <c r="S276" s="5"/>
      <c r="T276" s="5"/>
      <c r="U276" s="5"/>
      <c r="V276" s="5"/>
      <c r="W276" s="5"/>
    </row>
    <row r="277">
      <c r="A277" s="5"/>
      <c r="B277" s="3"/>
      <c r="C277" s="5"/>
      <c r="D277" s="5"/>
      <c r="E277" s="5"/>
      <c r="F277" s="5"/>
      <c r="G277" s="5"/>
      <c r="H277" s="5"/>
      <c r="I277" s="5"/>
      <c r="J277" s="5"/>
      <c r="K277" s="5"/>
      <c r="L277" s="5"/>
      <c r="M277" s="5"/>
      <c r="N277" s="5"/>
      <c r="O277" s="5"/>
      <c r="P277" s="5"/>
      <c r="Q277" s="5"/>
      <c r="R277" s="5"/>
      <c r="S277" s="5"/>
      <c r="T277" s="5"/>
      <c r="U277" s="5"/>
      <c r="V277" s="5"/>
      <c r="W277" s="5"/>
    </row>
    <row r="278">
      <c r="A278" s="5"/>
      <c r="B278" s="3"/>
      <c r="C278" s="5"/>
      <c r="D278" s="5"/>
      <c r="E278" s="5"/>
      <c r="F278" s="5"/>
      <c r="G278" s="5"/>
      <c r="H278" s="5"/>
      <c r="I278" s="5"/>
      <c r="J278" s="5"/>
      <c r="K278" s="5"/>
      <c r="L278" s="5"/>
      <c r="M278" s="5"/>
      <c r="N278" s="5"/>
      <c r="O278" s="5"/>
      <c r="P278" s="5"/>
      <c r="Q278" s="5"/>
      <c r="R278" s="5"/>
      <c r="S278" s="5"/>
      <c r="T278" s="5"/>
      <c r="U278" s="5"/>
      <c r="V278" s="5"/>
      <c r="W278" s="5"/>
    </row>
    <row r="279">
      <c r="A279" s="5"/>
      <c r="B279" s="3"/>
      <c r="C279" s="5"/>
      <c r="D279" s="5"/>
      <c r="E279" s="5"/>
      <c r="F279" s="5"/>
      <c r="G279" s="5"/>
      <c r="H279" s="5"/>
      <c r="I279" s="5"/>
      <c r="J279" s="5"/>
      <c r="K279" s="5"/>
      <c r="L279" s="5"/>
      <c r="M279" s="5"/>
      <c r="N279" s="5"/>
      <c r="O279" s="5"/>
      <c r="P279" s="5"/>
      <c r="Q279" s="5"/>
      <c r="R279" s="5"/>
      <c r="S279" s="5"/>
      <c r="T279" s="5"/>
      <c r="U279" s="5"/>
      <c r="V279" s="5"/>
      <c r="W279" s="5"/>
    </row>
    <row r="280">
      <c r="A280" s="5"/>
      <c r="B280" s="3"/>
      <c r="C280" s="5"/>
      <c r="D280" s="5"/>
      <c r="E280" s="5"/>
      <c r="F280" s="5"/>
      <c r="G280" s="5"/>
      <c r="H280" s="5"/>
      <c r="I280" s="5"/>
      <c r="J280" s="5"/>
      <c r="K280" s="5"/>
      <c r="L280" s="5"/>
      <c r="M280" s="5"/>
      <c r="N280" s="5"/>
      <c r="O280" s="5"/>
      <c r="P280" s="5"/>
      <c r="Q280" s="5"/>
      <c r="R280" s="5"/>
      <c r="S280" s="5"/>
      <c r="T280" s="5"/>
      <c r="U280" s="5"/>
      <c r="V280" s="5"/>
      <c r="W280" s="5"/>
    </row>
    <row r="281">
      <c r="A281" s="5"/>
      <c r="B281" s="3"/>
      <c r="C281" s="5"/>
      <c r="D281" s="5"/>
      <c r="E281" s="5"/>
      <c r="F281" s="5"/>
      <c r="G281" s="5"/>
      <c r="H281" s="5"/>
      <c r="I281" s="5"/>
      <c r="J281" s="5"/>
      <c r="K281" s="5"/>
      <c r="L281" s="5"/>
      <c r="M281" s="5"/>
      <c r="N281" s="5"/>
      <c r="O281" s="5"/>
      <c r="P281" s="5"/>
      <c r="Q281" s="5"/>
      <c r="R281" s="5"/>
      <c r="S281" s="5"/>
      <c r="T281" s="5"/>
      <c r="U281" s="5"/>
      <c r="V281" s="5"/>
      <c r="W281" s="5"/>
    </row>
    <row r="282">
      <c r="A282" s="5"/>
      <c r="B282" s="3"/>
      <c r="C282" s="5"/>
      <c r="D282" s="5"/>
      <c r="E282" s="5"/>
      <c r="F282" s="5"/>
      <c r="G282" s="5"/>
      <c r="H282" s="5"/>
      <c r="I282" s="5"/>
      <c r="J282" s="5"/>
      <c r="K282" s="5"/>
      <c r="L282" s="5"/>
      <c r="M282" s="5"/>
      <c r="N282" s="5"/>
      <c r="O282" s="5"/>
      <c r="P282" s="5"/>
      <c r="Q282" s="5"/>
      <c r="R282" s="5"/>
      <c r="S282" s="5"/>
      <c r="T282" s="5"/>
      <c r="U282" s="5"/>
      <c r="V282" s="5"/>
      <c r="W282" s="5"/>
    </row>
    <row r="283">
      <c r="A283" s="5"/>
      <c r="B283" s="3"/>
      <c r="C283" s="5"/>
      <c r="D283" s="5"/>
      <c r="E283" s="5"/>
      <c r="F283" s="5"/>
      <c r="G283" s="5"/>
      <c r="H283" s="5"/>
      <c r="I283" s="5"/>
      <c r="J283" s="5"/>
      <c r="K283" s="5"/>
      <c r="L283" s="5"/>
      <c r="M283" s="5"/>
      <c r="N283" s="5"/>
      <c r="O283" s="5"/>
      <c r="P283" s="5"/>
      <c r="Q283" s="5"/>
      <c r="R283" s="5"/>
      <c r="S283" s="5"/>
      <c r="T283" s="5"/>
      <c r="U283" s="5"/>
      <c r="V283" s="5"/>
      <c r="W283" s="5"/>
    </row>
    <row r="284">
      <c r="A284" s="5"/>
      <c r="B284" s="3"/>
      <c r="C284" s="5"/>
      <c r="D284" s="5"/>
      <c r="E284" s="5"/>
      <c r="F284" s="5"/>
      <c r="G284" s="5"/>
      <c r="H284" s="5"/>
      <c r="I284" s="5"/>
      <c r="J284" s="5"/>
      <c r="K284" s="5"/>
      <c r="L284" s="5"/>
      <c r="M284" s="5"/>
      <c r="N284" s="5"/>
      <c r="O284" s="5"/>
      <c r="P284" s="5"/>
      <c r="Q284" s="5"/>
      <c r="R284" s="5"/>
      <c r="S284" s="5"/>
      <c r="T284" s="5"/>
      <c r="U284" s="5"/>
      <c r="V284" s="5"/>
      <c r="W284" s="5"/>
    </row>
    <row r="285">
      <c r="A285" s="5"/>
      <c r="B285" s="3"/>
      <c r="C285" s="5"/>
      <c r="D285" s="5"/>
      <c r="E285" s="5"/>
      <c r="F285" s="5"/>
      <c r="G285" s="5"/>
      <c r="H285" s="5"/>
      <c r="I285" s="5"/>
      <c r="J285" s="5"/>
      <c r="K285" s="5"/>
      <c r="L285" s="5"/>
      <c r="M285" s="5"/>
      <c r="N285" s="5"/>
      <c r="O285" s="5"/>
      <c r="P285" s="5"/>
      <c r="Q285" s="5"/>
      <c r="R285" s="5"/>
      <c r="S285" s="5"/>
      <c r="T285" s="5"/>
      <c r="U285" s="5"/>
      <c r="V285" s="5"/>
      <c r="W285" s="5"/>
    </row>
    <row r="286">
      <c r="A286" s="5"/>
      <c r="B286" s="3"/>
      <c r="C286" s="5"/>
      <c r="D286" s="5"/>
      <c r="E286" s="5"/>
      <c r="F286" s="5"/>
      <c r="G286" s="5"/>
      <c r="H286" s="5"/>
      <c r="I286" s="5"/>
      <c r="J286" s="5"/>
      <c r="K286" s="5"/>
      <c r="L286" s="5"/>
      <c r="M286" s="5"/>
      <c r="N286" s="5"/>
      <c r="O286" s="5"/>
      <c r="P286" s="5"/>
      <c r="Q286" s="5"/>
      <c r="R286" s="5"/>
      <c r="S286" s="5"/>
      <c r="T286" s="5"/>
      <c r="U286" s="5"/>
      <c r="V286" s="5"/>
      <c r="W286" s="5"/>
    </row>
    <row r="287">
      <c r="A287" s="5"/>
      <c r="B287" s="3"/>
      <c r="C287" s="5"/>
      <c r="D287" s="5"/>
      <c r="E287" s="5"/>
      <c r="F287" s="5"/>
      <c r="G287" s="5"/>
      <c r="H287" s="5"/>
      <c r="I287" s="5"/>
      <c r="J287" s="5"/>
      <c r="K287" s="5"/>
      <c r="L287" s="5"/>
      <c r="M287" s="5"/>
      <c r="N287" s="5"/>
      <c r="O287" s="5"/>
      <c r="P287" s="5"/>
      <c r="Q287" s="5"/>
      <c r="R287" s="5"/>
      <c r="S287" s="5"/>
      <c r="T287" s="5"/>
      <c r="U287" s="5"/>
      <c r="V287" s="5"/>
      <c r="W287" s="5"/>
    </row>
    <row r="288">
      <c r="A288" s="5"/>
      <c r="B288" s="3"/>
      <c r="C288" s="5"/>
      <c r="D288" s="5"/>
      <c r="E288" s="5"/>
      <c r="F288" s="5"/>
      <c r="G288" s="5"/>
      <c r="H288" s="5"/>
      <c r="I288" s="5"/>
      <c r="J288" s="5"/>
      <c r="K288" s="5"/>
      <c r="L288" s="5"/>
      <c r="M288" s="5"/>
      <c r="N288" s="5"/>
      <c r="O288" s="5"/>
      <c r="P288" s="5"/>
      <c r="Q288" s="5"/>
      <c r="R288" s="5"/>
      <c r="S288" s="5"/>
      <c r="T288" s="5"/>
      <c r="U288" s="5"/>
      <c r="V288" s="5"/>
      <c r="W288" s="5"/>
    </row>
    <row r="289">
      <c r="A289" s="5"/>
      <c r="B289" s="3"/>
      <c r="C289" s="5"/>
      <c r="D289" s="5"/>
      <c r="E289" s="5"/>
      <c r="F289" s="5"/>
      <c r="G289" s="5"/>
      <c r="H289" s="5"/>
      <c r="I289" s="5"/>
      <c r="J289" s="5"/>
      <c r="K289" s="5"/>
      <c r="L289" s="5"/>
      <c r="M289" s="5"/>
      <c r="N289" s="5"/>
      <c r="O289" s="5"/>
      <c r="P289" s="5"/>
      <c r="Q289" s="5"/>
      <c r="R289" s="5"/>
      <c r="S289" s="5"/>
      <c r="T289" s="5"/>
      <c r="U289" s="5"/>
      <c r="V289" s="5"/>
      <c r="W289" s="5"/>
    </row>
    <row r="290">
      <c r="A290" s="5"/>
      <c r="B290" s="3"/>
      <c r="C290" s="5"/>
      <c r="D290" s="5"/>
      <c r="E290" s="5"/>
      <c r="F290" s="5"/>
      <c r="G290" s="5"/>
      <c r="H290" s="5"/>
      <c r="I290" s="5"/>
      <c r="J290" s="5"/>
      <c r="K290" s="5"/>
      <c r="L290" s="5"/>
      <c r="M290" s="5"/>
      <c r="N290" s="5"/>
      <c r="O290" s="5"/>
      <c r="P290" s="5"/>
      <c r="Q290" s="5"/>
      <c r="R290" s="5"/>
      <c r="S290" s="5"/>
      <c r="T290" s="5"/>
      <c r="U290" s="5"/>
      <c r="V290" s="5"/>
      <c r="W290" s="5"/>
    </row>
    <row r="291">
      <c r="A291" s="5"/>
      <c r="B291" s="3"/>
      <c r="C291" s="5"/>
      <c r="D291" s="5"/>
      <c r="E291" s="5"/>
      <c r="F291" s="5"/>
      <c r="G291" s="5"/>
      <c r="H291" s="5"/>
      <c r="I291" s="5"/>
      <c r="J291" s="5"/>
      <c r="K291" s="5"/>
      <c r="L291" s="5"/>
      <c r="M291" s="5"/>
      <c r="N291" s="5"/>
      <c r="O291" s="5"/>
      <c r="P291" s="5"/>
      <c r="Q291" s="5"/>
      <c r="R291" s="5"/>
      <c r="S291" s="5"/>
      <c r="T291" s="5"/>
      <c r="U291" s="5"/>
      <c r="V291" s="5"/>
      <c r="W291" s="5"/>
    </row>
    <row r="292">
      <c r="A292" s="5"/>
      <c r="B292" s="3"/>
      <c r="C292" s="5"/>
      <c r="D292" s="5"/>
      <c r="E292" s="5"/>
      <c r="F292" s="5"/>
      <c r="G292" s="5"/>
      <c r="H292" s="5"/>
      <c r="I292" s="5"/>
      <c r="J292" s="5"/>
      <c r="K292" s="5"/>
      <c r="L292" s="5"/>
      <c r="M292" s="5"/>
      <c r="N292" s="5"/>
      <c r="O292" s="5"/>
      <c r="P292" s="5"/>
      <c r="Q292" s="5"/>
      <c r="R292" s="5"/>
      <c r="S292" s="5"/>
      <c r="T292" s="5"/>
      <c r="U292" s="5"/>
      <c r="V292" s="5"/>
      <c r="W292" s="5"/>
    </row>
    <row r="293">
      <c r="A293" s="5"/>
      <c r="B293" s="3"/>
      <c r="C293" s="5"/>
      <c r="D293" s="5"/>
      <c r="E293" s="5"/>
      <c r="F293" s="5"/>
      <c r="G293" s="5"/>
      <c r="H293" s="5"/>
      <c r="I293" s="5"/>
      <c r="J293" s="5"/>
      <c r="K293" s="5"/>
      <c r="L293" s="5"/>
      <c r="M293" s="5"/>
      <c r="N293" s="5"/>
      <c r="O293" s="5"/>
      <c r="P293" s="5"/>
      <c r="Q293" s="5"/>
      <c r="R293" s="5"/>
      <c r="S293" s="5"/>
      <c r="T293" s="5"/>
      <c r="U293" s="5"/>
      <c r="V293" s="5"/>
      <c r="W293" s="5"/>
    </row>
    <row r="294">
      <c r="A294" s="5"/>
      <c r="B294" s="3"/>
      <c r="C294" s="5"/>
      <c r="D294" s="5"/>
      <c r="E294" s="5"/>
      <c r="F294" s="5"/>
      <c r="G294" s="5"/>
      <c r="H294" s="5"/>
      <c r="I294" s="5"/>
      <c r="J294" s="5"/>
      <c r="K294" s="5"/>
      <c r="L294" s="5"/>
      <c r="M294" s="5"/>
      <c r="N294" s="5"/>
      <c r="O294" s="5"/>
      <c r="P294" s="5"/>
      <c r="Q294" s="5"/>
      <c r="R294" s="5"/>
      <c r="S294" s="5"/>
      <c r="T294" s="5"/>
      <c r="U294" s="5"/>
      <c r="V294" s="5"/>
      <c r="W294" s="5"/>
    </row>
    <row r="295">
      <c r="A295" s="5"/>
      <c r="B295" s="3"/>
      <c r="C295" s="5"/>
      <c r="D295" s="5"/>
      <c r="E295" s="5"/>
      <c r="F295" s="5"/>
      <c r="G295" s="5"/>
      <c r="H295" s="5"/>
      <c r="I295" s="5"/>
      <c r="J295" s="5"/>
      <c r="K295" s="5"/>
      <c r="L295" s="5"/>
      <c r="M295" s="5"/>
      <c r="N295" s="5"/>
      <c r="O295" s="5"/>
      <c r="P295" s="5"/>
      <c r="Q295" s="5"/>
      <c r="R295" s="5"/>
      <c r="S295" s="5"/>
      <c r="T295" s="5"/>
      <c r="U295" s="5"/>
      <c r="V295" s="5"/>
      <c r="W295" s="5"/>
    </row>
    <row r="296">
      <c r="A296" s="5"/>
      <c r="B296" s="3"/>
      <c r="C296" s="5"/>
      <c r="D296" s="5"/>
      <c r="E296" s="5"/>
      <c r="F296" s="5"/>
      <c r="G296" s="5"/>
      <c r="H296" s="5"/>
      <c r="I296" s="5"/>
      <c r="J296" s="5"/>
      <c r="K296" s="5"/>
      <c r="L296" s="5"/>
      <c r="M296" s="5"/>
      <c r="N296" s="5"/>
      <c r="O296" s="5"/>
      <c r="P296" s="5"/>
      <c r="Q296" s="5"/>
      <c r="R296" s="5"/>
      <c r="S296" s="5"/>
      <c r="T296" s="5"/>
      <c r="U296" s="5"/>
      <c r="V296" s="5"/>
      <c r="W296" s="5"/>
    </row>
    <row r="297">
      <c r="A297" s="5"/>
      <c r="B297" s="3"/>
      <c r="C297" s="5"/>
      <c r="D297" s="5"/>
      <c r="E297" s="5"/>
      <c r="F297" s="5"/>
      <c r="G297" s="5"/>
      <c r="H297" s="5"/>
      <c r="I297" s="5"/>
      <c r="J297" s="5"/>
      <c r="K297" s="5"/>
      <c r="L297" s="5"/>
      <c r="M297" s="5"/>
      <c r="N297" s="5"/>
      <c r="O297" s="5"/>
      <c r="P297" s="5"/>
      <c r="Q297" s="5"/>
      <c r="R297" s="5"/>
      <c r="S297" s="5"/>
      <c r="T297" s="5"/>
      <c r="U297" s="5"/>
      <c r="V297" s="5"/>
      <c r="W297" s="5"/>
    </row>
    <row r="298">
      <c r="A298" s="5"/>
      <c r="B298" s="3"/>
      <c r="C298" s="5"/>
      <c r="D298" s="5"/>
      <c r="E298" s="5"/>
      <c r="F298" s="5"/>
      <c r="G298" s="5"/>
      <c r="H298" s="5"/>
      <c r="I298" s="5"/>
      <c r="J298" s="5"/>
      <c r="K298" s="5"/>
      <c r="L298" s="5"/>
      <c r="M298" s="5"/>
      <c r="N298" s="5"/>
      <c r="O298" s="5"/>
      <c r="P298" s="5"/>
      <c r="Q298" s="5"/>
      <c r="R298" s="5"/>
      <c r="S298" s="5"/>
      <c r="T298" s="5"/>
      <c r="U298" s="5"/>
      <c r="V298" s="5"/>
      <c r="W298" s="5"/>
    </row>
    <row r="299">
      <c r="A299" s="5"/>
      <c r="B299" s="3"/>
      <c r="C299" s="5"/>
      <c r="D299" s="5"/>
      <c r="E299" s="5"/>
      <c r="F299" s="5"/>
      <c r="G299" s="5"/>
      <c r="H299" s="5"/>
      <c r="I299" s="5"/>
      <c r="J299" s="5"/>
      <c r="K299" s="5"/>
      <c r="L299" s="5"/>
      <c r="M299" s="5"/>
      <c r="N299" s="5"/>
      <c r="O299" s="5"/>
      <c r="P299" s="5"/>
      <c r="Q299" s="5"/>
      <c r="R299" s="5"/>
      <c r="S299" s="5"/>
      <c r="T299" s="5"/>
      <c r="U299" s="5"/>
      <c r="V299" s="5"/>
      <c r="W299" s="5"/>
    </row>
    <row r="300">
      <c r="A300" s="5"/>
      <c r="B300" s="3"/>
      <c r="C300" s="5"/>
      <c r="D300" s="5"/>
      <c r="E300" s="5"/>
      <c r="F300" s="5"/>
      <c r="G300" s="5"/>
      <c r="H300" s="5"/>
      <c r="I300" s="5"/>
      <c r="J300" s="5"/>
      <c r="K300" s="5"/>
      <c r="L300" s="5"/>
      <c r="M300" s="5"/>
      <c r="N300" s="5"/>
      <c r="O300" s="5"/>
      <c r="P300" s="5"/>
      <c r="Q300" s="5"/>
      <c r="R300" s="5"/>
      <c r="S300" s="5"/>
      <c r="T300" s="5"/>
      <c r="U300" s="5"/>
      <c r="V300" s="5"/>
      <c r="W300" s="5"/>
    </row>
    <row r="301">
      <c r="A301" s="5"/>
      <c r="B301" s="3"/>
      <c r="C301" s="5"/>
      <c r="D301" s="5"/>
      <c r="E301" s="5"/>
      <c r="F301" s="5"/>
      <c r="G301" s="5"/>
      <c r="H301" s="5"/>
      <c r="I301" s="5"/>
      <c r="J301" s="5"/>
      <c r="K301" s="5"/>
      <c r="L301" s="5"/>
      <c r="M301" s="5"/>
      <c r="N301" s="5"/>
      <c r="O301" s="5"/>
      <c r="P301" s="5"/>
      <c r="Q301" s="5"/>
      <c r="R301" s="5"/>
      <c r="S301" s="5"/>
      <c r="T301" s="5"/>
      <c r="U301" s="5"/>
      <c r="V301" s="5"/>
      <c r="W301" s="5"/>
    </row>
    <row r="302">
      <c r="A302" s="5"/>
      <c r="B302" s="3"/>
      <c r="C302" s="5"/>
      <c r="D302" s="5"/>
      <c r="E302" s="5"/>
      <c r="F302" s="5"/>
      <c r="G302" s="5"/>
      <c r="H302" s="5"/>
      <c r="I302" s="5"/>
      <c r="J302" s="5"/>
      <c r="K302" s="5"/>
      <c r="L302" s="5"/>
      <c r="M302" s="5"/>
      <c r="N302" s="5"/>
      <c r="O302" s="5"/>
      <c r="P302" s="5"/>
      <c r="Q302" s="5"/>
      <c r="R302" s="5"/>
      <c r="S302" s="5"/>
      <c r="T302" s="5"/>
      <c r="U302" s="5"/>
      <c r="V302" s="5"/>
      <c r="W302" s="5"/>
    </row>
    <row r="303">
      <c r="A303" s="5"/>
      <c r="B303" s="3"/>
      <c r="C303" s="5"/>
      <c r="D303" s="5"/>
      <c r="E303" s="5"/>
      <c r="F303" s="5"/>
      <c r="G303" s="5"/>
      <c r="H303" s="5"/>
      <c r="I303" s="5"/>
      <c r="J303" s="5"/>
      <c r="K303" s="5"/>
      <c r="L303" s="5"/>
      <c r="M303" s="5"/>
      <c r="N303" s="5"/>
      <c r="O303" s="5"/>
      <c r="P303" s="5"/>
      <c r="Q303" s="5"/>
      <c r="R303" s="5"/>
      <c r="S303" s="5"/>
      <c r="T303" s="5"/>
      <c r="U303" s="5"/>
      <c r="V303" s="5"/>
      <c r="W303" s="5"/>
    </row>
    <row r="304">
      <c r="A304" s="5"/>
      <c r="B304" s="3"/>
      <c r="C304" s="5"/>
      <c r="D304" s="5"/>
      <c r="E304" s="5"/>
      <c r="F304" s="5"/>
      <c r="G304" s="5"/>
      <c r="H304" s="5"/>
      <c r="I304" s="5"/>
      <c r="J304" s="5"/>
      <c r="K304" s="5"/>
      <c r="L304" s="5"/>
      <c r="M304" s="5"/>
      <c r="N304" s="5"/>
      <c r="O304" s="5"/>
      <c r="P304" s="5"/>
      <c r="Q304" s="5"/>
      <c r="R304" s="5"/>
      <c r="S304" s="5"/>
      <c r="T304" s="5"/>
      <c r="U304" s="5"/>
      <c r="V304" s="5"/>
      <c r="W304" s="5"/>
    </row>
    <row r="305">
      <c r="A305" s="5"/>
      <c r="B305" s="3"/>
      <c r="C305" s="5"/>
      <c r="D305" s="5"/>
      <c r="E305" s="5"/>
      <c r="F305" s="5"/>
      <c r="G305" s="5"/>
      <c r="H305" s="5"/>
      <c r="I305" s="5"/>
      <c r="J305" s="5"/>
      <c r="K305" s="5"/>
      <c r="L305" s="5"/>
      <c r="M305" s="5"/>
      <c r="N305" s="5"/>
      <c r="O305" s="5"/>
      <c r="P305" s="5"/>
      <c r="Q305" s="5"/>
      <c r="R305" s="5"/>
      <c r="S305" s="5"/>
      <c r="T305" s="5"/>
      <c r="U305" s="5"/>
      <c r="V305" s="5"/>
      <c r="W305" s="5"/>
    </row>
    <row r="306">
      <c r="A306" s="5"/>
      <c r="B306" s="3"/>
      <c r="C306" s="5"/>
      <c r="D306" s="5"/>
      <c r="E306" s="5"/>
      <c r="F306" s="5"/>
      <c r="G306" s="5"/>
      <c r="H306" s="5"/>
      <c r="I306" s="5"/>
      <c r="J306" s="5"/>
      <c r="K306" s="5"/>
      <c r="L306" s="5"/>
      <c r="M306" s="5"/>
      <c r="N306" s="5"/>
      <c r="O306" s="5"/>
      <c r="P306" s="5"/>
      <c r="Q306" s="5"/>
      <c r="R306" s="5"/>
      <c r="S306" s="5"/>
      <c r="T306" s="5"/>
      <c r="U306" s="5"/>
      <c r="V306" s="5"/>
      <c r="W306" s="5"/>
    </row>
    <row r="307">
      <c r="A307" s="5"/>
      <c r="B307" s="3"/>
      <c r="C307" s="5"/>
      <c r="D307" s="5"/>
      <c r="E307" s="5"/>
      <c r="F307" s="5"/>
      <c r="G307" s="5"/>
      <c r="H307" s="5"/>
      <c r="I307" s="5"/>
      <c r="J307" s="5"/>
      <c r="K307" s="5"/>
      <c r="L307" s="5"/>
      <c r="M307" s="5"/>
      <c r="N307" s="5"/>
      <c r="O307" s="5"/>
      <c r="P307" s="5"/>
      <c r="Q307" s="5"/>
      <c r="R307" s="5"/>
      <c r="S307" s="5"/>
      <c r="T307" s="5"/>
      <c r="U307" s="5"/>
      <c r="V307" s="5"/>
      <c r="W307" s="5"/>
    </row>
    <row r="308">
      <c r="A308" s="5"/>
      <c r="B308" s="3"/>
      <c r="C308" s="5"/>
      <c r="D308" s="5"/>
      <c r="E308" s="5"/>
      <c r="F308" s="5"/>
      <c r="G308" s="5"/>
      <c r="H308" s="5"/>
      <c r="I308" s="5"/>
      <c r="J308" s="5"/>
      <c r="K308" s="5"/>
      <c r="L308" s="5"/>
      <c r="M308" s="5"/>
      <c r="N308" s="5"/>
      <c r="O308" s="5"/>
      <c r="P308" s="5"/>
      <c r="Q308" s="5"/>
      <c r="R308" s="5"/>
      <c r="S308" s="5"/>
      <c r="T308" s="5"/>
      <c r="U308" s="5"/>
      <c r="V308" s="5"/>
      <c r="W308" s="5"/>
    </row>
    <row r="309">
      <c r="A309" s="5"/>
      <c r="B309" s="3"/>
      <c r="C309" s="5"/>
      <c r="D309" s="5"/>
      <c r="E309" s="5"/>
      <c r="F309" s="5"/>
      <c r="G309" s="5"/>
      <c r="H309" s="5"/>
      <c r="I309" s="5"/>
      <c r="J309" s="5"/>
      <c r="K309" s="5"/>
      <c r="L309" s="5"/>
      <c r="M309" s="5"/>
      <c r="N309" s="5"/>
      <c r="O309" s="5"/>
      <c r="P309" s="5"/>
      <c r="Q309" s="5"/>
      <c r="R309" s="5"/>
      <c r="S309" s="5"/>
      <c r="T309" s="5"/>
      <c r="U309" s="5"/>
      <c r="V309" s="5"/>
      <c r="W309" s="5"/>
    </row>
    <row r="310">
      <c r="A310" s="5"/>
      <c r="B310" s="3"/>
      <c r="C310" s="5"/>
      <c r="D310" s="5"/>
      <c r="E310" s="5"/>
      <c r="F310" s="5"/>
      <c r="G310" s="5"/>
      <c r="H310" s="5"/>
      <c r="I310" s="5"/>
      <c r="J310" s="5"/>
      <c r="K310" s="5"/>
      <c r="L310" s="5"/>
      <c r="M310" s="5"/>
      <c r="N310" s="5"/>
      <c r="O310" s="5"/>
      <c r="P310" s="5"/>
      <c r="Q310" s="5"/>
      <c r="R310" s="5"/>
      <c r="S310" s="5"/>
      <c r="T310" s="5"/>
      <c r="U310" s="5"/>
      <c r="V310" s="5"/>
      <c r="W310" s="5"/>
    </row>
    <row r="311">
      <c r="A311" s="5"/>
      <c r="B311" s="3"/>
      <c r="C311" s="5"/>
      <c r="D311" s="5"/>
      <c r="E311" s="5"/>
      <c r="F311" s="5"/>
      <c r="G311" s="5"/>
      <c r="H311" s="5"/>
      <c r="I311" s="5"/>
      <c r="J311" s="5"/>
      <c r="K311" s="5"/>
      <c r="L311" s="5"/>
      <c r="M311" s="5"/>
      <c r="N311" s="5"/>
      <c r="O311" s="5"/>
      <c r="P311" s="5"/>
      <c r="Q311" s="5"/>
      <c r="R311" s="5"/>
      <c r="S311" s="5"/>
      <c r="T311" s="5"/>
      <c r="U311" s="5"/>
      <c r="V311" s="5"/>
      <c r="W311" s="5"/>
    </row>
    <row r="312">
      <c r="A312" s="5"/>
      <c r="B312" s="3"/>
      <c r="C312" s="5"/>
      <c r="D312" s="5"/>
      <c r="E312" s="5"/>
      <c r="F312" s="5"/>
      <c r="G312" s="5"/>
      <c r="H312" s="5"/>
      <c r="I312" s="5"/>
      <c r="J312" s="5"/>
      <c r="K312" s="5"/>
      <c r="L312" s="5"/>
      <c r="M312" s="5"/>
      <c r="N312" s="5"/>
      <c r="O312" s="5"/>
      <c r="P312" s="5"/>
      <c r="Q312" s="5"/>
      <c r="R312" s="5"/>
      <c r="S312" s="5"/>
      <c r="T312" s="5"/>
      <c r="U312" s="5"/>
      <c r="V312" s="5"/>
      <c r="W312" s="5"/>
    </row>
    <row r="313">
      <c r="A313" s="5"/>
      <c r="B313" s="3"/>
      <c r="C313" s="5"/>
      <c r="D313" s="5"/>
      <c r="E313" s="5"/>
      <c r="F313" s="5"/>
      <c r="G313" s="5"/>
      <c r="H313" s="5"/>
      <c r="I313" s="5"/>
      <c r="J313" s="5"/>
      <c r="K313" s="5"/>
      <c r="L313" s="5"/>
      <c r="M313" s="5"/>
      <c r="N313" s="5"/>
      <c r="O313" s="5"/>
      <c r="P313" s="5"/>
      <c r="Q313" s="5"/>
      <c r="R313" s="5"/>
      <c r="S313" s="5"/>
      <c r="T313" s="5"/>
      <c r="U313" s="5"/>
      <c r="V313" s="5"/>
      <c r="W313" s="5"/>
    </row>
    <row r="314">
      <c r="A314" s="5"/>
      <c r="B314" s="3"/>
      <c r="C314" s="5"/>
      <c r="D314" s="5"/>
      <c r="E314" s="5"/>
      <c r="F314" s="5"/>
      <c r="G314" s="5"/>
      <c r="H314" s="5"/>
      <c r="I314" s="5"/>
      <c r="J314" s="5"/>
      <c r="K314" s="5"/>
      <c r="L314" s="5"/>
      <c r="M314" s="5"/>
      <c r="N314" s="5"/>
      <c r="O314" s="5"/>
      <c r="P314" s="5"/>
      <c r="Q314" s="5"/>
      <c r="R314" s="5"/>
      <c r="S314" s="5"/>
      <c r="T314" s="5"/>
      <c r="U314" s="5"/>
      <c r="V314" s="5"/>
      <c r="W314" s="5"/>
    </row>
    <row r="315">
      <c r="A315" s="5"/>
      <c r="B315" s="3"/>
      <c r="C315" s="5"/>
      <c r="D315" s="5"/>
      <c r="E315" s="5"/>
      <c r="F315" s="5"/>
      <c r="G315" s="5"/>
      <c r="H315" s="5"/>
      <c r="I315" s="5"/>
      <c r="J315" s="5"/>
      <c r="K315" s="5"/>
      <c r="L315" s="5"/>
      <c r="M315" s="5"/>
      <c r="N315" s="5"/>
      <c r="O315" s="5"/>
      <c r="P315" s="5"/>
      <c r="Q315" s="5"/>
      <c r="R315" s="5"/>
      <c r="S315" s="5"/>
      <c r="T315" s="5"/>
      <c r="U315" s="5"/>
      <c r="V315" s="5"/>
      <c r="W315" s="5"/>
    </row>
    <row r="316">
      <c r="A316" s="5"/>
      <c r="B316" s="3"/>
      <c r="C316" s="5"/>
      <c r="D316" s="5"/>
      <c r="E316" s="5"/>
      <c r="F316" s="5"/>
      <c r="G316" s="5"/>
      <c r="H316" s="5"/>
      <c r="I316" s="5"/>
      <c r="J316" s="5"/>
      <c r="K316" s="5"/>
      <c r="L316" s="5"/>
      <c r="M316" s="5"/>
      <c r="N316" s="5"/>
      <c r="O316" s="5"/>
      <c r="P316" s="5"/>
      <c r="Q316" s="5"/>
      <c r="R316" s="5"/>
      <c r="S316" s="5"/>
      <c r="T316" s="5"/>
      <c r="U316" s="5"/>
      <c r="V316" s="5"/>
      <c r="W316" s="5"/>
    </row>
    <row r="317">
      <c r="A317" s="5"/>
      <c r="B317" s="3"/>
      <c r="C317" s="5"/>
      <c r="D317" s="5"/>
      <c r="E317" s="5"/>
      <c r="F317" s="5"/>
      <c r="G317" s="5"/>
      <c r="H317" s="5"/>
      <c r="I317" s="5"/>
      <c r="J317" s="5"/>
      <c r="K317" s="5"/>
      <c r="L317" s="5"/>
      <c r="M317" s="5"/>
      <c r="N317" s="5"/>
      <c r="O317" s="5"/>
      <c r="P317" s="5"/>
      <c r="Q317" s="5"/>
      <c r="R317" s="5"/>
      <c r="S317" s="5"/>
      <c r="T317" s="5"/>
      <c r="U317" s="5"/>
      <c r="V317" s="5"/>
      <c r="W317" s="5"/>
    </row>
    <row r="318">
      <c r="A318" s="5"/>
      <c r="B318" s="3"/>
      <c r="C318" s="5"/>
      <c r="D318" s="5"/>
      <c r="E318" s="5"/>
      <c r="F318" s="5"/>
      <c r="G318" s="5"/>
      <c r="H318" s="5"/>
      <c r="I318" s="5"/>
      <c r="J318" s="5"/>
      <c r="K318" s="5"/>
      <c r="L318" s="5"/>
      <c r="M318" s="5"/>
      <c r="N318" s="5"/>
      <c r="O318" s="5"/>
      <c r="P318" s="5"/>
      <c r="Q318" s="5"/>
      <c r="R318" s="5"/>
      <c r="S318" s="5"/>
      <c r="T318" s="5"/>
      <c r="U318" s="5"/>
      <c r="V318" s="5"/>
      <c r="W318" s="5"/>
    </row>
    <row r="319">
      <c r="A319" s="5"/>
      <c r="B319" s="3"/>
      <c r="C319" s="5"/>
      <c r="D319" s="5"/>
      <c r="E319" s="5"/>
      <c r="F319" s="5"/>
      <c r="G319" s="5"/>
      <c r="H319" s="5"/>
      <c r="I319" s="5"/>
      <c r="J319" s="5"/>
      <c r="K319" s="5"/>
      <c r="L319" s="5"/>
      <c r="M319" s="5"/>
      <c r="N319" s="5"/>
      <c r="O319" s="5"/>
      <c r="P319" s="5"/>
      <c r="Q319" s="5"/>
      <c r="R319" s="5"/>
      <c r="S319" s="5"/>
      <c r="T319" s="5"/>
      <c r="U319" s="5"/>
      <c r="V319" s="5"/>
      <c r="W319" s="5"/>
    </row>
    <row r="320">
      <c r="A320" s="5"/>
      <c r="B320" s="3"/>
      <c r="C320" s="5"/>
      <c r="D320" s="5"/>
      <c r="E320" s="5"/>
      <c r="F320" s="5"/>
      <c r="G320" s="5"/>
      <c r="H320" s="5"/>
      <c r="I320" s="5"/>
      <c r="J320" s="5"/>
      <c r="K320" s="5"/>
      <c r="L320" s="5"/>
      <c r="M320" s="5"/>
      <c r="N320" s="5"/>
      <c r="O320" s="5"/>
      <c r="P320" s="5"/>
      <c r="Q320" s="5"/>
      <c r="R320" s="5"/>
      <c r="S320" s="5"/>
      <c r="T320" s="5"/>
      <c r="U320" s="5"/>
      <c r="V320" s="5"/>
      <c r="W320" s="5"/>
    </row>
    <row r="321">
      <c r="A321" s="5"/>
      <c r="B321" s="3"/>
      <c r="C321" s="5"/>
      <c r="D321" s="5"/>
      <c r="E321" s="5"/>
      <c r="F321" s="5"/>
      <c r="G321" s="5"/>
      <c r="H321" s="5"/>
      <c r="I321" s="5"/>
      <c r="J321" s="5"/>
      <c r="K321" s="5"/>
      <c r="L321" s="5"/>
      <c r="M321" s="5"/>
      <c r="N321" s="5"/>
      <c r="O321" s="5"/>
      <c r="P321" s="5"/>
      <c r="Q321" s="5"/>
      <c r="R321" s="5"/>
      <c r="S321" s="5"/>
      <c r="T321" s="5"/>
      <c r="U321" s="5"/>
      <c r="V321" s="5"/>
      <c r="W321" s="5"/>
    </row>
    <row r="322">
      <c r="A322" s="5"/>
      <c r="B322" s="3"/>
      <c r="C322" s="5"/>
      <c r="D322" s="5"/>
      <c r="E322" s="5"/>
      <c r="F322" s="5"/>
      <c r="G322" s="5"/>
      <c r="H322" s="5"/>
      <c r="I322" s="5"/>
      <c r="J322" s="5"/>
      <c r="K322" s="5"/>
      <c r="L322" s="5"/>
      <c r="M322" s="5"/>
      <c r="N322" s="5"/>
      <c r="O322" s="5"/>
      <c r="P322" s="5"/>
      <c r="Q322" s="5"/>
      <c r="R322" s="5"/>
      <c r="S322" s="5"/>
      <c r="T322" s="5"/>
      <c r="U322" s="5"/>
      <c r="V322" s="5"/>
      <c r="W322" s="5"/>
    </row>
    <row r="323">
      <c r="A323" s="5"/>
      <c r="B323" s="3"/>
      <c r="C323" s="5"/>
      <c r="D323" s="5"/>
      <c r="E323" s="5"/>
      <c r="F323" s="5"/>
      <c r="G323" s="5"/>
      <c r="H323" s="5"/>
      <c r="I323" s="5"/>
      <c r="J323" s="5"/>
      <c r="K323" s="5"/>
      <c r="L323" s="5"/>
      <c r="M323" s="5"/>
      <c r="N323" s="5"/>
      <c r="O323" s="5"/>
      <c r="P323" s="5"/>
      <c r="Q323" s="5"/>
      <c r="R323" s="5"/>
      <c r="S323" s="5"/>
      <c r="T323" s="5"/>
      <c r="U323" s="5"/>
      <c r="V323" s="5"/>
      <c r="W323" s="5"/>
    </row>
    <row r="324">
      <c r="A324" s="5"/>
      <c r="B324" s="3"/>
      <c r="C324" s="5"/>
      <c r="D324" s="5"/>
      <c r="E324" s="5"/>
      <c r="F324" s="5"/>
      <c r="G324" s="5"/>
      <c r="H324" s="5"/>
      <c r="I324" s="5"/>
      <c r="J324" s="5"/>
      <c r="K324" s="5"/>
      <c r="L324" s="5"/>
      <c r="M324" s="5"/>
      <c r="N324" s="5"/>
      <c r="O324" s="5"/>
      <c r="P324" s="5"/>
      <c r="Q324" s="5"/>
      <c r="R324" s="5"/>
      <c r="S324" s="5"/>
      <c r="T324" s="5"/>
      <c r="U324" s="5"/>
      <c r="V324" s="5"/>
      <c r="W324" s="5"/>
    </row>
    <row r="325">
      <c r="A325" s="5"/>
      <c r="B325" s="3"/>
      <c r="C325" s="5"/>
      <c r="D325" s="5"/>
      <c r="E325" s="5"/>
      <c r="F325" s="5"/>
      <c r="G325" s="5"/>
      <c r="H325" s="5"/>
      <c r="I325" s="5"/>
      <c r="J325" s="5"/>
      <c r="K325" s="5"/>
      <c r="L325" s="5"/>
      <c r="M325" s="5"/>
      <c r="N325" s="5"/>
      <c r="O325" s="5"/>
      <c r="P325" s="5"/>
      <c r="Q325" s="5"/>
      <c r="R325" s="5"/>
      <c r="S325" s="5"/>
      <c r="T325" s="5"/>
      <c r="U325" s="5"/>
      <c r="V325" s="5"/>
      <c r="W325" s="5"/>
    </row>
    <row r="326">
      <c r="A326" s="5"/>
      <c r="B326" s="3"/>
      <c r="C326" s="5"/>
      <c r="D326" s="5"/>
      <c r="E326" s="5"/>
      <c r="F326" s="5"/>
      <c r="G326" s="5"/>
      <c r="H326" s="5"/>
      <c r="I326" s="5"/>
      <c r="J326" s="5"/>
      <c r="K326" s="5"/>
      <c r="L326" s="5"/>
      <c r="M326" s="5"/>
      <c r="N326" s="5"/>
      <c r="O326" s="5"/>
      <c r="P326" s="5"/>
      <c r="Q326" s="5"/>
      <c r="R326" s="5"/>
      <c r="S326" s="5"/>
      <c r="T326" s="5"/>
      <c r="U326" s="5"/>
      <c r="V326" s="5"/>
      <c r="W326" s="5"/>
    </row>
    <row r="327">
      <c r="A327" s="5"/>
      <c r="B327" s="3"/>
      <c r="C327" s="5"/>
      <c r="D327" s="5"/>
      <c r="E327" s="5"/>
      <c r="F327" s="5"/>
      <c r="G327" s="5"/>
      <c r="H327" s="5"/>
      <c r="I327" s="5"/>
      <c r="J327" s="5"/>
      <c r="K327" s="5"/>
      <c r="L327" s="5"/>
      <c r="M327" s="5"/>
      <c r="N327" s="5"/>
      <c r="O327" s="5"/>
      <c r="P327" s="5"/>
      <c r="Q327" s="5"/>
      <c r="R327" s="5"/>
      <c r="S327" s="5"/>
      <c r="T327" s="5"/>
      <c r="U327" s="5"/>
      <c r="V327" s="5"/>
      <c r="W327" s="5"/>
    </row>
    <row r="328">
      <c r="A328" s="5"/>
      <c r="B328" s="3"/>
      <c r="C328" s="5"/>
      <c r="D328" s="5"/>
      <c r="E328" s="5"/>
      <c r="F328" s="5"/>
      <c r="G328" s="5"/>
      <c r="H328" s="5"/>
      <c r="I328" s="5"/>
      <c r="J328" s="5"/>
      <c r="K328" s="5"/>
      <c r="L328" s="5"/>
      <c r="M328" s="5"/>
      <c r="N328" s="5"/>
      <c r="O328" s="5"/>
      <c r="P328" s="5"/>
      <c r="Q328" s="5"/>
      <c r="R328" s="5"/>
      <c r="S328" s="5"/>
      <c r="T328" s="5"/>
      <c r="U328" s="5"/>
      <c r="V328" s="5"/>
      <c r="W328" s="5"/>
    </row>
    <row r="329">
      <c r="A329" s="5"/>
      <c r="B329" s="3"/>
      <c r="C329" s="5"/>
      <c r="D329" s="5"/>
      <c r="E329" s="5"/>
      <c r="F329" s="5"/>
      <c r="G329" s="5"/>
      <c r="H329" s="5"/>
      <c r="I329" s="5"/>
      <c r="J329" s="5"/>
      <c r="K329" s="5"/>
      <c r="L329" s="5"/>
      <c r="M329" s="5"/>
      <c r="N329" s="5"/>
      <c r="O329" s="5"/>
      <c r="P329" s="5"/>
      <c r="Q329" s="5"/>
      <c r="R329" s="5"/>
      <c r="S329" s="5"/>
      <c r="T329" s="5"/>
      <c r="U329" s="5"/>
      <c r="V329" s="5"/>
      <c r="W329" s="5"/>
    </row>
    <row r="330">
      <c r="A330" s="5"/>
      <c r="B330" s="3"/>
      <c r="C330" s="5"/>
      <c r="D330" s="5"/>
      <c r="E330" s="5"/>
      <c r="F330" s="5"/>
      <c r="G330" s="5"/>
      <c r="H330" s="5"/>
      <c r="I330" s="5"/>
      <c r="J330" s="5"/>
      <c r="K330" s="5"/>
      <c r="L330" s="5"/>
      <c r="M330" s="5"/>
      <c r="N330" s="5"/>
      <c r="O330" s="5"/>
      <c r="P330" s="5"/>
      <c r="Q330" s="5"/>
      <c r="R330" s="5"/>
      <c r="S330" s="5"/>
      <c r="T330" s="5"/>
      <c r="U330" s="5"/>
      <c r="V330" s="5"/>
      <c r="W330" s="5"/>
    </row>
    <row r="331">
      <c r="A331" s="5"/>
      <c r="B331" s="3"/>
      <c r="C331" s="5"/>
      <c r="D331" s="5"/>
      <c r="E331" s="5"/>
      <c r="F331" s="5"/>
      <c r="G331" s="5"/>
      <c r="H331" s="5"/>
      <c r="I331" s="5"/>
      <c r="J331" s="5"/>
      <c r="K331" s="5"/>
      <c r="L331" s="5"/>
      <c r="M331" s="5"/>
      <c r="N331" s="5"/>
      <c r="O331" s="5"/>
      <c r="P331" s="5"/>
      <c r="Q331" s="5"/>
      <c r="R331" s="5"/>
      <c r="S331" s="5"/>
      <c r="T331" s="5"/>
      <c r="U331" s="5"/>
      <c r="V331" s="5"/>
      <c r="W331" s="5"/>
    </row>
    <row r="332">
      <c r="A332" s="5"/>
      <c r="B332" s="3"/>
      <c r="C332" s="5"/>
      <c r="D332" s="5"/>
      <c r="E332" s="5"/>
      <c r="F332" s="5"/>
      <c r="G332" s="5"/>
      <c r="H332" s="5"/>
      <c r="I332" s="5"/>
      <c r="J332" s="5"/>
      <c r="K332" s="5"/>
      <c r="L332" s="5"/>
      <c r="M332" s="5"/>
      <c r="N332" s="5"/>
      <c r="O332" s="5"/>
      <c r="P332" s="5"/>
      <c r="Q332" s="5"/>
      <c r="R332" s="5"/>
      <c r="S332" s="5"/>
      <c r="T332" s="5"/>
      <c r="U332" s="5"/>
      <c r="V332" s="5"/>
      <c r="W332" s="5"/>
    </row>
    <row r="333">
      <c r="A333" s="5"/>
      <c r="B333" s="3"/>
      <c r="C333" s="5"/>
      <c r="D333" s="5"/>
      <c r="E333" s="5"/>
      <c r="F333" s="5"/>
      <c r="G333" s="5"/>
      <c r="H333" s="5"/>
      <c r="I333" s="5"/>
      <c r="J333" s="5"/>
      <c r="K333" s="5"/>
      <c r="L333" s="5"/>
      <c r="M333" s="5"/>
      <c r="N333" s="5"/>
      <c r="O333" s="5"/>
      <c r="P333" s="5"/>
      <c r="Q333" s="5"/>
      <c r="R333" s="5"/>
      <c r="S333" s="5"/>
      <c r="T333" s="5"/>
      <c r="U333" s="5"/>
      <c r="V333" s="5"/>
      <c r="W333" s="5"/>
    </row>
    <row r="334">
      <c r="A334" s="3"/>
      <c r="B334" s="3"/>
      <c r="C334" s="5"/>
      <c r="D334" s="3"/>
      <c r="E334" s="5"/>
      <c r="F334" s="5"/>
      <c r="G334" s="5"/>
      <c r="H334" s="5"/>
      <c r="I334" s="5"/>
      <c r="J334" s="5"/>
      <c r="K334" s="5"/>
      <c r="L334" s="5"/>
      <c r="M334" s="5"/>
      <c r="N334" s="5"/>
      <c r="O334" s="5"/>
      <c r="P334" s="5"/>
      <c r="Q334" s="5"/>
      <c r="R334" s="5"/>
      <c r="S334" s="5"/>
      <c r="T334" s="5"/>
      <c r="U334" s="5"/>
      <c r="V334" s="5"/>
      <c r="W334" s="5"/>
    </row>
    <row r="335">
      <c r="A335" s="5"/>
      <c r="B335" s="3"/>
      <c r="C335" s="5"/>
      <c r="D335" s="3"/>
      <c r="E335" s="5"/>
      <c r="F335" s="5"/>
      <c r="G335" s="5"/>
      <c r="H335" s="5"/>
      <c r="I335" s="5"/>
      <c r="J335" s="5"/>
      <c r="K335" s="5"/>
      <c r="L335" s="5"/>
      <c r="M335" s="5"/>
      <c r="N335" s="5"/>
      <c r="O335" s="5"/>
      <c r="P335" s="5"/>
      <c r="Q335" s="5"/>
      <c r="R335" s="5"/>
      <c r="S335" s="5"/>
      <c r="T335" s="5"/>
      <c r="U335" s="5"/>
      <c r="V335" s="5"/>
      <c r="W335" s="5"/>
    </row>
    <row r="336">
      <c r="A336" s="3"/>
      <c r="B336" s="3"/>
      <c r="C336" s="5"/>
      <c r="D336" s="3"/>
      <c r="E336" s="5"/>
      <c r="F336" s="5"/>
      <c r="G336" s="5"/>
      <c r="H336" s="5"/>
      <c r="I336" s="5"/>
      <c r="J336" s="5"/>
      <c r="K336" s="5"/>
      <c r="L336" s="5"/>
      <c r="M336" s="5"/>
      <c r="N336" s="5"/>
      <c r="O336" s="5"/>
      <c r="P336" s="5"/>
      <c r="Q336" s="5"/>
      <c r="R336" s="5"/>
      <c r="S336" s="5"/>
      <c r="T336" s="5"/>
      <c r="U336" s="5"/>
      <c r="V336" s="5"/>
      <c r="W336" s="5"/>
    </row>
    <row r="337">
      <c r="A337" s="5"/>
      <c r="B337" s="3"/>
      <c r="C337" s="5"/>
      <c r="D337" s="3"/>
      <c r="E337" s="5"/>
      <c r="F337" s="5"/>
      <c r="G337" s="5"/>
      <c r="H337" s="5"/>
      <c r="I337" s="5"/>
      <c r="J337" s="5"/>
      <c r="K337" s="5"/>
      <c r="L337" s="5"/>
      <c r="M337" s="5"/>
      <c r="N337" s="5"/>
      <c r="O337" s="5"/>
      <c r="P337" s="5"/>
      <c r="Q337" s="5"/>
      <c r="R337" s="5"/>
      <c r="S337" s="5"/>
      <c r="T337" s="5"/>
      <c r="U337" s="5"/>
      <c r="V337" s="5"/>
      <c r="W337" s="5"/>
    </row>
    <row r="338">
      <c r="A338" s="5"/>
      <c r="B338" s="3"/>
      <c r="C338" s="5"/>
      <c r="D338" s="3"/>
      <c r="E338" s="5"/>
      <c r="F338" s="5"/>
      <c r="G338" s="5"/>
      <c r="H338" s="5"/>
      <c r="I338" s="5"/>
      <c r="J338" s="5"/>
      <c r="K338" s="5"/>
      <c r="L338" s="5"/>
      <c r="M338" s="5"/>
      <c r="N338" s="5"/>
      <c r="O338" s="5"/>
      <c r="P338" s="5"/>
      <c r="Q338" s="5"/>
      <c r="R338" s="5"/>
      <c r="S338" s="5"/>
      <c r="T338" s="5"/>
      <c r="U338" s="5"/>
      <c r="V338" s="5"/>
      <c r="W338" s="5"/>
    </row>
    <row r="339">
      <c r="A339" s="3"/>
      <c r="B339" s="3"/>
      <c r="C339" s="5"/>
      <c r="D339" s="3"/>
      <c r="E339" s="5"/>
      <c r="F339" s="5"/>
      <c r="G339" s="5"/>
      <c r="H339" s="5"/>
      <c r="I339" s="5"/>
      <c r="J339" s="5"/>
      <c r="K339" s="5"/>
      <c r="L339" s="5"/>
      <c r="M339" s="5"/>
      <c r="N339" s="5"/>
      <c r="O339" s="5"/>
      <c r="P339" s="5"/>
      <c r="Q339" s="5"/>
      <c r="R339" s="5"/>
      <c r="S339" s="5"/>
      <c r="T339" s="5"/>
      <c r="U339" s="5"/>
      <c r="V339" s="5"/>
      <c r="W339" s="5"/>
    </row>
    <row r="340">
      <c r="A340" s="3"/>
      <c r="B340" s="3"/>
      <c r="C340" s="5"/>
      <c r="D340" s="3"/>
      <c r="E340" s="5"/>
      <c r="F340" s="5"/>
      <c r="G340" s="5"/>
      <c r="H340" s="5"/>
      <c r="I340" s="5"/>
      <c r="J340" s="5"/>
      <c r="K340" s="5"/>
      <c r="L340" s="5"/>
      <c r="M340" s="5"/>
      <c r="N340" s="5"/>
      <c r="O340" s="5"/>
      <c r="P340" s="5"/>
      <c r="Q340" s="5"/>
      <c r="R340" s="5"/>
      <c r="S340" s="5"/>
      <c r="T340" s="5"/>
      <c r="U340" s="5"/>
      <c r="V340" s="5"/>
      <c r="W340" s="5"/>
    </row>
    <row r="341">
      <c r="A341" s="3"/>
      <c r="B341" s="3"/>
      <c r="C341" s="5"/>
      <c r="D341" s="3"/>
      <c r="E341" s="5"/>
      <c r="F341" s="5"/>
      <c r="G341" s="5"/>
      <c r="H341" s="5"/>
      <c r="I341" s="5"/>
      <c r="J341" s="5"/>
      <c r="K341" s="5"/>
      <c r="L341" s="5"/>
      <c r="M341" s="5"/>
      <c r="N341" s="5"/>
      <c r="O341" s="5"/>
      <c r="P341" s="5"/>
      <c r="Q341" s="5"/>
      <c r="R341" s="5"/>
      <c r="S341" s="5"/>
      <c r="T341" s="5"/>
      <c r="U341" s="5"/>
      <c r="V341" s="5"/>
      <c r="W341" s="5"/>
    </row>
    <row r="342">
      <c r="A342" s="5"/>
      <c r="B342" s="3"/>
      <c r="C342" s="5"/>
      <c r="D342" s="5"/>
      <c r="E342" s="5"/>
      <c r="F342" s="5"/>
      <c r="G342" s="5"/>
      <c r="H342" s="5"/>
      <c r="I342" s="5"/>
      <c r="J342" s="5"/>
      <c r="K342" s="5"/>
      <c r="L342" s="5"/>
      <c r="M342" s="5"/>
      <c r="N342" s="5"/>
      <c r="O342" s="5"/>
      <c r="P342" s="5"/>
      <c r="Q342" s="5"/>
      <c r="R342" s="5"/>
      <c r="S342" s="5"/>
      <c r="T342" s="5"/>
      <c r="U342" s="5"/>
      <c r="V342" s="5"/>
      <c r="W342" s="5"/>
    </row>
    <row r="343">
      <c r="A343" s="3"/>
      <c r="B343" s="3"/>
      <c r="C343" s="5"/>
      <c r="D343" s="3"/>
      <c r="E343" s="5"/>
      <c r="F343" s="5"/>
      <c r="G343" s="5"/>
      <c r="H343" s="5"/>
      <c r="I343" s="5"/>
      <c r="J343" s="5"/>
      <c r="K343" s="5"/>
      <c r="L343" s="5"/>
      <c r="M343" s="5"/>
      <c r="N343" s="5"/>
      <c r="O343" s="5"/>
      <c r="P343" s="5"/>
      <c r="Q343" s="5"/>
      <c r="R343" s="5"/>
      <c r="S343" s="5"/>
      <c r="T343" s="5"/>
      <c r="U343" s="5"/>
      <c r="V343" s="5"/>
      <c r="W343" s="5"/>
    </row>
    <row r="344">
      <c r="A344" s="5"/>
      <c r="B344" s="3"/>
      <c r="C344" s="5"/>
      <c r="D344" s="3"/>
      <c r="E344" s="5"/>
      <c r="F344" s="5"/>
      <c r="G344" s="5"/>
      <c r="H344" s="5"/>
      <c r="I344" s="5"/>
      <c r="J344" s="5"/>
      <c r="K344" s="5"/>
      <c r="L344" s="5"/>
      <c r="M344" s="5"/>
      <c r="N344" s="5"/>
      <c r="O344" s="5"/>
      <c r="P344" s="5"/>
      <c r="Q344" s="5"/>
      <c r="R344" s="5"/>
      <c r="S344" s="5"/>
      <c r="T344" s="5"/>
      <c r="U344" s="5"/>
      <c r="V344" s="5"/>
      <c r="W344" s="5"/>
    </row>
    <row r="345">
      <c r="A345" s="5"/>
      <c r="B345" s="3"/>
      <c r="C345" s="5"/>
      <c r="D345" s="3"/>
      <c r="E345" s="5"/>
      <c r="F345" s="5"/>
      <c r="G345" s="5"/>
      <c r="H345" s="5"/>
      <c r="I345" s="5"/>
      <c r="J345" s="5"/>
      <c r="K345" s="5"/>
      <c r="L345" s="5"/>
      <c r="M345" s="5"/>
      <c r="N345" s="5"/>
      <c r="O345" s="5"/>
      <c r="P345" s="5"/>
      <c r="Q345" s="5"/>
      <c r="R345" s="5"/>
      <c r="S345" s="5"/>
      <c r="T345" s="5"/>
      <c r="U345" s="5"/>
      <c r="V345" s="5"/>
      <c r="W345" s="5"/>
    </row>
    <row r="346">
      <c r="A346" s="3"/>
      <c r="B346" s="3"/>
      <c r="C346" s="5"/>
      <c r="D346" s="3"/>
      <c r="E346" s="5"/>
      <c r="F346" s="5"/>
      <c r="G346" s="5"/>
      <c r="H346" s="5"/>
      <c r="I346" s="5"/>
      <c r="J346" s="5"/>
      <c r="K346" s="5"/>
      <c r="L346" s="5"/>
      <c r="M346" s="5"/>
      <c r="N346" s="5"/>
      <c r="O346" s="5"/>
      <c r="P346" s="5"/>
      <c r="Q346" s="5"/>
      <c r="R346" s="5"/>
      <c r="S346" s="5"/>
      <c r="T346" s="5"/>
      <c r="U346" s="5"/>
      <c r="V346" s="5"/>
      <c r="W346" s="5"/>
    </row>
    <row r="347">
      <c r="A347" s="5"/>
      <c r="B347" s="3"/>
      <c r="C347" s="5"/>
      <c r="D347" s="5"/>
      <c r="E347" s="5"/>
      <c r="F347" s="5"/>
      <c r="G347" s="5"/>
      <c r="H347" s="5"/>
      <c r="I347" s="5"/>
      <c r="J347" s="5"/>
      <c r="K347" s="5"/>
      <c r="L347" s="5"/>
      <c r="M347" s="5"/>
      <c r="N347" s="5"/>
      <c r="O347" s="5"/>
      <c r="P347" s="5"/>
      <c r="Q347" s="5"/>
      <c r="R347" s="5"/>
      <c r="S347" s="5"/>
      <c r="T347" s="5"/>
      <c r="U347" s="5"/>
      <c r="V347" s="5"/>
      <c r="W347" s="5"/>
    </row>
    <row r="348">
      <c r="A348" s="5"/>
      <c r="B348" s="3"/>
      <c r="C348" s="5"/>
      <c r="D348" s="5"/>
      <c r="E348" s="5"/>
      <c r="F348" s="5"/>
      <c r="G348" s="5"/>
      <c r="H348" s="5"/>
      <c r="I348" s="5"/>
      <c r="J348" s="5"/>
      <c r="K348" s="5"/>
      <c r="L348" s="5"/>
      <c r="M348" s="5"/>
      <c r="N348" s="5"/>
      <c r="O348" s="5"/>
      <c r="P348" s="5"/>
      <c r="Q348" s="5"/>
      <c r="R348" s="5"/>
      <c r="S348" s="5"/>
      <c r="T348" s="5"/>
      <c r="U348" s="5"/>
      <c r="V348" s="5"/>
      <c r="W348" s="5"/>
    </row>
    <row r="349">
      <c r="A349" s="5"/>
      <c r="B349" s="3"/>
      <c r="C349" s="5"/>
      <c r="D349" s="5"/>
      <c r="E349" s="5"/>
      <c r="F349" s="5"/>
      <c r="G349" s="5"/>
      <c r="H349" s="5"/>
      <c r="I349" s="5"/>
      <c r="J349" s="5"/>
      <c r="K349" s="5"/>
      <c r="L349" s="5"/>
      <c r="M349" s="5"/>
      <c r="N349" s="5"/>
      <c r="O349" s="5"/>
      <c r="P349" s="5"/>
      <c r="Q349" s="5"/>
      <c r="R349" s="5"/>
      <c r="S349" s="5"/>
      <c r="T349" s="5"/>
      <c r="U349" s="5"/>
      <c r="V349" s="5"/>
      <c r="W349" s="5"/>
    </row>
    <row r="350">
      <c r="A350" s="5"/>
      <c r="B350" s="3"/>
      <c r="C350" s="5"/>
      <c r="D350" s="5"/>
      <c r="E350" s="5"/>
      <c r="F350" s="5"/>
      <c r="G350" s="5"/>
      <c r="H350" s="5"/>
      <c r="I350" s="5"/>
      <c r="J350" s="5"/>
      <c r="K350" s="5"/>
      <c r="L350" s="5"/>
      <c r="M350" s="5"/>
      <c r="N350" s="5"/>
      <c r="O350" s="5"/>
      <c r="P350" s="5"/>
      <c r="Q350" s="5"/>
      <c r="R350" s="5"/>
      <c r="S350" s="5"/>
      <c r="T350" s="5"/>
      <c r="U350" s="5"/>
      <c r="V350" s="5"/>
      <c r="W350" s="5"/>
    </row>
    <row r="351">
      <c r="A351" s="5"/>
      <c r="B351" s="3"/>
      <c r="C351" s="5"/>
      <c r="D351" s="5"/>
      <c r="E351" s="5"/>
      <c r="F351" s="5"/>
      <c r="G351" s="5"/>
      <c r="H351" s="5"/>
      <c r="I351" s="5"/>
      <c r="J351" s="5"/>
      <c r="K351" s="5"/>
      <c r="L351" s="5"/>
      <c r="M351" s="5"/>
      <c r="N351" s="5"/>
      <c r="O351" s="5"/>
      <c r="P351" s="5"/>
      <c r="Q351" s="5"/>
      <c r="R351" s="5"/>
      <c r="S351" s="5"/>
      <c r="T351" s="5"/>
      <c r="U351" s="5"/>
      <c r="V351" s="5"/>
      <c r="W351" s="5"/>
    </row>
    <row r="352">
      <c r="A352" s="5"/>
      <c r="B352" s="3"/>
      <c r="C352" s="5"/>
      <c r="D352" s="5"/>
      <c r="E352" s="5"/>
      <c r="F352" s="5"/>
      <c r="G352" s="5"/>
      <c r="H352" s="5"/>
      <c r="I352" s="5"/>
      <c r="J352" s="5"/>
      <c r="K352" s="5"/>
      <c r="L352" s="5"/>
      <c r="M352" s="5"/>
      <c r="N352" s="5"/>
      <c r="O352" s="5"/>
      <c r="P352" s="5"/>
      <c r="Q352" s="5"/>
      <c r="R352" s="5"/>
      <c r="S352" s="5"/>
      <c r="T352" s="5"/>
      <c r="U352" s="5"/>
      <c r="V352" s="5"/>
      <c r="W352" s="5"/>
    </row>
    <row r="353">
      <c r="A353" s="5"/>
      <c r="B353" s="3"/>
      <c r="C353" s="5"/>
      <c r="D353" s="5"/>
      <c r="E353" s="5"/>
      <c r="F353" s="5"/>
      <c r="G353" s="5"/>
      <c r="H353" s="5"/>
      <c r="I353" s="5"/>
      <c r="J353" s="5"/>
      <c r="K353" s="5"/>
      <c r="L353" s="5"/>
      <c r="M353" s="5"/>
      <c r="N353" s="5"/>
      <c r="O353" s="5"/>
      <c r="P353" s="5"/>
      <c r="Q353" s="5"/>
      <c r="R353" s="5"/>
      <c r="S353" s="5"/>
      <c r="T353" s="5"/>
      <c r="U353" s="5"/>
      <c r="V353" s="5"/>
      <c r="W353" s="5"/>
    </row>
    <row r="354">
      <c r="A354" s="5"/>
      <c r="B354" s="3"/>
      <c r="C354" s="5"/>
      <c r="D354" s="5"/>
      <c r="E354" s="5"/>
      <c r="F354" s="5"/>
      <c r="G354" s="5"/>
      <c r="H354" s="5"/>
      <c r="I354" s="5"/>
      <c r="J354" s="5"/>
      <c r="K354" s="5"/>
      <c r="L354" s="5"/>
      <c r="M354" s="5"/>
      <c r="N354" s="5"/>
      <c r="O354" s="5"/>
      <c r="P354" s="5"/>
      <c r="Q354" s="5"/>
      <c r="R354" s="5"/>
      <c r="S354" s="5"/>
      <c r="T354" s="5"/>
      <c r="U354" s="5"/>
      <c r="V354" s="5"/>
      <c r="W354" s="5"/>
    </row>
    <row r="355">
      <c r="A355" s="5"/>
      <c r="B355" s="3"/>
      <c r="C355" s="5"/>
      <c r="D355" s="5"/>
      <c r="E355" s="5"/>
      <c r="F355" s="5"/>
      <c r="G355" s="5"/>
      <c r="H355" s="5"/>
      <c r="I355" s="5"/>
      <c r="J355" s="5"/>
      <c r="K355" s="5"/>
      <c r="L355" s="5"/>
      <c r="M355" s="5"/>
      <c r="N355" s="5"/>
      <c r="O355" s="5"/>
      <c r="P355" s="5"/>
      <c r="Q355" s="5"/>
      <c r="R355" s="5"/>
      <c r="S355" s="5"/>
      <c r="T355" s="5"/>
      <c r="U355" s="5"/>
      <c r="V355" s="5"/>
      <c r="W355" s="5"/>
    </row>
    <row r="356">
      <c r="A356" s="5"/>
      <c r="B356" s="3"/>
      <c r="C356" s="5"/>
      <c r="D356" s="5"/>
      <c r="E356" s="5"/>
      <c r="F356" s="5"/>
      <c r="G356" s="5"/>
      <c r="H356" s="5"/>
      <c r="I356" s="5"/>
      <c r="J356" s="5"/>
      <c r="K356" s="5"/>
      <c r="L356" s="5"/>
      <c r="M356" s="5"/>
      <c r="N356" s="5"/>
      <c r="O356" s="5"/>
      <c r="P356" s="5"/>
      <c r="Q356" s="5"/>
      <c r="R356" s="5"/>
      <c r="S356" s="5"/>
      <c r="T356" s="5"/>
      <c r="U356" s="5"/>
      <c r="V356" s="5"/>
      <c r="W356" s="5"/>
    </row>
    <row r="357">
      <c r="A357" s="5"/>
      <c r="B357" s="3"/>
      <c r="C357" s="5"/>
      <c r="D357" s="5"/>
      <c r="E357" s="5"/>
      <c r="F357" s="5"/>
      <c r="G357" s="5"/>
      <c r="H357" s="5"/>
      <c r="I357" s="5"/>
      <c r="J357" s="5"/>
      <c r="K357" s="5"/>
      <c r="L357" s="5"/>
      <c r="M357" s="5"/>
      <c r="N357" s="5"/>
      <c r="O357" s="5"/>
      <c r="P357" s="5"/>
      <c r="Q357" s="5"/>
      <c r="R357" s="5"/>
      <c r="S357" s="5"/>
      <c r="T357" s="5"/>
      <c r="U357" s="5"/>
      <c r="V357" s="5"/>
      <c r="W357" s="5"/>
    </row>
    <row r="358">
      <c r="A358" s="5"/>
      <c r="B358" s="3"/>
      <c r="C358" s="5"/>
      <c r="D358" s="5"/>
      <c r="E358" s="5"/>
      <c r="F358" s="5"/>
      <c r="G358" s="5"/>
      <c r="H358" s="5"/>
      <c r="I358" s="5"/>
      <c r="J358" s="5"/>
      <c r="K358" s="5"/>
      <c r="L358" s="5"/>
      <c r="M358" s="5"/>
      <c r="N358" s="5"/>
      <c r="O358" s="5"/>
      <c r="P358" s="5"/>
      <c r="Q358" s="5"/>
      <c r="R358" s="5"/>
      <c r="S358" s="5"/>
      <c r="T358" s="5"/>
      <c r="U358" s="5"/>
      <c r="V358" s="5"/>
      <c r="W358" s="5"/>
    </row>
    <row r="359">
      <c r="A359" s="5"/>
      <c r="B359" s="3"/>
      <c r="C359" s="5"/>
      <c r="D359" s="5"/>
      <c r="E359" s="5"/>
      <c r="F359" s="5"/>
      <c r="G359" s="5"/>
      <c r="H359" s="5"/>
      <c r="I359" s="5"/>
      <c r="J359" s="5"/>
      <c r="K359" s="5"/>
      <c r="L359" s="5"/>
      <c r="M359" s="5"/>
      <c r="N359" s="5"/>
      <c r="O359" s="5"/>
      <c r="P359" s="5"/>
      <c r="Q359" s="5"/>
      <c r="R359" s="5"/>
      <c r="S359" s="5"/>
      <c r="T359" s="5"/>
      <c r="U359" s="5"/>
      <c r="V359" s="5"/>
      <c r="W359" s="5"/>
    </row>
    <row r="360">
      <c r="A360" s="5"/>
      <c r="B360" s="3"/>
      <c r="C360" s="5"/>
      <c r="D360" s="5"/>
      <c r="E360" s="5"/>
      <c r="F360" s="5"/>
      <c r="G360" s="5"/>
      <c r="H360" s="5"/>
      <c r="I360" s="5"/>
      <c r="J360" s="5"/>
      <c r="K360" s="5"/>
      <c r="L360" s="5"/>
      <c r="M360" s="5"/>
      <c r="N360" s="5"/>
      <c r="O360" s="5"/>
      <c r="P360" s="5"/>
      <c r="Q360" s="5"/>
      <c r="R360" s="5"/>
      <c r="S360" s="5"/>
      <c r="T360" s="5"/>
      <c r="U360" s="5"/>
      <c r="V360" s="5"/>
      <c r="W360" s="5"/>
    </row>
    <row r="361">
      <c r="A361" s="5"/>
      <c r="B361" s="3"/>
      <c r="C361" s="5"/>
      <c r="D361" s="5"/>
      <c r="E361" s="5"/>
      <c r="F361" s="5"/>
      <c r="G361" s="5"/>
      <c r="H361" s="5"/>
      <c r="I361" s="5"/>
      <c r="J361" s="5"/>
      <c r="K361" s="5"/>
      <c r="L361" s="5"/>
      <c r="M361" s="5"/>
      <c r="N361" s="5"/>
      <c r="O361" s="5"/>
      <c r="P361" s="5"/>
      <c r="Q361" s="5"/>
      <c r="R361" s="5"/>
      <c r="S361" s="5"/>
      <c r="T361" s="5"/>
      <c r="U361" s="5"/>
      <c r="V361" s="5"/>
      <c r="W361" s="5"/>
    </row>
    <row r="362">
      <c r="A362" s="5"/>
      <c r="B362" s="3"/>
      <c r="C362" s="5"/>
      <c r="D362" s="5"/>
      <c r="E362" s="5"/>
      <c r="F362" s="5"/>
      <c r="G362" s="5"/>
      <c r="H362" s="5"/>
      <c r="I362" s="5"/>
      <c r="J362" s="5"/>
      <c r="K362" s="5"/>
      <c r="L362" s="5"/>
      <c r="M362" s="5"/>
      <c r="N362" s="5"/>
      <c r="O362" s="5"/>
      <c r="P362" s="5"/>
      <c r="Q362" s="5"/>
      <c r="R362" s="5"/>
      <c r="S362" s="5"/>
      <c r="T362" s="5"/>
      <c r="U362" s="5"/>
      <c r="V362" s="5"/>
      <c r="W362" s="5"/>
    </row>
    <row r="363">
      <c r="A363" s="5"/>
      <c r="B363" s="3"/>
      <c r="C363" s="5"/>
      <c r="D363" s="5"/>
      <c r="E363" s="5"/>
      <c r="F363" s="5"/>
      <c r="G363" s="5"/>
      <c r="H363" s="5"/>
      <c r="I363" s="5"/>
      <c r="J363" s="5"/>
      <c r="K363" s="5"/>
      <c r="L363" s="5"/>
      <c r="M363" s="5"/>
      <c r="N363" s="5"/>
      <c r="O363" s="5"/>
      <c r="P363" s="5"/>
      <c r="Q363" s="5"/>
      <c r="R363" s="5"/>
      <c r="S363" s="5"/>
      <c r="T363" s="5"/>
      <c r="U363" s="5"/>
      <c r="V363" s="5"/>
      <c r="W363" s="5"/>
    </row>
    <row r="364">
      <c r="A364" s="5"/>
      <c r="B364" s="3"/>
      <c r="C364" s="5"/>
      <c r="D364" s="5"/>
      <c r="E364" s="5"/>
      <c r="F364" s="5"/>
      <c r="G364" s="5"/>
      <c r="H364" s="5"/>
      <c r="I364" s="5"/>
      <c r="J364" s="5"/>
      <c r="K364" s="5"/>
      <c r="L364" s="5"/>
      <c r="M364" s="5"/>
      <c r="N364" s="5"/>
      <c r="O364" s="5"/>
      <c r="P364" s="5"/>
      <c r="Q364" s="5"/>
      <c r="R364" s="5"/>
      <c r="S364" s="5"/>
      <c r="T364" s="5"/>
      <c r="U364" s="5"/>
      <c r="V364" s="5"/>
      <c r="W364" s="5"/>
    </row>
    <row r="365">
      <c r="A365" s="5"/>
      <c r="B365" s="3"/>
      <c r="C365" s="5"/>
      <c r="D365" s="5"/>
      <c r="E365" s="5"/>
      <c r="F365" s="5"/>
      <c r="G365" s="5"/>
      <c r="H365" s="5"/>
      <c r="I365" s="5"/>
      <c r="J365" s="5"/>
      <c r="K365" s="5"/>
      <c r="L365" s="5"/>
      <c r="M365" s="5"/>
      <c r="N365" s="5"/>
      <c r="O365" s="5"/>
      <c r="P365" s="5"/>
      <c r="Q365" s="5"/>
      <c r="R365" s="5"/>
      <c r="S365" s="5"/>
      <c r="T365" s="5"/>
      <c r="U365" s="5"/>
      <c r="V365" s="5"/>
      <c r="W365" s="5"/>
    </row>
    <row r="366">
      <c r="A366" s="5"/>
      <c r="B366" s="3"/>
      <c r="C366" s="5"/>
      <c r="D366" s="5"/>
      <c r="E366" s="5"/>
      <c r="F366" s="5"/>
      <c r="G366" s="5"/>
      <c r="H366" s="5"/>
      <c r="I366" s="5"/>
      <c r="J366" s="5"/>
      <c r="K366" s="5"/>
      <c r="L366" s="5"/>
      <c r="M366" s="5"/>
      <c r="N366" s="5"/>
      <c r="O366" s="5"/>
      <c r="P366" s="5"/>
      <c r="Q366" s="5"/>
      <c r="R366" s="5"/>
      <c r="S366" s="5"/>
      <c r="T366" s="5"/>
      <c r="U366" s="5"/>
      <c r="V366" s="5"/>
      <c r="W366" s="5"/>
    </row>
    <row r="367">
      <c r="A367" s="5"/>
      <c r="B367" s="3"/>
      <c r="C367" s="5"/>
      <c r="D367" s="5"/>
      <c r="E367" s="5"/>
      <c r="F367" s="5"/>
      <c r="G367" s="5"/>
      <c r="H367" s="5"/>
      <c r="I367" s="5"/>
      <c r="J367" s="5"/>
      <c r="K367" s="5"/>
      <c r="L367" s="5"/>
      <c r="M367" s="5"/>
      <c r="N367" s="5"/>
      <c r="O367" s="5"/>
      <c r="P367" s="5"/>
      <c r="Q367" s="5"/>
      <c r="R367" s="5"/>
      <c r="S367" s="5"/>
      <c r="T367" s="5"/>
      <c r="U367" s="5"/>
      <c r="V367" s="5"/>
      <c r="W367" s="5"/>
    </row>
    <row r="368">
      <c r="A368" s="5"/>
      <c r="B368" s="3"/>
      <c r="C368" s="5"/>
      <c r="D368" s="5"/>
      <c r="E368" s="5"/>
      <c r="F368" s="5"/>
      <c r="G368" s="5"/>
      <c r="H368" s="5"/>
      <c r="I368" s="5"/>
      <c r="J368" s="5"/>
      <c r="K368" s="5"/>
      <c r="L368" s="5"/>
      <c r="M368" s="5"/>
      <c r="N368" s="5"/>
      <c r="O368" s="5"/>
      <c r="P368" s="5"/>
      <c r="Q368" s="5"/>
      <c r="R368" s="5"/>
      <c r="S368" s="5"/>
      <c r="T368" s="5"/>
      <c r="U368" s="5"/>
      <c r="V368" s="5"/>
      <c r="W368" s="5"/>
    </row>
    <row r="369">
      <c r="A369" s="5"/>
      <c r="B369" s="3"/>
      <c r="C369" s="5"/>
      <c r="D369" s="5"/>
      <c r="E369" s="5"/>
      <c r="F369" s="5"/>
      <c r="G369" s="5"/>
      <c r="H369" s="5"/>
      <c r="I369" s="5"/>
      <c r="J369" s="5"/>
      <c r="K369" s="5"/>
      <c r="L369" s="5"/>
      <c r="M369" s="5"/>
      <c r="N369" s="5"/>
      <c r="O369" s="5"/>
      <c r="P369" s="5"/>
      <c r="Q369" s="5"/>
      <c r="R369" s="5"/>
      <c r="S369" s="5"/>
      <c r="T369" s="5"/>
      <c r="U369" s="5"/>
      <c r="V369" s="5"/>
      <c r="W369" s="5"/>
    </row>
    <row r="370">
      <c r="A370" s="5"/>
      <c r="B370" s="3"/>
      <c r="C370" s="5"/>
      <c r="D370" s="5"/>
      <c r="E370" s="5"/>
      <c r="F370" s="5"/>
      <c r="G370" s="5"/>
      <c r="H370" s="5"/>
      <c r="I370" s="5"/>
      <c r="J370" s="5"/>
      <c r="K370" s="5"/>
      <c r="L370" s="5"/>
      <c r="M370" s="5"/>
      <c r="N370" s="5"/>
      <c r="O370" s="5"/>
      <c r="P370" s="5"/>
      <c r="Q370" s="5"/>
      <c r="R370" s="5"/>
      <c r="S370" s="5"/>
      <c r="T370" s="5"/>
      <c r="U370" s="5"/>
      <c r="V370" s="5"/>
      <c r="W370" s="5"/>
    </row>
    <row r="371">
      <c r="A371" s="5"/>
      <c r="B371" s="3"/>
      <c r="C371" s="5"/>
      <c r="D371" s="5"/>
      <c r="E371" s="5"/>
      <c r="F371" s="5"/>
      <c r="G371" s="5"/>
      <c r="H371" s="5"/>
      <c r="I371" s="5"/>
      <c r="J371" s="5"/>
      <c r="K371" s="5"/>
      <c r="L371" s="5"/>
      <c r="M371" s="5"/>
      <c r="N371" s="5"/>
      <c r="O371" s="5"/>
      <c r="P371" s="5"/>
      <c r="Q371" s="5"/>
      <c r="R371" s="5"/>
      <c r="S371" s="5"/>
      <c r="T371" s="5"/>
      <c r="U371" s="5"/>
      <c r="V371" s="5"/>
      <c r="W371" s="5"/>
    </row>
    <row r="372">
      <c r="A372" s="5"/>
      <c r="B372" s="3"/>
      <c r="C372" s="5"/>
      <c r="D372" s="5"/>
      <c r="E372" s="5"/>
      <c r="F372" s="5"/>
      <c r="G372" s="5"/>
      <c r="H372" s="5"/>
      <c r="I372" s="5"/>
      <c r="J372" s="5"/>
      <c r="K372" s="5"/>
      <c r="L372" s="5"/>
      <c r="M372" s="5"/>
      <c r="N372" s="5"/>
      <c r="O372" s="5"/>
      <c r="P372" s="5"/>
      <c r="Q372" s="5"/>
      <c r="R372" s="5"/>
      <c r="S372" s="5"/>
      <c r="T372" s="5"/>
      <c r="U372" s="5"/>
      <c r="V372" s="5"/>
      <c r="W372" s="5"/>
    </row>
    <row r="373">
      <c r="A373" s="5"/>
      <c r="B373" s="3"/>
      <c r="C373" s="5"/>
      <c r="D373" s="5"/>
      <c r="E373" s="5"/>
      <c r="F373" s="5"/>
      <c r="G373" s="5"/>
      <c r="H373" s="5"/>
      <c r="I373" s="5"/>
      <c r="J373" s="5"/>
      <c r="K373" s="5"/>
      <c r="L373" s="5"/>
      <c r="M373" s="5"/>
      <c r="N373" s="5"/>
      <c r="O373" s="5"/>
      <c r="P373" s="5"/>
      <c r="Q373" s="5"/>
      <c r="R373" s="5"/>
      <c r="S373" s="5"/>
      <c r="T373" s="5"/>
      <c r="U373" s="5"/>
      <c r="V373" s="5"/>
      <c r="W373" s="5"/>
    </row>
    <row r="374">
      <c r="A374" s="5"/>
      <c r="B374" s="3"/>
      <c r="C374" s="5"/>
      <c r="D374" s="5"/>
      <c r="E374" s="5"/>
      <c r="F374" s="5"/>
      <c r="G374" s="5"/>
      <c r="H374" s="5"/>
      <c r="I374" s="5"/>
      <c r="J374" s="5"/>
      <c r="K374" s="5"/>
      <c r="L374" s="5"/>
      <c r="M374" s="5"/>
      <c r="N374" s="5"/>
      <c r="O374" s="5"/>
      <c r="P374" s="5"/>
      <c r="Q374" s="5"/>
      <c r="R374" s="5"/>
      <c r="S374" s="5"/>
      <c r="T374" s="5"/>
      <c r="U374" s="5"/>
      <c r="V374" s="5"/>
      <c r="W374" s="5"/>
    </row>
    <row r="375">
      <c r="A375" s="5"/>
      <c r="B375" s="3"/>
      <c r="C375" s="5"/>
      <c r="D375" s="5"/>
      <c r="E375" s="5"/>
      <c r="F375" s="5"/>
      <c r="G375" s="5"/>
      <c r="H375" s="5"/>
      <c r="I375" s="5"/>
      <c r="J375" s="5"/>
      <c r="K375" s="5"/>
      <c r="L375" s="5"/>
      <c r="M375" s="5"/>
      <c r="N375" s="5"/>
      <c r="O375" s="5"/>
      <c r="P375" s="5"/>
      <c r="Q375" s="5"/>
      <c r="R375" s="5"/>
      <c r="S375" s="5"/>
      <c r="T375" s="5"/>
      <c r="U375" s="5"/>
      <c r="V375" s="5"/>
      <c r="W375" s="5"/>
    </row>
    <row r="376">
      <c r="A376" s="5"/>
      <c r="B376" s="3"/>
      <c r="C376" s="5"/>
      <c r="D376" s="5"/>
      <c r="E376" s="5"/>
      <c r="F376" s="5"/>
      <c r="G376" s="5"/>
      <c r="H376" s="5"/>
      <c r="I376" s="5"/>
      <c r="J376" s="5"/>
      <c r="K376" s="5"/>
      <c r="L376" s="5"/>
      <c r="M376" s="5"/>
      <c r="N376" s="5"/>
      <c r="O376" s="5"/>
      <c r="P376" s="5"/>
      <c r="Q376" s="5"/>
      <c r="R376" s="5"/>
      <c r="S376" s="5"/>
      <c r="T376" s="5"/>
      <c r="U376" s="5"/>
      <c r="V376" s="5"/>
      <c r="W376" s="5"/>
    </row>
    <row r="377">
      <c r="A377" s="5"/>
      <c r="B377" s="3"/>
      <c r="C377" s="5"/>
      <c r="D377" s="5"/>
      <c r="E377" s="5"/>
      <c r="F377" s="5"/>
      <c r="G377" s="5"/>
      <c r="H377" s="5"/>
      <c r="I377" s="5"/>
      <c r="J377" s="5"/>
      <c r="K377" s="5"/>
      <c r="L377" s="5"/>
      <c r="M377" s="5"/>
      <c r="N377" s="5"/>
      <c r="O377" s="5"/>
      <c r="P377" s="5"/>
      <c r="Q377" s="5"/>
      <c r="R377" s="5"/>
      <c r="S377" s="5"/>
      <c r="T377" s="5"/>
      <c r="U377" s="5"/>
      <c r="V377" s="5"/>
      <c r="W377" s="5"/>
    </row>
    <row r="378">
      <c r="A378" s="5"/>
      <c r="B378" s="3"/>
      <c r="C378" s="5"/>
      <c r="D378" s="5"/>
      <c r="E378" s="5"/>
      <c r="F378" s="5"/>
      <c r="G378" s="5"/>
      <c r="H378" s="5"/>
      <c r="I378" s="5"/>
      <c r="J378" s="5"/>
      <c r="K378" s="5"/>
      <c r="L378" s="5"/>
      <c r="M378" s="5"/>
      <c r="N378" s="5"/>
      <c r="O378" s="5"/>
      <c r="P378" s="5"/>
      <c r="Q378" s="5"/>
      <c r="R378" s="5"/>
      <c r="S378" s="5"/>
      <c r="T378" s="5"/>
      <c r="U378" s="5"/>
      <c r="V378" s="5"/>
      <c r="W378" s="5"/>
    </row>
    <row r="379">
      <c r="A379" s="5"/>
      <c r="B379" s="3"/>
      <c r="C379" s="5"/>
      <c r="D379" s="5"/>
      <c r="E379" s="5"/>
      <c r="F379" s="5"/>
      <c r="G379" s="5"/>
      <c r="H379" s="5"/>
      <c r="I379" s="5"/>
      <c r="J379" s="5"/>
      <c r="K379" s="5"/>
      <c r="L379" s="5"/>
      <c r="M379" s="5"/>
      <c r="N379" s="5"/>
      <c r="O379" s="5"/>
      <c r="P379" s="5"/>
      <c r="Q379" s="5"/>
      <c r="R379" s="5"/>
      <c r="S379" s="5"/>
      <c r="T379" s="5"/>
      <c r="U379" s="5"/>
      <c r="V379" s="5"/>
      <c r="W379" s="5"/>
    </row>
    <row r="380">
      <c r="A380" s="5"/>
      <c r="B380" s="3"/>
      <c r="C380" s="5"/>
      <c r="D380" s="5"/>
      <c r="E380" s="5"/>
      <c r="F380" s="5"/>
      <c r="G380" s="5"/>
      <c r="H380" s="5"/>
      <c r="I380" s="5"/>
      <c r="J380" s="5"/>
      <c r="K380" s="5"/>
      <c r="L380" s="5"/>
      <c r="M380" s="5"/>
      <c r="N380" s="5"/>
      <c r="O380" s="5"/>
      <c r="P380" s="5"/>
      <c r="Q380" s="5"/>
      <c r="R380" s="5"/>
      <c r="S380" s="5"/>
      <c r="T380" s="5"/>
      <c r="U380" s="5"/>
      <c r="V380" s="5"/>
      <c r="W380" s="5"/>
    </row>
    <row r="381">
      <c r="A381" s="5"/>
      <c r="B381" s="3"/>
      <c r="C381" s="5"/>
      <c r="D381" s="5"/>
      <c r="E381" s="5"/>
      <c r="F381" s="5"/>
      <c r="G381" s="5"/>
      <c r="H381" s="5"/>
      <c r="I381" s="5"/>
      <c r="J381" s="5"/>
      <c r="K381" s="5"/>
      <c r="L381" s="5"/>
      <c r="M381" s="5"/>
      <c r="N381" s="5"/>
      <c r="O381" s="5"/>
      <c r="P381" s="5"/>
      <c r="Q381" s="5"/>
      <c r="R381" s="5"/>
      <c r="S381" s="5"/>
      <c r="T381" s="5"/>
      <c r="U381" s="5"/>
      <c r="V381" s="5"/>
      <c r="W381" s="5"/>
    </row>
    <row r="382">
      <c r="A382" s="5"/>
      <c r="B382" s="3"/>
      <c r="C382" s="5"/>
      <c r="D382" s="5"/>
      <c r="E382" s="5"/>
      <c r="F382" s="5"/>
      <c r="G382" s="5"/>
      <c r="H382" s="5"/>
      <c r="I382" s="5"/>
      <c r="J382" s="5"/>
      <c r="K382" s="5"/>
      <c r="L382" s="5"/>
      <c r="M382" s="5"/>
      <c r="N382" s="5"/>
      <c r="O382" s="5"/>
      <c r="P382" s="5"/>
      <c r="Q382" s="5"/>
      <c r="R382" s="5"/>
      <c r="S382" s="5"/>
      <c r="T382" s="5"/>
      <c r="U382" s="5"/>
      <c r="V382" s="5"/>
      <c r="W382" s="5"/>
    </row>
    <row r="383">
      <c r="A383" s="5"/>
      <c r="B383" s="3"/>
      <c r="C383" s="5"/>
      <c r="D383" s="5"/>
      <c r="E383" s="5"/>
      <c r="F383" s="5"/>
      <c r="G383" s="5"/>
      <c r="H383" s="5"/>
      <c r="I383" s="5"/>
      <c r="J383" s="5"/>
      <c r="K383" s="5"/>
      <c r="L383" s="5"/>
      <c r="M383" s="5"/>
      <c r="N383" s="5"/>
      <c r="O383" s="5"/>
      <c r="P383" s="5"/>
      <c r="Q383" s="5"/>
      <c r="R383" s="5"/>
      <c r="S383" s="5"/>
      <c r="T383" s="5"/>
      <c r="U383" s="5"/>
      <c r="V383" s="5"/>
      <c r="W383" s="5"/>
    </row>
    <row r="384">
      <c r="A384" s="5"/>
      <c r="B384" s="3"/>
      <c r="C384" s="5"/>
      <c r="D384" s="5"/>
      <c r="E384" s="5"/>
      <c r="F384" s="5"/>
      <c r="G384" s="5"/>
      <c r="H384" s="5"/>
      <c r="I384" s="5"/>
      <c r="J384" s="5"/>
      <c r="K384" s="5"/>
      <c r="L384" s="5"/>
      <c r="M384" s="5"/>
      <c r="N384" s="5"/>
      <c r="O384" s="5"/>
      <c r="P384" s="5"/>
      <c r="Q384" s="5"/>
      <c r="R384" s="5"/>
      <c r="S384" s="5"/>
      <c r="T384" s="5"/>
      <c r="U384" s="5"/>
      <c r="V384" s="5"/>
      <c r="W384" s="5"/>
    </row>
    <row r="385">
      <c r="A385" s="5"/>
      <c r="B385" s="3"/>
      <c r="C385" s="5"/>
      <c r="D385" s="5"/>
      <c r="E385" s="5"/>
      <c r="F385" s="5"/>
      <c r="G385" s="5"/>
      <c r="H385" s="5"/>
      <c r="I385" s="5"/>
      <c r="J385" s="5"/>
      <c r="K385" s="5"/>
      <c r="L385" s="5"/>
      <c r="M385" s="5"/>
      <c r="N385" s="5"/>
      <c r="O385" s="5"/>
      <c r="P385" s="5"/>
      <c r="Q385" s="5"/>
      <c r="R385" s="5"/>
      <c r="S385" s="5"/>
      <c r="T385" s="5"/>
      <c r="U385" s="5"/>
      <c r="V385" s="5"/>
      <c r="W385" s="5"/>
    </row>
    <row r="386">
      <c r="A386" s="5"/>
      <c r="B386" s="3"/>
      <c r="C386" s="5"/>
      <c r="D386" s="5"/>
      <c r="E386" s="5"/>
      <c r="F386" s="5"/>
      <c r="G386" s="5"/>
      <c r="H386" s="5"/>
      <c r="I386" s="5"/>
      <c r="J386" s="5"/>
      <c r="K386" s="5"/>
      <c r="L386" s="5"/>
      <c r="M386" s="5"/>
      <c r="N386" s="5"/>
      <c r="O386" s="5"/>
      <c r="P386" s="5"/>
      <c r="Q386" s="5"/>
      <c r="R386" s="5"/>
      <c r="S386" s="5"/>
      <c r="T386" s="5"/>
      <c r="U386" s="5"/>
      <c r="V386" s="5"/>
      <c r="W386" s="5"/>
    </row>
    <row r="387">
      <c r="A387" s="5"/>
      <c r="B387" s="3"/>
      <c r="C387" s="5"/>
      <c r="D387" s="5"/>
      <c r="E387" s="5"/>
      <c r="F387" s="5"/>
      <c r="G387" s="5"/>
      <c r="H387" s="5"/>
      <c r="I387" s="5"/>
      <c r="J387" s="5"/>
      <c r="K387" s="5"/>
      <c r="L387" s="5"/>
      <c r="M387" s="5"/>
      <c r="N387" s="5"/>
      <c r="O387" s="5"/>
      <c r="P387" s="5"/>
      <c r="Q387" s="5"/>
      <c r="R387" s="5"/>
      <c r="S387" s="5"/>
      <c r="T387" s="5"/>
      <c r="U387" s="5"/>
      <c r="V387" s="5"/>
      <c r="W387" s="5"/>
    </row>
    <row r="388">
      <c r="A388" s="5"/>
      <c r="B388" s="3"/>
      <c r="C388" s="5"/>
      <c r="D388" s="5"/>
      <c r="E388" s="5"/>
      <c r="F388" s="5"/>
      <c r="G388" s="5"/>
      <c r="H388" s="5"/>
      <c r="I388" s="5"/>
      <c r="J388" s="5"/>
      <c r="K388" s="5"/>
      <c r="L388" s="5"/>
      <c r="M388" s="5"/>
      <c r="N388" s="5"/>
      <c r="O388" s="5"/>
      <c r="P388" s="5"/>
      <c r="Q388" s="5"/>
      <c r="R388" s="5"/>
      <c r="S388" s="5"/>
      <c r="T388" s="5"/>
      <c r="U388" s="5"/>
      <c r="V388" s="5"/>
      <c r="W388" s="5"/>
    </row>
    <row r="389">
      <c r="A389" s="5"/>
      <c r="B389" s="3"/>
      <c r="C389" s="5"/>
      <c r="D389" s="5"/>
      <c r="E389" s="5"/>
      <c r="F389" s="5"/>
      <c r="G389" s="5"/>
      <c r="H389" s="5"/>
      <c r="I389" s="5"/>
      <c r="J389" s="5"/>
      <c r="K389" s="5"/>
      <c r="L389" s="5"/>
      <c r="M389" s="5"/>
      <c r="N389" s="5"/>
      <c r="O389" s="5"/>
      <c r="P389" s="5"/>
      <c r="Q389" s="5"/>
      <c r="R389" s="5"/>
      <c r="S389" s="5"/>
      <c r="T389" s="5"/>
      <c r="U389" s="5"/>
      <c r="V389" s="5"/>
      <c r="W389" s="5"/>
    </row>
    <row r="390">
      <c r="A390" s="5"/>
      <c r="B390" s="3"/>
      <c r="C390" s="5"/>
      <c r="D390" s="5"/>
      <c r="E390" s="5"/>
      <c r="F390" s="5"/>
      <c r="G390" s="5"/>
      <c r="H390" s="5"/>
      <c r="I390" s="5"/>
      <c r="J390" s="5"/>
      <c r="K390" s="5"/>
      <c r="L390" s="5"/>
      <c r="M390" s="5"/>
      <c r="N390" s="5"/>
      <c r="O390" s="5"/>
      <c r="P390" s="5"/>
      <c r="Q390" s="5"/>
      <c r="R390" s="5"/>
      <c r="S390" s="5"/>
      <c r="T390" s="5"/>
      <c r="U390" s="5"/>
      <c r="V390" s="5"/>
      <c r="W390" s="5"/>
    </row>
    <row r="391">
      <c r="A391" s="5"/>
      <c r="B391" s="3"/>
      <c r="C391" s="5"/>
      <c r="D391" s="5"/>
      <c r="E391" s="5"/>
      <c r="F391" s="5"/>
      <c r="G391" s="5"/>
      <c r="H391" s="5"/>
      <c r="I391" s="5"/>
      <c r="J391" s="5"/>
      <c r="K391" s="5"/>
      <c r="L391" s="5"/>
      <c r="M391" s="5"/>
      <c r="N391" s="5"/>
      <c r="O391" s="5"/>
      <c r="P391" s="5"/>
      <c r="Q391" s="5"/>
      <c r="R391" s="5"/>
      <c r="S391" s="5"/>
      <c r="T391" s="5"/>
      <c r="U391" s="5"/>
      <c r="V391" s="5"/>
      <c r="W391" s="5"/>
    </row>
    <row r="392">
      <c r="A392" s="5"/>
      <c r="B392" s="3"/>
      <c r="C392" s="5"/>
      <c r="D392" s="5"/>
      <c r="E392" s="5"/>
      <c r="F392" s="5"/>
      <c r="G392" s="5"/>
      <c r="H392" s="5"/>
      <c r="I392" s="5"/>
      <c r="J392" s="5"/>
      <c r="K392" s="5"/>
      <c r="L392" s="5"/>
      <c r="M392" s="5"/>
      <c r="N392" s="5"/>
      <c r="O392" s="5"/>
      <c r="P392" s="5"/>
      <c r="Q392" s="5"/>
      <c r="R392" s="5"/>
      <c r="S392" s="5"/>
      <c r="T392" s="5"/>
      <c r="U392" s="5"/>
      <c r="V392" s="5"/>
      <c r="W392" s="5"/>
    </row>
    <row r="393">
      <c r="A393" s="5"/>
      <c r="B393" s="3"/>
      <c r="C393" s="5"/>
      <c r="D393" s="5"/>
      <c r="E393" s="5"/>
      <c r="F393" s="5"/>
      <c r="G393" s="5"/>
      <c r="H393" s="5"/>
      <c r="I393" s="5"/>
      <c r="J393" s="5"/>
      <c r="K393" s="5"/>
      <c r="L393" s="5"/>
      <c r="M393" s="5"/>
      <c r="N393" s="5"/>
      <c r="O393" s="5"/>
      <c r="P393" s="5"/>
      <c r="Q393" s="5"/>
      <c r="R393" s="5"/>
      <c r="S393" s="5"/>
      <c r="T393" s="5"/>
      <c r="U393" s="5"/>
      <c r="V393" s="5"/>
      <c r="W393" s="5"/>
    </row>
    <row r="394">
      <c r="A394" s="5"/>
      <c r="B394" s="3"/>
      <c r="C394" s="5"/>
      <c r="D394" s="5"/>
      <c r="E394" s="5"/>
      <c r="F394" s="5"/>
      <c r="G394" s="5"/>
      <c r="H394" s="5"/>
      <c r="I394" s="5"/>
      <c r="J394" s="5"/>
      <c r="K394" s="5"/>
      <c r="L394" s="5"/>
      <c r="M394" s="5"/>
      <c r="N394" s="5"/>
      <c r="O394" s="5"/>
      <c r="P394" s="5"/>
      <c r="Q394" s="5"/>
      <c r="R394" s="5"/>
      <c r="S394" s="5"/>
      <c r="T394" s="5"/>
      <c r="U394" s="5"/>
      <c r="V394" s="5"/>
      <c r="W394" s="5"/>
    </row>
    <row r="395">
      <c r="A395" s="5"/>
      <c r="B395" s="3"/>
      <c r="C395" s="5"/>
      <c r="D395" s="5"/>
      <c r="E395" s="5"/>
      <c r="F395" s="5"/>
      <c r="G395" s="5"/>
      <c r="H395" s="5"/>
      <c r="I395" s="5"/>
      <c r="J395" s="5"/>
      <c r="K395" s="5"/>
      <c r="L395" s="5"/>
      <c r="M395" s="5"/>
      <c r="N395" s="5"/>
      <c r="O395" s="5"/>
      <c r="P395" s="5"/>
      <c r="Q395" s="5"/>
      <c r="R395" s="5"/>
      <c r="S395" s="5"/>
      <c r="T395" s="5"/>
      <c r="U395" s="5"/>
      <c r="V395" s="5"/>
      <c r="W395" s="5"/>
    </row>
    <row r="396">
      <c r="A396" s="5"/>
      <c r="B396" s="3"/>
      <c r="C396" s="5"/>
      <c r="D396" s="5"/>
      <c r="E396" s="5"/>
      <c r="F396" s="5"/>
      <c r="G396" s="5"/>
      <c r="H396" s="5"/>
      <c r="I396" s="5"/>
      <c r="J396" s="5"/>
      <c r="K396" s="5"/>
      <c r="L396" s="5"/>
      <c r="M396" s="5"/>
      <c r="N396" s="5"/>
      <c r="O396" s="5"/>
      <c r="P396" s="5"/>
      <c r="Q396" s="5"/>
      <c r="R396" s="5"/>
      <c r="S396" s="5"/>
      <c r="T396" s="5"/>
      <c r="U396" s="5"/>
      <c r="V396" s="5"/>
      <c r="W396" s="5"/>
    </row>
    <row r="397">
      <c r="A397" s="5"/>
      <c r="B397" s="3"/>
      <c r="C397" s="5"/>
      <c r="D397" s="5"/>
      <c r="E397" s="5"/>
      <c r="F397" s="5"/>
      <c r="G397" s="5"/>
      <c r="H397" s="5"/>
      <c r="I397" s="5"/>
      <c r="J397" s="5"/>
      <c r="K397" s="5"/>
      <c r="L397" s="5"/>
      <c r="M397" s="5"/>
      <c r="N397" s="5"/>
      <c r="O397" s="5"/>
      <c r="P397" s="5"/>
      <c r="Q397" s="5"/>
      <c r="R397" s="5"/>
      <c r="S397" s="5"/>
      <c r="T397" s="5"/>
      <c r="U397" s="5"/>
      <c r="V397" s="5"/>
      <c r="W397" s="5"/>
    </row>
    <row r="398">
      <c r="A398" s="5"/>
      <c r="B398" s="3"/>
      <c r="C398" s="5"/>
      <c r="D398" s="5"/>
      <c r="E398" s="5"/>
      <c r="F398" s="5"/>
      <c r="G398" s="5"/>
      <c r="H398" s="5"/>
      <c r="I398" s="5"/>
      <c r="J398" s="5"/>
      <c r="K398" s="5"/>
      <c r="L398" s="5"/>
      <c r="M398" s="5"/>
      <c r="N398" s="5"/>
      <c r="O398" s="5"/>
      <c r="P398" s="5"/>
      <c r="Q398" s="5"/>
      <c r="R398" s="5"/>
      <c r="S398" s="5"/>
      <c r="T398" s="5"/>
      <c r="U398" s="5"/>
      <c r="V398" s="5"/>
      <c r="W398" s="5"/>
    </row>
    <row r="399">
      <c r="A399" s="5"/>
      <c r="B399" s="3"/>
      <c r="C399" s="5"/>
      <c r="D399" s="5"/>
      <c r="E399" s="5"/>
      <c r="F399" s="5"/>
      <c r="G399" s="5"/>
      <c r="H399" s="5"/>
      <c r="I399" s="5"/>
      <c r="J399" s="5"/>
      <c r="K399" s="5"/>
      <c r="L399" s="5"/>
      <c r="M399" s="5"/>
      <c r="N399" s="5"/>
      <c r="O399" s="5"/>
      <c r="P399" s="5"/>
      <c r="Q399" s="5"/>
      <c r="R399" s="5"/>
      <c r="S399" s="5"/>
      <c r="T399" s="5"/>
      <c r="U399" s="5"/>
      <c r="V399" s="5"/>
      <c r="W399" s="5"/>
    </row>
    <row r="400">
      <c r="A400" s="5"/>
      <c r="B400" s="3"/>
      <c r="C400" s="5"/>
      <c r="D400" s="5"/>
      <c r="E400" s="5"/>
      <c r="F400" s="5"/>
      <c r="G400" s="5"/>
      <c r="H400" s="5"/>
      <c r="I400" s="5"/>
      <c r="J400" s="5"/>
      <c r="K400" s="5"/>
      <c r="L400" s="5"/>
      <c r="M400" s="5"/>
      <c r="N400" s="5"/>
      <c r="O400" s="5"/>
      <c r="P400" s="5"/>
      <c r="Q400" s="5"/>
      <c r="R400" s="5"/>
      <c r="S400" s="5"/>
      <c r="T400" s="5"/>
      <c r="U400" s="5"/>
      <c r="V400" s="5"/>
      <c r="W400" s="5"/>
    </row>
    <row r="401">
      <c r="A401" s="5"/>
      <c r="B401" s="3"/>
      <c r="C401" s="5"/>
      <c r="D401" s="5"/>
      <c r="E401" s="5"/>
      <c r="F401" s="5"/>
      <c r="G401" s="5"/>
      <c r="H401" s="5"/>
      <c r="I401" s="5"/>
      <c r="J401" s="5"/>
      <c r="K401" s="5"/>
      <c r="L401" s="5"/>
      <c r="M401" s="5"/>
      <c r="N401" s="5"/>
      <c r="O401" s="5"/>
      <c r="P401" s="5"/>
      <c r="Q401" s="5"/>
      <c r="R401" s="5"/>
      <c r="S401" s="5"/>
      <c r="T401" s="5"/>
      <c r="U401" s="5"/>
      <c r="V401" s="5"/>
      <c r="W401" s="5"/>
    </row>
    <row r="402">
      <c r="A402" s="3"/>
      <c r="B402" s="3"/>
      <c r="C402" s="5"/>
      <c r="D402" s="3"/>
      <c r="E402" s="5"/>
      <c r="F402" s="5"/>
      <c r="G402" s="5"/>
      <c r="H402" s="5"/>
      <c r="I402" s="5"/>
      <c r="J402" s="5"/>
      <c r="K402" s="5"/>
      <c r="L402" s="5"/>
      <c r="M402" s="5"/>
      <c r="N402" s="5"/>
      <c r="O402" s="5"/>
      <c r="P402" s="5"/>
      <c r="Q402" s="5"/>
      <c r="R402" s="5"/>
      <c r="S402" s="5"/>
      <c r="T402" s="5"/>
      <c r="U402" s="5"/>
      <c r="V402" s="5"/>
      <c r="W402" s="5"/>
    </row>
    <row r="403">
      <c r="A403" s="3"/>
      <c r="B403" s="3"/>
      <c r="C403" s="5"/>
      <c r="D403" s="3"/>
      <c r="E403" s="5"/>
      <c r="F403" s="5"/>
      <c r="G403" s="5"/>
      <c r="H403" s="5"/>
      <c r="I403" s="5"/>
      <c r="J403" s="5"/>
      <c r="K403" s="5"/>
      <c r="L403" s="5"/>
      <c r="M403" s="5"/>
      <c r="N403" s="5"/>
      <c r="O403" s="5"/>
      <c r="P403" s="5"/>
      <c r="Q403" s="5"/>
      <c r="R403" s="5"/>
      <c r="S403" s="5"/>
      <c r="T403" s="5"/>
      <c r="U403" s="5"/>
      <c r="V403" s="5"/>
      <c r="W403" s="5"/>
    </row>
    <row r="404">
      <c r="A404" s="3"/>
      <c r="B404" s="3"/>
      <c r="C404" s="5"/>
      <c r="D404" s="3"/>
      <c r="E404" s="5"/>
      <c r="F404" s="5"/>
      <c r="G404" s="5"/>
      <c r="H404" s="5"/>
      <c r="I404" s="5"/>
      <c r="J404" s="5"/>
      <c r="K404" s="5"/>
      <c r="L404" s="5"/>
      <c r="M404" s="5"/>
      <c r="N404" s="5"/>
      <c r="O404" s="5"/>
      <c r="P404" s="5"/>
      <c r="Q404" s="5"/>
      <c r="R404" s="5"/>
      <c r="S404" s="5"/>
      <c r="T404" s="5"/>
      <c r="U404" s="5"/>
      <c r="V404" s="5"/>
      <c r="W404" s="5"/>
    </row>
    <row r="405">
      <c r="A405" s="3"/>
      <c r="B405" s="3"/>
      <c r="C405" s="5"/>
      <c r="D405" s="3"/>
      <c r="E405" s="5"/>
      <c r="F405" s="5"/>
      <c r="G405" s="5"/>
      <c r="H405" s="5"/>
      <c r="I405" s="5"/>
      <c r="J405" s="5"/>
      <c r="K405" s="5"/>
      <c r="L405" s="5"/>
      <c r="M405" s="5"/>
      <c r="N405" s="5"/>
      <c r="O405" s="5"/>
      <c r="P405" s="5"/>
      <c r="Q405" s="5"/>
      <c r="R405" s="5"/>
      <c r="S405" s="5"/>
      <c r="T405" s="5"/>
      <c r="U405" s="5"/>
      <c r="V405" s="5"/>
      <c r="W405" s="5"/>
    </row>
    <row r="406">
      <c r="A406" s="3"/>
      <c r="B406" s="3"/>
      <c r="C406" s="5"/>
      <c r="D406" s="3"/>
      <c r="E406" s="5"/>
      <c r="F406" s="5"/>
      <c r="G406" s="5"/>
      <c r="H406" s="5"/>
      <c r="I406" s="5"/>
      <c r="J406" s="5"/>
      <c r="K406" s="5"/>
      <c r="L406" s="5"/>
      <c r="M406" s="5"/>
      <c r="N406" s="5"/>
      <c r="O406" s="5"/>
      <c r="P406" s="5"/>
      <c r="Q406" s="5"/>
      <c r="R406" s="5"/>
      <c r="S406" s="5"/>
      <c r="T406" s="5"/>
      <c r="U406" s="5"/>
      <c r="V406" s="5"/>
      <c r="W406" s="5"/>
    </row>
    <row r="407">
      <c r="A407" s="3"/>
      <c r="B407" s="3"/>
      <c r="C407" s="5"/>
      <c r="D407" s="3"/>
      <c r="E407" s="5"/>
      <c r="F407" s="5"/>
      <c r="G407" s="5"/>
      <c r="H407" s="5"/>
      <c r="I407" s="5"/>
      <c r="J407" s="5"/>
      <c r="K407" s="5"/>
      <c r="L407" s="5"/>
      <c r="M407" s="5"/>
      <c r="N407" s="5"/>
      <c r="O407" s="5"/>
      <c r="P407" s="5"/>
      <c r="Q407" s="5"/>
      <c r="R407" s="5"/>
      <c r="S407" s="5"/>
      <c r="T407" s="5"/>
      <c r="U407" s="5"/>
      <c r="V407" s="5"/>
      <c r="W407" s="5"/>
    </row>
    <row r="408">
      <c r="A408" s="3"/>
      <c r="B408" s="3"/>
      <c r="C408" s="5"/>
      <c r="D408" s="3"/>
      <c r="E408" s="5"/>
      <c r="F408" s="5"/>
      <c r="G408" s="5"/>
      <c r="H408" s="5"/>
      <c r="I408" s="5"/>
      <c r="J408" s="5"/>
      <c r="K408" s="5"/>
      <c r="L408" s="5"/>
      <c r="M408" s="5"/>
      <c r="N408" s="5"/>
      <c r="O408" s="5"/>
      <c r="P408" s="5"/>
      <c r="Q408" s="5"/>
      <c r="R408" s="5"/>
      <c r="S408" s="5"/>
      <c r="T408" s="5"/>
      <c r="U408" s="5"/>
      <c r="V408" s="5"/>
      <c r="W408" s="5"/>
    </row>
    <row r="409">
      <c r="A409" s="3"/>
      <c r="B409" s="3"/>
      <c r="C409" s="5"/>
      <c r="D409" s="3"/>
      <c r="E409" s="5"/>
      <c r="F409" s="5"/>
      <c r="G409" s="5"/>
      <c r="H409" s="5"/>
      <c r="I409" s="5"/>
      <c r="J409" s="5"/>
      <c r="K409" s="5"/>
      <c r="L409" s="5"/>
      <c r="M409" s="5"/>
      <c r="N409" s="5"/>
      <c r="O409" s="5"/>
      <c r="P409" s="5"/>
      <c r="Q409" s="5"/>
      <c r="R409" s="5"/>
      <c r="S409" s="5"/>
      <c r="T409" s="5"/>
      <c r="U409" s="5"/>
      <c r="V409" s="5"/>
      <c r="W409" s="5"/>
    </row>
    <row r="410">
      <c r="A410" s="3"/>
      <c r="B410" s="3"/>
      <c r="C410" s="5"/>
      <c r="D410" s="3"/>
      <c r="E410" s="5"/>
      <c r="F410" s="5"/>
      <c r="G410" s="5"/>
      <c r="H410" s="5"/>
      <c r="I410" s="5"/>
      <c r="J410" s="5"/>
      <c r="K410" s="5"/>
      <c r="L410" s="5"/>
      <c r="M410" s="5"/>
      <c r="N410" s="5"/>
      <c r="O410" s="5"/>
      <c r="P410" s="5"/>
      <c r="Q410" s="5"/>
      <c r="R410" s="5"/>
      <c r="S410" s="5"/>
      <c r="T410" s="5"/>
      <c r="U410" s="5"/>
      <c r="V410" s="5"/>
      <c r="W410" s="5"/>
    </row>
    <row r="411">
      <c r="A411" s="3"/>
      <c r="B411" s="3"/>
      <c r="C411" s="5"/>
      <c r="D411" s="3"/>
      <c r="E411" s="5"/>
      <c r="F411" s="5"/>
      <c r="G411" s="5"/>
      <c r="H411" s="5"/>
      <c r="I411" s="5"/>
      <c r="J411" s="5"/>
      <c r="K411" s="5"/>
      <c r="L411" s="5"/>
      <c r="M411" s="5"/>
      <c r="N411" s="5"/>
      <c r="O411" s="5"/>
      <c r="P411" s="5"/>
      <c r="Q411" s="5"/>
      <c r="R411" s="5"/>
      <c r="S411" s="5"/>
      <c r="T411" s="5"/>
      <c r="U411" s="5"/>
      <c r="V411" s="5"/>
      <c r="W411" s="5"/>
    </row>
    <row r="412">
      <c r="A412" s="3"/>
      <c r="B412" s="3"/>
      <c r="C412" s="5"/>
      <c r="D412" s="3"/>
      <c r="E412" s="5"/>
      <c r="F412" s="5"/>
      <c r="G412" s="5"/>
      <c r="H412" s="5"/>
      <c r="I412" s="5"/>
      <c r="J412" s="5"/>
      <c r="K412" s="5"/>
      <c r="L412" s="5"/>
      <c r="M412" s="5"/>
      <c r="N412" s="5"/>
      <c r="O412" s="5"/>
      <c r="P412" s="5"/>
      <c r="Q412" s="5"/>
      <c r="R412" s="5"/>
      <c r="S412" s="5"/>
      <c r="T412" s="5"/>
      <c r="U412" s="5"/>
      <c r="V412" s="5"/>
      <c r="W412" s="5"/>
    </row>
    <row r="413">
      <c r="A413" s="3"/>
      <c r="B413" s="3"/>
      <c r="C413" s="5"/>
      <c r="D413" s="3"/>
      <c r="E413" s="5"/>
      <c r="F413" s="5"/>
      <c r="G413" s="5"/>
      <c r="H413" s="5"/>
      <c r="I413" s="5"/>
      <c r="J413" s="5"/>
      <c r="K413" s="5"/>
      <c r="L413" s="5"/>
      <c r="M413" s="5"/>
      <c r="N413" s="5"/>
      <c r="O413" s="5"/>
      <c r="P413" s="5"/>
      <c r="Q413" s="5"/>
      <c r="R413" s="5"/>
      <c r="S413" s="5"/>
      <c r="T413" s="5"/>
      <c r="U413" s="5"/>
      <c r="V413" s="5"/>
      <c r="W413" s="5"/>
    </row>
    <row r="414">
      <c r="A414" s="3"/>
      <c r="B414" s="3"/>
      <c r="C414" s="5"/>
      <c r="D414" s="3"/>
      <c r="E414" s="5"/>
      <c r="F414" s="5"/>
      <c r="G414" s="5"/>
      <c r="H414" s="5"/>
      <c r="I414" s="5"/>
      <c r="J414" s="5"/>
      <c r="K414" s="5"/>
      <c r="L414" s="5"/>
      <c r="M414" s="5"/>
      <c r="N414" s="5"/>
      <c r="O414" s="5"/>
      <c r="P414" s="5"/>
      <c r="Q414" s="5"/>
      <c r="R414" s="5"/>
      <c r="S414" s="5"/>
      <c r="T414" s="5"/>
      <c r="U414" s="5"/>
      <c r="V414" s="5"/>
      <c r="W414" s="5"/>
    </row>
    <row r="415">
      <c r="A415" s="3"/>
      <c r="B415" s="3"/>
      <c r="C415" s="5"/>
      <c r="D415" s="3"/>
      <c r="E415" s="5"/>
      <c r="F415" s="5"/>
      <c r="G415" s="5"/>
      <c r="H415" s="5"/>
      <c r="I415" s="5"/>
      <c r="J415" s="5"/>
      <c r="K415" s="5"/>
      <c r="L415" s="5"/>
      <c r="M415" s="5"/>
      <c r="N415" s="5"/>
      <c r="O415" s="5"/>
      <c r="P415" s="5"/>
      <c r="Q415" s="5"/>
      <c r="R415" s="5"/>
      <c r="S415" s="5"/>
      <c r="T415" s="5"/>
      <c r="U415" s="5"/>
      <c r="V415" s="5"/>
      <c r="W415" s="5"/>
    </row>
    <row r="416">
      <c r="A416" s="3"/>
      <c r="B416" s="3"/>
      <c r="C416" s="5"/>
      <c r="D416" s="3"/>
      <c r="E416" s="5"/>
      <c r="F416" s="5"/>
      <c r="G416" s="5"/>
      <c r="H416" s="5"/>
      <c r="I416" s="5"/>
      <c r="J416" s="5"/>
      <c r="K416" s="5"/>
      <c r="L416" s="5"/>
      <c r="M416" s="5"/>
      <c r="N416" s="5"/>
      <c r="O416" s="5"/>
      <c r="P416" s="5"/>
      <c r="Q416" s="5"/>
      <c r="R416" s="5"/>
      <c r="S416" s="5"/>
      <c r="T416" s="5"/>
      <c r="U416" s="5"/>
      <c r="V416" s="5"/>
      <c r="W416" s="5"/>
    </row>
    <row r="417">
      <c r="A417" s="5"/>
      <c r="B417" s="3"/>
      <c r="C417" s="5"/>
      <c r="D417" s="5"/>
      <c r="E417" s="5"/>
      <c r="F417" s="5"/>
      <c r="G417" s="5"/>
      <c r="H417" s="5"/>
      <c r="I417" s="5"/>
      <c r="J417" s="5"/>
      <c r="K417" s="5"/>
      <c r="L417" s="5"/>
      <c r="M417" s="5"/>
      <c r="N417" s="5"/>
      <c r="O417" s="5"/>
      <c r="P417" s="5"/>
      <c r="Q417" s="5"/>
      <c r="R417" s="5"/>
      <c r="S417" s="5"/>
      <c r="T417" s="5"/>
      <c r="U417" s="5"/>
      <c r="V417" s="5"/>
      <c r="W417" s="5"/>
    </row>
    <row r="418">
      <c r="A418" s="5"/>
      <c r="B418" s="3"/>
      <c r="C418" s="5"/>
      <c r="D418" s="5"/>
      <c r="E418" s="5"/>
      <c r="F418" s="5"/>
      <c r="G418" s="5"/>
      <c r="H418" s="5"/>
      <c r="I418" s="5"/>
      <c r="J418" s="5"/>
      <c r="K418" s="5"/>
      <c r="L418" s="5"/>
      <c r="M418" s="5"/>
      <c r="N418" s="5"/>
      <c r="O418" s="5"/>
      <c r="P418" s="5"/>
      <c r="Q418" s="5"/>
      <c r="R418" s="5"/>
      <c r="S418" s="5"/>
      <c r="T418" s="5"/>
      <c r="U418" s="5"/>
      <c r="V418" s="5"/>
      <c r="W418" s="5"/>
    </row>
    <row r="419">
      <c r="A419" s="5"/>
      <c r="B419" s="3"/>
      <c r="C419" s="5"/>
      <c r="D419" s="5"/>
      <c r="E419" s="5"/>
      <c r="F419" s="5"/>
      <c r="G419" s="5"/>
      <c r="H419" s="5"/>
      <c r="I419" s="5"/>
      <c r="J419" s="5"/>
      <c r="K419" s="5"/>
      <c r="L419" s="5"/>
      <c r="M419" s="5"/>
      <c r="N419" s="5"/>
      <c r="O419" s="5"/>
      <c r="P419" s="5"/>
      <c r="Q419" s="5"/>
      <c r="R419" s="5"/>
      <c r="S419" s="5"/>
      <c r="T419" s="5"/>
      <c r="U419" s="5"/>
      <c r="V419" s="5"/>
      <c r="W419" s="5"/>
    </row>
    <row r="420">
      <c r="A420" s="5"/>
      <c r="B420" s="3"/>
      <c r="C420" s="5"/>
      <c r="D420" s="5"/>
      <c r="E420" s="5"/>
      <c r="F420" s="5"/>
      <c r="G420" s="5"/>
      <c r="H420" s="5"/>
      <c r="I420" s="5"/>
      <c r="J420" s="5"/>
      <c r="K420" s="5"/>
      <c r="L420" s="5"/>
      <c r="M420" s="5"/>
      <c r="N420" s="5"/>
      <c r="O420" s="5"/>
      <c r="P420" s="5"/>
      <c r="Q420" s="5"/>
      <c r="R420" s="5"/>
      <c r="S420" s="5"/>
      <c r="T420" s="5"/>
      <c r="U420" s="5"/>
      <c r="V420" s="5"/>
      <c r="W420" s="5"/>
    </row>
    <row r="421">
      <c r="A421" s="5"/>
      <c r="B421" s="3"/>
      <c r="C421" s="5"/>
      <c r="D421" s="5"/>
      <c r="E421" s="5"/>
      <c r="F421" s="5"/>
      <c r="G421" s="5"/>
      <c r="H421" s="5"/>
      <c r="I421" s="5"/>
      <c r="J421" s="5"/>
      <c r="K421" s="5"/>
      <c r="L421" s="5"/>
      <c r="M421" s="5"/>
      <c r="N421" s="5"/>
      <c r="O421" s="5"/>
      <c r="P421" s="5"/>
      <c r="Q421" s="5"/>
      <c r="R421" s="5"/>
      <c r="S421" s="5"/>
      <c r="T421" s="5"/>
      <c r="U421" s="5"/>
      <c r="V421" s="5"/>
      <c r="W421" s="5"/>
    </row>
    <row r="422">
      <c r="A422" s="5"/>
      <c r="B422" s="3"/>
      <c r="C422" s="5"/>
      <c r="D422" s="5"/>
      <c r="E422" s="5"/>
      <c r="F422" s="5"/>
      <c r="G422" s="5"/>
      <c r="H422" s="5"/>
      <c r="I422" s="5"/>
      <c r="J422" s="5"/>
      <c r="K422" s="5"/>
      <c r="L422" s="5"/>
      <c r="M422" s="5"/>
      <c r="N422" s="5"/>
      <c r="O422" s="5"/>
      <c r="P422" s="5"/>
      <c r="Q422" s="5"/>
      <c r="R422" s="5"/>
      <c r="S422" s="5"/>
      <c r="T422" s="5"/>
      <c r="U422" s="5"/>
      <c r="V422" s="5"/>
      <c r="W422" s="5"/>
    </row>
    <row r="423">
      <c r="A423" s="5"/>
      <c r="B423" s="3"/>
      <c r="C423" s="5"/>
      <c r="D423" s="5"/>
      <c r="E423" s="5"/>
      <c r="F423" s="5"/>
      <c r="G423" s="5"/>
      <c r="H423" s="5"/>
      <c r="I423" s="5"/>
      <c r="J423" s="5"/>
      <c r="K423" s="5"/>
      <c r="L423" s="5"/>
      <c r="M423" s="5"/>
      <c r="N423" s="5"/>
      <c r="O423" s="5"/>
      <c r="P423" s="5"/>
      <c r="Q423" s="5"/>
      <c r="R423" s="5"/>
      <c r="S423" s="5"/>
      <c r="T423" s="5"/>
      <c r="U423" s="5"/>
      <c r="V423" s="5"/>
      <c r="W423" s="5"/>
    </row>
    <row r="424">
      <c r="A424" s="5"/>
      <c r="B424" s="3"/>
      <c r="C424" s="5"/>
      <c r="D424" s="5"/>
      <c r="E424" s="5"/>
      <c r="F424" s="5"/>
      <c r="G424" s="5"/>
      <c r="H424" s="5"/>
      <c r="I424" s="5"/>
      <c r="J424" s="5"/>
      <c r="K424" s="5"/>
      <c r="L424" s="5"/>
      <c r="M424" s="5"/>
      <c r="N424" s="5"/>
      <c r="O424" s="5"/>
      <c r="P424" s="5"/>
      <c r="Q424" s="5"/>
      <c r="R424" s="5"/>
      <c r="S424" s="5"/>
      <c r="T424" s="5"/>
      <c r="U424" s="5"/>
      <c r="V424" s="5"/>
      <c r="W424" s="5"/>
    </row>
    <row r="425">
      <c r="A425" s="5"/>
      <c r="B425" s="3"/>
      <c r="C425" s="5"/>
      <c r="D425" s="5"/>
      <c r="E425" s="5"/>
      <c r="F425" s="5"/>
      <c r="G425" s="5"/>
      <c r="H425" s="5"/>
      <c r="I425" s="5"/>
      <c r="J425" s="5"/>
      <c r="K425" s="5"/>
      <c r="L425" s="5"/>
      <c r="M425" s="5"/>
      <c r="N425" s="5"/>
      <c r="O425" s="5"/>
      <c r="P425" s="5"/>
      <c r="Q425" s="5"/>
      <c r="R425" s="5"/>
      <c r="S425" s="5"/>
      <c r="T425" s="5"/>
      <c r="U425" s="5"/>
      <c r="V425" s="5"/>
      <c r="W425" s="5"/>
    </row>
    <row r="426">
      <c r="A426" s="5"/>
      <c r="B426" s="3"/>
      <c r="C426" s="5"/>
      <c r="D426" s="5"/>
      <c r="E426" s="5"/>
      <c r="F426" s="5"/>
      <c r="G426" s="5"/>
      <c r="H426" s="5"/>
      <c r="I426" s="5"/>
      <c r="J426" s="5"/>
      <c r="K426" s="5"/>
      <c r="L426" s="5"/>
      <c r="M426" s="5"/>
      <c r="N426" s="5"/>
      <c r="O426" s="5"/>
      <c r="P426" s="5"/>
      <c r="Q426" s="5"/>
      <c r="R426" s="5"/>
      <c r="S426" s="5"/>
      <c r="T426" s="5"/>
      <c r="U426" s="5"/>
      <c r="V426" s="5"/>
      <c r="W426" s="5"/>
    </row>
    <row r="427">
      <c r="A427" s="5"/>
      <c r="B427" s="3"/>
      <c r="C427" s="5"/>
      <c r="D427" s="5"/>
      <c r="E427" s="5"/>
      <c r="F427" s="5"/>
      <c r="G427" s="5"/>
      <c r="H427" s="5"/>
      <c r="I427" s="5"/>
      <c r="J427" s="5"/>
      <c r="K427" s="5"/>
      <c r="L427" s="5"/>
      <c r="M427" s="5"/>
      <c r="N427" s="5"/>
      <c r="O427" s="5"/>
      <c r="P427" s="5"/>
      <c r="Q427" s="5"/>
      <c r="R427" s="5"/>
      <c r="S427" s="5"/>
      <c r="T427" s="5"/>
      <c r="U427" s="5"/>
      <c r="V427" s="5"/>
      <c r="W427" s="5"/>
    </row>
    <row r="428">
      <c r="A428" s="5"/>
      <c r="B428" s="3"/>
      <c r="C428" s="5"/>
      <c r="D428" s="5"/>
      <c r="E428" s="5"/>
      <c r="F428" s="5"/>
      <c r="G428" s="5"/>
      <c r="H428" s="5"/>
      <c r="I428" s="5"/>
      <c r="J428" s="5"/>
      <c r="K428" s="5"/>
      <c r="L428" s="5"/>
      <c r="M428" s="5"/>
      <c r="N428" s="5"/>
      <c r="O428" s="5"/>
      <c r="P428" s="5"/>
      <c r="Q428" s="5"/>
      <c r="R428" s="5"/>
      <c r="S428" s="5"/>
      <c r="T428" s="5"/>
      <c r="U428" s="5"/>
      <c r="V428" s="5"/>
      <c r="W428" s="5"/>
    </row>
    <row r="429">
      <c r="A429" s="5"/>
      <c r="B429" s="3"/>
      <c r="C429" s="5"/>
      <c r="D429" s="5"/>
      <c r="E429" s="5"/>
      <c r="F429" s="5"/>
      <c r="G429" s="5"/>
      <c r="H429" s="5"/>
      <c r="I429" s="5"/>
      <c r="J429" s="5"/>
      <c r="K429" s="5"/>
      <c r="L429" s="5"/>
      <c r="M429" s="5"/>
      <c r="N429" s="5"/>
      <c r="O429" s="5"/>
      <c r="P429" s="5"/>
      <c r="Q429" s="5"/>
      <c r="R429" s="5"/>
      <c r="S429" s="5"/>
      <c r="T429" s="5"/>
      <c r="U429" s="5"/>
      <c r="V429" s="5"/>
      <c r="W429" s="5"/>
    </row>
    <row r="430">
      <c r="A430" s="5"/>
      <c r="B430" s="3"/>
      <c r="C430" s="5"/>
      <c r="D430" s="5"/>
      <c r="E430" s="5"/>
      <c r="F430" s="5"/>
      <c r="G430" s="5"/>
      <c r="H430" s="5"/>
      <c r="I430" s="5"/>
      <c r="J430" s="5"/>
      <c r="K430" s="5"/>
      <c r="L430" s="5"/>
      <c r="M430" s="5"/>
      <c r="N430" s="5"/>
      <c r="O430" s="5"/>
      <c r="P430" s="5"/>
      <c r="Q430" s="5"/>
      <c r="R430" s="5"/>
      <c r="S430" s="5"/>
      <c r="T430" s="5"/>
      <c r="U430" s="5"/>
      <c r="V430" s="5"/>
      <c r="W430" s="5"/>
    </row>
    <row r="431">
      <c r="A431" s="5"/>
      <c r="B431" s="3"/>
      <c r="C431" s="5"/>
      <c r="D431" s="5"/>
      <c r="E431" s="5"/>
      <c r="F431" s="5"/>
      <c r="G431" s="5"/>
      <c r="H431" s="5"/>
      <c r="I431" s="5"/>
      <c r="J431" s="5"/>
      <c r="K431" s="5"/>
      <c r="L431" s="5"/>
      <c r="M431" s="5"/>
      <c r="N431" s="5"/>
      <c r="O431" s="5"/>
      <c r="P431" s="5"/>
      <c r="Q431" s="5"/>
      <c r="R431" s="5"/>
      <c r="S431" s="5"/>
      <c r="T431" s="5"/>
      <c r="U431" s="5"/>
      <c r="V431" s="5"/>
      <c r="W431" s="5"/>
    </row>
    <row r="432">
      <c r="A432" s="5"/>
      <c r="B432" s="3"/>
      <c r="C432" s="5"/>
      <c r="D432" s="5"/>
      <c r="E432" s="5"/>
      <c r="F432" s="5"/>
      <c r="G432" s="5"/>
      <c r="H432" s="5"/>
      <c r="I432" s="5"/>
      <c r="J432" s="5"/>
      <c r="K432" s="5"/>
      <c r="L432" s="5"/>
      <c r="M432" s="5"/>
      <c r="N432" s="5"/>
      <c r="O432" s="5"/>
      <c r="P432" s="5"/>
      <c r="Q432" s="5"/>
      <c r="R432" s="5"/>
      <c r="S432" s="5"/>
      <c r="T432" s="5"/>
      <c r="U432" s="5"/>
      <c r="V432" s="5"/>
      <c r="W432" s="5"/>
    </row>
    <row r="433">
      <c r="A433" s="5"/>
      <c r="B433" s="3"/>
      <c r="C433" s="5"/>
      <c r="D433" s="5"/>
      <c r="E433" s="5"/>
      <c r="F433" s="5"/>
      <c r="G433" s="5"/>
      <c r="H433" s="5"/>
      <c r="I433" s="5"/>
      <c r="J433" s="5"/>
      <c r="K433" s="5"/>
      <c r="L433" s="5"/>
      <c r="M433" s="5"/>
      <c r="N433" s="5"/>
      <c r="O433" s="5"/>
      <c r="P433" s="5"/>
      <c r="Q433" s="5"/>
      <c r="R433" s="5"/>
      <c r="S433" s="5"/>
      <c r="T433" s="5"/>
      <c r="U433" s="5"/>
      <c r="V433" s="5"/>
      <c r="W433" s="5"/>
    </row>
    <row r="434">
      <c r="A434" s="5"/>
      <c r="B434" s="3"/>
      <c r="C434" s="5"/>
      <c r="D434" s="5"/>
      <c r="E434" s="5"/>
      <c r="F434" s="5"/>
      <c r="G434" s="5"/>
      <c r="H434" s="5"/>
      <c r="I434" s="5"/>
      <c r="J434" s="5"/>
      <c r="K434" s="5"/>
      <c r="L434" s="5"/>
      <c r="M434" s="5"/>
      <c r="N434" s="5"/>
      <c r="O434" s="5"/>
      <c r="P434" s="5"/>
      <c r="Q434" s="5"/>
      <c r="R434" s="5"/>
      <c r="S434" s="5"/>
      <c r="T434" s="5"/>
      <c r="U434" s="5"/>
      <c r="V434" s="5"/>
      <c r="W434" s="5"/>
    </row>
    <row r="435">
      <c r="A435" s="5"/>
      <c r="B435" s="3"/>
      <c r="C435" s="5"/>
      <c r="D435" s="5"/>
      <c r="E435" s="5"/>
      <c r="F435" s="5"/>
      <c r="G435" s="5"/>
      <c r="H435" s="5"/>
      <c r="I435" s="5"/>
      <c r="J435" s="5"/>
      <c r="K435" s="5"/>
      <c r="L435" s="5"/>
      <c r="M435" s="5"/>
      <c r="N435" s="5"/>
      <c r="O435" s="5"/>
      <c r="P435" s="5"/>
      <c r="Q435" s="5"/>
      <c r="R435" s="5"/>
      <c r="S435" s="5"/>
      <c r="T435" s="5"/>
      <c r="U435" s="5"/>
      <c r="V435" s="5"/>
      <c r="W435" s="5"/>
    </row>
    <row r="436">
      <c r="A436" s="5"/>
      <c r="B436" s="3"/>
      <c r="C436" s="5"/>
      <c r="D436" s="5"/>
      <c r="E436" s="5"/>
      <c r="F436" s="5"/>
      <c r="G436" s="5"/>
      <c r="H436" s="5"/>
      <c r="I436" s="5"/>
      <c r="J436" s="5"/>
      <c r="K436" s="5"/>
      <c r="L436" s="5"/>
      <c r="M436" s="5"/>
      <c r="N436" s="5"/>
      <c r="O436" s="5"/>
      <c r="P436" s="5"/>
      <c r="Q436" s="5"/>
      <c r="R436" s="5"/>
      <c r="S436" s="5"/>
      <c r="T436" s="5"/>
      <c r="U436" s="5"/>
      <c r="V436" s="5"/>
      <c r="W436" s="5"/>
    </row>
    <row r="437">
      <c r="A437" s="5"/>
      <c r="B437" s="3"/>
      <c r="C437" s="5"/>
      <c r="D437" s="5"/>
      <c r="E437" s="5"/>
      <c r="F437" s="5"/>
      <c r="G437" s="5"/>
      <c r="H437" s="5"/>
      <c r="I437" s="5"/>
      <c r="J437" s="5"/>
      <c r="K437" s="5"/>
      <c r="L437" s="5"/>
      <c r="M437" s="5"/>
      <c r="N437" s="5"/>
      <c r="O437" s="5"/>
      <c r="P437" s="5"/>
      <c r="Q437" s="5"/>
      <c r="R437" s="5"/>
      <c r="S437" s="5"/>
      <c r="T437" s="5"/>
      <c r="U437" s="5"/>
      <c r="V437" s="5"/>
      <c r="W437" s="5"/>
    </row>
    <row r="438">
      <c r="A438" s="5"/>
      <c r="B438" s="3"/>
      <c r="C438" s="5"/>
      <c r="D438" s="5"/>
      <c r="E438" s="5"/>
      <c r="F438" s="5"/>
      <c r="G438" s="5"/>
      <c r="H438" s="5"/>
      <c r="I438" s="5"/>
      <c r="J438" s="5"/>
      <c r="K438" s="5"/>
      <c r="L438" s="5"/>
      <c r="M438" s="5"/>
      <c r="N438" s="5"/>
      <c r="O438" s="5"/>
      <c r="P438" s="5"/>
      <c r="Q438" s="5"/>
      <c r="R438" s="5"/>
      <c r="S438" s="5"/>
      <c r="T438" s="5"/>
      <c r="U438" s="5"/>
      <c r="V438" s="5"/>
      <c r="W438" s="5"/>
    </row>
    <row r="439">
      <c r="A439" s="5"/>
      <c r="B439" s="3"/>
      <c r="C439" s="5"/>
      <c r="D439" s="5"/>
      <c r="E439" s="5"/>
      <c r="F439" s="5"/>
      <c r="G439" s="5"/>
      <c r="H439" s="5"/>
      <c r="I439" s="5"/>
      <c r="J439" s="5"/>
      <c r="K439" s="5"/>
      <c r="L439" s="5"/>
      <c r="M439" s="5"/>
      <c r="N439" s="5"/>
      <c r="O439" s="5"/>
      <c r="P439" s="5"/>
      <c r="Q439" s="5"/>
      <c r="R439" s="5"/>
      <c r="S439" s="5"/>
      <c r="T439" s="5"/>
      <c r="U439" s="5"/>
      <c r="V439" s="5"/>
      <c r="W439" s="5"/>
    </row>
    <row r="440">
      <c r="A440" s="5"/>
      <c r="B440" s="3"/>
      <c r="C440" s="5"/>
      <c r="D440" s="5"/>
      <c r="E440" s="5"/>
      <c r="F440" s="5"/>
      <c r="G440" s="5"/>
      <c r="H440" s="5"/>
      <c r="I440" s="5"/>
      <c r="J440" s="5"/>
      <c r="K440" s="5"/>
      <c r="L440" s="5"/>
      <c r="M440" s="5"/>
      <c r="N440" s="5"/>
      <c r="O440" s="5"/>
      <c r="P440" s="5"/>
      <c r="Q440" s="5"/>
      <c r="R440" s="5"/>
      <c r="S440" s="5"/>
      <c r="T440" s="5"/>
      <c r="U440" s="5"/>
      <c r="V440" s="5"/>
      <c r="W440" s="5"/>
    </row>
    <row r="441">
      <c r="A441" s="5"/>
      <c r="B441" s="3"/>
      <c r="C441" s="5"/>
      <c r="D441" s="5"/>
      <c r="E441" s="5"/>
      <c r="F441" s="5"/>
      <c r="G441" s="5"/>
      <c r="H441" s="5"/>
      <c r="I441" s="5"/>
      <c r="J441" s="5"/>
      <c r="K441" s="5"/>
      <c r="L441" s="5"/>
      <c r="M441" s="5"/>
      <c r="N441" s="5"/>
      <c r="O441" s="5"/>
      <c r="P441" s="5"/>
      <c r="Q441" s="5"/>
      <c r="R441" s="5"/>
      <c r="S441" s="5"/>
      <c r="T441" s="5"/>
      <c r="U441" s="5"/>
      <c r="V441" s="5"/>
      <c r="W441" s="5"/>
    </row>
    <row r="442">
      <c r="A442" s="5"/>
      <c r="B442" s="3"/>
      <c r="C442" s="5"/>
      <c r="D442" s="5"/>
      <c r="E442" s="5"/>
      <c r="F442" s="5"/>
      <c r="G442" s="5"/>
      <c r="H442" s="5"/>
      <c r="I442" s="5"/>
      <c r="J442" s="5"/>
      <c r="K442" s="5"/>
      <c r="L442" s="5"/>
      <c r="M442" s="5"/>
      <c r="N442" s="5"/>
      <c r="O442" s="5"/>
      <c r="P442" s="5"/>
      <c r="Q442" s="5"/>
      <c r="R442" s="5"/>
      <c r="S442" s="5"/>
      <c r="T442" s="5"/>
      <c r="U442" s="5"/>
      <c r="V442" s="5"/>
      <c r="W442" s="5"/>
    </row>
    <row r="443">
      <c r="A443" s="5"/>
      <c r="B443" s="3"/>
      <c r="C443" s="5"/>
      <c r="D443" s="5"/>
      <c r="E443" s="5"/>
      <c r="F443" s="5"/>
      <c r="G443" s="5"/>
      <c r="H443" s="5"/>
      <c r="I443" s="5"/>
      <c r="J443" s="5"/>
      <c r="K443" s="5"/>
      <c r="L443" s="5"/>
      <c r="M443" s="5"/>
      <c r="N443" s="5"/>
      <c r="O443" s="5"/>
      <c r="P443" s="5"/>
      <c r="Q443" s="5"/>
      <c r="R443" s="5"/>
      <c r="S443" s="5"/>
      <c r="T443" s="5"/>
      <c r="U443" s="5"/>
      <c r="V443" s="5"/>
      <c r="W443" s="5"/>
    </row>
    <row r="444">
      <c r="A444" s="5"/>
      <c r="B444" s="3"/>
      <c r="C444" s="5"/>
      <c r="D444" s="5"/>
      <c r="E444" s="5"/>
      <c r="F444" s="5"/>
      <c r="G444" s="5"/>
      <c r="H444" s="5"/>
      <c r="I444" s="5"/>
      <c r="J444" s="5"/>
      <c r="K444" s="5"/>
      <c r="L444" s="5"/>
      <c r="M444" s="5"/>
      <c r="N444" s="5"/>
      <c r="O444" s="5"/>
      <c r="P444" s="5"/>
      <c r="Q444" s="5"/>
      <c r="R444" s="5"/>
      <c r="S444" s="5"/>
      <c r="T444" s="5"/>
      <c r="U444" s="5"/>
      <c r="V444" s="5"/>
      <c r="W444" s="5"/>
    </row>
    <row r="445">
      <c r="A445" s="5"/>
      <c r="B445" s="3"/>
      <c r="C445" s="5"/>
      <c r="D445" s="5"/>
      <c r="E445" s="5"/>
      <c r="F445" s="5"/>
      <c r="G445" s="5"/>
      <c r="H445" s="5"/>
      <c r="I445" s="5"/>
      <c r="J445" s="5"/>
      <c r="K445" s="5"/>
      <c r="L445" s="5"/>
      <c r="M445" s="5"/>
      <c r="N445" s="5"/>
      <c r="O445" s="5"/>
      <c r="P445" s="5"/>
      <c r="Q445" s="5"/>
      <c r="R445" s="5"/>
      <c r="S445" s="5"/>
      <c r="T445" s="5"/>
      <c r="U445" s="5"/>
      <c r="V445" s="5"/>
      <c r="W445" s="5"/>
    </row>
    <row r="446">
      <c r="A446" s="5"/>
      <c r="B446" s="3"/>
      <c r="C446" s="5"/>
      <c r="D446" s="5"/>
      <c r="E446" s="5"/>
      <c r="F446" s="5"/>
      <c r="G446" s="5"/>
      <c r="H446" s="5"/>
      <c r="I446" s="5"/>
      <c r="J446" s="5"/>
      <c r="K446" s="5"/>
      <c r="L446" s="5"/>
      <c r="M446" s="5"/>
      <c r="N446" s="5"/>
      <c r="O446" s="5"/>
      <c r="P446" s="5"/>
      <c r="Q446" s="5"/>
      <c r="R446" s="5"/>
      <c r="S446" s="5"/>
      <c r="T446" s="5"/>
      <c r="U446" s="5"/>
      <c r="V446" s="5"/>
      <c r="W446" s="5"/>
    </row>
    <row r="447">
      <c r="A447" s="5"/>
      <c r="B447" s="3"/>
      <c r="C447" s="5"/>
      <c r="D447" s="5"/>
      <c r="E447" s="5"/>
      <c r="F447" s="5"/>
      <c r="G447" s="5"/>
      <c r="H447" s="5"/>
      <c r="I447" s="5"/>
      <c r="J447" s="5"/>
      <c r="K447" s="5"/>
      <c r="L447" s="5"/>
      <c r="M447" s="5"/>
      <c r="N447" s="5"/>
      <c r="O447" s="5"/>
      <c r="P447" s="5"/>
      <c r="Q447" s="5"/>
      <c r="R447" s="5"/>
      <c r="S447" s="5"/>
      <c r="T447" s="5"/>
      <c r="U447" s="5"/>
      <c r="V447" s="5"/>
      <c r="W447" s="5"/>
    </row>
    <row r="448">
      <c r="A448" s="5"/>
      <c r="B448" s="3"/>
      <c r="C448" s="5"/>
      <c r="D448" s="5"/>
      <c r="E448" s="5"/>
      <c r="F448" s="5"/>
      <c r="G448" s="5"/>
      <c r="H448" s="5"/>
      <c r="I448" s="5"/>
      <c r="J448" s="5"/>
      <c r="K448" s="5"/>
      <c r="L448" s="5"/>
      <c r="M448" s="5"/>
      <c r="N448" s="5"/>
      <c r="O448" s="5"/>
      <c r="P448" s="5"/>
      <c r="Q448" s="5"/>
      <c r="R448" s="5"/>
      <c r="S448" s="5"/>
      <c r="T448" s="5"/>
      <c r="U448" s="5"/>
      <c r="V448" s="5"/>
      <c r="W448" s="5"/>
    </row>
    <row r="449">
      <c r="A449" s="5"/>
      <c r="B449" s="3"/>
      <c r="C449" s="5"/>
      <c r="D449" s="5"/>
      <c r="E449" s="5"/>
      <c r="F449" s="5"/>
      <c r="G449" s="5"/>
      <c r="H449" s="5"/>
      <c r="I449" s="5"/>
      <c r="J449" s="5"/>
      <c r="K449" s="5"/>
      <c r="L449" s="5"/>
      <c r="M449" s="5"/>
      <c r="N449" s="5"/>
      <c r="O449" s="5"/>
      <c r="P449" s="5"/>
      <c r="Q449" s="5"/>
      <c r="R449" s="5"/>
      <c r="S449" s="5"/>
      <c r="T449" s="5"/>
      <c r="U449" s="5"/>
      <c r="V449" s="5"/>
      <c r="W449" s="5"/>
    </row>
    <row r="450">
      <c r="A450" s="5"/>
      <c r="B450" s="3"/>
      <c r="C450" s="5"/>
      <c r="D450" s="5"/>
      <c r="E450" s="5"/>
      <c r="F450" s="5"/>
      <c r="G450" s="5"/>
      <c r="H450" s="5"/>
      <c r="I450" s="5"/>
      <c r="J450" s="5"/>
      <c r="K450" s="5"/>
      <c r="L450" s="5"/>
      <c r="M450" s="5"/>
      <c r="N450" s="5"/>
      <c r="O450" s="5"/>
      <c r="P450" s="5"/>
      <c r="Q450" s="5"/>
      <c r="R450" s="5"/>
      <c r="S450" s="5"/>
      <c r="T450" s="5"/>
      <c r="U450" s="5"/>
      <c r="V450" s="5"/>
      <c r="W450" s="5"/>
    </row>
    <row r="451">
      <c r="A451" s="5"/>
      <c r="B451" s="3"/>
      <c r="C451" s="5"/>
      <c r="D451" s="5"/>
      <c r="E451" s="5"/>
      <c r="F451" s="5"/>
      <c r="G451" s="5"/>
      <c r="H451" s="5"/>
      <c r="I451" s="5"/>
      <c r="J451" s="5"/>
      <c r="K451" s="5"/>
      <c r="L451" s="5"/>
      <c r="M451" s="5"/>
      <c r="N451" s="5"/>
      <c r="O451" s="5"/>
      <c r="P451" s="5"/>
      <c r="Q451" s="5"/>
      <c r="R451" s="5"/>
      <c r="S451" s="5"/>
      <c r="T451" s="5"/>
      <c r="U451" s="5"/>
      <c r="V451" s="5"/>
      <c r="W451" s="5"/>
    </row>
    <row r="452">
      <c r="A452" s="5"/>
      <c r="B452" s="3"/>
      <c r="C452" s="5"/>
      <c r="D452" s="5"/>
      <c r="E452" s="5"/>
      <c r="F452" s="5"/>
      <c r="G452" s="5"/>
      <c r="H452" s="5"/>
      <c r="I452" s="5"/>
      <c r="J452" s="5"/>
      <c r="K452" s="5"/>
      <c r="L452" s="5"/>
      <c r="M452" s="5"/>
      <c r="N452" s="5"/>
      <c r="O452" s="5"/>
      <c r="P452" s="5"/>
      <c r="Q452" s="5"/>
      <c r="R452" s="5"/>
      <c r="S452" s="5"/>
      <c r="T452" s="5"/>
      <c r="U452" s="5"/>
      <c r="V452" s="5"/>
      <c r="W452" s="5"/>
    </row>
    <row r="453">
      <c r="A453" s="5"/>
      <c r="B453" s="3"/>
      <c r="C453" s="5"/>
      <c r="D453" s="5"/>
      <c r="E453" s="5"/>
      <c r="F453" s="5"/>
      <c r="G453" s="5"/>
      <c r="H453" s="5"/>
      <c r="I453" s="5"/>
      <c r="J453" s="5"/>
      <c r="K453" s="5"/>
      <c r="L453" s="5"/>
      <c r="M453" s="5"/>
      <c r="N453" s="5"/>
      <c r="O453" s="5"/>
      <c r="P453" s="5"/>
      <c r="Q453" s="5"/>
      <c r="R453" s="5"/>
      <c r="S453" s="5"/>
      <c r="T453" s="5"/>
      <c r="U453" s="5"/>
      <c r="V453" s="5"/>
      <c r="W453" s="5"/>
    </row>
    <row r="454">
      <c r="A454" s="5"/>
      <c r="B454" s="3"/>
      <c r="C454" s="5"/>
      <c r="D454" s="5"/>
      <c r="E454" s="5"/>
      <c r="F454" s="5"/>
      <c r="G454" s="5"/>
      <c r="H454" s="5"/>
      <c r="I454" s="5"/>
      <c r="J454" s="5"/>
      <c r="K454" s="5"/>
      <c r="L454" s="5"/>
      <c r="M454" s="5"/>
      <c r="N454" s="5"/>
      <c r="O454" s="5"/>
      <c r="P454" s="5"/>
      <c r="Q454" s="5"/>
      <c r="R454" s="5"/>
      <c r="S454" s="5"/>
      <c r="T454" s="5"/>
      <c r="U454" s="5"/>
      <c r="V454" s="5"/>
      <c r="W454" s="5"/>
    </row>
    <row r="455">
      <c r="A455" s="5"/>
      <c r="B455" s="3"/>
      <c r="C455" s="5"/>
      <c r="D455" s="5"/>
      <c r="E455" s="5"/>
      <c r="F455" s="5"/>
      <c r="G455" s="5"/>
      <c r="H455" s="5"/>
      <c r="I455" s="5"/>
      <c r="J455" s="5"/>
      <c r="K455" s="5"/>
      <c r="L455" s="5"/>
      <c r="M455" s="5"/>
      <c r="N455" s="5"/>
      <c r="O455" s="5"/>
      <c r="P455" s="5"/>
      <c r="Q455" s="5"/>
      <c r="R455" s="5"/>
      <c r="S455" s="5"/>
      <c r="T455" s="5"/>
      <c r="U455" s="5"/>
      <c r="V455" s="5"/>
      <c r="W455" s="5"/>
    </row>
    <row r="456">
      <c r="A456" s="5"/>
      <c r="B456" s="3"/>
      <c r="C456" s="5"/>
      <c r="D456" s="5"/>
      <c r="E456" s="5"/>
      <c r="F456" s="5"/>
      <c r="G456" s="5"/>
      <c r="H456" s="5"/>
      <c r="I456" s="5"/>
      <c r="J456" s="5"/>
      <c r="K456" s="5"/>
      <c r="L456" s="5"/>
      <c r="M456" s="5"/>
      <c r="N456" s="5"/>
      <c r="O456" s="5"/>
      <c r="P456" s="5"/>
      <c r="Q456" s="5"/>
      <c r="R456" s="5"/>
      <c r="S456" s="5"/>
      <c r="T456" s="5"/>
      <c r="U456" s="5"/>
      <c r="V456" s="5"/>
      <c r="W456" s="5"/>
    </row>
    <row r="457">
      <c r="A457" s="5"/>
      <c r="B457" s="3"/>
      <c r="C457" s="5"/>
      <c r="D457" s="5"/>
      <c r="E457" s="5"/>
      <c r="F457" s="5"/>
      <c r="G457" s="5"/>
      <c r="H457" s="5"/>
      <c r="I457" s="5"/>
      <c r="J457" s="5"/>
      <c r="K457" s="5"/>
      <c r="L457" s="5"/>
      <c r="M457" s="5"/>
      <c r="N457" s="5"/>
      <c r="O457" s="5"/>
      <c r="P457" s="5"/>
      <c r="Q457" s="5"/>
      <c r="R457" s="5"/>
      <c r="S457" s="5"/>
      <c r="T457" s="5"/>
      <c r="U457" s="5"/>
      <c r="V457" s="5"/>
      <c r="W457" s="5"/>
    </row>
    <row r="458">
      <c r="A458" s="5"/>
      <c r="B458" s="3"/>
      <c r="C458" s="5"/>
      <c r="D458" s="5"/>
      <c r="E458" s="5"/>
      <c r="F458" s="5"/>
      <c r="G458" s="5"/>
      <c r="H458" s="5"/>
      <c r="I458" s="5"/>
      <c r="J458" s="5"/>
      <c r="K458" s="5"/>
      <c r="L458" s="5"/>
      <c r="M458" s="5"/>
      <c r="N458" s="5"/>
      <c r="O458" s="5"/>
      <c r="P458" s="5"/>
      <c r="Q458" s="5"/>
      <c r="R458" s="5"/>
      <c r="S458" s="5"/>
      <c r="T458" s="5"/>
      <c r="U458" s="5"/>
      <c r="V458" s="5"/>
      <c r="W458" s="5"/>
    </row>
    <row r="459">
      <c r="A459" s="5"/>
      <c r="B459" s="3"/>
      <c r="C459" s="5"/>
      <c r="D459" s="5"/>
      <c r="E459" s="5"/>
      <c r="F459" s="5"/>
      <c r="G459" s="5"/>
      <c r="H459" s="5"/>
      <c r="I459" s="5"/>
      <c r="J459" s="5"/>
      <c r="K459" s="5"/>
      <c r="L459" s="5"/>
      <c r="M459" s="5"/>
      <c r="N459" s="5"/>
      <c r="O459" s="5"/>
      <c r="P459" s="5"/>
      <c r="Q459" s="5"/>
      <c r="R459" s="5"/>
      <c r="S459" s="5"/>
      <c r="T459" s="5"/>
      <c r="U459" s="5"/>
      <c r="V459" s="5"/>
      <c r="W459" s="5"/>
    </row>
    <row r="460">
      <c r="A460" s="5"/>
      <c r="B460" s="3"/>
      <c r="C460" s="5"/>
      <c r="D460" s="5"/>
      <c r="E460" s="5"/>
      <c r="F460" s="5"/>
      <c r="G460" s="5"/>
      <c r="H460" s="5"/>
      <c r="I460" s="5"/>
      <c r="J460" s="5"/>
      <c r="K460" s="5"/>
      <c r="L460" s="5"/>
      <c r="M460" s="5"/>
      <c r="N460" s="5"/>
      <c r="O460" s="5"/>
      <c r="P460" s="5"/>
      <c r="Q460" s="5"/>
      <c r="R460" s="5"/>
      <c r="S460" s="5"/>
      <c r="T460" s="5"/>
      <c r="U460" s="5"/>
      <c r="V460" s="5"/>
      <c r="W460" s="5"/>
    </row>
    <row r="461">
      <c r="A461" s="5"/>
      <c r="B461" s="3"/>
      <c r="C461" s="5"/>
      <c r="D461" s="5"/>
      <c r="E461" s="5"/>
      <c r="F461" s="5"/>
      <c r="G461" s="5"/>
      <c r="H461" s="5"/>
      <c r="I461" s="5"/>
      <c r="J461" s="5"/>
      <c r="K461" s="5"/>
      <c r="L461" s="5"/>
      <c r="M461" s="5"/>
      <c r="N461" s="5"/>
      <c r="O461" s="5"/>
      <c r="P461" s="5"/>
      <c r="Q461" s="5"/>
      <c r="R461" s="5"/>
      <c r="S461" s="5"/>
      <c r="T461" s="5"/>
      <c r="U461" s="5"/>
      <c r="V461" s="5"/>
      <c r="W461" s="5"/>
    </row>
    <row r="462">
      <c r="A462" s="5"/>
      <c r="B462" s="3"/>
      <c r="C462" s="5"/>
      <c r="D462" s="5"/>
      <c r="E462" s="5"/>
      <c r="F462" s="5"/>
      <c r="G462" s="5"/>
      <c r="H462" s="5"/>
      <c r="I462" s="5"/>
      <c r="J462" s="5"/>
      <c r="K462" s="5"/>
      <c r="L462" s="5"/>
      <c r="M462" s="5"/>
      <c r="N462" s="5"/>
      <c r="O462" s="5"/>
      <c r="P462" s="5"/>
      <c r="Q462" s="5"/>
      <c r="R462" s="5"/>
      <c r="S462" s="5"/>
      <c r="T462" s="5"/>
      <c r="U462" s="5"/>
      <c r="V462" s="5"/>
      <c r="W462" s="5"/>
    </row>
    <row r="463">
      <c r="A463" s="5"/>
      <c r="B463" s="3"/>
      <c r="C463" s="5"/>
      <c r="D463" s="5"/>
      <c r="E463" s="5"/>
      <c r="F463" s="5"/>
      <c r="G463" s="5"/>
      <c r="H463" s="5"/>
      <c r="I463" s="5"/>
      <c r="J463" s="5"/>
      <c r="K463" s="5"/>
      <c r="L463" s="5"/>
      <c r="M463" s="5"/>
      <c r="N463" s="5"/>
      <c r="O463" s="5"/>
      <c r="P463" s="5"/>
      <c r="Q463" s="5"/>
      <c r="R463" s="5"/>
      <c r="S463" s="5"/>
      <c r="T463" s="5"/>
      <c r="U463" s="5"/>
      <c r="V463" s="5"/>
      <c r="W463" s="5"/>
    </row>
    <row r="464">
      <c r="A464" s="5"/>
      <c r="B464" s="3"/>
      <c r="C464" s="5"/>
      <c r="D464" s="5"/>
      <c r="E464" s="5"/>
      <c r="F464" s="5"/>
      <c r="G464" s="5"/>
      <c r="H464" s="5"/>
      <c r="I464" s="5"/>
      <c r="J464" s="5"/>
      <c r="K464" s="5"/>
      <c r="L464" s="5"/>
      <c r="M464" s="5"/>
      <c r="N464" s="5"/>
      <c r="O464" s="5"/>
      <c r="P464" s="5"/>
      <c r="Q464" s="5"/>
      <c r="R464" s="5"/>
      <c r="S464" s="5"/>
      <c r="T464" s="5"/>
      <c r="U464" s="5"/>
      <c r="V464" s="5"/>
      <c r="W464" s="5"/>
    </row>
    <row r="465">
      <c r="A465" s="5"/>
      <c r="B465" s="3"/>
      <c r="C465" s="5"/>
      <c r="D465" s="5"/>
      <c r="E465" s="5"/>
      <c r="F465" s="5"/>
      <c r="G465" s="5"/>
      <c r="H465" s="5"/>
      <c r="I465" s="5"/>
      <c r="J465" s="5"/>
      <c r="K465" s="5"/>
      <c r="L465" s="5"/>
      <c r="M465" s="5"/>
      <c r="N465" s="5"/>
      <c r="O465" s="5"/>
      <c r="P465" s="5"/>
      <c r="Q465" s="5"/>
      <c r="R465" s="5"/>
      <c r="S465" s="5"/>
      <c r="T465" s="5"/>
      <c r="U465" s="5"/>
      <c r="V465" s="5"/>
      <c r="W465" s="5"/>
    </row>
    <row r="466">
      <c r="A466" s="5"/>
      <c r="B466" s="3"/>
      <c r="C466" s="5"/>
      <c r="D466" s="5"/>
      <c r="E466" s="5"/>
      <c r="F466" s="5"/>
      <c r="G466" s="5"/>
      <c r="H466" s="5"/>
      <c r="I466" s="5"/>
      <c r="J466" s="5"/>
      <c r="K466" s="5"/>
      <c r="L466" s="5"/>
      <c r="M466" s="5"/>
      <c r="N466" s="5"/>
      <c r="O466" s="5"/>
      <c r="P466" s="5"/>
      <c r="Q466" s="5"/>
      <c r="R466" s="5"/>
      <c r="S466" s="5"/>
      <c r="T466" s="5"/>
      <c r="U466" s="5"/>
      <c r="V466" s="5"/>
      <c r="W466" s="5"/>
    </row>
    <row r="467">
      <c r="A467" s="5"/>
      <c r="B467" s="3"/>
      <c r="C467" s="5"/>
      <c r="D467" s="5"/>
      <c r="E467" s="5"/>
      <c r="F467" s="5"/>
      <c r="G467" s="5"/>
      <c r="H467" s="5"/>
      <c r="I467" s="5"/>
      <c r="J467" s="5"/>
      <c r="K467" s="5"/>
      <c r="L467" s="5"/>
      <c r="M467" s="5"/>
      <c r="N467" s="5"/>
      <c r="O467" s="5"/>
      <c r="P467" s="5"/>
      <c r="Q467" s="5"/>
      <c r="R467" s="5"/>
      <c r="S467" s="5"/>
      <c r="T467" s="5"/>
      <c r="U467" s="5"/>
      <c r="V467" s="5"/>
      <c r="W467" s="5"/>
    </row>
    <row r="468">
      <c r="A468" s="5"/>
      <c r="B468" s="3"/>
      <c r="C468" s="5"/>
      <c r="D468" s="5"/>
      <c r="E468" s="5"/>
      <c r="F468" s="5"/>
      <c r="G468" s="5"/>
      <c r="H468" s="5"/>
      <c r="I468" s="5"/>
      <c r="J468" s="5"/>
      <c r="K468" s="5"/>
      <c r="L468" s="5"/>
      <c r="M468" s="5"/>
      <c r="N468" s="5"/>
      <c r="O468" s="5"/>
      <c r="P468" s="5"/>
      <c r="Q468" s="5"/>
      <c r="R468" s="5"/>
      <c r="S468" s="5"/>
      <c r="T468" s="5"/>
      <c r="U468" s="5"/>
      <c r="V468" s="5"/>
      <c r="W468" s="5"/>
    </row>
    <row r="469">
      <c r="A469" s="5"/>
      <c r="B469" s="3"/>
      <c r="C469" s="5"/>
      <c r="D469" s="5"/>
      <c r="E469" s="5"/>
      <c r="F469" s="5"/>
      <c r="G469" s="5"/>
      <c r="H469" s="5"/>
      <c r="I469" s="5"/>
      <c r="J469" s="5"/>
      <c r="K469" s="5"/>
      <c r="L469" s="5"/>
      <c r="M469" s="5"/>
      <c r="N469" s="5"/>
      <c r="O469" s="5"/>
      <c r="P469" s="5"/>
      <c r="Q469" s="5"/>
      <c r="R469" s="5"/>
      <c r="S469" s="5"/>
      <c r="T469" s="5"/>
      <c r="U469" s="5"/>
      <c r="V469" s="5"/>
      <c r="W469" s="5"/>
    </row>
    <row r="470">
      <c r="A470" s="5"/>
      <c r="B470" s="3"/>
      <c r="C470" s="5"/>
      <c r="D470" s="5"/>
      <c r="E470" s="5"/>
      <c r="F470" s="5"/>
      <c r="G470" s="5"/>
      <c r="H470" s="5"/>
      <c r="I470" s="5"/>
      <c r="J470" s="5"/>
      <c r="K470" s="5"/>
      <c r="L470" s="5"/>
      <c r="M470" s="5"/>
      <c r="N470" s="5"/>
      <c r="O470" s="5"/>
      <c r="P470" s="5"/>
      <c r="Q470" s="5"/>
      <c r="R470" s="5"/>
      <c r="S470" s="5"/>
      <c r="T470" s="5"/>
      <c r="U470" s="5"/>
      <c r="V470" s="5"/>
      <c r="W470" s="5"/>
    </row>
    <row r="471">
      <c r="A471" s="5"/>
      <c r="B471" s="3"/>
      <c r="C471" s="5"/>
      <c r="D471" s="5"/>
      <c r="E471" s="5"/>
      <c r="F471" s="5"/>
      <c r="G471" s="5"/>
      <c r="H471" s="5"/>
      <c r="I471" s="5"/>
      <c r="J471" s="5"/>
      <c r="K471" s="5"/>
      <c r="L471" s="5"/>
      <c r="M471" s="5"/>
      <c r="N471" s="5"/>
      <c r="O471" s="5"/>
      <c r="P471" s="5"/>
      <c r="Q471" s="5"/>
      <c r="R471" s="5"/>
      <c r="S471" s="5"/>
      <c r="T471" s="5"/>
      <c r="U471" s="5"/>
      <c r="V471" s="5"/>
      <c r="W471" s="5"/>
    </row>
    <row r="472">
      <c r="A472" s="5"/>
      <c r="B472" s="3"/>
      <c r="C472" s="5"/>
      <c r="D472" s="5"/>
      <c r="E472" s="5"/>
      <c r="F472" s="5"/>
      <c r="G472" s="5"/>
      <c r="H472" s="5"/>
      <c r="I472" s="5"/>
      <c r="J472" s="5"/>
      <c r="K472" s="5"/>
      <c r="L472" s="5"/>
      <c r="M472" s="5"/>
      <c r="N472" s="5"/>
      <c r="O472" s="5"/>
      <c r="P472" s="5"/>
      <c r="Q472" s="5"/>
      <c r="R472" s="5"/>
      <c r="S472" s="5"/>
      <c r="T472" s="5"/>
      <c r="U472" s="5"/>
      <c r="V472" s="5"/>
      <c r="W472" s="5"/>
    </row>
    <row r="473">
      <c r="A473" s="5"/>
      <c r="B473" s="3"/>
      <c r="C473" s="5"/>
      <c r="D473" s="5"/>
      <c r="E473" s="5"/>
      <c r="F473" s="5"/>
      <c r="G473" s="5"/>
      <c r="H473" s="5"/>
      <c r="I473" s="5"/>
      <c r="J473" s="5"/>
      <c r="K473" s="5"/>
      <c r="L473" s="5"/>
      <c r="M473" s="5"/>
      <c r="N473" s="5"/>
      <c r="O473" s="5"/>
      <c r="P473" s="5"/>
      <c r="Q473" s="5"/>
      <c r="R473" s="5"/>
      <c r="S473" s="5"/>
      <c r="T473" s="5"/>
      <c r="U473" s="5"/>
      <c r="V473" s="5"/>
      <c r="W473" s="5"/>
    </row>
    <row r="474">
      <c r="A474" s="5"/>
      <c r="B474" s="3"/>
      <c r="C474" s="5"/>
      <c r="D474" s="5"/>
      <c r="E474" s="5"/>
      <c r="F474" s="5"/>
      <c r="G474" s="5"/>
      <c r="H474" s="5"/>
      <c r="I474" s="5"/>
      <c r="J474" s="5"/>
      <c r="K474" s="5"/>
      <c r="L474" s="5"/>
      <c r="M474" s="5"/>
      <c r="N474" s="5"/>
      <c r="O474" s="5"/>
      <c r="P474" s="5"/>
      <c r="Q474" s="5"/>
      <c r="R474" s="5"/>
      <c r="S474" s="5"/>
      <c r="T474" s="5"/>
      <c r="U474" s="5"/>
      <c r="V474" s="5"/>
      <c r="W474" s="5"/>
    </row>
    <row r="475">
      <c r="A475" s="5"/>
      <c r="B475" s="3"/>
      <c r="C475" s="5"/>
      <c r="D475" s="5"/>
      <c r="E475" s="5"/>
      <c r="F475" s="5"/>
      <c r="G475" s="5"/>
      <c r="H475" s="5"/>
      <c r="I475" s="5"/>
      <c r="J475" s="5"/>
      <c r="K475" s="5"/>
      <c r="L475" s="5"/>
      <c r="M475" s="5"/>
      <c r="N475" s="5"/>
      <c r="O475" s="5"/>
      <c r="P475" s="5"/>
      <c r="Q475" s="5"/>
      <c r="R475" s="5"/>
      <c r="S475" s="5"/>
      <c r="T475" s="5"/>
      <c r="U475" s="5"/>
      <c r="V475" s="5"/>
      <c r="W475" s="5"/>
    </row>
    <row r="476">
      <c r="A476" s="5"/>
      <c r="B476" s="3"/>
      <c r="C476" s="5"/>
      <c r="D476" s="5"/>
      <c r="E476" s="5"/>
      <c r="F476" s="5"/>
      <c r="G476" s="5"/>
      <c r="H476" s="5"/>
      <c r="I476" s="5"/>
      <c r="J476" s="5"/>
      <c r="K476" s="5"/>
      <c r="L476" s="5"/>
      <c r="M476" s="5"/>
      <c r="N476" s="5"/>
      <c r="O476" s="5"/>
      <c r="P476" s="5"/>
      <c r="Q476" s="5"/>
      <c r="R476" s="5"/>
      <c r="S476" s="5"/>
      <c r="T476" s="5"/>
      <c r="U476" s="5"/>
      <c r="V476" s="5"/>
      <c r="W476" s="5"/>
    </row>
    <row r="477">
      <c r="A477" s="5"/>
      <c r="B477" s="3"/>
      <c r="C477" s="5"/>
      <c r="D477" s="5"/>
      <c r="E477" s="5"/>
      <c r="F477" s="5"/>
      <c r="G477" s="5"/>
      <c r="H477" s="5"/>
      <c r="I477" s="5"/>
      <c r="J477" s="5"/>
      <c r="K477" s="5"/>
      <c r="L477" s="5"/>
      <c r="M477" s="5"/>
      <c r="N477" s="5"/>
      <c r="O477" s="5"/>
      <c r="P477" s="5"/>
      <c r="Q477" s="5"/>
      <c r="R477" s="5"/>
      <c r="S477" s="5"/>
      <c r="T477" s="5"/>
      <c r="U477" s="5"/>
      <c r="V477" s="5"/>
      <c r="W477" s="5"/>
    </row>
    <row r="478">
      <c r="A478" s="5"/>
      <c r="B478" s="3"/>
      <c r="C478" s="5"/>
      <c r="D478" s="5"/>
      <c r="E478" s="5"/>
      <c r="F478" s="5"/>
      <c r="G478" s="5"/>
      <c r="H478" s="5"/>
      <c r="I478" s="5"/>
      <c r="J478" s="5"/>
      <c r="K478" s="5"/>
      <c r="L478" s="5"/>
      <c r="M478" s="5"/>
      <c r="N478" s="5"/>
      <c r="O478" s="5"/>
      <c r="P478" s="5"/>
      <c r="Q478" s="5"/>
      <c r="R478" s="5"/>
      <c r="S478" s="5"/>
      <c r="T478" s="5"/>
      <c r="U478" s="5"/>
      <c r="V478" s="5"/>
      <c r="W478" s="5"/>
    </row>
    <row r="479">
      <c r="A479" s="5"/>
      <c r="B479" s="3"/>
      <c r="C479" s="5"/>
      <c r="D479" s="5"/>
      <c r="E479" s="5"/>
      <c r="F479" s="5"/>
      <c r="G479" s="5"/>
      <c r="H479" s="5"/>
      <c r="I479" s="5"/>
      <c r="J479" s="5"/>
      <c r="K479" s="5"/>
      <c r="L479" s="5"/>
      <c r="M479" s="5"/>
      <c r="N479" s="5"/>
      <c r="O479" s="5"/>
      <c r="P479" s="5"/>
      <c r="Q479" s="5"/>
      <c r="R479" s="5"/>
      <c r="S479" s="5"/>
      <c r="T479" s="5"/>
      <c r="U479" s="5"/>
      <c r="V479" s="5"/>
      <c r="W479" s="5"/>
    </row>
    <row r="480">
      <c r="A480" s="5"/>
      <c r="B480" s="3"/>
      <c r="C480" s="5"/>
      <c r="D480" s="5"/>
      <c r="E480" s="5"/>
      <c r="F480" s="5"/>
      <c r="G480" s="5"/>
      <c r="H480" s="5"/>
      <c r="I480" s="5"/>
      <c r="J480" s="5"/>
      <c r="K480" s="5"/>
      <c r="L480" s="5"/>
      <c r="M480" s="5"/>
      <c r="N480" s="5"/>
      <c r="O480" s="5"/>
      <c r="P480" s="5"/>
      <c r="Q480" s="5"/>
      <c r="R480" s="5"/>
      <c r="S480" s="5"/>
      <c r="T480" s="5"/>
      <c r="U480" s="5"/>
      <c r="V480" s="5"/>
      <c r="W480" s="5"/>
    </row>
    <row r="481">
      <c r="A481" s="5"/>
      <c r="B481" s="3"/>
      <c r="C481" s="5"/>
      <c r="D481" s="5"/>
      <c r="E481" s="5"/>
      <c r="F481" s="5"/>
      <c r="G481" s="5"/>
      <c r="H481" s="5"/>
      <c r="I481" s="5"/>
      <c r="J481" s="5"/>
      <c r="K481" s="5"/>
      <c r="L481" s="5"/>
      <c r="M481" s="5"/>
      <c r="N481" s="5"/>
      <c r="O481" s="5"/>
      <c r="P481" s="5"/>
      <c r="Q481" s="5"/>
      <c r="R481" s="5"/>
      <c r="S481" s="5"/>
      <c r="T481" s="5"/>
      <c r="U481" s="5"/>
      <c r="V481" s="5"/>
      <c r="W481" s="5"/>
    </row>
    <row r="482">
      <c r="A482" s="5"/>
      <c r="B482" s="3"/>
      <c r="C482" s="5"/>
      <c r="D482" s="5"/>
      <c r="E482" s="5"/>
      <c r="F482" s="5"/>
      <c r="G482" s="5"/>
      <c r="H482" s="5"/>
      <c r="I482" s="5"/>
      <c r="J482" s="5"/>
      <c r="K482" s="5"/>
      <c r="L482" s="5"/>
      <c r="M482" s="5"/>
      <c r="N482" s="5"/>
      <c r="O482" s="5"/>
      <c r="P482" s="5"/>
      <c r="Q482" s="5"/>
      <c r="R482" s="5"/>
      <c r="S482" s="5"/>
      <c r="T482" s="5"/>
      <c r="U482" s="5"/>
      <c r="V482" s="5"/>
      <c r="W482" s="5"/>
    </row>
    <row r="483">
      <c r="A483" s="5"/>
      <c r="B483" s="3"/>
      <c r="C483" s="5"/>
      <c r="D483" s="5"/>
      <c r="E483" s="5"/>
      <c r="F483" s="5"/>
      <c r="G483" s="5"/>
      <c r="H483" s="5"/>
      <c r="I483" s="5"/>
      <c r="J483" s="5"/>
      <c r="K483" s="5"/>
      <c r="L483" s="5"/>
      <c r="M483" s="5"/>
      <c r="N483" s="5"/>
      <c r="O483" s="5"/>
      <c r="P483" s="5"/>
      <c r="Q483" s="5"/>
      <c r="R483" s="5"/>
      <c r="S483" s="5"/>
      <c r="T483" s="5"/>
      <c r="U483" s="5"/>
      <c r="V483" s="5"/>
      <c r="W483" s="5"/>
    </row>
    <row r="484">
      <c r="A484" s="5"/>
      <c r="B484" s="3"/>
      <c r="C484" s="5"/>
      <c r="D484" s="5"/>
      <c r="E484" s="5"/>
      <c r="F484" s="5"/>
      <c r="G484" s="5"/>
      <c r="H484" s="5"/>
      <c r="I484" s="5"/>
      <c r="J484" s="5"/>
      <c r="K484" s="5"/>
      <c r="L484" s="5"/>
      <c r="M484" s="5"/>
      <c r="N484" s="5"/>
      <c r="O484" s="5"/>
      <c r="P484" s="5"/>
      <c r="Q484" s="5"/>
      <c r="R484" s="5"/>
      <c r="S484" s="5"/>
      <c r="T484" s="5"/>
      <c r="U484" s="5"/>
      <c r="V484" s="5"/>
      <c r="W484" s="5"/>
    </row>
    <row r="485">
      <c r="A485" s="5"/>
      <c r="B485" s="3"/>
      <c r="C485" s="5"/>
      <c r="D485" s="5"/>
      <c r="E485" s="5"/>
      <c r="F485" s="5"/>
      <c r="G485" s="5"/>
      <c r="H485" s="5"/>
      <c r="I485" s="5"/>
      <c r="J485" s="5"/>
      <c r="K485" s="5"/>
      <c r="L485" s="5"/>
      <c r="M485" s="5"/>
      <c r="N485" s="5"/>
      <c r="O485" s="5"/>
      <c r="P485" s="5"/>
      <c r="Q485" s="5"/>
      <c r="R485" s="5"/>
      <c r="S485" s="5"/>
      <c r="T485" s="5"/>
      <c r="U485" s="5"/>
      <c r="V485" s="5"/>
      <c r="W485" s="5"/>
    </row>
    <row r="486">
      <c r="A486" s="5"/>
      <c r="B486" s="3"/>
      <c r="C486" s="5"/>
      <c r="D486" s="5"/>
      <c r="E486" s="5"/>
      <c r="F486" s="5"/>
      <c r="G486" s="5"/>
      <c r="H486" s="5"/>
      <c r="I486" s="5"/>
      <c r="J486" s="5"/>
      <c r="K486" s="5"/>
      <c r="L486" s="5"/>
      <c r="M486" s="5"/>
      <c r="N486" s="5"/>
      <c r="O486" s="5"/>
      <c r="P486" s="5"/>
      <c r="Q486" s="5"/>
      <c r="R486" s="5"/>
      <c r="S486" s="5"/>
      <c r="T486" s="5"/>
      <c r="U486" s="5"/>
      <c r="V486" s="5"/>
      <c r="W486" s="5"/>
    </row>
    <row r="487">
      <c r="A487" s="5"/>
      <c r="B487" s="3"/>
      <c r="C487" s="5"/>
      <c r="D487" s="5"/>
      <c r="E487" s="5"/>
      <c r="F487" s="5"/>
      <c r="G487" s="5"/>
      <c r="H487" s="5"/>
      <c r="I487" s="5"/>
      <c r="J487" s="5"/>
      <c r="K487" s="5"/>
      <c r="L487" s="5"/>
      <c r="M487" s="5"/>
      <c r="N487" s="5"/>
      <c r="O487" s="5"/>
      <c r="P487" s="5"/>
      <c r="Q487" s="5"/>
      <c r="R487" s="5"/>
      <c r="S487" s="5"/>
      <c r="T487" s="5"/>
      <c r="U487" s="5"/>
      <c r="V487" s="5"/>
      <c r="W487" s="5"/>
    </row>
    <row r="488">
      <c r="A488" s="5"/>
      <c r="B488" s="3"/>
      <c r="C488" s="5"/>
      <c r="D488" s="5"/>
      <c r="E488" s="5"/>
      <c r="F488" s="5"/>
      <c r="G488" s="5"/>
      <c r="H488" s="5"/>
      <c r="I488" s="5"/>
      <c r="J488" s="5"/>
      <c r="K488" s="5"/>
      <c r="L488" s="5"/>
      <c r="M488" s="5"/>
      <c r="N488" s="5"/>
      <c r="O488" s="5"/>
      <c r="P488" s="5"/>
      <c r="Q488" s="5"/>
      <c r="R488" s="5"/>
      <c r="S488" s="5"/>
      <c r="T488" s="5"/>
      <c r="U488" s="5"/>
      <c r="V488" s="5"/>
      <c r="W488" s="5"/>
    </row>
    <row r="489">
      <c r="A489" s="5"/>
      <c r="B489" s="3"/>
      <c r="C489" s="5"/>
      <c r="D489" s="5"/>
      <c r="E489" s="5"/>
      <c r="F489" s="5"/>
      <c r="G489" s="5"/>
      <c r="H489" s="5"/>
      <c r="I489" s="5"/>
      <c r="J489" s="5"/>
      <c r="K489" s="5"/>
      <c r="L489" s="5"/>
      <c r="M489" s="5"/>
      <c r="N489" s="5"/>
      <c r="O489" s="5"/>
      <c r="P489" s="5"/>
      <c r="Q489" s="5"/>
      <c r="R489" s="5"/>
      <c r="S489" s="5"/>
      <c r="T489" s="5"/>
      <c r="U489" s="5"/>
      <c r="V489" s="5"/>
      <c r="W489" s="5"/>
    </row>
    <row r="490">
      <c r="A490" s="5"/>
      <c r="B490" s="3"/>
      <c r="C490" s="5"/>
      <c r="D490" s="5"/>
      <c r="E490" s="5"/>
      <c r="F490" s="5"/>
      <c r="G490" s="5"/>
      <c r="H490" s="5"/>
      <c r="I490" s="5"/>
      <c r="J490" s="5"/>
      <c r="K490" s="5"/>
      <c r="L490" s="5"/>
      <c r="M490" s="5"/>
      <c r="N490" s="5"/>
      <c r="O490" s="5"/>
      <c r="P490" s="5"/>
      <c r="Q490" s="5"/>
      <c r="R490" s="5"/>
      <c r="S490" s="5"/>
      <c r="T490" s="5"/>
      <c r="U490" s="5"/>
      <c r="V490" s="5"/>
      <c r="W490" s="5"/>
    </row>
    <row r="491">
      <c r="A491" s="5"/>
      <c r="B491" s="3"/>
      <c r="C491" s="5"/>
      <c r="D491" s="5"/>
      <c r="E491" s="5"/>
      <c r="F491" s="5"/>
      <c r="G491" s="5"/>
      <c r="H491" s="5"/>
      <c r="I491" s="5"/>
      <c r="J491" s="5"/>
      <c r="K491" s="5"/>
      <c r="L491" s="5"/>
      <c r="M491" s="5"/>
      <c r="N491" s="5"/>
      <c r="O491" s="5"/>
      <c r="P491" s="5"/>
      <c r="Q491" s="5"/>
      <c r="R491" s="5"/>
      <c r="S491" s="5"/>
      <c r="T491" s="5"/>
      <c r="U491" s="5"/>
      <c r="V491" s="5"/>
      <c r="W491" s="5"/>
    </row>
    <row r="492">
      <c r="A492" s="5"/>
      <c r="B492" s="3"/>
      <c r="C492" s="5"/>
      <c r="D492" s="5"/>
      <c r="E492" s="5"/>
      <c r="F492" s="5"/>
      <c r="G492" s="5"/>
      <c r="H492" s="5"/>
      <c r="I492" s="5"/>
      <c r="J492" s="5"/>
      <c r="K492" s="5"/>
      <c r="L492" s="5"/>
      <c r="M492" s="5"/>
      <c r="N492" s="5"/>
      <c r="O492" s="5"/>
      <c r="P492" s="5"/>
      <c r="Q492" s="5"/>
      <c r="R492" s="5"/>
      <c r="S492" s="5"/>
      <c r="T492" s="5"/>
      <c r="U492" s="5"/>
      <c r="V492" s="5"/>
      <c r="W492" s="5"/>
    </row>
    <row r="493">
      <c r="A493" s="5"/>
      <c r="B493" s="3"/>
      <c r="C493" s="5"/>
      <c r="D493" s="5"/>
      <c r="E493" s="5"/>
      <c r="F493" s="5"/>
      <c r="G493" s="5"/>
      <c r="H493" s="5"/>
      <c r="I493" s="5"/>
      <c r="J493" s="5"/>
      <c r="K493" s="5"/>
      <c r="L493" s="5"/>
      <c r="M493" s="5"/>
      <c r="N493" s="5"/>
      <c r="O493" s="5"/>
      <c r="P493" s="5"/>
      <c r="Q493" s="5"/>
      <c r="R493" s="5"/>
      <c r="S493" s="5"/>
      <c r="T493" s="5"/>
      <c r="U493" s="5"/>
      <c r="V493" s="5"/>
      <c r="W493" s="5"/>
    </row>
    <row r="494">
      <c r="A494" s="5"/>
      <c r="B494" s="3"/>
      <c r="C494" s="5"/>
      <c r="D494" s="5"/>
      <c r="E494" s="5"/>
      <c r="F494" s="5"/>
      <c r="G494" s="5"/>
      <c r="H494" s="5"/>
      <c r="I494" s="5"/>
      <c r="J494" s="5"/>
      <c r="K494" s="5"/>
      <c r="L494" s="5"/>
      <c r="M494" s="5"/>
      <c r="N494" s="5"/>
      <c r="O494" s="5"/>
      <c r="P494" s="5"/>
      <c r="Q494" s="5"/>
      <c r="R494" s="5"/>
      <c r="S494" s="5"/>
      <c r="T494" s="5"/>
      <c r="U494" s="5"/>
      <c r="V494" s="5"/>
      <c r="W494" s="5"/>
    </row>
    <row r="495">
      <c r="A495" s="5"/>
      <c r="B495" s="3"/>
      <c r="C495" s="5"/>
      <c r="D495" s="5"/>
      <c r="E495" s="5"/>
      <c r="F495" s="5"/>
      <c r="G495" s="5"/>
      <c r="H495" s="5"/>
      <c r="I495" s="5"/>
      <c r="J495" s="5"/>
      <c r="K495" s="5"/>
      <c r="L495" s="5"/>
      <c r="M495" s="5"/>
      <c r="N495" s="5"/>
      <c r="O495" s="5"/>
      <c r="P495" s="5"/>
      <c r="Q495" s="5"/>
      <c r="R495" s="5"/>
      <c r="S495" s="5"/>
      <c r="T495" s="5"/>
      <c r="U495" s="5"/>
      <c r="V495" s="5"/>
      <c r="W495" s="5"/>
    </row>
    <row r="496">
      <c r="A496" s="5"/>
      <c r="B496" s="3"/>
      <c r="C496" s="5"/>
      <c r="D496" s="5"/>
      <c r="E496" s="5"/>
      <c r="F496" s="5"/>
      <c r="G496" s="5"/>
      <c r="H496" s="5"/>
      <c r="I496" s="5"/>
      <c r="J496" s="5"/>
      <c r="K496" s="5"/>
      <c r="L496" s="5"/>
      <c r="M496" s="5"/>
      <c r="N496" s="5"/>
      <c r="O496" s="5"/>
      <c r="P496" s="5"/>
      <c r="Q496" s="5"/>
      <c r="R496" s="5"/>
      <c r="S496" s="5"/>
      <c r="T496" s="5"/>
      <c r="U496" s="5"/>
      <c r="V496" s="5"/>
      <c r="W496" s="5"/>
    </row>
    <row r="497">
      <c r="A497" s="5"/>
      <c r="B497" s="3"/>
      <c r="C497" s="5"/>
      <c r="D497" s="5"/>
      <c r="E497" s="5"/>
      <c r="F497" s="5"/>
      <c r="G497" s="5"/>
      <c r="H497" s="5"/>
      <c r="I497" s="5"/>
      <c r="J497" s="5"/>
      <c r="K497" s="5"/>
      <c r="L497" s="5"/>
      <c r="M497" s="5"/>
      <c r="N497" s="5"/>
      <c r="O497" s="5"/>
      <c r="P497" s="5"/>
      <c r="Q497" s="5"/>
      <c r="R497" s="5"/>
      <c r="S497" s="5"/>
      <c r="T497" s="5"/>
      <c r="U497" s="5"/>
      <c r="V497" s="5"/>
      <c r="W497" s="5"/>
    </row>
    <row r="498">
      <c r="A498" s="5"/>
      <c r="B498" s="3"/>
      <c r="C498" s="5"/>
      <c r="D498" s="5"/>
      <c r="E498" s="5"/>
      <c r="F498" s="5"/>
      <c r="G498" s="5"/>
      <c r="H498" s="5"/>
      <c r="I498" s="5"/>
      <c r="J498" s="5"/>
      <c r="K498" s="5"/>
      <c r="L498" s="5"/>
      <c r="M498" s="5"/>
      <c r="N498" s="5"/>
      <c r="O498" s="5"/>
      <c r="P498" s="5"/>
      <c r="Q498" s="5"/>
      <c r="R498" s="5"/>
      <c r="S498" s="5"/>
      <c r="T498" s="5"/>
      <c r="U498" s="5"/>
      <c r="V498" s="5"/>
      <c r="W498" s="5"/>
    </row>
    <row r="499">
      <c r="A499" s="5"/>
      <c r="B499" s="3"/>
      <c r="C499" s="5"/>
      <c r="D499" s="5"/>
      <c r="E499" s="5"/>
      <c r="F499" s="5"/>
      <c r="G499" s="5"/>
      <c r="H499" s="5"/>
      <c r="I499" s="5"/>
      <c r="J499" s="5"/>
      <c r="K499" s="5"/>
      <c r="L499" s="5"/>
      <c r="M499" s="5"/>
      <c r="N499" s="5"/>
      <c r="O499" s="5"/>
      <c r="P499" s="5"/>
      <c r="Q499" s="5"/>
      <c r="R499" s="5"/>
      <c r="S499" s="5"/>
      <c r="T499" s="5"/>
      <c r="U499" s="5"/>
      <c r="V499" s="5"/>
      <c r="W499" s="5"/>
    </row>
    <row r="500">
      <c r="A500" s="5"/>
      <c r="B500" s="3"/>
      <c r="C500" s="5"/>
      <c r="D500" s="5"/>
      <c r="E500" s="5"/>
      <c r="F500" s="5"/>
      <c r="G500" s="5"/>
      <c r="H500" s="5"/>
      <c r="I500" s="5"/>
      <c r="J500" s="5"/>
      <c r="K500" s="5"/>
      <c r="L500" s="5"/>
      <c r="M500" s="5"/>
      <c r="N500" s="5"/>
      <c r="O500" s="5"/>
      <c r="P500" s="5"/>
      <c r="Q500" s="5"/>
      <c r="R500" s="5"/>
      <c r="S500" s="5"/>
      <c r="T500" s="5"/>
      <c r="U500" s="5"/>
      <c r="V500" s="5"/>
      <c r="W500" s="5"/>
    </row>
    <row r="501">
      <c r="A501" s="5"/>
      <c r="B501" s="3"/>
      <c r="C501" s="5"/>
      <c r="D501" s="5"/>
      <c r="E501" s="5"/>
      <c r="F501" s="5"/>
      <c r="G501" s="5"/>
      <c r="H501" s="5"/>
      <c r="I501" s="5"/>
      <c r="J501" s="5"/>
      <c r="K501" s="5"/>
      <c r="L501" s="5"/>
      <c r="M501" s="5"/>
      <c r="N501" s="5"/>
      <c r="O501" s="5"/>
      <c r="P501" s="5"/>
      <c r="Q501" s="5"/>
      <c r="R501" s="5"/>
      <c r="S501" s="5"/>
      <c r="T501" s="5"/>
      <c r="U501" s="5"/>
      <c r="V501" s="5"/>
      <c r="W501" s="5"/>
    </row>
    <row r="502">
      <c r="A502" s="5"/>
      <c r="B502" s="3"/>
      <c r="C502" s="5"/>
      <c r="D502" s="5"/>
      <c r="E502" s="5"/>
      <c r="F502" s="5"/>
      <c r="G502" s="5"/>
      <c r="H502" s="5"/>
      <c r="I502" s="5"/>
      <c r="J502" s="5"/>
      <c r="K502" s="5"/>
      <c r="L502" s="5"/>
      <c r="M502" s="5"/>
      <c r="N502" s="5"/>
      <c r="O502" s="5"/>
      <c r="P502" s="5"/>
      <c r="Q502" s="5"/>
      <c r="R502" s="5"/>
      <c r="S502" s="5"/>
      <c r="T502" s="5"/>
      <c r="U502" s="5"/>
      <c r="V502" s="5"/>
      <c r="W502" s="5"/>
    </row>
    <row r="503">
      <c r="A503" s="5"/>
      <c r="B503" s="3"/>
      <c r="C503" s="5"/>
      <c r="D503" s="5"/>
      <c r="E503" s="5"/>
      <c r="F503" s="5"/>
      <c r="G503" s="5"/>
      <c r="H503" s="5"/>
      <c r="I503" s="5"/>
      <c r="J503" s="5"/>
      <c r="K503" s="5"/>
      <c r="L503" s="5"/>
      <c r="M503" s="5"/>
      <c r="N503" s="5"/>
      <c r="O503" s="5"/>
      <c r="P503" s="5"/>
      <c r="Q503" s="5"/>
      <c r="R503" s="5"/>
      <c r="S503" s="5"/>
      <c r="T503" s="5"/>
      <c r="U503" s="5"/>
      <c r="V503" s="5"/>
      <c r="W503" s="5"/>
    </row>
    <row r="504">
      <c r="A504" s="5"/>
      <c r="B504" s="3"/>
      <c r="C504" s="5"/>
      <c r="D504" s="5"/>
      <c r="E504" s="5"/>
      <c r="F504" s="5"/>
      <c r="G504" s="5"/>
      <c r="H504" s="5"/>
      <c r="I504" s="5"/>
      <c r="J504" s="5"/>
      <c r="K504" s="5"/>
      <c r="L504" s="5"/>
      <c r="M504" s="5"/>
      <c r="N504" s="5"/>
      <c r="O504" s="5"/>
      <c r="P504" s="5"/>
      <c r="Q504" s="5"/>
      <c r="R504" s="5"/>
      <c r="S504" s="5"/>
      <c r="T504" s="5"/>
      <c r="U504" s="5"/>
      <c r="V504" s="5"/>
      <c r="W504" s="5"/>
    </row>
    <row r="505">
      <c r="A505" s="5"/>
      <c r="B505" s="3"/>
      <c r="C505" s="5"/>
      <c r="D505" s="5"/>
      <c r="E505" s="5"/>
      <c r="F505" s="5"/>
      <c r="G505" s="5"/>
      <c r="H505" s="5"/>
      <c r="I505" s="5"/>
      <c r="J505" s="5"/>
      <c r="K505" s="5"/>
      <c r="L505" s="5"/>
      <c r="M505" s="5"/>
      <c r="N505" s="5"/>
      <c r="O505" s="5"/>
      <c r="P505" s="5"/>
      <c r="Q505" s="5"/>
      <c r="R505" s="5"/>
      <c r="S505" s="5"/>
      <c r="T505" s="5"/>
      <c r="U505" s="5"/>
      <c r="V505" s="5"/>
      <c r="W505" s="5"/>
    </row>
    <row r="506">
      <c r="A506" s="5"/>
      <c r="B506" s="3"/>
      <c r="C506" s="5"/>
      <c r="D506" s="5"/>
      <c r="E506" s="5"/>
      <c r="F506" s="5"/>
      <c r="G506" s="5"/>
      <c r="H506" s="5"/>
      <c r="I506" s="5"/>
      <c r="J506" s="5"/>
      <c r="K506" s="5"/>
      <c r="L506" s="5"/>
      <c r="M506" s="5"/>
      <c r="N506" s="5"/>
      <c r="O506" s="5"/>
      <c r="P506" s="5"/>
      <c r="Q506" s="5"/>
      <c r="R506" s="5"/>
      <c r="S506" s="5"/>
      <c r="T506" s="5"/>
      <c r="U506" s="5"/>
      <c r="V506" s="5"/>
      <c r="W506" s="5"/>
    </row>
    <row r="507">
      <c r="A507" s="5"/>
      <c r="B507" s="3"/>
      <c r="C507" s="5"/>
      <c r="D507" s="5"/>
      <c r="E507" s="5"/>
      <c r="F507" s="5"/>
      <c r="G507" s="5"/>
      <c r="H507" s="5"/>
      <c r="I507" s="5"/>
      <c r="J507" s="5"/>
      <c r="K507" s="5"/>
      <c r="L507" s="5"/>
      <c r="M507" s="5"/>
      <c r="N507" s="5"/>
      <c r="O507" s="5"/>
      <c r="P507" s="5"/>
      <c r="Q507" s="5"/>
      <c r="R507" s="5"/>
      <c r="S507" s="5"/>
      <c r="T507" s="5"/>
      <c r="U507" s="5"/>
      <c r="V507" s="5"/>
      <c r="W507" s="5"/>
    </row>
    <row r="508">
      <c r="A508" s="5"/>
      <c r="B508" s="3"/>
      <c r="C508" s="5"/>
      <c r="D508" s="5"/>
      <c r="E508" s="5"/>
      <c r="F508" s="5"/>
      <c r="G508" s="5"/>
      <c r="H508" s="5"/>
      <c r="I508" s="5"/>
      <c r="J508" s="5"/>
      <c r="K508" s="5"/>
      <c r="L508" s="5"/>
      <c r="M508" s="5"/>
      <c r="N508" s="5"/>
      <c r="O508" s="5"/>
      <c r="P508" s="5"/>
      <c r="Q508" s="5"/>
      <c r="R508" s="5"/>
      <c r="S508" s="5"/>
      <c r="T508" s="5"/>
      <c r="U508" s="5"/>
      <c r="V508" s="5"/>
      <c r="W508" s="5"/>
    </row>
    <row r="509">
      <c r="A509" s="5"/>
      <c r="B509" s="3"/>
      <c r="C509" s="5"/>
      <c r="D509" s="5"/>
      <c r="E509" s="5"/>
      <c r="F509" s="5"/>
      <c r="G509" s="5"/>
      <c r="H509" s="5"/>
      <c r="I509" s="5"/>
      <c r="J509" s="5"/>
      <c r="K509" s="5"/>
      <c r="L509" s="5"/>
      <c r="M509" s="5"/>
      <c r="N509" s="5"/>
      <c r="O509" s="5"/>
      <c r="P509" s="5"/>
      <c r="Q509" s="5"/>
      <c r="R509" s="5"/>
      <c r="S509" s="5"/>
      <c r="T509" s="5"/>
      <c r="U509" s="5"/>
      <c r="V509" s="5"/>
      <c r="W509" s="5"/>
    </row>
    <row r="510">
      <c r="A510" s="5"/>
      <c r="B510" s="3"/>
      <c r="C510" s="5"/>
      <c r="D510" s="5"/>
      <c r="E510" s="5"/>
      <c r="F510" s="5"/>
      <c r="G510" s="5"/>
      <c r="H510" s="5"/>
      <c r="I510" s="5"/>
      <c r="J510" s="5"/>
      <c r="K510" s="5"/>
      <c r="L510" s="5"/>
      <c r="M510" s="5"/>
      <c r="N510" s="5"/>
      <c r="O510" s="5"/>
      <c r="P510" s="5"/>
      <c r="Q510" s="5"/>
      <c r="R510" s="5"/>
      <c r="S510" s="5"/>
      <c r="T510" s="5"/>
      <c r="U510" s="5"/>
      <c r="V510" s="5"/>
      <c r="W510" s="5"/>
    </row>
    <row r="511">
      <c r="A511" s="5"/>
      <c r="B511" s="3"/>
      <c r="C511" s="5"/>
      <c r="D511" s="5"/>
      <c r="E511" s="5"/>
      <c r="F511" s="5"/>
      <c r="G511" s="5"/>
      <c r="H511" s="5"/>
      <c r="I511" s="5"/>
      <c r="J511" s="5"/>
      <c r="K511" s="5"/>
      <c r="L511" s="5"/>
      <c r="M511" s="5"/>
      <c r="N511" s="5"/>
      <c r="O511" s="5"/>
      <c r="P511" s="5"/>
      <c r="Q511" s="5"/>
      <c r="R511" s="5"/>
      <c r="S511" s="5"/>
      <c r="T511" s="5"/>
      <c r="U511" s="5"/>
      <c r="V511" s="5"/>
      <c r="W511" s="5"/>
    </row>
    <row r="512">
      <c r="A512" s="5"/>
      <c r="B512" s="3"/>
      <c r="C512" s="5"/>
      <c r="D512" s="5"/>
      <c r="E512" s="5"/>
      <c r="F512" s="5"/>
      <c r="G512" s="5"/>
      <c r="H512" s="5"/>
      <c r="I512" s="5"/>
      <c r="J512" s="5"/>
      <c r="K512" s="5"/>
      <c r="L512" s="5"/>
      <c r="M512" s="5"/>
      <c r="N512" s="5"/>
      <c r="O512" s="5"/>
      <c r="P512" s="5"/>
      <c r="Q512" s="5"/>
      <c r="R512" s="5"/>
      <c r="S512" s="5"/>
      <c r="T512" s="5"/>
      <c r="U512" s="5"/>
      <c r="V512" s="5"/>
      <c r="W512" s="5"/>
    </row>
    <row r="513">
      <c r="A513" s="5"/>
      <c r="B513" s="3"/>
      <c r="C513" s="5"/>
      <c r="D513" s="5"/>
      <c r="E513" s="5"/>
      <c r="F513" s="5"/>
      <c r="G513" s="5"/>
      <c r="H513" s="5"/>
      <c r="I513" s="5"/>
      <c r="J513" s="5"/>
      <c r="K513" s="5"/>
      <c r="L513" s="5"/>
      <c r="M513" s="5"/>
      <c r="N513" s="5"/>
      <c r="O513" s="5"/>
      <c r="P513" s="5"/>
      <c r="Q513" s="5"/>
      <c r="R513" s="5"/>
      <c r="S513" s="5"/>
      <c r="T513" s="5"/>
      <c r="U513" s="5"/>
      <c r="V513" s="5"/>
      <c r="W513" s="5"/>
    </row>
    <row r="514">
      <c r="A514" s="5"/>
      <c r="B514" s="3"/>
      <c r="C514" s="5"/>
      <c r="D514" s="5"/>
      <c r="E514" s="5"/>
      <c r="F514" s="5"/>
      <c r="G514" s="5"/>
      <c r="H514" s="5"/>
      <c r="I514" s="5"/>
      <c r="J514" s="5"/>
      <c r="K514" s="5"/>
      <c r="L514" s="5"/>
      <c r="M514" s="5"/>
      <c r="N514" s="5"/>
      <c r="O514" s="5"/>
      <c r="P514" s="5"/>
      <c r="Q514" s="5"/>
      <c r="R514" s="5"/>
      <c r="S514" s="5"/>
      <c r="T514" s="5"/>
      <c r="U514" s="5"/>
      <c r="V514" s="5"/>
      <c r="W514" s="5"/>
    </row>
    <row r="515">
      <c r="A515" s="5"/>
      <c r="B515" s="3"/>
      <c r="C515" s="5"/>
      <c r="D515" s="5"/>
      <c r="E515" s="5"/>
      <c r="F515" s="5"/>
      <c r="G515" s="5"/>
      <c r="H515" s="5"/>
      <c r="I515" s="5"/>
      <c r="J515" s="5"/>
      <c r="K515" s="5"/>
      <c r="L515" s="5"/>
      <c r="M515" s="5"/>
      <c r="N515" s="5"/>
      <c r="O515" s="5"/>
      <c r="P515" s="5"/>
      <c r="Q515" s="5"/>
      <c r="R515" s="5"/>
      <c r="S515" s="5"/>
      <c r="T515" s="5"/>
      <c r="U515" s="5"/>
      <c r="V515" s="5"/>
      <c r="W515" s="5"/>
    </row>
    <row r="516">
      <c r="A516" s="5"/>
      <c r="B516" s="3"/>
      <c r="C516" s="5"/>
      <c r="D516" s="5"/>
      <c r="E516" s="5"/>
      <c r="F516" s="5"/>
      <c r="G516" s="5"/>
      <c r="H516" s="5"/>
      <c r="I516" s="5"/>
      <c r="J516" s="5"/>
      <c r="K516" s="5"/>
      <c r="L516" s="5"/>
      <c r="M516" s="5"/>
      <c r="N516" s="5"/>
      <c r="O516" s="5"/>
      <c r="P516" s="5"/>
      <c r="Q516" s="5"/>
      <c r="R516" s="5"/>
      <c r="S516" s="5"/>
      <c r="T516" s="5"/>
      <c r="U516" s="5"/>
      <c r="V516" s="5"/>
      <c r="W516" s="5"/>
    </row>
    <row r="517">
      <c r="A517" s="5"/>
      <c r="B517" s="3"/>
      <c r="C517" s="5"/>
      <c r="D517" s="5"/>
      <c r="E517" s="5"/>
      <c r="F517" s="5"/>
      <c r="G517" s="5"/>
      <c r="H517" s="5"/>
      <c r="I517" s="5"/>
      <c r="J517" s="5"/>
      <c r="K517" s="5"/>
      <c r="L517" s="5"/>
      <c r="M517" s="5"/>
      <c r="N517" s="5"/>
      <c r="O517" s="5"/>
      <c r="P517" s="5"/>
      <c r="Q517" s="5"/>
      <c r="R517" s="5"/>
      <c r="S517" s="5"/>
      <c r="T517" s="5"/>
      <c r="U517" s="5"/>
      <c r="V517" s="5"/>
      <c r="W517" s="5"/>
    </row>
    <row r="518">
      <c r="A518" s="5"/>
      <c r="B518" s="3"/>
      <c r="C518" s="5"/>
      <c r="D518" s="5"/>
      <c r="E518" s="5"/>
      <c r="F518" s="5"/>
      <c r="G518" s="5"/>
      <c r="H518" s="5"/>
      <c r="I518" s="5"/>
      <c r="J518" s="5"/>
      <c r="K518" s="5"/>
      <c r="L518" s="5"/>
      <c r="M518" s="5"/>
      <c r="N518" s="5"/>
      <c r="O518" s="5"/>
      <c r="P518" s="5"/>
      <c r="Q518" s="5"/>
      <c r="R518" s="5"/>
      <c r="S518" s="5"/>
      <c r="T518" s="5"/>
      <c r="U518" s="5"/>
      <c r="V518" s="5"/>
      <c r="W518" s="5"/>
    </row>
    <row r="519">
      <c r="A519" s="5"/>
      <c r="B519" s="3"/>
      <c r="C519" s="5"/>
      <c r="D519" s="5"/>
      <c r="E519" s="5"/>
      <c r="F519" s="5"/>
      <c r="G519" s="5"/>
      <c r="H519" s="5"/>
      <c r="I519" s="5"/>
      <c r="J519" s="5"/>
      <c r="K519" s="5"/>
      <c r="L519" s="5"/>
      <c r="M519" s="5"/>
      <c r="N519" s="5"/>
      <c r="O519" s="5"/>
      <c r="P519" s="5"/>
      <c r="Q519" s="5"/>
      <c r="R519" s="5"/>
      <c r="S519" s="5"/>
      <c r="T519" s="5"/>
      <c r="U519" s="5"/>
      <c r="V519" s="5"/>
      <c r="W519" s="5"/>
    </row>
    <row r="520">
      <c r="A520" s="5"/>
      <c r="B520" s="3"/>
      <c r="C520" s="5"/>
      <c r="D520" s="5"/>
      <c r="E520" s="5"/>
      <c r="F520" s="5"/>
      <c r="G520" s="5"/>
      <c r="H520" s="5"/>
      <c r="I520" s="5"/>
      <c r="J520" s="5"/>
      <c r="K520" s="5"/>
      <c r="L520" s="5"/>
      <c r="M520" s="5"/>
      <c r="N520" s="5"/>
      <c r="O520" s="5"/>
      <c r="P520" s="5"/>
      <c r="Q520" s="5"/>
      <c r="R520" s="5"/>
      <c r="S520" s="5"/>
      <c r="T520" s="5"/>
      <c r="U520" s="5"/>
      <c r="V520" s="5"/>
      <c r="W520" s="5"/>
    </row>
    <row r="521">
      <c r="A521" s="5"/>
      <c r="B521" s="3"/>
      <c r="C521" s="5"/>
      <c r="D521" s="5"/>
      <c r="E521" s="5"/>
      <c r="F521" s="5"/>
      <c r="G521" s="5"/>
      <c r="H521" s="5"/>
      <c r="I521" s="5"/>
      <c r="J521" s="5"/>
      <c r="K521" s="5"/>
      <c r="L521" s="5"/>
      <c r="M521" s="5"/>
      <c r="N521" s="5"/>
      <c r="O521" s="5"/>
      <c r="P521" s="5"/>
      <c r="Q521" s="5"/>
      <c r="R521" s="5"/>
      <c r="S521" s="5"/>
      <c r="T521" s="5"/>
      <c r="U521" s="5"/>
      <c r="V521" s="5"/>
      <c r="W521" s="5"/>
    </row>
    <row r="522">
      <c r="A522" s="5"/>
      <c r="B522" s="3"/>
      <c r="C522" s="5"/>
      <c r="D522" s="5"/>
      <c r="E522" s="5"/>
      <c r="F522" s="5"/>
      <c r="G522" s="5"/>
      <c r="H522" s="5"/>
      <c r="I522" s="5"/>
      <c r="J522" s="5"/>
      <c r="K522" s="5"/>
      <c r="L522" s="5"/>
      <c r="M522" s="5"/>
      <c r="N522" s="5"/>
      <c r="O522" s="5"/>
      <c r="P522" s="5"/>
      <c r="Q522" s="5"/>
      <c r="R522" s="5"/>
      <c r="S522" s="5"/>
      <c r="T522" s="5"/>
      <c r="U522" s="5"/>
      <c r="V522" s="5"/>
      <c r="W522" s="5"/>
    </row>
    <row r="523">
      <c r="A523" s="5"/>
      <c r="B523" s="3"/>
      <c r="C523" s="5"/>
      <c r="D523" s="5"/>
      <c r="E523" s="5"/>
      <c r="F523" s="5"/>
      <c r="G523" s="5"/>
      <c r="H523" s="5"/>
      <c r="I523" s="5"/>
      <c r="J523" s="5"/>
      <c r="K523" s="5"/>
      <c r="L523" s="5"/>
      <c r="M523" s="5"/>
      <c r="N523" s="5"/>
      <c r="O523" s="5"/>
      <c r="P523" s="5"/>
      <c r="Q523" s="5"/>
      <c r="R523" s="5"/>
      <c r="S523" s="5"/>
      <c r="T523" s="5"/>
      <c r="U523" s="5"/>
      <c r="V523" s="5"/>
      <c r="W523" s="5"/>
    </row>
    <row r="524">
      <c r="A524" s="5"/>
      <c r="B524" s="3"/>
      <c r="C524" s="5"/>
      <c r="D524" s="5"/>
      <c r="E524" s="5"/>
      <c r="F524" s="5"/>
      <c r="G524" s="5"/>
      <c r="H524" s="5"/>
      <c r="I524" s="5"/>
      <c r="J524" s="5"/>
      <c r="K524" s="5"/>
      <c r="L524" s="5"/>
      <c r="M524" s="5"/>
      <c r="N524" s="5"/>
      <c r="O524" s="5"/>
      <c r="P524" s="5"/>
      <c r="Q524" s="5"/>
      <c r="R524" s="5"/>
      <c r="S524" s="5"/>
      <c r="T524" s="5"/>
      <c r="U524" s="5"/>
      <c r="V524" s="5"/>
      <c r="W524" s="5"/>
    </row>
    <row r="525">
      <c r="A525" s="5"/>
      <c r="B525" s="3"/>
      <c r="C525" s="5"/>
      <c r="D525" s="5"/>
      <c r="E525" s="5"/>
      <c r="F525" s="5"/>
      <c r="G525" s="5"/>
      <c r="H525" s="5"/>
      <c r="I525" s="5"/>
      <c r="J525" s="5"/>
      <c r="K525" s="5"/>
      <c r="L525" s="5"/>
      <c r="M525" s="5"/>
      <c r="N525" s="5"/>
      <c r="O525" s="5"/>
      <c r="P525" s="5"/>
      <c r="Q525" s="5"/>
      <c r="R525" s="5"/>
      <c r="S525" s="5"/>
      <c r="T525" s="5"/>
      <c r="U525" s="5"/>
      <c r="V525" s="5"/>
      <c r="W525" s="5"/>
    </row>
    <row r="526">
      <c r="A526" s="5"/>
      <c r="B526" s="3"/>
      <c r="C526" s="5"/>
      <c r="D526" s="5"/>
      <c r="E526" s="5"/>
      <c r="F526" s="5"/>
      <c r="G526" s="5"/>
      <c r="H526" s="5"/>
      <c r="I526" s="5"/>
      <c r="J526" s="5"/>
      <c r="K526" s="5"/>
      <c r="L526" s="5"/>
      <c r="M526" s="5"/>
      <c r="N526" s="5"/>
      <c r="O526" s="5"/>
      <c r="P526" s="5"/>
      <c r="Q526" s="5"/>
      <c r="R526" s="5"/>
      <c r="S526" s="5"/>
      <c r="T526" s="5"/>
      <c r="U526" s="5"/>
      <c r="V526" s="5"/>
      <c r="W526" s="5"/>
    </row>
    <row r="527">
      <c r="A527" s="5"/>
      <c r="B527" s="3"/>
      <c r="C527" s="5"/>
      <c r="D527" s="5"/>
      <c r="E527" s="5"/>
      <c r="F527" s="5"/>
      <c r="G527" s="5"/>
      <c r="H527" s="5"/>
      <c r="I527" s="5"/>
      <c r="J527" s="5"/>
      <c r="K527" s="5"/>
      <c r="L527" s="5"/>
      <c r="M527" s="5"/>
      <c r="N527" s="5"/>
      <c r="O527" s="5"/>
      <c r="P527" s="5"/>
      <c r="Q527" s="5"/>
      <c r="R527" s="5"/>
      <c r="S527" s="5"/>
      <c r="T527" s="5"/>
      <c r="U527" s="5"/>
      <c r="V527" s="5"/>
      <c r="W527" s="5"/>
    </row>
    <row r="528">
      <c r="A528" s="5"/>
      <c r="B528" s="3"/>
      <c r="C528" s="5"/>
      <c r="D528" s="5"/>
      <c r="E528" s="5"/>
      <c r="F528" s="5"/>
      <c r="G528" s="5"/>
      <c r="H528" s="5"/>
      <c r="I528" s="5"/>
      <c r="J528" s="5"/>
      <c r="K528" s="5"/>
      <c r="L528" s="5"/>
      <c r="M528" s="5"/>
      <c r="N528" s="5"/>
      <c r="O528" s="5"/>
      <c r="P528" s="5"/>
      <c r="Q528" s="5"/>
      <c r="R528" s="5"/>
      <c r="S528" s="5"/>
      <c r="T528" s="5"/>
      <c r="U528" s="5"/>
      <c r="V528" s="5"/>
      <c r="W528" s="5"/>
    </row>
    <row r="529">
      <c r="A529" s="5"/>
      <c r="B529" s="3"/>
      <c r="C529" s="5"/>
      <c r="D529" s="5"/>
      <c r="E529" s="5"/>
      <c r="F529" s="5"/>
      <c r="G529" s="5"/>
      <c r="H529" s="5"/>
      <c r="I529" s="5"/>
      <c r="J529" s="5"/>
      <c r="K529" s="5"/>
      <c r="L529" s="5"/>
      <c r="M529" s="5"/>
      <c r="N529" s="5"/>
      <c r="O529" s="5"/>
      <c r="P529" s="5"/>
      <c r="Q529" s="5"/>
      <c r="R529" s="5"/>
      <c r="S529" s="5"/>
      <c r="T529" s="5"/>
      <c r="U529" s="5"/>
      <c r="V529" s="5"/>
      <c r="W529" s="5"/>
    </row>
    <row r="530">
      <c r="A530" s="5"/>
      <c r="B530" s="3"/>
      <c r="C530" s="5"/>
      <c r="D530" s="5"/>
      <c r="E530" s="5"/>
      <c r="F530" s="5"/>
      <c r="G530" s="5"/>
      <c r="H530" s="5"/>
      <c r="I530" s="5"/>
      <c r="J530" s="5"/>
      <c r="K530" s="5"/>
      <c r="L530" s="5"/>
      <c r="M530" s="5"/>
      <c r="N530" s="5"/>
      <c r="O530" s="5"/>
      <c r="P530" s="5"/>
      <c r="Q530" s="5"/>
      <c r="R530" s="5"/>
      <c r="S530" s="5"/>
      <c r="T530" s="5"/>
      <c r="U530" s="5"/>
      <c r="V530" s="5"/>
      <c r="W530" s="5"/>
    </row>
    <row r="531">
      <c r="A531" s="5"/>
      <c r="B531" s="3"/>
      <c r="C531" s="5"/>
      <c r="D531" s="5"/>
      <c r="E531" s="5"/>
      <c r="F531" s="5"/>
      <c r="G531" s="5"/>
      <c r="H531" s="5"/>
      <c r="I531" s="5"/>
      <c r="J531" s="5"/>
      <c r="K531" s="5"/>
      <c r="L531" s="5"/>
      <c r="M531" s="5"/>
      <c r="N531" s="5"/>
      <c r="O531" s="5"/>
      <c r="P531" s="5"/>
      <c r="Q531" s="5"/>
      <c r="R531" s="5"/>
      <c r="S531" s="5"/>
      <c r="T531" s="5"/>
      <c r="U531" s="5"/>
      <c r="V531" s="5"/>
      <c r="W531" s="5"/>
    </row>
    <row r="532">
      <c r="A532" s="5"/>
      <c r="B532" s="3"/>
      <c r="C532" s="5"/>
      <c r="D532" s="5"/>
      <c r="E532" s="5"/>
      <c r="F532" s="5"/>
      <c r="G532" s="5"/>
      <c r="H532" s="5"/>
      <c r="I532" s="5"/>
      <c r="J532" s="5"/>
      <c r="K532" s="5"/>
      <c r="L532" s="5"/>
      <c r="M532" s="5"/>
      <c r="N532" s="5"/>
      <c r="O532" s="5"/>
      <c r="P532" s="5"/>
      <c r="Q532" s="5"/>
      <c r="R532" s="5"/>
      <c r="S532" s="5"/>
      <c r="T532" s="5"/>
      <c r="U532" s="5"/>
      <c r="V532" s="5"/>
      <c r="W532" s="5"/>
    </row>
    <row r="533">
      <c r="A533" s="5"/>
      <c r="B533" s="3"/>
      <c r="C533" s="5"/>
      <c r="D533" s="5"/>
      <c r="E533" s="5"/>
      <c r="F533" s="5"/>
      <c r="G533" s="5"/>
      <c r="H533" s="5"/>
      <c r="I533" s="5"/>
      <c r="J533" s="5"/>
      <c r="K533" s="5"/>
      <c r="L533" s="5"/>
      <c r="M533" s="5"/>
      <c r="N533" s="5"/>
      <c r="O533" s="5"/>
      <c r="P533" s="5"/>
      <c r="Q533" s="5"/>
      <c r="R533" s="5"/>
      <c r="S533" s="5"/>
      <c r="T533" s="5"/>
      <c r="U533" s="5"/>
      <c r="V533" s="5"/>
      <c r="W533" s="5"/>
    </row>
    <row r="534">
      <c r="A534" s="5"/>
      <c r="B534" s="3"/>
      <c r="C534" s="5"/>
      <c r="D534" s="5"/>
      <c r="E534" s="5"/>
      <c r="F534" s="5"/>
      <c r="G534" s="5"/>
      <c r="H534" s="5"/>
      <c r="I534" s="5"/>
      <c r="J534" s="5"/>
      <c r="K534" s="5"/>
      <c r="L534" s="5"/>
      <c r="M534" s="5"/>
      <c r="N534" s="5"/>
      <c r="O534" s="5"/>
      <c r="P534" s="5"/>
      <c r="Q534" s="5"/>
      <c r="R534" s="5"/>
      <c r="S534" s="5"/>
      <c r="T534" s="5"/>
      <c r="U534" s="5"/>
      <c r="V534" s="5"/>
      <c r="W534" s="5"/>
    </row>
    <row r="535">
      <c r="A535" s="5"/>
      <c r="B535" s="3"/>
      <c r="C535" s="5"/>
      <c r="D535" s="5"/>
      <c r="E535" s="5"/>
      <c r="F535" s="5"/>
      <c r="G535" s="5"/>
      <c r="H535" s="5"/>
      <c r="I535" s="5"/>
      <c r="J535" s="5"/>
      <c r="K535" s="5"/>
      <c r="L535" s="5"/>
      <c r="M535" s="5"/>
      <c r="N535" s="5"/>
      <c r="O535" s="5"/>
      <c r="P535" s="5"/>
      <c r="Q535" s="5"/>
      <c r="R535" s="5"/>
      <c r="S535" s="5"/>
      <c r="T535" s="5"/>
      <c r="U535" s="5"/>
      <c r="V535" s="5"/>
      <c r="W535" s="5"/>
    </row>
    <row r="536">
      <c r="A536" s="5"/>
      <c r="B536" s="3"/>
      <c r="C536" s="5"/>
      <c r="D536" s="5"/>
      <c r="E536" s="5"/>
      <c r="F536" s="5"/>
      <c r="G536" s="5"/>
      <c r="H536" s="5"/>
      <c r="I536" s="5"/>
      <c r="J536" s="5"/>
      <c r="K536" s="5"/>
      <c r="L536" s="5"/>
      <c r="M536" s="5"/>
      <c r="N536" s="5"/>
      <c r="O536" s="5"/>
      <c r="P536" s="5"/>
      <c r="Q536" s="5"/>
      <c r="R536" s="5"/>
      <c r="S536" s="5"/>
      <c r="T536" s="5"/>
      <c r="U536" s="5"/>
      <c r="V536" s="5"/>
      <c r="W536" s="5"/>
    </row>
    <row r="537">
      <c r="A537" s="5"/>
      <c r="B537" s="3"/>
      <c r="C537" s="5"/>
      <c r="D537" s="5"/>
      <c r="E537" s="5"/>
      <c r="F537" s="5"/>
      <c r="G537" s="5"/>
      <c r="H537" s="5"/>
      <c r="I537" s="5"/>
      <c r="J537" s="5"/>
      <c r="K537" s="5"/>
      <c r="L537" s="5"/>
      <c r="M537" s="5"/>
      <c r="N537" s="5"/>
      <c r="O537" s="5"/>
      <c r="P537" s="5"/>
      <c r="Q537" s="5"/>
      <c r="R537" s="5"/>
      <c r="S537" s="5"/>
      <c r="T537" s="5"/>
      <c r="U537" s="5"/>
      <c r="V537" s="5"/>
      <c r="W537" s="5"/>
    </row>
    <row r="538">
      <c r="A538" s="5"/>
      <c r="B538" s="3"/>
      <c r="C538" s="5"/>
      <c r="D538" s="5"/>
      <c r="E538" s="5"/>
      <c r="F538" s="5"/>
      <c r="G538" s="5"/>
      <c r="H538" s="5"/>
      <c r="I538" s="5"/>
      <c r="J538" s="5"/>
      <c r="K538" s="5"/>
      <c r="L538" s="5"/>
      <c r="M538" s="5"/>
      <c r="N538" s="5"/>
      <c r="O538" s="5"/>
      <c r="P538" s="5"/>
      <c r="Q538" s="5"/>
      <c r="R538" s="5"/>
      <c r="S538" s="5"/>
      <c r="T538" s="5"/>
      <c r="U538" s="5"/>
      <c r="V538" s="5"/>
      <c r="W538" s="5"/>
    </row>
    <row r="539">
      <c r="A539" s="5"/>
      <c r="B539" s="3"/>
      <c r="C539" s="5"/>
      <c r="D539" s="5"/>
      <c r="E539" s="5"/>
      <c r="F539" s="5"/>
      <c r="G539" s="5"/>
      <c r="H539" s="5"/>
      <c r="I539" s="5"/>
      <c r="J539" s="5"/>
      <c r="K539" s="5"/>
      <c r="L539" s="5"/>
      <c r="M539" s="5"/>
      <c r="N539" s="5"/>
      <c r="O539" s="5"/>
      <c r="P539" s="5"/>
      <c r="Q539" s="5"/>
      <c r="R539" s="5"/>
      <c r="S539" s="5"/>
      <c r="T539" s="5"/>
      <c r="U539" s="5"/>
      <c r="V539" s="5"/>
      <c r="W539" s="5"/>
    </row>
    <row r="540">
      <c r="A540" s="5"/>
      <c r="B540" s="3"/>
      <c r="C540" s="5"/>
      <c r="D540" s="5"/>
      <c r="E540" s="5"/>
      <c r="F540" s="5"/>
      <c r="G540" s="5"/>
      <c r="H540" s="5"/>
      <c r="I540" s="5"/>
      <c r="J540" s="5"/>
      <c r="K540" s="5"/>
      <c r="L540" s="5"/>
      <c r="M540" s="5"/>
      <c r="N540" s="5"/>
      <c r="O540" s="5"/>
      <c r="P540" s="5"/>
      <c r="Q540" s="5"/>
      <c r="R540" s="5"/>
      <c r="S540" s="5"/>
      <c r="T540" s="5"/>
      <c r="U540" s="5"/>
      <c r="V540" s="5"/>
      <c r="W540" s="5"/>
    </row>
    <row r="541">
      <c r="A541" s="5"/>
      <c r="B541" s="3"/>
      <c r="C541" s="5"/>
      <c r="D541" s="5"/>
      <c r="E541" s="5"/>
      <c r="F541" s="5"/>
      <c r="G541" s="5"/>
      <c r="H541" s="5"/>
      <c r="I541" s="5"/>
      <c r="J541" s="5"/>
      <c r="K541" s="5"/>
      <c r="L541" s="5"/>
      <c r="M541" s="5"/>
      <c r="N541" s="5"/>
      <c r="O541" s="5"/>
      <c r="P541" s="5"/>
      <c r="Q541" s="5"/>
      <c r="R541" s="5"/>
      <c r="S541" s="5"/>
      <c r="T541" s="5"/>
      <c r="U541" s="5"/>
      <c r="V541" s="5"/>
      <c r="W541" s="5"/>
    </row>
    <row r="542">
      <c r="A542" s="5"/>
      <c r="B542" s="3"/>
      <c r="C542" s="5"/>
      <c r="D542" s="5"/>
      <c r="E542" s="5"/>
      <c r="F542" s="5"/>
      <c r="G542" s="5"/>
      <c r="H542" s="5"/>
      <c r="I542" s="5"/>
      <c r="J542" s="5"/>
      <c r="K542" s="5"/>
      <c r="L542" s="5"/>
      <c r="M542" s="5"/>
      <c r="N542" s="5"/>
      <c r="O542" s="5"/>
      <c r="P542" s="5"/>
      <c r="Q542" s="5"/>
      <c r="R542" s="5"/>
      <c r="S542" s="5"/>
      <c r="T542" s="5"/>
      <c r="U542" s="5"/>
      <c r="V542" s="5"/>
      <c r="W542" s="5"/>
    </row>
    <row r="543">
      <c r="A543" s="5"/>
      <c r="B543" s="3"/>
      <c r="C543" s="5"/>
      <c r="D543" s="5"/>
      <c r="E543" s="5"/>
      <c r="F543" s="5"/>
      <c r="G543" s="5"/>
      <c r="H543" s="5"/>
      <c r="I543" s="5"/>
      <c r="J543" s="5"/>
      <c r="K543" s="5"/>
      <c r="L543" s="5"/>
      <c r="M543" s="5"/>
      <c r="N543" s="5"/>
      <c r="O543" s="5"/>
      <c r="P543" s="5"/>
      <c r="Q543" s="5"/>
      <c r="R543" s="5"/>
      <c r="S543" s="5"/>
      <c r="T543" s="5"/>
      <c r="U543" s="5"/>
      <c r="V543" s="5"/>
      <c r="W543" s="5"/>
    </row>
    <row r="544">
      <c r="A544" s="5"/>
      <c r="B544" s="3"/>
      <c r="C544" s="5"/>
      <c r="D544" s="5"/>
      <c r="E544" s="5"/>
      <c r="F544" s="5"/>
      <c r="G544" s="5"/>
      <c r="H544" s="5"/>
      <c r="I544" s="5"/>
      <c r="J544" s="5"/>
      <c r="K544" s="5"/>
      <c r="L544" s="5"/>
      <c r="M544" s="5"/>
      <c r="N544" s="5"/>
      <c r="O544" s="5"/>
      <c r="P544" s="5"/>
      <c r="Q544" s="5"/>
      <c r="R544" s="5"/>
      <c r="S544" s="5"/>
      <c r="T544" s="5"/>
      <c r="U544" s="5"/>
      <c r="V544" s="5"/>
      <c r="W544" s="5"/>
    </row>
    <row r="545">
      <c r="A545" s="5"/>
      <c r="B545" s="3"/>
      <c r="C545" s="5"/>
      <c r="D545" s="5"/>
      <c r="E545" s="5"/>
      <c r="F545" s="5"/>
      <c r="G545" s="5"/>
      <c r="H545" s="5"/>
      <c r="I545" s="5"/>
      <c r="J545" s="5"/>
      <c r="K545" s="5"/>
      <c r="L545" s="5"/>
      <c r="M545" s="5"/>
      <c r="N545" s="5"/>
      <c r="O545" s="5"/>
      <c r="P545" s="5"/>
      <c r="Q545" s="5"/>
      <c r="R545" s="5"/>
      <c r="S545" s="5"/>
      <c r="T545" s="5"/>
      <c r="U545" s="5"/>
      <c r="V545" s="5"/>
      <c r="W545" s="5"/>
    </row>
    <row r="546">
      <c r="A546" s="5"/>
      <c r="B546" s="3"/>
      <c r="C546" s="5"/>
      <c r="D546" s="5"/>
      <c r="E546" s="5"/>
      <c r="F546" s="5"/>
      <c r="G546" s="5"/>
      <c r="H546" s="5"/>
      <c r="I546" s="5"/>
      <c r="J546" s="5"/>
      <c r="K546" s="5"/>
      <c r="L546" s="5"/>
      <c r="M546" s="5"/>
      <c r="N546" s="5"/>
      <c r="O546" s="5"/>
      <c r="P546" s="5"/>
      <c r="Q546" s="5"/>
      <c r="R546" s="5"/>
      <c r="S546" s="5"/>
      <c r="T546" s="5"/>
      <c r="U546" s="5"/>
      <c r="V546" s="5"/>
      <c r="W546" s="5"/>
    </row>
    <row r="547">
      <c r="A547" s="5"/>
      <c r="B547" s="3"/>
      <c r="C547" s="5"/>
      <c r="D547" s="5"/>
      <c r="E547" s="5"/>
      <c r="F547" s="5"/>
      <c r="G547" s="5"/>
      <c r="H547" s="5"/>
      <c r="I547" s="5"/>
      <c r="J547" s="5"/>
      <c r="K547" s="5"/>
      <c r="L547" s="5"/>
      <c r="M547" s="5"/>
      <c r="N547" s="5"/>
      <c r="O547" s="5"/>
      <c r="P547" s="5"/>
      <c r="Q547" s="5"/>
      <c r="R547" s="5"/>
      <c r="S547" s="5"/>
      <c r="T547" s="5"/>
      <c r="U547" s="5"/>
      <c r="V547" s="5"/>
      <c r="W547" s="5"/>
    </row>
    <row r="548">
      <c r="A548" s="5"/>
      <c r="B548" s="3"/>
      <c r="C548" s="5"/>
      <c r="D548" s="5"/>
      <c r="E548" s="5"/>
      <c r="F548" s="5"/>
      <c r="G548" s="5"/>
      <c r="H548" s="5"/>
      <c r="I548" s="5"/>
      <c r="J548" s="5"/>
      <c r="K548" s="5"/>
      <c r="L548" s="5"/>
      <c r="M548" s="5"/>
      <c r="N548" s="5"/>
      <c r="O548" s="5"/>
      <c r="P548" s="5"/>
      <c r="Q548" s="5"/>
      <c r="R548" s="5"/>
      <c r="S548" s="5"/>
      <c r="T548" s="5"/>
      <c r="U548" s="5"/>
      <c r="V548" s="5"/>
      <c r="W548" s="5"/>
    </row>
    <row r="549">
      <c r="A549" s="5"/>
      <c r="B549" s="3"/>
      <c r="C549" s="5"/>
      <c r="D549" s="5"/>
      <c r="E549" s="5"/>
      <c r="F549" s="5"/>
      <c r="G549" s="5"/>
      <c r="H549" s="5"/>
      <c r="I549" s="5"/>
      <c r="J549" s="5"/>
      <c r="K549" s="5"/>
      <c r="L549" s="5"/>
      <c r="M549" s="5"/>
      <c r="N549" s="5"/>
      <c r="O549" s="5"/>
      <c r="P549" s="5"/>
      <c r="Q549" s="5"/>
      <c r="R549" s="5"/>
      <c r="S549" s="5"/>
      <c r="T549" s="5"/>
      <c r="U549" s="5"/>
      <c r="V549" s="5"/>
      <c r="W549" s="5"/>
    </row>
    <row r="550">
      <c r="A550" s="5"/>
      <c r="B550" s="3"/>
      <c r="C550" s="5"/>
      <c r="D550" s="5"/>
      <c r="E550" s="5"/>
      <c r="F550" s="5"/>
      <c r="G550" s="5"/>
      <c r="H550" s="5"/>
      <c r="I550" s="5"/>
      <c r="J550" s="5"/>
      <c r="K550" s="5"/>
      <c r="L550" s="5"/>
      <c r="M550" s="5"/>
      <c r="N550" s="5"/>
      <c r="O550" s="5"/>
      <c r="P550" s="5"/>
      <c r="Q550" s="5"/>
      <c r="R550" s="5"/>
      <c r="S550" s="5"/>
      <c r="T550" s="5"/>
      <c r="U550" s="5"/>
      <c r="V550" s="5"/>
      <c r="W550" s="5"/>
    </row>
    <row r="551">
      <c r="A551" s="5"/>
      <c r="B551" s="3"/>
      <c r="C551" s="5"/>
      <c r="D551" s="5"/>
      <c r="E551" s="5"/>
      <c r="F551" s="5"/>
      <c r="G551" s="5"/>
      <c r="H551" s="5"/>
      <c r="I551" s="5"/>
      <c r="J551" s="5"/>
      <c r="K551" s="5"/>
      <c r="L551" s="5"/>
      <c r="M551" s="5"/>
      <c r="N551" s="5"/>
      <c r="O551" s="5"/>
      <c r="P551" s="5"/>
      <c r="Q551" s="5"/>
      <c r="R551" s="5"/>
      <c r="S551" s="5"/>
      <c r="T551" s="5"/>
      <c r="U551" s="5"/>
      <c r="V551" s="5"/>
      <c r="W551" s="5"/>
    </row>
    <row r="552">
      <c r="A552" s="5"/>
      <c r="B552" s="3"/>
      <c r="C552" s="5"/>
      <c r="D552" s="5"/>
      <c r="E552" s="5"/>
      <c r="F552" s="5"/>
      <c r="G552" s="5"/>
      <c r="H552" s="5"/>
      <c r="I552" s="5"/>
      <c r="J552" s="5"/>
      <c r="K552" s="5"/>
      <c r="L552" s="5"/>
      <c r="M552" s="5"/>
      <c r="N552" s="5"/>
      <c r="O552" s="5"/>
      <c r="P552" s="5"/>
      <c r="Q552" s="5"/>
      <c r="R552" s="5"/>
      <c r="S552" s="5"/>
      <c r="T552" s="5"/>
      <c r="U552" s="5"/>
      <c r="V552" s="5"/>
      <c r="W552" s="5"/>
    </row>
    <row r="553">
      <c r="A553" s="5"/>
      <c r="B553" s="3"/>
      <c r="C553" s="5"/>
      <c r="D553" s="5"/>
      <c r="E553" s="5"/>
      <c r="F553" s="5"/>
      <c r="G553" s="5"/>
      <c r="H553" s="5"/>
      <c r="I553" s="5"/>
      <c r="J553" s="5"/>
      <c r="K553" s="5"/>
      <c r="L553" s="5"/>
      <c r="M553" s="5"/>
      <c r="N553" s="5"/>
      <c r="O553" s="5"/>
      <c r="P553" s="5"/>
      <c r="Q553" s="5"/>
      <c r="R553" s="5"/>
      <c r="S553" s="5"/>
      <c r="T553" s="5"/>
      <c r="U553" s="5"/>
      <c r="V553" s="5"/>
      <c r="W553" s="5"/>
    </row>
    <row r="554">
      <c r="A554" s="5"/>
      <c r="B554" s="3"/>
      <c r="C554" s="5"/>
      <c r="D554" s="5"/>
      <c r="E554" s="5"/>
      <c r="F554" s="5"/>
      <c r="G554" s="5"/>
      <c r="H554" s="5"/>
      <c r="I554" s="5"/>
      <c r="J554" s="5"/>
      <c r="K554" s="5"/>
      <c r="L554" s="5"/>
      <c r="M554" s="5"/>
      <c r="N554" s="5"/>
      <c r="O554" s="5"/>
      <c r="P554" s="5"/>
      <c r="Q554" s="5"/>
      <c r="R554" s="5"/>
      <c r="S554" s="5"/>
      <c r="T554" s="5"/>
      <c r="U554" s="5"/>
      <c r="V554" s="5"/>
      <c r="W554" s="5"/>
    </row>
    <row r="555">
      <c r="A555" s="5"/>
      <c r="B555" s="3"/>
      <c r="C555" s="5"/>
      <c r="D555" s="5"/>
      <c r="E555" s="5"/>
      <c r="F555" s="5"/>
      <c r="G555" s="5"/>
      <c r="H555" s="5"/>
      <c r="I555" s="5"/>
      <c r="J555" s="5"/>
      <c r="K555" s="5"/>
      <c r="L555" s="5"/>
      <c r="M555" s="5"/>
      <c r="N555" s="5"/>
      <c r="O555" s="5"/>
      <c r="P555" s="5"/>
      <c r="Q555" s="5"/>
      <c r="R555" s="5"/>
      <c r="S555" s="5"/>
      <c r="T555" s="5"/>
      <c r="U555" s="5"/>
      <c r="V555" s="5"/>
      <c r="W555" s="5"/>
    </row>
    <row r="556">
      <c r="A556" s="5"/>
      <c r="B556" s="3"/>
      <c r="C556" s="5"/>
      <c r="D556" s="5"/>
      <c r="E556" s="5"/>
      <c r="F556" s="5"/>
      <c r="G556" s="5"/>
      <c r="H556" s="5"/>
      <c r="I556" s="5"/>
      <c r="J556" s="5"/>
      <c r="K556" s="5"/>
      <c r="L556" s="5"/>
      <c r="M556" s="5"/>
      <c r="N556" s="5"/>
      <c r="O556" s="5"/>
      <c r="P556" s="5"/>
      <c r="Q556" s="5"/>
      <c r="R556" s="5"/>
      <c r="S556" s="5"/>
      <c r="T556" s="5"/>
      <c r="U556" s="5"/>
      <c r="V556" s="5"/>
      <c r="W556" s="5"/>
    </row>
    <row r="557">
      <c r="A557" s="5"/>
      <c r="B557" s="3"/>
      <c r="C557" s="5"/>
      <c r="D557" s="5"/>
      <c r="E557" s="5"/>
      <c r="F557" s="5"/>
      <c r="G557" s="5"/>
      <c r="H557" s="5"/>
      <c r="I557" s="5"/>
      <c r="J557" s="5"/>
      <c r="K557" s="5"/>
      <c r="L557" s="5"/>
      <c r="M557" s="5"/>
      <c r="N557" s="5"/>
      <c r="O557" s="5"/>
      <c r="P557" s="5"/>
      <c r="Q557" s="5"/>
      <c r="R557" s="5"/>
      <c r="S557" s="5"/>
      <c r="T557" s="5"/>
      <c r="U557" s="5"/>
      <c r="V557" s="5"/>
      <c r="W557" s="5"/>
    </row>
    <row r="558">
      <c r="A558" s="5"/>
      <c r="B558" s="3"/>
      <c r="C558" s="5"/>
      <c r="D558" s="5"/>
      <c r="E558" s="5"/>
      <c r="F558" s="5"/>
      <c r="G558" s="5"/>
      <c r="H558" s="5"/>
      <c r="I558" s="5"/>
      <c r="J558" s="5"/>
      <c r="K558" s="5"/>
      <c r="L558" s="5"/>
      <c r="M558" s="5"/>
      <c r="N558" s="5"/>
      <c r="O558" s="5"/>
      <c r="P558" s="5"/>
      <c r="Q558" s="5"/>
      <c r="R558" s="5"/>
      <c r="S558" s="5"/>
      <c r="T558" s="5"/>
      <c r="U558" s="5"/>
      <c r="V558" s="5"/>
      <c r="W558" s="5"/>
    </row>
    <row r="559">
      <c r="A559" s="5"/>
      <c r="B559" s="3"/>
      <c r="C559" s="5"/>
      <c r="D559" s="5"/>
      <c r="E559" s="5"/>
      <c r="F559" s="5"/>
      <c r="G559" s="5"/>
      <c r="H559" s="5"/>
      <c r="I559" s="5"/>
      <c r="J559" s="5"/>
      <c r="K559" s="5"/>
      <c r="L559" s="5"/>
      <c r="M559" s="5"/>
      <c r="N559" s="5"/>
      <c r="O559" s="5"/>
      <c r="P559" s="5"/>
      <c r="Q559" s="5"/>
      <c r="R559" s="5"/>
      <c r="S559" s="5"/>
      <c r="T559" s="5"/>
      <c r="U559" s="5"/>
      <c r="V559" s="5"/>
      <c r="W559" s="5"/>
    </row>
    <row r="560">
      <c r="A560" s="5"/>
      <c r="B560" s="3"/>
      <c r="C560" s="5"/>
      <c r="D560" s="5"/>
      <c r="E560" s="5"/>
      <c r="F560" s="5"/>
      <c r="G560" s="5"/>
      <c r="H560" s="5"/>
      <c r="I560" s="5"/>
      <c r="J560" s="5"/>
      <c r="K560" s="5"/>
      <c r="L560" s="5"/>
      <c r="M560" s="5"/>
      <c r="N560" s="5"/>
      <c r="O560" s="5"/>
      <c r="P560" s="5"/>
      <c r="Q560" s="5"/>
      <c r="R560" s="5"/>
      <c r="S560" s="5"/>
      <c r="T560" s="5"/>
      <c r="U560" s="5"/>
      <c r="V560" s="5"/>
      <c r="W560" s="5"/>
    </row>
    <row r="561">
      <c r="A561" s="5"/>
      <c r="B561" s="3"/>
      <c r="C561" s="5"/>
      <c r="D561" s="5"/>
      <c r="E561" s="5"/>
      <c r="F561" s="5"/>
      <c r="G561" s="5"/>
      <c r="H561" s="5"/>
      <c r="I561" s="5"/>
      <c r="J561" s="5"/>
      <c r="K561" s="5"/>
      <c r="L561" s="5"/>
      <c r="M561" s="5"/>
      <c r="N561" s="5"/>
      <c r="O561" s="5"/>
      <c r="P561" s="5"/>
      <c r="Q561" s="5"/>
      <c r="R561" s="5"/>
      <c r="S561" s="5"/>
      <c r="T561" s="5"/>
      <c r="U561" s="5"/>
      <c r="V561" s="5"/>
      <c r="W561" s="5"/>
    </row>
    <row r="562">
      <c r="A562" s="5"/>
      <c r="B562" s="3"/>
      <c r="C562" s="5"/>
      <c r="D562" s="5"/>
      <c r="E562" s="5"/>
      <c r="F562" s="5"/>
      <c r="G562" s="5"/>
      <c r="H562" s="5"/>
      <c r="I562" s="5"/>
      <c r="J562" s="5"/>
      <c r="K562" s="5"/>
      <c r="L562" s="5"/>
      <c r="M562" s="5"/>
      <c r="N562" s="5"/>
      <c r="O562" s="5"/>
      <c r="P562" s="5"/>
      <c r="Q562" s="5"/>
      <c r="R562" s="5"/>
      <c r="S562" s="5"/>
      <c r="T562" s="5"/>
      <c r="U562" s="5"/>
      <c r="V562" s="5"/>
      <c r="W562" s="5"/>
    </row>
    <row r="563">
      <c r="A563" s="5"/>
      <c r="B563" s="3"/>
      <c r="C563" s="5"/>
      <c r="D563" s="5"/>
      <c r="E563" s="5"/>
      <c r="F563" s="5"/>
      <c r="G563" s="5"/>
      <c r="H563" s="5"/>
      <c r="I563" s="5"/>
      <c r="J563" s="5"/>
      <c r="K563" s="5"/>
      <c r="L563" s="5"/>
      <c r="M563" s="5"/>
      <c r="N563" s="5"/>
      <c r="O563" s="5"/>
      <c r="P563" s="5"/>
      <c r="Q563" s="5"/>
      <c r="R563" s="5"/>
      <c r="S563" s="5"/>
      <c r="T563" s="5"/>
      <c r="U563" s="5"/>
      <c r="V563" s="5"/>
      <c r="W563" s="5"/>
    </row>
    <row r="564">
      <c r="A564" s="5"/>
      <c r="B564" s="3"/>
      <c r="C564" s="5"/>
      <c r="D564" s="5"/>
      <c r="E564" s="5"/>
      <c r="F564" s="5"/>
      <c r="G564" s="5"/>
      <c r="H564" s="5"/>
      <c r="I564" s="5"/>
      <c r="J564" s="5"/>
      <c r="K564" s="5"/>
      <c r="L564" s="5"/>
      <c r="M564" s="5"/>
      <c r="N564" s="5"/>
      <c r="O564" s="5"/>
      <c r="P564" s="5"/>
      <c r="Q564" s="5"/>
      <c r="R564" s="5"/>
      <c r="S564" s="5"/>
      <c r="T564" s="5"/>
      <c r="U564" s="5"/>
      <c r="V564" s="5"/>
      <c r="W564" s="5"/>
    </row>
    <row r="565">
      <c r="A565" s="5"/>
      <c r="B565" s="3"/>
      <c r="C565" s="5"/>
      <c r="D565" s="5"/>
      <c r="E565" s="5"/>
      <c r="F565" s="5"/>
      <c r="G565" s="5"/>
      <c r="H565" s="5"/>
      <c r="I565" s="5"/>
      <c r="J565" s="5"/>
      <c r="K565" s="5"/>
      <c r="L565" s="5"/>
      <c r="M565" s="5"/>
      <c r="N565" s="5"/>
      <c r="O565" s="5"/>
      <c r="P565" s="5"/>
      <c r="Q565" s="5"/>
      <c r="R565" s="5"/>
      <c r="S565" s="5"/>
      <c r="T565" s="5"/>
      <c r="U565" s="5"/>
      <c r="V565" s="5"/>
      <c r="W565" s="5"/>
    </row>
    <row r="566">
      <c r="A566" s="5"/>
      <c r="B566" s="3"/>
      <c r="C566" s="5"/>
      <c r="D566" s="5"/>
      <c r="E566" s="5"/>
      <c r="F566" s="5"/>
      <c r="G566" s="5"/>
      <c r="H566" s="5"/>
      <c r="I566" s="5"/>
      <c r="J566" s="5"/>
      <c r="K566" s="5"/>
      <c r="L566" s="5"/>
      <c r="M566" s="5"/>
      <c r="N566" s="5"/>
      <c r="O566" s="5"/>
      <c r="P566" s="5"/>
      <c r="Q566" s="5"/>
      <c r="R566" s="5"/>
      <c r="S566" s="5"/>
      <c r="T566" s="5"/>
      <c r="U566" s="5"/>
      <c r="V566" s="5"/>
      <c r="W566" s="5"/>
    </row>
    <row r="567">
      <c r="A567" s="5"/>
      <c r="B567" s="3"/>
      <c r="C567" s="5"/>
      <c r="D567" s="5"/>
      <c r="E567" s="5"/>
      <c r="F567" s="5"/>
      <c r="G567" s="5"/>
      <c r="H567" s="5"/>
      <c r="I567" s="5"/>
      <c r="J567" s="5"/>
      <c r="K567" s="5"/>
      <c r="L567" s="5"/>
      <c r="M567" s="5"/>
      <c r="N567" s="5"/>
      <c r="O567" s="5"/>
      <c r="P567" s="5"/>
      <c r="Q567" s="5"/>
      <c r="R567" s="5"/>
      <c r="S567" s="5"/>
      <c r="T567" s="5"/>
      <c r="U567" s="5"/>
      <c r="V567" s="5"/>
      <c r="W567" s="5"/>
    </row>
    <row r="568">
      <c r="A568" s="5"/>
      <c r="B568" s="3"/>
      <c r="C568" s="5"/>
      <c r="D568" s="5"/>
      <c r="E568" s="5"/>
      <c r="F568" s="5"/>
      <c r="G568" s="5"/>
      <c r="H568" s="5"/>
      <c r="I568" s="5"/>
      <c r="J568" s="5"/>
      <c r="K568" s="5"/>
      <c r="L568" s="5"/>
      <c r="M568" s="5"/>
      <c r="N568" s="5"/>
      <c r="O568" s="5"/>
      <c r="P568" s="5"/>
      <c r="Q568" s="5"/>
      <c r="R568" s="5"/>
      <c r="S568" s="5"/>
      <c r="T568" s="5"/>
      <c r="U568" s="5"/>
      <c r="V568" s="5"/>
      <c r="W568" s="5"/>
    </row>
    <row r="569">
      <c r="A569" s="5"/>
      <c r="B569" s="3"/>
      <c r="C569" s="5"/>
      <c r="D569" s="5"/>
      <c r="E569" s="5"/>
      <c r="F569" s="5"/>
      <c r="G569" s="5"/>
      <c r="H569" s="5"/>
      <c r="I569" s="5"/>
      <c r="J569" s="5"/>
      <c r="K569" s="5"/>
      <c r="L569" s="5"/>
      <c r="M569" s="5"/>
      <c r="N569" s="5"/>
      <c r="O569" s="5"/>
      <c r="P569" s="5"/>
      <c r="Q569" s="5"/>
      <c r="R569" s="5"/>
      <c r="S569" s="5"/>
      <c r="T569" s="5"/>
      <c r="U569" s="5"/>
      <c r="V569" s="5"/>
      <c r="W569" s="5"/>
    </row>
    <row r="570">
      <c r="A570" s="5"/>
      <c r="B570" s="3"/>
      <c r="C570" s="5"/>
      <c r="D570" s="5"/>
      <c r="E570" s="5"/>
      <c r="F570" s="5"/>
      <c r="G570" s="5"/>
      <c r="H570" s="5"/>
      <c r="I570" s="5"/>
      <c r="J570" s="5"/>
      <c r="K570" s="5"/>
      <c r="L570" s="5"/>
      <c r="M570" s="5"/>
      <c r="N570" s="5"/>
      <c r="O570" s="5"/>
      <c r="P570" s="5"/>
      <c r="Q570" s="5"/>
      <c r="R570" s="5"/>
      <c r="S570" s="5"/>
      <c r="T570" s="5"/>
      <c r="U570" s="5"/>
      <c r="V570" s="5"/>
      <c r="W570" s="5"/>
    </row>
    <row r="571">
      <c r="A571" s="5"/>
      <c r="B571" s="3"/>
      <c r="C571" s="5"/>
      <c r="D571" s="5"/>
      <c r="E571" s="5"/>
      <c r="F571" s="5"/>
      <c r="G571" s="5"/>
      <c r="H571" s="5"/>
      <c r="I571" s="5"/>
      <c r="J571" s="5"/>
      <c r="K571" s="5"/>
      <c r="L571" s="5"/>
      <c r="M571" s="5"/>
      <c r="N571" s="5"/>
      <c r="O571" s="5"/>
      <c r="P571" s="5"/>
      <c r="Q571" s="5"/>
      <c r="R571" s="5"/>
      <c r="S571" s="5"/>
      <c r="T571" s="5"/>
      <c r="U571" s="5"/>
      <c r="V571" s="5"/>
      <c r="W571" s="5"/>
    </row>
    <row r="572">
      <c r="A572" s="5"/>
      <c r="B572" s="3"/>
      <c r="C572" s="5"/>
      <c r="D572" s="5"/>
      <c r="E572" s="5"/>
      <c r="F572" s="5"/>
      <c r="G572" s="5"/>
      <c r="H572" s="5"/>
      <c r="I572" s="5"/>
      <c r="J572" s="5"/>
      <c r="K572" s="5"/>
      <c r="L572" s="5"/>
      <c r="M572" s="5"/>
      <c r="N572" s="5"/>
      <c r="O572" s="5"/>
      <c r="P572" s="5"/>
      <c r="Q572" s="5"/>
      <c r="R572" s="5"/>
      <c r="S572" s="5"/>
      <c r="T572" s="5"/>
      <c r="U572" s="5"/>
      <c r="V572" s="5"/>
      <c r="W572" s="5"/>
    </row>
    <row r="573">
      <c r="A573" s="5"/>
      <c r="B573" s="3"/>
      <c r="C573" s="5"/>
      <c r="D573" s="5"/>
      <c r="E573" s="5"/>
      <c r="F573" s="5"/>
      <c r="G573" s="5"/>
      <c r="H573" s="5"/>
      <c r="I573" s="5"/>
      <c r="J573" s="5"/>
      <c r="K573" s="5"/>
      <c r="L573" s="5"/>
      <c r="M573" s="5"/>
      <c r="N573" s="5"/>
      <c r="O573" s="5"/>
      <c r="P573" s="5"/>
      <c r="Q573" s="5"/>
      <c r="R573" s="5"/>
      <c r="S573" s="5"/>
      <c r="T573" s="5"/>
      <c r="U573" s="5"/>
      <c r="V573" s="5"/>
      <c r="W573" s="5"/>
    </row>
    <row r="574">
      <c r="A574" s="5"/>
      <c r="B574" s="3"/>
      <c r="C574" s="5"/>
      <c r="D574" s="5"/>
      <c r="E574" s="5"/>
      <c r="F574" s="5"/>
      <c r="G574" s="5"/>
      <c r="H574" s="5"/>
      <c r="I574" s="5"/>
      <c r="J574" s="5"/>
      <c r="K574" s="5"/>
      <c r="L574" s="5"/>
      <c r="M574" s="5"/>
      <c r="N574" s="5"/>
      <c r="O574" s="5"/>
      <c r="P574" s="5"/>
      <c r="Q574" s="5"/>
      <c r="R574" s="5"/>
      <c r="S574" s="5"/>
      <c r="T574" s="5"/>
      <c r="U574" s="5"/>
      <c r="V574" s="5"/>
      <c r="W574" s="5"/>
    </row>
    <row r="575">
      <c r="A575" s="5"/>
      <c r="B575" s="3"/>
      <c r="C575" s="5"/>
      <c r="D575" s="3"/>
      <c r="E575" s="5"/>
      <c r="F575" s="5"/>
      <c r="G575" s="5"/>
      <c r="H575" s="5"/>
      <c r="I575" s="5"/>
      <c r="J575" s="5"/>
      <c r="K575" s="5"/>
      <c r="L575" s="5"/>
      <c r="M575" s="5"/>
      <c r="N575" s="5"/>
      <c r="O575" s="5"/>
      <c r="P575" s="5"/>
      <c r="Q575" s="5"/>
      <c r="R575" s="5"/>
      <c r="S575" s="5"/>
      <c r="T575" s="5"/>
      <c r="U575" s="5"/>
      <c r="V575" s="5"/>
      <c r="W575" s="5"/>
    </row>
    <row r="576">
      <c r="A576" s="5"/>
      <c r="B576" s="3"/>
      <c r="C576" s="5"/>
      <c r="D576" s="3"/>
      <c r="E576" s="5"/>
      <c r="F576" s="5"/>
      <c r="G576" s="5"/>
      <c r="H576" s="5"/>
      <c r="I576" s="5"/>
      <c r="J576" s="5"/>
      <c r="K576" s="5"/>
      <c r="L576" s="5"/>
      <c r="M576" s="5"/>
      <c r="N576" s="5"/>
      <c r="O576" s="5"/>
      <c r="P576" s="5"/>
      <c r="Q576" s="5"/>
      <c r="R576" s="5"/>
      <c r="S576" s="5"/>
      <c r="T576" s="5"/>
      <c r="U576" s="5"/>
      <c r="V576" s="5"/>
      <c r="W576" s="5"/>
    </row>
    <row r="577">
      <c r="A577" s="5"/>
      <c r="B577" s="3"/>
      <c r="C577" s="5"/>
      <c r="D577" s="3"/>
      <c r="E577" s="5"/>
      <c r="F577" s="5"/>
      <c r="G577" s="5"/>
      <c r="H577" s="5"/>
      <c r="I577" s="5"/>
      <c r="J577" s="5"/>
      <c r="K577" s="5"/>
      <c r="L577" s="5"/>
      <c r="M577" s="5"/>
      <c r="N577" s="5"/>
      <c r="O577" s="5"/>
      <c r="P577" s="5"/>
      <c r="Q577" s="5"/>
      <c r="R577" s="5"/>
      <c r="S577" s="5"/>
      <c r="T577" s="5"/>
      <c r="U577" s="5"/>
      <c r="V577" s="5"/>
      <c r="W577" s="5"/>
    </row>
    <row r="578">
      <c r="A578" s="5"/>
      <c r="B578" s="3"/>
      <c r="C578" s="5"/>
      <c r="D578" s="3"/>
      <c r="E578" s="5"/>
      <c r="F578" s="5"/>
      <c r="G578" s="5"/>
      <c r="H578" s="5"/>
      <c r="I578" s="5"/>
      <c r="J578" s="5"/>
      <c r="K578" s="5"/>
      <c r="L578" s="5"/>
      <c r="M578" s="5"/>
      <c r="N578" s="5"/>
      <c r="O578" s="5"/>
      <c r="P578" s="5"/>
      <c r="Q578" s="5"/>
      <c r="R578" s="5"/>
      <c r="S578" s="5"/>
      <c r="T578" s="5"/>
      <c r="U578" s="5"/>
      <c r="V578" s="5"/>
      <c r="W578" s="5"/>
    </row>
    <row r="579">
      <c r="A579" s="5"/>
      <c r="B579" s="3"/>
      <c r="C579" s="5"/>
      <c r="D579" s="3"/>
      <c r="E579" s="5"/>
      <c r="F579" s="5"/>
      <c r="G579" s="5"/>
      <c r="H579" s="5"/>
      <c r="I579" s="5"/>
      <c r="J579" s="5"/>
      <c r="K579" s="5"/>
      <c r="L579" s="5"/>
      <c r="M579" s="5"/>
      <c r="N579" s="5"/>
      <c r="O579" s="5"/>
      <c r="P579" s="5"/>
      <c r="Q579" s="5"/>
      <c r="R579" s="5"/>
      <c r="S579" s="5"/>
      <c r="T579" s="5"/>
      <c r="U579" s="5"/>
      <c r="V579" s="5"/>
      <c r="W579" s="5"/>
    </row>
    <row r="580">
      <c r="A580" s="5"/>
      <c r="B580" s="3"/>
      <c r="C580" s="5"/>
      <c r="D580" s="3"/>
      <c r="E580" s="5"/>
      <c r="F580" s="5"/>
      <c r="G580" s="5"/>
      <c r="H580" s="5"/>
      <c r="I580" s="5"/>
      <c r="J580" s="5"/>
      <c r="K580" s="5"/>
      <c r="L580" s="5"/>
      <c r="M580" s="5"/>
      <c r="N580" s="5"/>
      <c r="O580" s="5"/>
      <c r="P580" s="5"/>
      <c r="Q580" s="5"/>
      <c r="R580" s="5"/>
      <c r="S580" s="5"/>
      <c r="T580" s="5"/>
      <c r="U580" s="5"/>
      <c r="V580" s="5"/>
      <c r="W580" s="5"/>
    </row>
    <row r="581">
      <c r="A581" s="5"/>
      <c r="B581" s="3"/>
      <c r="C581" s="5"/>
      <c r="D581" s="3"/>
      <c r="E581" s="5"/>
      <c r="F581" s="5"/>
      <c r="G581" s="5"/>
      <c r="H581" s="5"/>
      <c r="I581" s="5"/>
      <c r="J581" s="5"/>
      <c r="K581" s="5"/>
      <c r="L581" s="5"/>
      <c r="M581" s="5"/>
      <c r="N581" s="5"/>
      <c r="O581" s="5"/>
      <c r="P581" s="5"/>
      <c r="Q581" s="5"/>
      <c r="R581" s="5"/>
      <c r="S581" s="5"/>
      <c r="T581" s="5"/>
      <c r="U581" s="5"/>
      <c r="V581" s="5"/>
      <c r="W581" s="5"/>
    </row>
    <row r="582">
      <c r="A582" s="5"/>
      <c r="B582" s="3"/>
      <c r="C582" s="5"/>
      <c r="D582" s="3"/>
      <c r="E582" s="5"/>
      <c r="F582" s="5"/>
      <c r="G582" s="5"/>
      <c r="H582" s="5"/>
      <c r="I582" s="5"/>
      <c r="J582" s="5"/>
      <c r="K582" s="5"/>
      <c r="L582" s="5"/>
      <c r="M582" s="5"/>
      <c r="N582" s="5"/>
      <c r="O582" s="5"/>
      <c r="P582" s="5"/>
      <c r="Q582" s="5"/>
      <c r="R582" s="5"/>
      <c r="S582" s="5"/>
      <c r="T582" s="5"/>
      <c r="U582" s="5"/>
      <c r="V582" s="5"/>
      <c r="W582" s="5"/>
    </row>
    <row r="583">
      <c r="A583" s="5"/>
      <c r="B583" s="3"/>
      <c r="C583" s="5"/>
      <c r="D583" s="3"/>
      <c r="E583" s="5"/>
      <c r="F583" s="5"/>
      <c r="G583" s="5"/>
      <c r="H583" s="5"/>
      <c r="I583" s="5"/>
      <c r="J583" s="5"/>
      <c r="K583" s="5"/>
      <c r="L583" s="5"/>
      <c r="M583" s="5"/>
      <c r="N583" s="5"/>
      <c r="O583" s="5"/>
      <c r="P583" s="5"/>
      <c r="Q583" s="5"/>
      <c r="R583" s="5"/>
      <c r="S583" s="5"/>
      <c r="T583" s="5"/>
      <c r="U583" s="5"/>
      <c r="V583" s="5"/>
      <c r="W583" s="5"/>
    </row>
    <row r="584">
      <c r="A584" s="5"/>
      <c r="B584" s="3"/>
      <c r="C584" s="5"/>
      <c r="D584" s="5"/>
      <c r="E584" s="5"/>
      <c r="F584" s="5"/>
      <c r="G584" s="5"/>
      <c r="H584" s="5"/>
      <c r="I584" s="5"/>
      <c r="J584" s="5"/>
      <c r="K584" s="5"/>
      <c r="L584" s="5"/>
      <c r="M584" s="5"/>
      <c r="N584" s="5"/>
      <c r="O584" s="5"/>
      <c r="P584" s="5"/>
      <c r="Q584" s="5"/>
      <c r="R584" s="5"/>
      <c r="S584" s="5"/>
      <c r="T584" s="5"/>
      <c r="U584" s="5"/>
      <c r="V584" s="5"/>
      <c r="W584" s="5"/>
    </row>
    <row r="585">
      <c r="A585" s="5"/>
      <c r="B585" s="3"/>
      <c r="C585" s="5"/>
      <c r="D585" s="5"/>
      <c r="E585" s="5"/>
      <c r="F585" s="5"/>
      <c r="G585" s="5"/>
      <c r="H585" s="5"/>
      <c r="I585" s="5"/>
      <c r="J585" s="5"/>
      <c r="K585" s="5"/>
      <c r="L585" s="5"/>
      <c r="M585" s="5"/>
      <c r="N585" s="5"/>
      <c r="O585" s="5"/>
      <c r="P585" s="5"/>
      <c r="Q585" s="5"/>
      <c r="R585" s="5"/>
      <c r="S585" s="5"/>
      <c r="T585" s="5"/>
      <c r="U585" s="5"/>
      <c r="V585" s="5"/>
      <c r="W585" s="5"/>
    </row>
    <row r="586">
      <c r="A586" s="5"/>
      <c r="B586" s="3"/>
      <c r="C586" s="5"/>
      <c r="D586" s="5"/>
      <c r="E586" s="5"/>
      <c r="F586" s="5"/>
      <c r="G586" s="5"/>
      <c r="H586" s="5"/>
      <c r="I586" s="5"/>
      <c r="J586" s="5"/>
      <c r="K586" s="5"/>
      <c r="L586" s="5"/>
      <c r="M586" s="5"/>
      <c r="N586" s="5"/>
      <c r="O586" s="5"/>
      <c r="P586" s="5"/>
      <c r="Q586" s="5"/>
      <c r="R586" s="5"/>
      <c r="S586" s="5"/>
      <c r="T586" s="5"/>
      <c r="U586" s="5"/>
      <c r="V586" s="5"/>
      <c r="W586" s="5"/>
    </row>
    <row r="587">
      <c r="A587" s="5"/>
      <c r="B587" s="3"/>
      <c r="C587" s="5"/>
      <c r="D587" s="5"/>
      <c r="E587" s="5"/>
      <c r="F587" s="5"/>
      <c r="G587" s="5"/>
      <c r="H587" s="5"/>
      <c r="I587" s="5"/>
      <c r="J587" s="5"/>
      <c r="K587" s="5"/>
      <c r="L587" s="5"/>
      <c r="M587" s="5"/>
      <c r="N587" s="5"/>
      <c r="O587" s="5"/>
      <c r="P587" s="5"/>
      <c r="Q587" s="5"/>
      <c r="R587" s="5"/>
      <c r="S587" s="5"/>
      <c r="T587" s="5"/>
      <c r="U587" s="5"/>
      <c r="V587" s="5"/>
      <c r="W587" s="5"/>
    </row>
    <row r="588">
      <c r="A588" s="5"/>
      <c r="B588" s="3"/>
      <c r="C588" s="5"/>
      <c r="D588" s="5"/>
      <c r="E588" s="5"/>
      <c r="F588" s="5"/>
      <c r="G588" s="5"/>
      <c r="H588" s="5"/>
      <c r="I588" s="5"/>
      <c r="J588" s="5"/>
      <c r="K588" s="5"/>
      <c r="L588" s="5"/>
      <c r="M588" s="5"/>
      <c r="N588" s="5"/>
      <c r="O588" s="5"/>
      <c r="P588" s="5"/>
      <c r="Q588" s="5"/>
      <c r="R588" s="5"/>
      <c r="S588" s="5"/>
      <c r="T588" s="5"/>
      <c r="U588" s="5"/>
      <c r="V588" s="5"/>
      <c r="W588" s="5"/>
    </row>
    <row r="589">
      <c r="A589" s="5"/>
      <c r="B589" s="3"/>
      <c r="C589" s="5"/>
      <c r="D589" s="5"/>
      <c r="E589" s="5"/>
      <c r="F589" s="5"/>
      <c r="G589" s="5"/>
      <c r="H589" s="5"/>
      <c r="I589" s="5"/>
      <c r="J589" s="5"/>
      <c r="K589" s="5"/>
      <c r="L589" s="5"/>
      <c r="M589" s="5"/>
      <c r="N589" s="5"/>
      <c r="O589" s="5"/>
      <c r="P589" s="5"/>
      <c r="Q589" s="5"/>
      <c r="R589" s="5"/>
      <c r="S589" s="5"/>
      <c r="T589" s="5"/>
      <c r="U589" s="5"/>
      <c r="V589" s="5"/>
      <c r="W589" s="5"/>
    </row>
    <row r="590">
      <c r="A590" s="5"/>
      <c r="B590" s="3"/>
      <c r="C590" s="5"/>
      <c r="D590" s="5"/>
      <c r="E590" s="5"/>
      <c r="F590" s="5"/>
      <c r="G590" s="5"/>
      <c r="H590" s="5"/>
      <c r="I590" s="5"/>
      <c r="J590" s="5"/>
      <c r="K590" s="5"/>
      <c r="L590" s="5"/>
      <c r="M590" s="5"/>
      <c r="N590" s="5"/>
      <c r="O590" s="5"/>
      <c r="P590" s="5"/>
      <c r="Q590" s="5"/>
      <c r="R590" s="5"/>
      <c r="S590" s="5"/>
      <c r="T590" s="5"/>
      <c r="U590" s="5"/>
      <c r="V590" s="5"/>
      <c r="W590" s="5"/>
    </row>
    <row r="591">
      <c r="A591" s="5"/>
      <c r="B591" s="3"/>
      <c r="C591" s="5"/>
      <c r="D591" s="5"/>
      <c r="E591" s="5"/>
      <c r="F591" s="5"/>
      <c r="G591" s="5"/>
      <c r="H591" s="5"/>
      <c r="I591" s="5"/>
      <c r="J591" s="5"/>
      <c r="K591" s="5"/>
      <c r="L591" s="5"/>
      <c r="M591" s="5"/>
      <c r="N591" s="5"/>
      <c r="O591" s="5"/>
      <c r="P591" s="5"/>
      <c r="Q591" s="5"/>
      <c r="R591" s="5"/>
      <c r="S591" s="5"/>
      <c r="T591" s="5"/>
      <c r="U591" s="5"/>
      <c r="V591" s="5"/>
      <c r="W591" s="5"/>
    </row>
    <row r="592">
      <c r="A592" s="5"/>
      <c r="B592" s="3"/>
      <c r="C592" s="5"/>
      <c r="D592" s="5"/>
      <c r="E592" s="5"/>
      <c r="F592" s="5"/>
      <c r="G592" s="5"/>
      <c r="H592" s="5"/>
      <c r="I592" s="5"/>
      <c r="J592" s="5"/>
      <c r="K592" s="5"/>
      <c r="L592" s="5"/>
      <c r="M592" s="5"/>
      <c r="N592" s="5"/>
      <c r="O592" s="5"/>
      <c r="P592" s="5"/>
      <c r="Q592" s="5"/>
      <c r="R592" s="5"/>
      <c r="S592" s="5"/>
      <c r="T592" s="5"/>
      <c r="U592" s="5"/>
      <c r="V592" s="5"/>
      <c r="W592" s="5"/>
    </row>
    <row r="593">
      <c r="A593" s="5"/>
      <c r="B593" s="3"/>
      <c r="C593" s="5"/>
      <c r="D593" s="3"/>
      <c r="E593" s="5"/>
      <c r="F593" s="5"/>
      <c r="G593" s="5"/>
      <c r="H593" s="5"/>
      <c r="I593" s="5"/>
      <c r="J593" s="5"/>
      <c r="K593" s="5"/>
      <c r="L593" s="5"/>
      <c r="M593" s="5"/>
      <c r="N593" s="5"/>
      <c r="O593" s="5"/>
      <c r="P593" s="5"/>
      <c r="Q593" s="5"/>
      <c r="R593" s="5"/>
      <c r="S593" s="5"/>
      <c r="T593" s="5"/>
      <c r="U593" s="5"/>
      <c r="V593" s="5"/>
      <c r="W593" s="5"/>
    </row>
    <row r="594">
      <c r="A594" s="5"/>
      <c r="B594" s="3"/>
      <c r="C594" s="5"/>
      <c r="D594" s="3"/>
      <c r="E594" s="5"/>
      <c r="F594" s="5"/>
      <c r="G594" s="5"/>
      <c r="H594" s="5"/>
      <c r="I594" s="5"/>
      <c r="J594" s="5"/>
      <c r="K594" s="5"/>
      <c r="L594" s="5"/>
      <c r="M594" s="5"/>
      <c r="N594" s="5"/>
      <c r="O594" s="5"/>
      <c r="P594" s="5"/>
      <c r="Q594" s="5"/>
      <c r="R594" s="5"/>
      <c r="S594" s="5"/>
      <c r="T594" s="5"/>
      <c r="U594" s="5"/>
      <c r="V594" s="5"/>
      <c r="W594" s="5"/>
    </row>
    <row r="595">
      <c r="A595" s="5"/>
      <c r="B595" s="3"/>
      <c r="C595" s="5"/>
      <c r="D595" s="3"/>
      <c r="E595" s="5"/>
      <c r="F595" s="5"/>
      <c r="G595" s="5"/>
      <c r="H595" s="5"/>
      <c r="I595" s="5"/>
      <c r="J595" s="5"/>
      <c r="K595" s="5"/>
      <c r="L595" s="5"/>
      <c r="M595" s="5"/>
      <c r="N595" s="5"/>
      <c r="O595" s="5"/>
      <c r="P595" s="5"/>
      <c r="Q595" s="5"/>
      <c r="R595" s="5"/>
      <c r="S595" s="5"/>
      <c r="T595" s="5"/>
      <c r="U595" s="5"/>
      <c r="V595" s="5"/>
      <c r="W595" s="5"/>
    </row>
    <row r="596">
      <c r="A596" s="5"/>
      <c r="B596" s="3"/>
      <c r="C596" s="5"/>
      <c r="D596" s="3"/>
      <c r="E596" s="5"/>
      <c r="F596" s="5"/>
      <c r="G596" s="5"/>
      <c r="H596" s="5"/>
      <c r="I596" s="5"/>
      <c r="J596" s="5"/>
      <c r="K596" s="5"/>
      <c r="L596" s="5"/>
      <c r="M596" s="5"/>
      <c r="N596" s="5"/>
      <c r="O596" s="5"/>
      <c r="P596" s="5"/>
      <c r="Q596" s="5"/>
      <c r="R596" s="5"/>
      <c r="S596" s="5"/>
      <c r="T596" s="5"/>
      <c r="U596" s="5"/>
      <c r="V596" s="5"/>
      <c r="W596" s="5"/>
    </row>
    <row r="597">
      <c r="A597" s="5"/>
      <c r="B597" s="3"/>
      <c r="C597" s="5"/>
      <c r="D597" s="3"/>
      <c r="E597" s="5"/>
      <c r="F597" s="5"/>
      <c r="G597" s="5"/>
      <c r="H597" s="5"/>
      <c r="I597" s="5"/>
      <c r="J597" s="5"/>
      <c r="K597" s="5"/>
      <c r="L597" s="5"/>
      <c r="M597" s="5"/>
      <c r="N597" s="5"/>
      <c r="O597" s="5"/>
      <c r="P597" s="5"/>
      <c r="Q597" s="5"/>
      <c r="R597" s="5"/>
      <c r="S597" s="5"/>
      <c r="T597" s="5"/>
      <c r="U597" s="5"/>
      <c r="V597" s="5"/>
      <c r="W597" s="5"/>
    </row>
    <row r="598">
      <c r="A598" s="5"/>
      <c r="B598" s="3"/>
      <c r="C598" s="5"/>
      <c r="D598" s="3"/>
      <c r="E598" s="5"/>
      <c r="F598" s="5"/>
      <c r="G598" s="5"/>
      <c r="H598" s="5"/>
      <c r="I598" s="5"/>
      <c r="J598" s="5"/>
      <c r="K598" s="5"/>
      <c r="L598" s="5"/>
      <c r="M598" s="5"/>
      <c r="N598" s="5"/>
      <c r="O598" s="5"/>
      <c r="P598" s="5"/>
      <c r="Q598" s="5"/>
      <c r="R598" s="5"/>
      <c r="S598" s="5"/>
      <c r="T598" s="5"/>
      <c r="U598" s="5"/>
      <c r="V598" s="5"/>
      <c r="W598" s="5"/>
    </row>
    <row r="599">
      <c r="A599" s="5"/>
      <c r="B599" s="3"/>
      <c r="C599" s="5"/>
      <c r="D599" s="3"/>
      <c r="E599" s="5"/>
      <c r="F599" s="5"/>
      <c r="G599" s="5"/>
      <c r="H599" s="5"/>
      <c r="I599" s="5"/>
      <c r="J599" s="5"/>
      <c r="K599" s="5"/>
      <c r="L599" s="5"/>
      <c r="M599" s="5"/>
      <c r="N599" s="5"/>
      <c r="O599" s="5"/>
      <c r="P599" s="5"/>
      <c r="Q599" s="5"/>
      <c r="R599" s="5"/>
      <c r="S599" s="5"/>
      <c r="T599" s="5"/>
      <c r="U599" s="5"/>
      <c r="V599" s="5"/>
      <c r="W599" s="5"/>
    </row>
    <row r="600">
      <c r="A600" s="5"/>
      <c r="B600" s="3"/>
      <c r="C600" s="5"/>
      <c r="D600" s="3"/>
      <c r="E600" s="5"/>
      <c r="F600" s="5"/>
      <c r="G600" s="5"/>
      <c r="H600" s="5"/>
      <c r="I600" s="5"/>
      <c r="J600" s="5"/>
      <c r="K600" s="5"/>
      <c r="L600" s="5"/>
      <c r="M600" s="5"/>
      <c r="N600" s="5"/>
      <c r="O600" s="5"/>
      <c r="P600" s="5"/>
      <c r="Q600" s="5"/>
      <c r="R600" s="5"/>
      <c r="S600" s="5"/>
      <c r="T600" s="5"/>
      <c r="U600" s="5"/>
      <c r="V600" s="5"/>
      <c r="W600" s="5"/>
    </row>
    <row r="601">
      <c r="A601" s="5"/>
      <c r="B601" s="3"/>
      <c r="C601" s="5"/>
      <c r="D601" s="3"/>
      <c r="E601" s="5"/>
      <c r="F601" s="5"/>
      <c r="G601" s="5"/>
      <c r="H601" s="5"/>
      <c r="I601" s="5"/>
      <c r="J601" s="5"/>
      <c r="K601" s="5"/>
      <c r="L601" s="5"/>
      <c r="M601" s="5"/>
      <c r="N601" s="5"/>
      <c r="O601" s="5"/>
      <c r="P601" s="5"/>
      <c r="Q601" s="5"/>
      <c r="R601" s="5"/>
      <c r="S601" s="5"/>
      <c r="T601" s="5"/>
      <c r="U601" s="5"/>
      <c r="V601" s="5"/>
      <c r="W601" s="5"/>
    </row>
    <row r="602">
      <c r="A602" s="5"/>
      <c r="B602" s="3"/>
      <c r="C602" s="5"/>
      <c r="D602" s="5"/>
      <c r="E602" s="5"/>
      <c r="F602" s="5"/>
      <c r="G602" s="5"/>
      <c r="H602" s="5"/>
      <c r="I602" s="5"/>
      <c r="J602" s="5"/>
      <c r="K602" s="5"/>
      <c r="L602" s="5"/>
      <c r="M602" s="5"/>
      <c r="N602" s="5"/>
      <c r="O602" s="5"/>
      <c r="P602" s="5"/>
      <c r="Q602" s="5"/>
      <c r="R602" s="5"/>
      <c r="S602" s="5"/>
      <c r="T602" s="5"/>
      <c r="U602" s="5"/>
      <c r="V602" s="5"/>
      <c r="W602" s="5"/>
    </row>
    <row r="603">
      <c r="A603" s="5"/>
      <c r="B603" s="3"/>
      <c r="C603" s="5"/>
      <c r="D603" s="5"/>
      <c r="E603" s="5"/>
      <c r="F603" s="5"/>
      <c r="G603" s="5"/>
      <c r="H603" s="5"/>
      <c r="I603" s="5"/>
      <c r="J603" s="5"/>
      <c r="K603" s="5"/>
      <c r="L603" s="5"/>
      <c r="M603" s="5"/>
      <c r="N603" s="5"/>
      <c r="O603" s="5"/>
      <c r="P603" s="5"/>
      <c r="Q603" s="5"/>
      <c r="R603" s="5"/>
      <c r="S603" s="5"/>
      <c r="T603" s="5"/>
      <c r="U603" s="5"/>
      <c r="V603" s="5"/>
      <c r="W603" s="5"/>
    </row>
    <row r="604">
      <c r="A604" s="5"/>
      <c r="B604" s="3"/>
      <c r="C604" s="5"/>
      <c r="D604" s="5"/>
      <c r="E604" s="5"/>
      <c r="F604" s="5"/>
      <c r="G604" s="5"/>
      <c r="H604" s="5"/>
      <c r="I604" s="5"/>
      <c r="J604" s="5"/>
      <c r="K604" s="5"/>
      <c r="L604" s="5"/>
      <c r="M604" s="5"/>
      <c r="N604" s="5"/>
      <c r="O604" s="5"/>
      <c r="P604" s="5"/>
      <c r="Q604" s="5"/>
      <c r="R604" s="5"/>
      <c r="S604" s="5"/>
      <c r="T604" s="5"/>
      <c r="U604" s="5"/>
      <c r="V604" s="5"/>
      <c r="W604" s="5"/>
    </row>
    <row r="605">
      <c r="A605" s="5"/>
      <c r="B605" s="3"/>
      <c r="C605" s="5"/>
      <c r="D605" s="5"/>
      <c r="E605" s="5"/>
      <c r="F605" s="5"/>
      <c r="G605" s="5"/>
      <c r="H605" s="5"/>
      <c r="I605" s="5"/>
      <c r="J605" s="5"/>
      <c r="K605" s="5"/>
      <c r="L605" s="5"/>
      <c r="M605" s="5"/>
      <c r="N605" s="5"/>
      <c r="O605" s="5"/>
      <c r="P605" s="5"/>
      <c r="Q605" s="5"/>
      <c r="R605" s="5"/>
      <c r="S605" s="5"/>
      <c r="T605" s="5"/>
      <c r="U605" s="5"/>
      <c r="V605" s="5"/>
      <c r="W605" s="5"/>
    </row>
    <row r="606">
      <c r="A606" s="5"/>
      <c r="B606" s="3"/>
      <c r="C606" s="5"/>
      <c r="D606" s="5"/>
      <c r="E606" s="5"/>
      <c r="F606" s="5"/>
      <c r="G606" s="5"/>
      <c r="H606" s="5"/>
      <c r="I606" s="5"/>
      <c r="J606" s="5"/>
      <c r="K606" s="5"/>
      <c r="L606" s="5"/>
      <c r="M606" s="5"/>
      <c r="N606" s="5"/>
      <c r="O606" s="5"/>
      <c r="P606" s="5"/>
      <c r="Q606" s="5"/>
      <c r="R606" s="5"/>
      <c r="S606" s="5"/>
      <c r="T606" s="5"/>
      <c r="U606" s="5"/>
      <c r="V606" s="5"/>
      <c r="W606" s="5"/>
    </row>
    <row r="607">
      <c r="A607" s="5"/>
      <c r="B607" s="3"/>
      <c r="C607" s="5"/>
      <c r="D607" s="5"/>
      <c r="E607" s="5"/>
      <c r="F607" s="5"/>
      <c r="G607" s="5"/>
      <c r="H607" s="5"/>
      <c r="I607" s="5"/>
      <c r="J607" s="5"/>
      <c r="K607" s="5"/>
      <c r="L607" s="5"/>
      <c r="M607" s="5"/>
      <c r="N607" s="5"/>
      <c r="O607" s="5"/>
      <c r="P607" s="5"/>
      <c r="Q607" s="5"/>
      <c r="R607" s="5"/>
      <c r="S607" s="5"/>
      <c r="T607" s="5"/>
      <c r="U607" s="5"/>
      <c r="V607" s="5"/>
      <c r="W607" s="5"/>
    </row>
    <row r="608">
      <c r="A608" s="5"/>
      <c r="B608" s="3"/>
      <c r="C608" s="5"/>
      <c r="D608" s="5"/>
      <c r="E608" s="5"/>
      <c r="F608" s="5"/>
      <c r="G608" s="5"/>
      <c r="H608" s="5"/>
      <c r="I608" s="5"/>
      <c r="J608" s="5"/>
      <c r="K608" s="5"/>
      <c r="L608" s="5"/>
      <c r="M608" s="5"/>
      <c r="N608" s="5"/>
      <c r="O608" s="5"/>
      <c r="P608" s="5"/>
      <c r="Q608" s="5"/>
      <c r="R608" s="5"/>
      <c r="S608" s="5"/>
      <c r="T608" s="5"/>
      <c r="U608" s="5"/>
      <c r="V608" s="5"/>
      <c r="W608" s="5"/>
    </row>
    <row r="609">
      <c r="A609" s="5"/>
      <c r="B609" s="3"/>
      <c r="C609" s="5"/>
      <c r="D609" s="5"/>
      <c r="E609" s="5"/>
      <c r="F609" s="5"/>
      <c r="G609" s="5"/>
      <c r="H609" s="5"/>
      <c r="I609" s="5"/>
      <c r="J609" s="5"/>
      <c r="K609" s="5"/>
      <c r="L609" s="5"/>
      <c r="M609" s="5"/>
      <c r="N609" s="5"/>
      <c r="O609" s="5"/>
      <c r="P609" s="5"/>
      <c r="Q609" s="5"/>
      <c r="R609" s="5"/>
      <c r="S609" s="5"/>
      <c r="T609" s="5"/>
      <c r="U609" s="5"/>
      <c r="V609" s="5"/>
      <c r="W609" s="5"/>
    </row>
    <row r="610">
      <c r="A610" s="5"/>
      <c r="B610" s="3"/>
      <c r="C610" s="5"/>
      <c r="D610" s="5"/>
      <c r="E610" s="5"/>
      <c r="F610" s="5"/>
      <c r="G610" s="5"/>
      <c r="H610" s="5"/>
      <c r="I610" s="5"/>
      <c r="J610" s="5"/>
      <c r="K610" s="5"/>
      <c r="L610" s="5"/>
      <c r="M610" s="5"/>
      <c r="N610" s="5"/>
      <c r="O610" s="5"/>
      <c r="P610" s="5"/>
      <c r="Q610" s="5"/>
      <c r="R610" s="5"/>
      <c r="S610" s="5"/>
      <c r="T610" s="5"/>
      <c r="U610" s="5"/>
      <c r="V610" s="5"/>
      <c r="W610" s="5"/>
    </row>
    <row r="611">
      <c r="A611" s="5"/>
      <c r="B611" s="3"/>
      <c r="C611" s="5"/>
      <c r="D611" s="5"/>
      <c r="E611" s="5"/>
      <c r="F611" s="5"/>
      <c r="G611" s="5"/>
      <c r="H611" s="5"/>
      <c r="I611" s="5"/>
      <c r="J611" s="5"/>
      <c r="K611" s="5"/>
      <c r="L611" s="5"/>
      <c r="M611" s="5"/>
      <c r="N611" s="5"/>
      <c r="O611" s="5"/>
      <c r="P611" s="5"/>
      <c r="Q611" s="5"/>
      <c r="R611" s="5"/>
      <c r="S611" s="5"/>
      <c r="T611" s="5"/>
      <c r="U611" s="5"/>
      <c r="V611" s="5"/>
      <c r="W611" s="5"/>
    </row>
    <row r="612">
      <c r="A612" s="5"/>
      <c r="B612" s="3"/>
      <c r="C612" s="5"/>
      <c r="D612" s="5"/>
      <c r="E612" s="5"/>
      <c r="F612" s="5"/>
      <c r="G612" s="5"/>
      <c r="H612" s="5"/>
      <c r="I612" s="5"/>
      <c r="J612" s="5"/>
      <c r="K612" s="5"/>
      <c r="L612" s="5"/>
      <c r="M612" s="5"/>
      <c r="N612" s="5"/>
      <c r="O612" s="5"/>
      <c r="P612" s="5"/>
      <c r="Q612" s="5"/>
      <c r="R612" s="5"/>
      <c r="S612" s="5"/>
      <c r="T612" s="5"/>
      <c r="U612" s="5"/>
      <c r="V612" s="5"/>
      <c r="W612" s="5"/>
    </row>
    <row r="613">
      <c r="A613" s="5"/>
      <c r="B613" s="3"/>
      <c r="C613" s="5"/>
      <c r="D613" s="5"/>
      <c r="E613" s="5"/>
      <c r="F613" s="5"/>
      <c r="G613" s="5"/>
      <c r="H613" s="5"/>
      <c r="I613" s="5"/>
      <c r="J613" s="5"/>
      <c r="K613" s="5"/>
      <c r="L613" s="5"/>
      <c r="M613" s="5"/>
      <c r="N613" s="5"/>
      <c r="O613" s="5"/>
      <c r="P613" s="5"/>
      <c r="Q613" s="5"/>
      <c r="R613" s="5"/>
      <c r="S613" s="5"/>
      <c r="T613" s="5"/>
      <c r="U613" s="5"/>
      <c r="V613" s="5"/>
      <c r="W613" s="5"/>
    </row>
    <row r="614">
      <c r="A614" s="5"/>
      <c r="B614" s="3"/>
      <c r="C614" s="5"/>
      <c r="D614" s="5"/>
      <c r="E614" s="5"/>
      <c r="F614" s="5"/>
      <c r="G614" s="5"/>
      <c r="H614" s="5"/>
      <c r="I614" s="5"/>
      <c r="J614" s="5"/>
      <c r="K614" s="5"/>
      <c r="L614" s="5"/>
      <c r="M614" s="5"/>
      <c r="N614" s="5"/>
      <c r="O614" s="5"/>
      <c r="P614" s="5"/>
      <c r="Q614" s="5"/>
      <c r="R614" s="5"/>
      <c r="S614" s="5"/>
      <c r="T614" s="5"/>
      <c r="U614" s="5"/>
      <c r="V614" s="5"/>
      <c r="W614" s="5"/>
    </row>
    <row r="615">
      <c r="A615" s="5"/>
      <c r="B615" s="3"/>
      <c r="C615" s="5"/>
      <c r="D615" s="5"/>
      <c r="E615" s="5"/>
      <c r="F615" s="5"/>
      <c r="G615" s="5"/>
      <c r="H615" s="5"/>
      <c r="I615" s="5"/>
      <c r="J615" s="5"/>
      <c r="K615" s="5"/>
      <c r="L615" s="5"/>
      <c r="M615" s="5"/>
      <c r="N615" s="5"/>
      <c r="O615" s="5"/>
      <c r="P615" s="5"/>
      <c r="Q615" s="5"/>
      <c r="R615" s="5"/>
      <c r="S615" s="5"/>
      <c r="T615" s="5"/>
      <c r="U615" s="5"/>
      <c r="V615" s="5"/>
      <c r="W615" s="5"/>
    </row>
    <row r="616">
      <c r="A616" s="5"/>
      <c r="B616" s="3"/>
      <c r="C616" s="5"/>
      <c r="D616" s="5"/>
      <c r="E616" s="5"/>
      <c r="F616" s="5"/>
      <c r="G616" s="5"/>
      <c r="H616" s="5"/>
      <c r="I616" s="5"/>
      <c r="J616" s="5"/>
      <c r="K616" s="5"/>
      <c r="L616" s="5"/>
      <c r="M616" s="5"/>
      <c r="N616" s="5"/>
      <c r="O616" s="5"/>
      <c r="P616" s="5"/>
      <c r="Q616" s="5"/>
      <c r="R616" s="5"/>
      <c r="S616" s="5"/>
      <c r="T616" s="5"/>
      <c r="U616" s="5"/>
      <c r="V616" s="5"/>
      <c r="W616" s="5"/>
    </row>
    <row r="617">
      <c r="A617" s="5"/>
      <c r="B617" s="3"/>
      <c r="C617" s="5"/>
      <c r="D617" s="5"/>
      <c r="E617" s="5"/>
      <c r="F617" s="5"/>
      <c r="G617" s="5"/>
      <c r="H617" s="5"/>
      <c r="I617" s="5"/>
      <c r="J617" s="5"/>
      <c r="K617" s="5"/>
      <c r="L617" s="5"/>
      <c r="M617" s="5"/>
      <c r="N617" s="5"/>
      <c r="O617" s="5"/>
      <c r="P617" s="5"/>
      <c r="Q617" s="5"/>
      <c r="R617" s="5"/>
      <c r="S617" s="5"/>
      <c r="T617" s="5"/>
      <c r="U617" s="5"/>
      <c r="V617" s="5"/>
      <c r="W617" s="5"/>
    </row>
    <row r="618">
      <c r="A618" s="5"/>
      <c r="B618" s="3"/>
      <c r="C618" s="5"/>
      <c r="D618" s="5"/>
      <c r="E618" s="5"/>
      <c r="F618" s="5"/>
      <c r="G618" s="5"/>
      <c r="H618" s="5"/>
      <c r="I618" s="5"/>
      <c r="J618" s="5"/>
      <c r="K618" s="5"/>
      <c r="L618" s="5"/>
      <c r="M618" s="5"/>
      <c r="N618" s="5"/>
      <c r="O618" s="5"/>
      <c r="P618" s="5"/>
      <c r="Q618" s="5"/>
      <c r="R618" s="5"/>
      <c r="S618" s="5"/>
      <c r="T618" s="5"/>
      <c r="U618" s="5"/>
      <c r="V618" s="5"/>
      <c r="W618" s="5"/>
    </row>
    <row r="619">
      <c r="A619" s="5"/>
      <c r="B619" s="3"/>
      <c r="C619" s="5"/>
      <c r="D619" s="5"/>
      <c r="E619" s="5"/>
      <c r="F619" s="5"/>
      <c r="G619" s="5"/>
      <c r="H619" s="5"/>
      <c r="I619" s="5"/>
      <c r="J619" s="5"/>
      <c r="K619" s="5"/>
      <c r="L619" s="5"/>
      <c r="M619" s="5"/>
      <c r="N619" s="5"/>
      <c r="O619" s="5"/>
      <c r="P619" s="5"/>
      <c r="Q619" s="5"/>
      <c r="R619" s="5"/>
      <c r="S619" s="5"/>
      <c r="T619" s="5"/>
      <c r="U619" s="5"/>
      <c r="V619" s="5"/>
      <c r="W619" s="5"/>
    </row>
    <row r="620">
      <c r="A620" s="5"/>
      <c r="B620" s="3"/>
      <c r="C620" s="5"/>
      <c r="D620" s="5"/>
      <c r="E620" s="5"/>
      <c r="F620" s="5"/>
      <c r="G620" s="5"/>
      <c r="H620" s="5"/>
      <c r="I620" s="5"/>
      <c r="J620" s="5"/>
      <c r="K620" s="5"/>
      <c r="L620" s="5"/>
      <c r="M620" s="5"/>
      <c r="N620" s="5"/>
      <c r="O620" s="5"/>
      <c r="P620" s="5"/>
      <c r="Q620" s="5"/>
      <c r="R620" s="5"/>
      <c r="S620" s="5"/>
      <c r="T620" s="5"/>
      <c r="U620" s="5"/>
      <c r="V620" s="5"/>
      <c r="W620" s="5"/>
    </row>
    <row r="621">
      <c r="A621" s="5"/>
      <c r="B621" s="3"/>
      <c r="C621" s="5"/>
      <c r="D621" s="5"/>
      <c r="E621" s="5"/>
      <c r="F621" s="5"/>
      <c r="G621" s="5"/>
      <c r="H621" s="5"/>
      <c r="I621" s="5"/>
      <c r="J621" s="5"/>
      <c r="K621" s="5"/>
      <c r="L621" s="5"/>
      <c r="M621" s="5"/>
      <c r="N621" s="5"/>
      <c r="O621" s="5"/>
      <c r="P621" s="5"/>
      <c r="Q621" s="5"/>
      <c r="R621" s="5"/>
      <c r="S621" s="5"/>
      <c r="T621" s="5"/>
      <c r="U621" s="5"/>
      <c r="V621" s="5"/>
      <c r="W621" s="5"/>
    </row>
    <row r="622">
      <c r="A622" s="5"/>
      <c r="B622" s="3"/>
      <c r="C622" s="5"/>
      <c r="D622" s="5"/>
      <c r="E622" s="5"/>
      <c r="F622" s="5"/>
      <c r="G622" s="5"/>
      <c r="H622" s="5"/>
      <c r="I622" s="5"/>
      <c r="J622" s="5"/>
      <c r="K622" s="5"/>
      <c r="L622" s="5"/>
      <c r="M622" s="5"/>
      <c r="N622" s="5"/>
      <c r="O622" s="5"/>
      <c r="P622" s="5"/>
      <c r="Q622" s="5"/>
      <c r="R622" s="5"/>
      <c r="S622" s="5"/>
      <c r="T622" s="5"/>
      <c r="U622" s="5"/>
      <c r="V622" s="5"/>
      <c r="W622" s="5"/>
    </row>
    <row r="623">
      <c r="A623" s="5"/>
      <c r="B623" s="3"/>
      <c r="C623" s="5"/>
      <c r="D623" s="5"/>
      <c r="E623" s="5"/>
      <c r="F623" s="5"/>
      <c r="G623" s="5"/>
      <c r="H623" s="5"/>
      <c r="I623" s="5"/>
      <c r="J623" s="5"/>
      <c r="K623" s="5"/>
      <c r="L623" s="5"/>
      <c r="M623" s="5"/>
      <c r="N623" s="5"/>
      <c r="O623" s="5"/>
      <c r="P623" s="5"/>
      <c r="Q623" s="5"/>
      <c r="R623" s="5"/>
      <c r="S623" s="5"/>
      <c r="T623" s="5"/>
      <c r="U623" s="5"/>
      <c r="V623" s="5"/>
      <c r="W623" s="5"/>
    </row>
    <row r="624">
      <c r="A624" s="5"/>
      <c r="B624" s="3"/>
      <c r="C624" s="5"/>
      <c r="D624" s="5"/>
      <c r="E624" s="5"/>
      <c r="F624" s="5"/>
      <c r="G624" s="5"/>
      <c r="H624" s="5"/>
      <c r="I624" s="5"/>
      <c r="J624" s="5"/>
      <c r="K624" s="5"/>
      <c r="L624" s="5"/>
      <c r="M624" s="5"/>
      <c r="N624" s="5"/>
      <c r="O624" s="5"/>
      <c r="P624" s="5"/>
      <c r="Q624" s="5"/>
      <c r="R624" s="5"/>
      <c r="S624" s="5"/>
      <c r="T624" s="5"/>
      <c r="U624" s="5"/>
      <c r="V624" s="5"/>
      <c r="W624" s="5"/>
    </row>
    <row r="625">
      <c r="A625" s="5"/>
      <c r="B625" s="3"/>
      <c r="C625" s="5"/>
      <c r="D625" s="5"/>
      <c r="E625" s="5"/>
      <c r="F625" s="5"/>
      <c r="G625" s="5"/>
      <c r="H625" s="5"/>
      <c r="I625" s="5"/>
      <c r="J625" s="5"/>
      <c r="K625" s="5"/>
      <c r="L625" s="5"/>
      <c r="M625" s="5"/>
      <c r="N625" s="5"/>
      <c r="O625" s="5"/>
      <c r="P625" s="5"/>
      <c r="Q625" s="5"/>
      <c r="R625" s="5"/>
      <c r="S625" s="5"/>
      <c r="T625" s="5"/>
      <c r="U625" s="5"/>
      <c r="V625" s="5"/>
      <c r="W625" s="5"/>
    </row>
    <row r="626">
      <c r="A626" s="5"/>
      <c r="B626" s="3"/>
      <c r="C626" s="5"/>
      <c r="D626" s="5"/>
      <c r="E626" s="5"/>
      <c r="F626" s="5"/>
      <c r="G626" s="5"/>
      <c r="H626" s="5"/>
      <c r="I626" s="5"/>
      <c r="J626" s="5"/>
      <c r="K626" s="5"/>
      <c r="L626" s="5"/>
      <c r="M626" s="5"/>
      <c r="N626" s="5"/>
      <c r="O626" s="5"/>
      <c r="P626" s="5"/>
      <c r="Q626" s="5"/>
      <c r="R626" s="5"/>
      <c r="S626" s="5"/>
      <c r="T626" s="5"/>
      <c r="U626" s="5"/>
      <c r="V626" s="5"/>
      <c r="W626" s="5"/>
    </row>
    <row r="627">
      <c r="A627" s="5"/>
      <c r="B627" s="3"/>
      <c r="C627" s="5"/>
      <c r="D627" s="5"/>
      <c r="E627" s="5"/>
      <c r="F627" s="5"/>
      <c r="G627" s="5"/>
      <c r="H627" s="5"/>
      <c r="I627" s="5"/>
      <c r="J627" s="5"/>
      <c r="K627" s="5"/>
      <c r="L627" s="5"/>
      <c r="M627" s="5"/>
      <c r="N627" s="5"/>
      <c r="O627" s="5"/>
      <c r="P627" s="5"/>
      <c r="Q627" s="5"/>
      <c r="R627" s="5"/>
      <c r="S627" s="5"/>
      <c r="T627" s="5"/>
      <c r="U627" s="5"/>
      <c r="V627" s="5"/>
      <c r="W627" s="5"/>
    </row>
    <row r="628">
      <c r="A628" s="5"/>
      <c r="B628" s="3"/>
      <c r="C628" s="5"/>
      <c r="D628" s="5"/>
      <c r="E628" s="5"/>
      <c r="F628" s="5"/>
      <c r="G628" s="5"/>
      <c r="H628" s="5"/>
      <c r="I628" s="5"/>
      <c r="J628" s="5"/>
      <c r="K628" s="5"/>
      <c r="L628" s="5"/>
      <c r="M628" s="5"/>
      <c r="N628" s="5"/>
      <c r="O628" s="5"/>
      <c r="P628" s="5"/>
      <c r="Q628" s="5"/>
      <c r="R628" s="5"/>
      <c r="S628" s="5"/>
      <c r="T628" s="5"/>
      <c r="U628" s="5"/>
      <c r="V628" s="5"/>
      <c r="W628" s="5"/>
    </row>
    <row r="629">
      <c r="A629" s="5"/>
      <c r="B629" s="3"/>
      <c r="C629" s="5"/>
      <c r="D629" s="5"/>
      <c r="E629" s="5"/>
      <c r="F629" s="5"/>
      <c r="G629" s="5"/>
      <c r="H629" s="5"/>
      <c r="I629" s="5"/>
      <c r="J629" s="5"/>
      <c r="K629" s="5"/>
      <c r="L629" s="5"/>
      <c r="M629" s="5"/>
      <c r="N629" s="5"/>
      <c r="O629" s="5"/>
      <c r="P629" s="5"/>
      <c r="Q629" s="5"/>
      <c r="R629" s="5"/>
      <c r="S629" s="5"/>
      <c r="T629" s="5"/>
      <c r="U629" s="5"/>
      <c r="V629" s="5"/>
      <c r="W629" s="5"/>
    </row>
    <row r="630">
      <c r="A630" s="5"/>
      <c r="B630" s="3"/>
      <c r="C630" s="5"/>
      <c r="D630" s="5"/>
      <c r="E630" s="5"/>
      <c r="F630" s="5"/>
      <c r="G630" s="5"/>
      <c r="H630" s="5"/>
      <c r="I630" s="5"/>
      <c r="J630" s="5"/>
      <c r="K630" s="5"/>
      <c r="L630" s="5"/>
      <c r="M630" s="5"/>
      <c r="N630" s="5"/>
      <c r="O630" s="5"/>
      <c r="P630" s="5"/>
      <c r="Q630" s="5"/>
      <c r="R630" s="5"/>
      <c r="S630" s="5"/>
      <c r="T630" s="5"/>
      <c r="U630" s="5"/>
      <c r="V630" s="5"/>
      <c r="W630" s="5"/>
    </row>
    <row r="631">
      <c r="A631" s="5"/>
      <c r="B631" s="3"/>
      <c r="C631" s="5"/>
      <c r="D631" s="5"/>
      <c r="E631" s="5"/>
      <c r="F631" s="5"/>
      <c r="G631" s="5"/>
      <c r="H631" s="5"/>
      <c r="I631" s="5"/>
      <c r="J631" s="5"/>
      <c r="K631" s="5"/>
      <c r="L631" s="5"/>
      <c r="M631" s="5"/>
      <c r="N631" s="5"/>
      <c r="O631" s="5"/>
      <c r="P631" s="5"/>
      <c r="Q631" s="5"/>
      <c r="R631" s="5"/>
      <c r="S631" s="5"/>
      <c r="T631" s="5"/>
      <c r="U631" s="5"/>
      <c r="V631" s="5"/>
      <c r="W631" s="5"/>
    </row>
    <row r="632">
      <c r="A632" s="5"/>
      <c r="B632" s="3"/>
      <c r="C632" s="5"/>
      <c r="D632" s="5"/>
      <c r="E632" s="5"/>
      <c r="F632" s="5"/>
      <c r="G632" s="5"/>
      <c r="H632" s="5"/>
      <c r="I632" s="5"/>
      <c r="J632" s="5"/>
      <c r="K632" s="5"/>
      <c r="L632" s="5"/>
      <c r="M632" s="5"/>
      <c r="N632" s="5"/>
      <c r="O632" s="5"/>
      <c r="P632" s="5"/>
      <c r="Q632" s="5"/>
      <c r="R632" s="5"/>
      <c r="S632" s="5"/>
      <c r="T632" s="5"/>
      <c r="U632" s="5"/>
      <c r="V632" s="5"/>
      <c r="W632" s="5"/>
    </row>
    <row r="633">
      <c r="A633" s="5"/>
      <c r="B633" s="3"/>
      <c r="C633" s="5"/>
      <c r="D633" s="5"/>
      <c r="E633" s="5"/>
      <c r="F633" s="5"/>
      <c r="G633" s="5"/>
      <c r="H633" s="5"/>
      <c r="I633" s="5"/>
      <c r="J633" s="5"/>
      <c r="K633" s="5"/>
      <c r="L633" s="5"/>
      <c r="M633" s="5"/>
      <c r="N633" s="5"/>
      <c r="O633" s="5"/>
      <c r="P633" s="5"/>
      <c r="Q633" s="5"/>
      <c r="R633" s="5"/>
      <c r="S633" s="5"/>
      <c r="T633" s="5"/>
      <c r="U633" s="5"/>
      <c r="V633" s="5"/>
      <c r="W633" s="5"/>
    </row>
    <row r="634">
      <c r="A634" s="5"/>
      <c r="B634" s="3"/>
      <c r="C634" s="5"/>
      <c r="D634" s="5"/>
      <c r="E634" s="5"/>
      <c r="F634" s="5"/>
      <c r="G634" s="5"/>
      <c r="H634" s="5"/>
      <c r="I634" s="5"/>
      <c r="J634" s="5"/>
      <c r="K634" s="5"/>
      <c r="L634" s="5"/>
      <c r="M634" s="5"/>
      <c r="N634" s="5"/>
      <c r="O634" s="5"/>
      <c r="P634" s="5"/>
      <c r="Q634" s="5"/>
      <c r="R634" s="5"/>
      <c r="S634" s="5"/>
      <c r="T634" s="5"/>
      <c r="U634" s="5"/>
      <c r="V634" s="5"/>
      <c r="W634" s="5"/>
    </row>
    <row r="635">
      <c r="A635" s="5"/>
      <c r="B635" s="3"/>
      <c r="C635" s="5"/>
      <c r="D635" s="5"/>
      <c r="E635" s="5"/>
      <c r="F635" s="5"/>
      <c r="G635" s="5"/>
      <c r="H635" s="5"/>
      <c r="I635" s="5"/>
      <c r="J635" s="5"/>
      <c r="K635" s="5"/>
      <c r="L635" s="5"/>
      <c r="M635" s="5"/>
      <c r="N635" s="5"/>
      <c r="O635" s="5"/>
      <c r="P635" s="5"/>
      <c r="Q635" s="5"/>
      <c r="R635" s="5"/>
      <c r="S635" s="5"/>
      <c r="T635" s="5"/>
      <c r="U635" s="5"/>
      <c r="V635" s="5"/>
      <c r="W635" s="5"/>
    </row>
    <row r="636">
      <c r="A636" s="5"/>
      <c r="B636" s="3"/>
      <c r="C636" s="5"/>
      <c r="D636" s="5"/>
      <c r="E636" s="5"/>
      <c r="F636" s="5"/>
      <c r="G636" s="5"/>
      <c r="H636" s="5"/>
      <c r="I636" s="5"/>
      <c r="J636" s="5"/>
      <c r="K636" s="5"/>
      <c r="L636" s="5"/>
      <c r="M636" s="5"/>
      <c r="N636" s="5"/>
      <c r="O636" s="5"/>
      <c r="P636" s="5"/>
      <c r="Q636" s="5"/>
      <c r="R636" s="5"/>
      <c r="S636" s="5"/>
      <c r="T636" s="5"/>
      <c r="U636" s="5"/>
      <c r="V636" s="5"/>
      <c r="W636" s="5"/>
    </row>
    <row r="637">
      <c r="A637" s="5"/>
      <c r="B637" s="3"/>
      <c r="C637" s="5"/>
      <c r="D637" s="5"/>
      <c r="E637" s="5"/>
      <c r="F637" s="5"/>
      <c r="G637" s="5"/>
      <c r="H637" s="5"/>
      <c r="I637" s="5"/>
      <c r="J637" s="5"/>
      <c r="K637" s="5"/>
      <c r="L637" s="5"/>
      <c r="M637" s="5"/>
      <c r="N637" s="5"/>
      <c r="O637" s="5"/>
      <c r="P637" s="5"/>
      <c r="Q637" s="5"/>
      <c r="R637" s="5"/>
      <c r="S637" s="5"/>
      <c r="T637" s="5"/>
      <c r="U637" s="5"/>
      <c r="V637" s="5"/>
      <c r="W637" s="5"/>
    </row>
    <row r="638">
      <c r="A638" s="5"/>
      <c r="B638" s="3"/>
      <c r="C638" s="5"/>
      <c r="D638" s="5"/>
      <c r="E638" s="5"/>
      <c r="F638" s="5"/>
      <c r="G638" s="5"/>
      <c r="H638" s="5"/>
      <c r="I638" s="5"/>
      <c r="J638" s="5"/>
      <c r="K638" s="5"/>
      <c r="L638" s="5"/>
      <c r="M638" s="5"/>
      <c r="N638" s="5"/>
      <c r="O638" s="5"/>
      <c r="P638" s="5"/>
      <c r="Q638" s="5"/>
      <c r="R638" s="5"/>
      <c r="S638" s="5"/>
      <c r="T638" s="5"/>
      <c r="U638" s="5"/>
      <c r="V638" s="5"/>
      <c r="W638" s="5"/>
    </row>
    <row r="639">
      <c r="A639" s="5"/>
      <c r="B639" s="3"/>
      <c r="C639" s="5"/>
      <c r="D639" s="5"/>
      <c r="E639" s="5"/>
      <c r="F639" s="5"/>
      <c r="G639" s="5"/>
      <c r="H639" s="5"/>
      <c r="I639" s="5"/>
      <c r="J639" s="5"/>
      <c r="K639" s="5"/>
      <c r="L639" s="5"/>
      <c r="M639" s="5"/>
      <c r="N639" s="5"/>
      <c r="O639" s="5"/>
      <c r="P639" s="5"/>
      <c r="Q639" s="5"/>
      <c r="R639" s="5"/>
      <c r="S639" s="5"/>
      <c r="T639" s="5"/>
      <c r="U639" s="5"/>
      <c r="V639" s="5"/>
      <c r="W639" s="5"/>
    </row>
    <row r="640">
      <c r="A640" s="5"/>
      <c r="B640" s="3"/>
      <c r="C640" s="5"/>
      <c r="D640" s="5"/>
      <c r="E640" s="5"/>
      <c r="F640" s="5"/>
      <c r="G640" s="5"/>
      <c r="H640" s="5"/>
      <c r="I640" s="5"/>
      <c r="J640" s="5"/>
      <c r="K640" s="5"/>
      <c r="L640" s="5"/>
      <c r="M640" s="5"/>
      <c r="N640" s="5"/>
      <c r="O640" s="5"/>
      <c r="P640" s="5"/>
      <c r="Q640" s="5"/>
      <c r="R640" s="5"/>
      <c r="S640" s="5"/>
      <c r="T640" s="5"/>
      <c r="U640" s="5"/>
      <c r="V640" s="5"/>
      <c r="W640" s="5"/>
    </row>
    <row r="641">
      <c r="A641" s="5"/>
      <c r="B641" s="3"/>
      <c r="C641" s="5"/>
      <c r="D641" s="5"/>
      <c r="E641" s="5"/>
      <c r="F641" s="5"/>
      <c r="G641" s="5"/>
      <c r="H641" s="5"/>
      <c r="I641" s="5"/>
      <c r="J641" s="5"/>
      <c r="K641" s="5"/>
      <c r="L641" s="5"/>
      <c r="M641" s="5"/>
      <c r="N641" s="5"/>
      <c r="O641" s="5"/>
      <c r="P641" s="5"/>
      <c r="Q641" s="5"/>
      <c r="R641" s="5"/>
      <c r="S641" s="5"/>
      <c r="T641" s="5"/>
      <c r="U641" s="5"/>
      <c r="V641" s="5"/>
      <c r="W641" s="5"/>
    </row>
    <row r="642">
      <c r="A642" s="5"/>
      <c r="B642" s="3"/>
      <c r="C642" s="5"/>
      <c r="D642" s="5"/>
      <c r="E642" s="5"/>
      <c r="F642" s="5"/>
      <c r="G642" s="5"/>
      <c r="H642" s="5"/>
      <c r="I642" s="5"/>
      <c r="J642" s="5"/>
      <c r="K642" s="5"/>
      <c r="L642" s="5"/>
      <c r="M642" s="5"/>
      <c r="N642" s="5"/>
      <c r="O642" s="5"/>
      <c r="P642" s="5"/>
      <c r="Q642" s="5"/>
      <c r="R642" s="5"/>
      <c r="S642" s="5"/>
      <c r="T642" s="5"/>
      <c r="U642" s="5"/>
      <c r="V642" s="5"/>
      <c r="W642" s="5"/>
    </row>
    <row r="643">
      <c r="A643" s="5"/>
      <c r="B643" s="3"/>
      <c r="C643" s="5"/>
      <c r="D643" s="5"/>
      <c r="E643" s="5"/>
      <c r="F643" s="5"/>
      <c r="G643" s="5"/>
      <c r="H643" s="5"/>
      <c r="I643" s="5"/>
      <c r="J643" s="5"/>
      <c r="K643" s="5"/>
      <c r="L643" s="5"/>
      <c r="M643" s="5"/>
      <c r="N643" s="5"/>
      <c r="O643" s="5"/>
      <c r="P643" s="5"/>
      <c r="Q643" s="5"/>
      <c r="R643" s="5"/>
      <c r="S643" s="5"/>
      <c r="T643" s="5"/>
      <c r="U643" s="5"/>
      <c r="V643" s="5"/>
      <c r="W643" s="5"/>
    </row>
    <row r="644">
      <c r="A644" s="5"/>
      <c r="B644" s="3"/>
      <c r="C644" s="5"/>
      <c r="D644" s="5"/>
      <c r="E644" s="5"/>
      <c r="F644" s="5"/>
      <c r="G644" s="5"/>
      <c r="H644" s="5"/>
      <c r="I644" s="5"/>
      <c r="J644" s="5"/>
      <c r="K644" s="5"/>
      <c r="L644" s="5"/>
      <c r="M644" s="5"/>
      <c r="N644" s="5"/>
      <c r="O644" s="5"/>
      <c r="P644" s="5"/>
      <c r="Q644" s="5"/>
      <c r="R644" s="5"/>
      <c r="S644" s="5"/>
      <c r="T644" s="5"/>
      <c r="U644" s="5"/>
      <c r="V644" s="5"/>
      <c r="W644" s="5"/>
    </row>
    <row r="645">
      <c r="A645" s="5"/>
      <c r="B645" s="3"/>
      <c r="C645" s="5"/>
      <c r="D645" s="5"/>
      <c r="E645" s="5"/>
      <c r="F645" s="5"/>
      <c r="G645" s="5"/>
      <c r="H645" s="5"/>
      <c r="I645" s="5"/>
      <c r="J645" s="5"/>
      <c r="K645" s="5"/>
      <c r="L645" s="5"/>
      <c r="M645" s="5"/>
      <c r="N645" s="5"/>
      <c r="O645" s="5"/>
      <c r="P645" s="5"/>
      <c r="Q645" s="5"/>
      <c r="R645" s="5"/>
      <c r="S645" s="5"/>
      <c r="T645" s="5"/>
      <c r="U645" s="5"/>
      <c r="V645" s="5"/>
      <c r="W645" s="5"/>
    </row>
    <row r="646">
      <c r="A646" s="5"/>
      <c r="B646" s="3"/>
      <c r="C646" s="5"/>
      <c r="D646" s="5"/>
      <c r="E646" s="5"/>
      <c r="F646" s="5"/>
      <c r="G646" s="5"/>
      <c r="H646" s="5"/>
      <c r="I646" s="5"/>
      <c r="J646" s="5"/>
      <c r="K646" s="5"/>
      <c r="L646" s="5"/>
      <c r="M646" s="5"/>
      <c r="N646" s="5"/>
      <c r="O646" s="5"/>
      <c r="P646" s="5"/>
      <c r="Q646" s="5"/>
      <c r="R646" s="5"/>
      <c r="S646" s="5"/>
      <c r="T646" s="5"/>
      <c r="U646" s="5"/>
      <c r="V646" s="5"/>
      <c r="W646" s="5"/>
    </row>
    <row r="647">
      <c r="A647" s="5"/>
      <c r="B647" s="3"/>
      <c r="C647" s="5"/>
      <c r="D647" s="5"/>
      <c r="E647" s="5"/>
      <c r="F647" s="5"/>
      <c r="G647" s="5"/>
      <c r="H647" s="5"/>
      <c r="I647" s="5"/>
      <c r="J647" s="5"/>
      <c r="K647" s="5"/>
      <c r="L647" s="5"/>
      <c r="M647" s="5"/>
      <c r="N647" s="5"/>
      <c r="O647" s="5"/>
      <c r="P647" s="5"/>
      <c r="Q647" s="5"/>
      <c r="R647" s="5"/>
      <c r="S647" s="5"/>
      <c r="T647" s="5"/>
      <c r="U647" s="5"/>
      <c r="V647" s="5"/>
      <c r="W647" s="5"/>
    </row>
    <row r="648">
      <c r="A648" s="5"/>
      <c r="B648" s="3"/>
      <c r="C648" s="5"/>
      <c r="D648" s="5"/>
      <c r="E648" s="5"/>
      <c r="F648" s="5"/>
      <c r="G648" s="5"/>
      <c r="H648" s="5"/>
      <c r="I648" s="5"/>
      <c r="J648" s="5"/>
      <c r="K648" s="5"/>
      <c r="L648" s="5"/>
      <c r="M648" s="5"/>
      <c r="N648" s="5"/>
      <c r="O648" s="5"/>
      <c r="P648" s="5"/>
      <c r="Q648" s="5"/>
      <c r="R648" s="5"/>
      <c r="S648" s="5"/>
      <c r="T648" s="5"/>
      <c r="U648" s="5"/>
      <c r="V648" s="5"/>
      <c r="W648" s="5"/>
    </row>
    <row r="649">
      <c r="A649" s="5"/>
      <c r="B649" s="3"/>
      <c r="C649" s="5"/>
      <c r="D649" s="5"/>
      <c r="E649" s="5"/>
      <c r="F649" s="5"/>
      <c r="G649" s="5"/>
      <c r="H649" s="5"/>
      <c r="I649" s="5"/>
      <c r="J649" s="5"/>
      <c r="K649" s="5"/>
      <c r="L649" s="5"/>
      <c r="M649" s="5"/>
      <c r="N649" s="5"/>
      <c r="O649" s="5"/>
      <c r="P649" s="5"/>
      <c r="Q649" s="5"/>
      <c r="R649" s="5"/>
      <c r="S649" s="5"/>
      <c r="T649" s="5"/>
      <c r="U649" s="5"/>
      <c r="V649" s="5"/>
      <c r="W649" s="5"/>
    </row>
    <row r="650">
      <c r="A650" s="5"/>
      <c r="B650" s="3"/>
      <c r="C650" s="5"/>
      <c r="D650" s="5"/>
      <c r="E650" s="5"/>
      <c r="F650" s="5"/>
      <c r="G650" s="5"/>
      <c r="H650" s="5"/>
      <c r="I650" s="5"/>
      <c r="J650" s="5"/>
      <c r="K650" s="5"/>
      <c r="L650" s="5"/>
      <c r="M650" s="5"/>
      <c r="N650" s="5"/>
      <c r="O650" s="5"/>
      <c r="P650" s="5"/>
      <c r="Q650" s="5"/>
      <c r="R650" s="5"/>
      <c r="S650" s="5"/>
      <c r="T650" s="5"/>
      <c r="U650" s="5"/>
      <c r="V650" s="5"/>
      <c r="W650" s="5"/>
    </row>
    <row r="651">
      <c r="A651" s="5"/>
      <c r="B651" s="3"/>
      <c r="C651" s="5"/>
      <c r="D651" s="5"/>
      <c r="E651" s="5"/>
      <c r="F651" s="5"/>
      <c r="G651" s="5"/>
      <c r="H651" s="5"/>
      <c r="I651" s="5"/>
      <c r="J651" s="5"/>
      <c r="K651" s="5"/>
      <c r="L651" s="5"/>
      <c r="M651" s="5"/>
      <c r="N651" s="5"/>
      <c r="O651" s="5"/>
      <c r="P651" s="5"/>
      <c r="Q651" s="5"/>
      <c r="R651" s="5"/>
      <c r="S651" s="5"/>
      <c r="T651" s="5"/>
      <c r="U651" s="5"/>
      <c r="V651" s="5"/>
      <c r="W651" s="5"/>
    </row>
    <row r="652">
      <c r="A652" s="5"/>
      <c r="B652" s="3"/>
      <c r="C652" s="5"/>
      <c r="D652" s="5"/>
      <c r="E652" s="5"/>
      <c r="F652" s="5"/>
      <c r="G652" s="5"/>
      <c r="H652" s="5"/>
      <c r="I652" s="5"/>
      <c r="J652" s="5"/>
      <c r="K652" s="5"/>
      <c r="L652" s="5"/>
      <c r="M652" s="5"/>
      <c r="N652" s="5"/>
      <c r="O652" s="5"/>
      <c r="P652" s="5"/>
      <c r="Q652" s="5"/>
      <c r="R652" s="5"/>
      <c r="S652" s="5"/>
      <c r="T652" s="5"/>
      <c r="U652" s="5"/>
      <c r="V652" s="5"/>
      <c r="W652" s="5"/>
    </row>
    <row r="653">
      <c r="A653" s="5"/>
      <c r="B653" s="3"/>
      <c r="C653" s="5"/>
      <c r="D653" s="5"/>
      <c r="E653" s="5"/>
      <c r="F653" s="5"/>
      <c r="G653" s="5"/>
      <c r="H653" s="5"/>
      <c r="I653" s="5"/>
      <c r="J653" s="5"/>
      <c r="K653" s="5"/>
      <c r="L653" s="5"/>
      <c r="M653" s="5"/>
      <c r="N653" s="5"/>
      <c r="O653" s="5"/>
      <c r="P653" s="5"/>
      <c r="Q653" s="5"/>
      <c r="R653" s="5"/>
      <c r="S653" s="5"/>
      <c r="T653" s="5"/>
      <c r="U653" s="5"/>
      <c r="V653" s="5"/>
      <c r="W653" s="5"/>
    </row>
    <row r="654">
      <c r="A654" s="5"/>
      <c r="B654" s="3"/>
      <c r="C654" s="5"/>
      <c r="D654" s="5"/>
      <c r="E654" s="5"/>
      <c r="F654" s="5"/>
      <c r="G654" s="5"/>
      <c r="H654" s="5"/>
      <c r="I654" s="5"/>
      <c r="J654" s="5"/>
      <c r="K654" s="5"/>
      <c r="L654" s="5"/>
      <c r="M654" s="5"/>
      <c r="N654" s="5"/>
      <c r="O654" s="5"/>
      <c r="P654" s="5"/>
      <c r="Q654" s="5"/>
      <c r="R654" s="5"/>
      <c r="S654" s="5"/>
      <c r="T654" s="5"/>
      <c r="U654" s="5"/>
      <c r="V654" s="5"/>
      <c r="W654" s="5"/>
    </row>
    <row r="655">
      <c r="A655" s="5"/>
      <c r="B655" s="3"/>
      <c r="C655" s="5"/>
      <c r="D655" s="5"/>
      <c r="E655" s="5"/>
      <c r="F655" s="5"/>
      <c r="G655" s="5"/>
      <c r="H655" s="5"/>
      <c r="I655" s="5"/>
      <c r="J655" s="5"/>
      <c r="K655" s="5"/>
      <c r="L655" s="5"/>
      <c r="M655" s="5"/>
      <c r="N655" s="5"/>
      <c r="O655" s="5"/>
      <c r="P655" s="5"/>
      <c r="Q655" s="5"/>
      <c r="R655" s="5"/>
      <c r="S655" s="5"/>
      <c r="T655" s="5"/>
      <c r="U655" s="5"/>
      <c r="V655" s="5"/>
      <c r="W655" s="5"/>
    </row>
    <row r="656">
      <c r="A656" s="5"/>
      <c r="B656" s="3"/>
      <c r="C656" s="5"/>
      <c r="D656" s="5"/>
      <c r="E656" s="5"/>
      <c r="F656" s="5"/>
      <c r="G656" s="5"/>
      <c r="H656" s="5"/>
      <c r="I656" s="5"/>
      <c r="J656" s="5"/>
      <c r="K656" s="5"/>
      <c r="L656" s="5"/>
      <c r="M656" s="5"/>
      <c r="N656" s="5"/>
      <c r="O656" s="5"/>
      <c r="P656" s="5"/>
      <c r="Q656" s="5"/>
      <c r="R656" s="5"/>
      <c r="S656" s="5"/>
      <c r="T656" s="5"/>
      <c r="U656" s="5"/>
      <c r="V656" s="5"/>
      <c r="W656" s="5"/>
    </row>
    <row r="657">
      <c r="A657" s="5"/>
      <c r="B657" s="3"/>
      <c r="C657" s="5"/>
      <c r="D657" s="5"/>
      <c r="E657" s="5"/>
      <c r="F657" s="5"/>
      <c r="G657" s="5"/>
      <c r="H657" s="5"/>
      <c r="I657" s="5"/>
      <c r="J657" s="5"/>
      <c r="K657" s="5"/>
      <c r="L657" s="5"/>
      <c r="M657" s="5"/>
      <c r="N657" s="5"/>
      <c r="O657" s="5"/>
      <c r="P657" s="5"/>
      <c r="Q657" s="5"/>
      <c r="R657" s="5"/>
      <c r="S657" s="5"/>
      <c r="T657" s="5"/>
      <c r="U657" s="5"/>
      <c r="V657" s="5"/>
      <c r="W657" s="5"/>
    </row>
    <row r="658">
      <c r="A658" s="5"/>
      <c r="B658" s="3"/>
      <c r="C658" s="5"/>
      <c r="D658" s="5"/>
      <c r="E658" s="5"/>
      <c r="F658" s="5"/>
      <c r="G658" s="5"/>
      <c r="H658" s="5"/>
      <c r="I658" s="5"/>
      <c r="J658" s="5"/>
      <c r="K658" s="5"/>
      <c r="L658" s="5"/>
      <c r="M658" s="5"/>
      <c r="N658" s="5"/>
      <c r="O658" s="5"/>
      <c r="P658" s="5"/>
      <c r="Q658" s="5"/>
      <c r="R658" s="5"/>
      <c r="S658" s="5"/>
      <c r="T658" s="5"/>
      <c r="U658" s="5"/>
      <c r="V658" s="5"/>
      <c r="W658" s="5"/>
    </row>
    <row r="659">
      <c r="A659" s="5"/>
      <c r="B659" s="3"/>
      <c r="C659" s="5"/>
      <c r="D659" s="5"/>
      <c r="E659" s="5"/>
      <c r="F659" s="5"/>
      <c r="G659" s="5"/>
      <c r="H659" s="5"/>
      <c r="I659" s="5"/>
      <c r="J659" s="5"/>
      <c r="K659" s="5"/>
      <c r="L659" s="5"/>
      <c r="M659" s="5"/>
      <c r="N659" s="5"/>
      <c r="O659" s="5"/>
      <c r="P659" s="5"/>
      <c r="Q659" s="5"/>
      <c r="R659" s="5"/>
      <c r="S659" s="5"/>
      <c r="T659" s="5"/>
      <c r="U659" s="5"/>
      <c r="V659" s="5"/>
      <c r="W659" s="5"/>
    </row>
    <row r="660">
      <c r="A660" s="5"/>
      <c r="B660" s="3"/>
      <c r="C660" s="5"/>
      <c r="D660" s="5"/>
      <c r="E660" s="5"/>
      <c r="F660" s="5"/>
      <c r="G660" s="5"/>
      <c r="H660" s="5"/>
      <c r="I660" s="5"/>
      <c r="J660" s="5"/>
      <c r="K660" s="5"/>
      <c r="L660" s="5"/>
      <c r="M660" s="5"/>
      <c r="N660" s="5"/>
      <c r="O660" s="5"/>
      <c r="P660" s="5"/>
      <c r="Q660" s="5"/>
      <c r="R660" s="5"/>
      <c r="S660" s="5"/>
      <c r="T660" s="5"/>
      <c r="U660" s="5"/>
      <c r="V660" s="5"/>
      <c r="W660" s="5"/>
    </row>
    <row r="661">
      <c r="A661" s="5"/>
      <c r="B661" s="3"/>
      <c r="C661" s="5"/>
      <c r="D661" s="5"/>
      <c r="E661" s="5"/>
      <c r="F661" s="5"/>
      <c r="G661" s="5"/>
      <c r="H661" s="5"/>
      <c r="I661" s="5"/>
      <c r="J661" s="5"/>
      <c r="K661" s="5"/>
      <c r="L661" s="5"/>
      <c r="M661" s="5"/>
      <c r="N661" s="5"/>
      <c r="O661" s="5"/>
      <c r="P661" s="5"/>
      <c r="Q661" s="5"/>
      <c r="R661" s="5"/>
      <c r="S661" s="5"/>
      <c r="T661" s="5"/>
      <c r="U661" s="5"/>
      <c r="V661" s="5"/>
      <c r="W661" s="5"/>
    </row>
    <row r="662">
      <c r="A662" s="5"/>
      <c r="B662" s="3"/>
      <c r="C662" s="5"/>
      <c r="D662" s="5"/>
      <c r="E662" s="5"/>
      <c r="F662" s="5"/>
      <c r="G662" s="5"/>
      <c r="H662" s="5"/>
      <c r="I662" s="5"/>
      <c r="J662" s="5"/>
      <c r="K662" s="5"/>
      <c r="L662" s="5"/>
      <c r="M662" s="5"/>
      <c r="N662" s="5"/>
      <c r="O662" s="5"/>
      <c r="P662" s="5"/>
      <c r="Q662" s="5"/>
      <c r="R662" s="5"/>
      <c r="S662" s="5"/>
      <c r="T662" s="5"/>
      <c r="U662" s="5"/>
      <c r="V662" s="5"/>
      <c r="W662" s="5"/>
    </row>
    <row r="663">
      <c r="A663" s="5"/>
      <c r="B663" s="3"/>
      <c r="C663" s="5"/>
      <c r="D663" s="5"/>
      <c r="E663" s="5"/>
      <c r="F663" s="5"/>
      <c r="G663" s="5"/>
      <c r="H663" s="5"/>
      <c r="I663" s="5"/>
      <c r="J663" s="5"/>
      <c r="K663" s="5"/>
      <c r="L663" s="5"/>
      <c r="M663" s="5"/>
      <c r="N663" s="5"/>
      <c r="O663" s="5"/>
      <c r="P663" s="5"/>
      <c r="Q663" s="5"/>
      <c r="R663" s="5"/>
      <c r="S663" s="5"/>
      <c r="T663" s="5"/>
      <c r="U663" s="5"/>
      <c r="V663" s="5"/>
      <c r="W663" s="5"/>
    </row>
    <row r="664">
      <c r="A664" s="5"/>
      <c r="B664" s="3"/>
      <c r="C664" s="5"/>
      <c r="D664" s="5"/>
      <c r="E664" s="5"/>
      <c r="F664" s="5"/>
      <c r="G664" s="5"/>
      <c r="H664" s="5"/>
      <c r="I664" s="5"/>
      <c r="J664" s="5"/>
      <c r="K664" s="5"/>
      <c r="L664" s="5"/>
      <c r="M664" s="5"/>
      <c r="N664" s="5"/>
      <c r="O664" s="5"/>
      <c r="P664" s="5"/>
      <c r="Q664" s="5"/>
      <c r="R664" s="5"/>
      <c r="S664" s="5"/>
      <c r="T664" s="5"/>
      <c r="U664" s="5"/>
      <c r="V664" s="5"/>
      <c r="W664" s="5"/>
    </row>
    <row r="665">
      <c r="A665" s="5"/>
      <c r="B665" s="3"/>
      <c r="C665" s="5"/>
      <c r="D665" s="5"/>
      <c r="E665" s="5"/>
      <c r="F665" s="5"/>
      <c r="G665" s="5"/>
      <c r="H665" s="5"/>
      <c r="I665" s="5"/>
      <c r="J665" s="5"/>
      <c r="K665" s="5"/>
      <c r="L665" s="5"/>
      <c r="M665" s="5"/>
      <c r="N665" s="5"/>
      <c r="O665" s="5"/>
      <c r="P665" s="5"/>
      <c r="Q665" s="5"/>
      <c r="R665" s="5"/>
      <c r="S665" s="5"/>
      <c r="T665" s="5"/>
      <c r="U665" s="5"/>
      <c r="V665" s="5"/>
      <c r="W665" s="5"/>
    </row>
    <row r="666">
      <c r="A666" s="5"/>
      <c r="B666" s="3"/>
      <c r="C666" s="5"/>
      <c r="D666" s="5"/>
      <c r="E666" s="5"/>
      <c r="F666" s="5"/>
      <c r="G666" s="5"/>
      <c r="H666" s="5"/>
      <c r="I666" s="5"/>
      <c r="J666" s="5"/>
      <c r="K666" s="5"/>
      <c r="L666" s="5"/>
      <c r="M666" s="5"/>
      <c r="N666" s="5"/>
      <c r="O666" s="5"/>
      <c r="P666" s="5"/>
      <c r="Q666" s="5"/>
      <c r="R666" s="5"/>
      <c r="S666" s="5"/>
      <c r="T666" s="5"/>
      <c r="U666" s="5"/>
      <c r="V666" s="5"/>
      <c r="W666" s="5"/>
    </row>
    <row r="667">
      <c r="A667" s="5"/>
      <c r="B667" s="3"/>
      <c r="C667" s="5"/>
      <c r="D667" s="5"/>
      <c r="E667" s="5"/>
      <c r="F667" s="5"/>
      <c r="G667" s="5"/>
      <c r="H667" s="5"/>
      <c r="I667" s="5"/>
      <c r="J667" s="5"/>
      <c r="K667" s="5"/>
      <c r="L667" s="5"/>
      <c r="M667" s="5"/>
      <c r="N667" s="5"/>
      <c r="O667" s="5"/>
      <c r="P667" s="5"/>
      <c r="Q667" s="5"/>
      <c r="R667" s="5"/>
      <c r="S667" s="5"/>
      <c r="T667" s="5"/>
      <c r="U667" s="5"/>
      <c r="V667" s="5"/>
      <c r="W667" s="5"/>
    </row>
    <row r="668">
      <c r="A668" s="5"/>
      <c r="B668" s="3"/>
      <c r="C668" s="5"/>
      <c r="D668" s="5"/>
      <c r="E668" s="5"/>
      <c r="F668" s="5"/>
      <c r="G668" s="5"/>
      <c r="H668" s="5"/>
      <c r="I668" s="5"/>
      <c r="J668" s="5"/>
      <c r="K668" s="5"/>
      <c r="L668" s="5"/>
      <c r="M668" s="5"/>
      <c r="N668" s="5"/>
      <c r="O668" s="5"/>
      <c r="P668" s="5"/>
      <c r="Q668" s="5"/>
      <c r="R668" s="5"/>
      <c r="S668" s="5"/>
      <c r="T668" s="5"/>
      <c r="U668" s="5"/>
      <c r="V668" s="5"/>
      <c r="W668" s="5"/>
    </row>
    <row r="669">
      <c r="A669" s="5"/>
      <c r="B669" s="3"/>
      <c r="C669" s="5"/>
      <c r="D669" s="5"/>
      <c r="E669" s="5"/>
      <c r="F669" s="5"/>
      <c r="G669" s="5"/>
      <c r="H669" s="5"/>
      <c r="I669" s="5"/>
      <c r="J669" s="5"/>
      <c r="K669" s="5"/>
      <c r="L669" s="5"/>
      <c r="M669" s="5"/>
      <c r="N669" s="5"/>
      <c r="O669" s="5"/>
      <c r="P669" s="5"/>
      <c r="Q669" s="5"/>
      <c r="R669" s="5"/>
      <c r="S669" s="5"/>
      <c r="T669" s="5"/>
      <c r="U669" s="5"/>
      <c r="V669" s="5"/>
      <c r="W669" s="5"/>
    </row>
    <row r="670">
      <c r="A670" s="5"/>
      <c r="B670" s="3"/>
      <c r="C670" s="5"/>
      <c r="D670" s="5"/>
      <c r="E670" s="5"/>
      <c r="F670" s="5"/>
      <c r="G670" s="5"/>
      <c r="H670" s="5"/>
      <c r="I670" s="5"/>
      <c r="J670" s="5"/>
      <c r="K670" s="5"/>
      <c r="L670" s="5"/>
      <c r="M670" s="5"/>
      <c r="N670" s="5"/>
      <c r="O670" s="5"/>
      <c r="P670" s="5"/>
      <c r="Q670" s="5"/>
      <c r="R670" s="5"/>
      <c r="S670" s="5"/>
      <c r="T670" s="5"/>
      <c r="U670" s="5"/>
      <c r="V670" s="5"/>
      <c r="W670" s="5"/>
    </row>
    <row r="671">
      <c r="A671" s="5"/>
      <c r="B671" s="3"/>
      <c r="C671" s="5"/>
      <c r="D671" s="5"/>
      <c r="E671" s="5"/>
      <c r="F671" s="5"/>
      <c r="G671" s="5"/>
      <c r="H671" s="5"/>
      <c r="I671" s="5"/>
      <c r="J671" s="5"/>
      <c r="K671" s="5"/>
      <c r="L671" s="5"/>
      <c r="M671" s="5"/>
      <c r="N671" s="5"/>
      <c r="O671" s="5"/>
      <c r="P671" s="5"/>
      <c r="Q671" s="5"/>
      <c r="R671" s="5"/>
      <c r="S671" s="5"/>
      <c r="T671" s="5"/>
      <c r="U671" s="5"/>
      <c r="V671" s="5"/>
      <c r="W671" s="5"/>
    </row>
    <row r="672">
      <c r="A672" s="5"/>
      <c r="B672" s="3"/>
      <c r="C672" s="5"/>
      <c r="D672" s="5"/>
      <c r="E672" s="5"/>
      <c r="F672" s="5"/>
      <c r="G672" s="5"/>
      <c r="H672" s="5"/>
      <c r="I672" s="5"/>
      <c r="J672" s="5"/>
      <c r="K672" s="5"/>
      <c r="L672" s="5"/>
      <c r="M672" s="5"/>
      <c r="N672" s="5"/>
      <c r="O672" s="5"/>
      <c r="P672" s="5"/>
      <c r="Q672" s="5"/>
      <c r="R672" s="5"/>
      <c r="S672" s="5"/>
      <c r="T672" s="5"/>
      <c r="U672" s="5"/>
      <c r="V672" s="5"/>
      <c r="W672" s="5"/>
    </row>
    <row r="673">
      <c r="A673" s="5"/>
      <c r="B673" s="3"/>
      <c r="C673" s="5"/>
      <c r="D673" s="5"/>
      <c r="E673" s="5"/>
      <c r="F673" s="5"/>
      <c r="G673" s="5"/>
      <c r="H673" s="5"/>
      <c r="I673" s="5"/>
      <c r="J673" s="5"/>
      <c r="K673" s="5"/>
      <c r="L673" s="5"/>
      <c r="M673" s="5"/>
      <c r="N673" s="5"/>
      <c r="O673" s="5"/>
      <c r="P673" s="5"/>
      <c r="Q673" s="5"/>
      <c r="R673" s="5"/>
      <c r="S673" s="5"/>
      <c r="T673" s="5"/>
      <c r="U673" s="5"/>
      <c r="V673" s="5"/>
      <c r="W673" s="5"/>
    </row>
    <row r="674">
      <c r="A674" s="5"/>
      <c r="B674" s="3"/>
      <c r="C674" s="5"/>
      <c r="D674" s="5"/>
      <c r="E674" s="5"/>
      <c r="F674" s="5"/>
      <c r="G674" s="5"/>
      <c r="H674" s="5"/>
      <c r="I674" s="5"/>
      <c r="J674" s="5"/>
      <c r="K674" s="5"/>
      <c r="L674" s="5"/>
      <c r="M674" s="5"/>
      <c r="N674" s="5"/>
      <c r="O674" s="5"/>
      <c r="P674" s="5"/>
      <c r="Q674" s="5"/>
      <c r="R674" s="5"/>
      <c r="S674" s="5"/>
      <c r="T674" s="5"/>
      <c r="U674" s="5"/>
      <c r="V674" s="5"/>
      <c r="W674" s="5"/>
    </row>
    <row r="675">
      <c r="A675" s="5"/>
      <c r="B675" s="3"/>
      <c r="C675" s="5"/>
      <c r="D675" s="5"/>
      <c r="E675" s="5"/>
      <c r="F675" s="5"/>
      <c r="G675" s="5"/>
      <c r="H675" s="5"/>
      <c r="I675" s="5"/>
      <c r="J675" s="5"/>
      <c r="K675" s="5"/>
      <c r="L675" s="5"/>
      <c r="M675" s="5"/>
      <c r="N675" s="5"/>
      <c r="O675" s="5"/>
      <c r="P675" s="5"/>
      <c r="Q675" s="5"/>
      <c r="R675" s="5"/>
      <c r="S675" s="5"/>
      <c r="T675" s="5"/>
      <c r="U675" s="5"/>
      <c r="V675" s="5"/>
      <c r="W675" s="5"/>
    </row>
    <row r="676">
      <c r="A676" s="5"/>
      <c r="B676" s="3"/>
      <c r="C676" s="5"/>
      <c r="D676" s="5"/>
      <c r="E676" s="5"/>
      <c r="F676" s="5"/>
      <c r="G676" s="5"/>
      <c r="H676" s="5"/>
      <c r="I676" s="5"/>
      <c r="J676" s="5"/>
      <c r="K676" s="5"/>
      <c r="L676" s="5"/>
      <c r="M676" s="5"/>
      <c r="N676" s="5"/>
      <c r="O676" s="5"/>
      <c r="P676" s="5"/>
      <c r="Q676" s="5"/>
      <c r="R676" s="5"/>
      <c r="S676" s="5"/>
      <c r="T676" s="5"/>
      <c r="U676" s="5"/>
      <c r="V676" s="5"/>
      <c r="W676" s="5"/>
    </row>
    <row r="677">
      <c r="A677" s="5"/>
      <c r="B677" s="3"/>
      <c r="C677" s="5"/>
      <c r="D677" s="5"/>
      <c r="E677" s="5"/>
      <c r="F677" s="5"/>
      <c r="G677" s="5"/>
      <c r="H677" s="5"/>
      <c r="I677" s="5"/>
      <c r="J677" s="5"/>
      <c r="K677" s="5"/>
      <c r="L677" s="5"/>
      <c r="M677" s="5"/>
      <c r="N677" s="5"/>
      <c r="O677" s="5"/>
      <c r="P677" s="5"/>
      <c r="Q677" s="5"/>
      <c r="R677" s="5"/>
      <c r="S677" s="5"/>
      <c r="T677" s="5"/>
      <c r="U677" s="5"/>
      <c r="V677" s="5"/>
      <c r="W677" s="5"/>
    </row>
    <row r="678">
      <c r="A678" s="5"/>
      <c r="B678" s="3"/>
      <c r="C678" s="5"/>
      <c r="D678" s="5"/>
      <c r="E678" s="5"/>
      <c r="F678" s="5"/>
      <c r="G678" s="5"/>
      <c r="H678" s="5"/>
      <c r="I678" s="5"/>
      <c r="J678" s="5"/>
      <c r="K678" s="5"/>
      <c r="L678" s="5"/>
      <c r="M678" s="5"/>
      <c r="N678" s="5"/>
      <c r="O678" s="5"/>
      <c r="P678" s="5"/>
      <c r="Q678" s="5"/>
      <c r="R678" s="5"/>
      <c r="S678" s="5"/>
      <c r="T678" s="5"/>
      <c r="U678" s="5"/>
      <c r="V678" s="5"/>
      <c r="W678" s="5"/>
    </row>
    <row r="679">
      <c r="A679" s="5"/>
      <c r="B679" s="3"/>
      <c r="C679" s="5"/>
      <c r="D679" s="5"/>
      <c r="E679" s="5"/>
      <c r="F679" s="5"/>
      <c r="G679" s="5"/>
      <c r="H679" s="5"/>
      <c r="I679" s="5"/>
      <c r="J679" s="5"/>
      <c r="K679" s="5"/>
      <c r="L679" s="5"/>
      <c r="M679" s="5"/>
      <c r="N679" s="5"/>
      <c r="O679" s="5"/>
      <c r="P679" s="5"/>
      <c r="Q679" s="5"/>
      <c r="R679" s="5"/>
      <c r="S679" s="5"/>
      <c r="T679" s="5"/>
      <c r="U679" s="5"/>
      <c r="V679" s="5"/>
      <c r="W679" s="5"/>
    </row>
    <row r="680">
      <c r="A680" s="5"/>
      <c r="B680" s="3"/>
      <c r="C680" s="5"/>
      <c r="D680" s="5"/>
      <c r="E680" s="5"/>
      <c r="F680" s="5"/>
      <c r="G680" s="5"/>
      <c r="H680" s="5"/>
      <c r="I680" s="5"/>
      <c r="J680" s="5"/>
      <c r="K680" s="5"/>
      <c r="L680" s="5"/>
      <c r="M680" s="5"/>
      <c r="N680" s="5"/>
      <c r="O680" s="5"/>
      <c r="P680" s="5"/>
      <c r="Q680" s="5"/>
      <c r="R680" s="5"/>
      <c r="S680" s="5"/>
      <c r="T680" s="5"/>
      <c r="U680" s="5"/>
      <c r="V680" s="5"/>
      <c r="W680" s="5"/>
    </row>
    <row r="681">
      <c r="A681" s="5"/>
      <c r="B681" s="3"/>
      <c r="C681" s="5"/>
      <c r="D681" s="5"/>
      <c r="E681" s="5"/>
      <c r="F681" s="5"/>
      <c r="G681" s="5"/>
      <c r="H681" s="5"/>
      <c r="I681" s="5"/>
      <c r="J681" s="5"/>
      <c r="K681" s="5"/>
      <c r="L681" s="5"/>
      <c r="M681" s="5"/>
      <c r="N681" s="5"/>
      <c r="O681" s="5"/>
      <c r="P681" s="5"/>
      <c r="Q681" s="5"/>
      <c r="R681" s="5"/>
      <c r="S681" s="5"/>
      <c r="T681" s="5"/>
      <c r="U681" s="5"/>
      <c r="V681" s="5"/>
      <c r="W681" s="5"/>
    </row>
    <row r="682">
      <c r="A682" s="5"/>
      <c r="B682" s="3"/>
      <c r="C682" s="5"/>
      <c r="D682" s="5"/>
      <c r="E682" s="5"/>
      <c r="F682" s="5"/>
      <c r="G682" s="5"/>
      <c r="H682" s="5"/>
      <c r="I682" s="5"/>
      <c r="J682" s="5"/>
      <c r="K682" s="5"/>
      <c r="L682" s="5"/>
      <c r="M682" s="5"/>
      <c r="N682" s="5"/>
      <c r="O682" s="5"/>
      <c r="P682" s="5"/>
      <c r="Q682" s="5"/>
      <c r="R682" s="5"/>
      <c r="S682" s="5"/>
      <c r="T682" s="5"/>
      <c r="U682" s="5"/>
      <c r="V682" s="5"/>
      <c r="W682" s="5"/>
    </row>
    <row r="683">
      <c r="A683" s="5"/>
      <c r="B683" s="3"/>
      <c r="C683" s="5"/>
      <c r="D683" s="5"/>
      <c r="E683" s="5"/>
      <c r="F683" s="5"/>
      <c r="G683" s="5"/>
      <c r="H683" s="5"/>
      <c r="I683" s="5"/>
      <c r="J683" s="5"/>
      <c r="K683" s="5"/>
      <c r="L683" s="5"/>
      <c r="M683" s="5"/>
      <c r="N683" s="5"/>
      <c r="O683" s="5"/>
      <c r="P683" s="5"/>
      <c r="Q683" s="5"/>
      <c r="R683" s="5"/>
      <c r="S683" s="5"/>
      <c r="T683" s="5"/>
      <c r="U683" s="5"/>
      <c r="V683" s="5"/>
      <c r="W683" s="5"/>
    </row>
    <row r="684">
      <c r="A684" s="5"/>
      <c r="B684" s="3"/>
      <c r="C684" s="5"/>
      <c r="D684" s="5"/>
      <c r="E684" s="5"/>
      <c r="F684" s="5"/>
      <c r="G684" s="5"/>
      <c r="H684" s="5"/>
      <c r="I684" s="5"/>
      <c r="J684" s="5"/>
      <c r="K684" s="5"/>
      <c r="L684" s="5"/>
      <c r="M684" s="5"/>
      <c r="N684" s="5"/>
      <c r="O684" s="5"/>
      <c r="P684" s="5"/>
      <c r="Q684" s="5"/>
      <c r="R684" s="5"/>
      <c r="S684" s="5"/>
      <c r="T684" s="5"/>
      <c r="U684" s="5"/>
      <c r="V684" s="5"/>
      <c r="W684" s="5"/>
    </row>
    <row r="685">
      <c r="A685" s="5"/>
      <c r="B685" s="3"/>
      <c r="C685" s="5"/>
      <c r="D685" s="5"/>
      <c r="E685" s="5"/>
      <c r="F685" s="5"/>
      <c r="G685" s="5"/>
      <c r="H685" s="5"/>
      <c r="I685" s="5"/>
      <c r="J685" s="5"/>
      <c r="K685" s="5"/>
      <c r="L685" s="5"/>
      <c r="M685" s="5"/>
      <c r="N685" s="5"/>
      <c r="O685" s="5"/>
      <c r="P685" s="5"/>
      <c r="Q685" s="5"/>
      <c r="R685" s="5"/>
      <c r="S685" s="5"/>
      <c r="T685" s="5"/>
      <c r="U685" s="5"/>
      <c r="V685" s="5"/>
      <c r="W685" s="5"/>
    </row>
    <row r="686">
      <c r="A686" s="5"/>
      <c r="B686" s="3"/>
      <c r="C686" s="5"/>
      <c r="D686" s="5"/>
      <c r="E686" s="5"/>
      <c r="F686" s="5"/>
      <c r="G686" s="5"/>
      <c r="H686" s="5"/>
      <c r="I686" s="5"/>
      <c r="J686" s="5"/>
      <c r="K686" s="5"/>
      <c r="L686" s="5"/>
      <c r="M686" s="5"/>
      <c r="N686" s="5"/>
      <c r="O686" s="5"/>
      <c r="P686" s="5"/>
      <c r="Q686" s="5"/>
      <c r="R686" s="5"/>
      <c r="S686" s="5"/>
      <c r="T686" s="5"/>
      <c r="U686" s="5"/>
      <c r="V686" s="5"/>
      <c r="W686" s="5"/>
    </row>
    <row r="687">
      <c r="A687" s="5"/>
      <c r="B687" s="3"/>
      <c r="C687" s="5"/>
      <c r="D687" s="5"/>
      <c r="E687" s="5"/>
      <c r="F687" s="5"/>
      <c r="G687" s="5"/>
      <c r="H687" s="5"/>
      <c r="I687" s="5"/>
      <c r="J687" s="5"/>
      <c r="K687" s="5"/>
      <c r="L687" s="5"/>
      <c r="M687" s="5"/>
      <c r="N687" s="5"/>
      <c r="O687" s="5"/>
      <c r="P687" s="5"/>
      <c r="Q687" s="5"/>
      <c r="R687" s="5"/>
      <c r="S687" s="5"/>
      <c r="T687" s="5"/>
      <c r="U687" s="5"/>
      <c r="V687" s="5"/>
      <c r="W687" s="5"/>
    </row>
    <row r="688">
      <c r="A688" s="5"/>
      <c r="B688" s="3"/>
      <c r="C688" s="5"/>
      <c r="D688" s="5"/>
      <c r="E688" s="5"/>
      <c r="F688" s="5"/>
      <c r="G688" s="5"/>
      <c r="H688" s="5"/>
      <c r="I688" s="5"/>
      <c r="J688" s="5"/>
      <c r="K688" s="5"/>
      <c r="L688" s="5"/>
      <c r="M688" s="5"/>
      <c r="N688" s="5"/>
      <c r="O688" s="5"/>
      <c r="P688" s="5"/>
      <c r="Q688" s="5"/>
      <c r="R688" s="5"/>
      <c r="S688" s="5"/>
      <c r="T688" s="5"/>
      <c r="U688" s="5"/>
      <c r="V688" s="5"/>
      <c r="W688" s="5"/>
    </row>
    <row r="689">
      <c r="A689" s="5"/>
      <c r="B689" s="3"/>
      <c r="C689" s="5"/>
      <c r="D689" s="5"/>
      <c r="E689" s="5"/>
      <c r="F689" s="5"/>
      <c r="G689" s="5"/>
      <c r="H689" s="5"/>
      <c r="I689" s="5"/>
      <c r="J689" s="5"/>
      <c r="K689" s="5"/>
      <c r="L689" s="5"/>
      <c r="M689" s="5"/>
      <c r="N689" s="5"/>
      <c r="O689" s="5"/>
      <c r="P689" s="5"/>
      <c r="Q689" s="5"/>
      <c r="R689" s="5"/>
      <c r="S689" s="5"/>
      <c r="T689" s="5"/>
      <c r="U689" s="5"/>
      <c r="V689" s="5"/>
      <c r="W689" s="5"/>
    </row>
    <row r="690">
      <c r="A690" s="5"/>
      <c r="B690" s="3"/>
      <c r="C690" s="5"/>
      <c r="D690" s="5"/>
      <c r="E690" s="5"/>
      <c r="F690" s="5"/>
      <c r="G690" s="5"/>
      <c r="H690" s="5"/>
      <c r="I690" s="5"/>
      <c r="J690" s="5"/>
      <c r="K690" s="5"/>
      <c r="L690" s="5"/>
      <c r="M690" s="5"/>
      <c r="N690" s="5"/>
      <c r="O690" s="5"/>
      <c r="P690" s="5"/>
      <c r="Q690" s="5"/>
      <c r="R690" s="5"/>
      <c r="S690" s="5"/>
      <c r="T690" s="5"/>
      <c r="U690" s="5"/>
      <c r="V690" s="5"/>
      <c r="W690" s="5"/>
    </row>
    <row r="691">
      <c r="A691" s="5"/>
      <c r="B691" s="3"/>
      <c r="C691" s="5"/>
      <c r="D691" s="5"/>
      <c r="E691" s="5"/>
      <c r="F691" s="5"/>
      <c r="G691" s="5"/>
      <c r="H691" s="5"/>
      <c r="I691" s="5"/>
      <c r="J691" s="5"/>
      <c r="K691" s="5"/>
      <c r="L691" s="5"/>
      <c r="M691" s="5"/>
      <c r="N691" s="5"/>
      <c r="O691" s="5"/>
      <c r="P691" s="5"/>
      <c r="Q691" s="5"/>
      <c r="R691" s="5"/>
      <c r="S691" s="5"/>
      <c r="T691" s="5"/>
      <c r="U691" s="5"/>
      <c r="V691" s="5"/>
      <c r="W691" s="5"/>
    </row>
    <row r="692">
      <c r="A692" s="5"/>
      <c r="B692" s="3"/>
      <c r="C692" s="5"/>
      <c r="D692" s="5"/>
      <c r="E692" s="5"/>
      <c r="F692" s="5"/>
      <c r="G692" s="5"/>
      <c r="H692" s="5"/>
      <c r="I692" s="5"/>
      <c r="J692" s="5"/>
      <c r="K692" s="5"/>
      <c r="L692" s="5"/>
      <c r="M692" s="5"/>
      <c r="N692" s="5"/>
      <c r="O692" s="5"/>
      <c r="P692" s="5"/>
      <c r="Q692" s="5"/>
      <c r="R692" s="5"/>
      <c r="S692" s="5"/>
      <c r="T692" s="5"/>
      <c r="U692" s="5"/>
      <c r="V692" s="5"/>
      <c r="W692" s="5"/>
    </row>
    <row r="693">
      <c r="A693" s="5"/>
      <c r="B693" s="3"/>
      <c r="C693" s="5"/>
      <c r="D693" s="5"/>
      <c r="E693" s="5"/>
      <c r="F693" s="5"/>
      <c r="G693" s="5"/>
      <c r="H693" s="5"/>
      <c r="I693" s="5"/>
      <c r="J693" s="5"/>
      <c r="K693" s="5"/>
      <c r="L693" s="5"/>
      <c r="M693" s="5"/>
      <c r="N693" s="5"/>
      <c r="O693" s="5"/>
      <c r="P693" s="5"/>
      <c r="Q693" s="5"/>
      <c r="R693" s="5"/>
      <c r="S693" s="5"/>
      <c r="T693" s="5"/>
      <c r="U693" s="5"/>
      <c r="V693" s="5"/>
      <c r="W693" s="5"/>
    </row>
    <row r="694">
      <c r="A694" s="5"/>
      <c r="B694" s="3"/>
      <c r="C694" s="5"/>
      <c r="D694" s="5"/>
      <c r="E694" s="5"/>
      <c r="F694" s="5"/>
      <c r="G694" s="5"/>
      <c r="H694" s="5"/>
      <c r="I694" s="5"/>
      <c r="J694" s="5"/>
      <c r="K694" s="5"/>
      <c r="L694" s="5"/>
      <c r="M694" s="5"/>
      <c r="N694" s="5"/>
      <c r="O694" s="5"/>
      <c r="P694" s="5"/>
      <c r="Q694" s="5"/>
      <c r="R694" s="5"/>
      <c r="S694" s="5"/>
      <c r="T694" s="5"/>
      <c r="U694" s="5"/>
      <c r="V694" s="5"/>
      <c r="W694" s="5"/>
    </row>
    <row r="695">
      <c r="A695" s="5"/>
      <c r="B695" s="3"/>
      <c r="C695" s="5"/>
      <c r="D695" s="5"/>
      <c r="E695" s="5"/>
      <c r="F695" s="5"/>
      <c r="G695" s="5"/>
      <c r="H695" s="5"/>
      <c r="I695" s="5"/>
      <c r="J695" s="5"/>
      <c r="K695" s="5"/>
      <c r="L695" s="5"/>
      <c r="M695" s="5"/>
      <c r="N695" s="5"/>
      <c r="O695" s="5"/>
      <c r="P695" s="5"/>
      <c r="Q695" s="5"/>
      <c r="R695" s="5"/>
      <c r="S695" s="5"/>
      <c r="T695" s="5"/>
      <c r="U695" s="5"/>
      <c r="V695" s="5"/>
      <c r="W695" s="5"/>
    </row>
    <row r="696">
      <c r="A696" s="5"/>
      <c r="B696" s="3"/>
      <c r="C696" s="5"/>
      <c r="D696" s="5"/>
      <c r="E696" s="5"/>
      <c r="F696" s="5"/>
      <c r="G696" s="5"/>
      <c r="H696" s="5"/>
      <c r="I696" s="5"/>
      <c r="J696" s="5"/>
      <c r="K696" s="5"/>
      <c r="L696" s="5"/>
      <c r="M696" s="5"/>
      <c r="N696" s="5"/>
      <c r="O696" s="5"/>
      <c r="P696" s="5"/>
      <c r="Q696" s="5"/>
      <c r="R696" s="5"/>
      <c r="S696" s="5"/>
      <c r="T696" s="5"/>
      <c r="U696" s="5"/>
      <c r="V696" s="5"/>
      <c r="W696" s="5"/>
    </row>
    <row r="697">
      <c r="A697" s="5"/>
      <c r="B697" s="3"/>
      <c r="C697" s="5"/>
      <c r="D697" s="5"/>
      <c r="E697" s="5"/>
      <c r="F697" s="5"/>
      <c r="G697" s="5"/>
      <c r="H697" s="5"/>
      <c r="I697" s="5"/>
      <c r="J697" s="5"/>
      <c r="K697" s="5"/>
      <c r="L697" s="5"/>
      <c r="M697" s="5"/>
      <c r="N697" s="5"/>
      <c r="O697" s="5"/>
      <c r="P697" s="5"/>
      <c r="Q697" s="5"/>
      <c r="R697" s="5"/>
      <c r="S697" s="5"/>
      <c r="T697" s="5"/>
      <c r="U697" s="5"/>
      <c r="V697" s="5"/>
      <c r="W697" s="5"/>
    </row>
    <row r="698">
      <c r="A698" s="5"/>
      <c r="B698" s="3"/>
      <c r="C698" s="5"/>
      <c r="D698" s="5"/>
      <c r="E698" s="5"/>
      <c r="F698" s="5"/>
      <c r="G698" s="5"/>
      <c r="H698" s="5"/>
      <c r="I698" s="5"/>
      <c r="J698" s="5"/>
      <c r="K698" s="5"/>
      <c r="L698" s="5"/>
      <c r="M698" s="5"/>
      <c r="N698" s="5"/>
      <c r="O698" s="5"/>
      <c r="P698" s="5"/>
      <c r="Q698" s="5"/>
      <c r="R698" s="5"/>
      <c r="S698" s="5"/>
      <c r="T698" s="5"/>
      <c r="U698" s="5"/>
      <c r="V698" s="5"/>
      <c r="W698" s="5"/>
    </row>
    <row r="699">
      <c r="A699" s="5"/>
      <c r="B699" s="3"/>
      <c r="C699" s="5"/>
      <c r="D699" s="5"/>
      <c r="E699" s="5"/>
      <c r="F699" s="5"/>
      <c r="G699" s="5"/>
      <c r="H699" s="5"/>
      <c r="I699" s="5"/>
      <c r="J699" s="5"/>
      <c r="K699" s="5"/>
      <c r="L699" s="5"/>
      <c r="M699" s="5"/>
      <c r="N699" s="5"/>
      <c r="O699" s="5"/>
      <c r="P699" s="5"/>
      <c r="Q699" s="5"/>
      <c r="R699" s="5"/>
      <c r="S699" s="5"/>
      <c r="T699" s="5"/>
      <c r="U699" s="5"/>
      <c r="V699" s="5"/>
      <c r="W699" s="5"/>
    </row>
    <row r="700">
      <c r="A700" s="5"/>
      <c r="B700" s="3"/>
      <c r="C700" s="5"/>
      <c r="D700" s="5"/>
      <c r="E700" s="5"/>
      <c r="F700" s="5"/>
      <c r="G700" s="5"/>
      <c r="H700" s="5"/>
      <c r="I700" s="5"/>
      <c r="J700" s="5"/>
      <c r="K700" s="5"/>
      <c r="L700" s="5"/>
      <c r="M700" s="5"/>
      <c r="N700" s="5"/>
      <c r="O700" s="5"/>
      <c r="P700" s="5"/>
      <c r="Q700" s="5"/>
      <c r="R700" s="5"/>
      <c r="S700" s="5"/>
      <c r="T700" s="5"/>
      <c r="U700" s="5"/>
      <c r="V700" s="5"/>
      <c r="W700" s="5"/>
    </row>
    <row r="701">
      <c r="A701" s="5"/>
      <c r="B701" s="3"/>
      <c r="C701" s="5"/>
      <c r="D701" s="5"/>
      <c r="E701" s="5"/>
      <c r="F701" s="5"/>
      <c r="G701" s="5"/>
      <c r="H701" s="5"/>
      <c r="I701" s="5"/>
      <c r="J701" s="5"/>
      <c r="K701" s="5"/>
      <c r="L701" s="5"/>
      <c r="M701" s="5"/>
      <c r="N701" s="5"/>
      <c r="O701" s="5"/>
      <c r="P701" s="5"/>
      <c r="Q701" s="5"/>
      <c r="R701" s="5"/>
      <c r="S701" s="5"/>
      <c r="T701" s="5"/>
      <c r="U701" s="5"/>
      <c r="V701" s="5"/>
      <c r="W701" s="5"/>
    </row>
    <row r="702">
      <c r="A702" s="5"/>
      <c r="B702" s="3"/>
      <c r="C702" s="5"/>
      <c r="D702" s="5"/>
      <c r="E702" s="5"/>
      <c r="F702" s="5"/>
      <c r="G702" s="5"/>
      <c r="H702" s="5"/>
      <c r="I702" s="5"/>
      <c r="J702" s="5"/>
      <c r="K702" s="5"/>
      <c r="L702" s="5"/>
      <c r="M702" s="5"/>
      <c r="N702" s="5"/>
      <c r="O702" s="5"/>
      <c r="P702" s="5"/>
      <c r="Q702" s="5"/>
      <c r="R702" s="5"/>
      <c r="S702" s="5"/>
      <c r="T702" s="5"/>
      <c r="U702" s="5"/>
      <c r="V702" s="5"/>
      <c r="W702" s="5"/>
    </row>
    <row r="703">
      <c r="A703" s="5"/>
      <c r="B703" s="3"/>
      <c r="C703" s="5"/>
      <c r="D703" s="5"/>
      <c r="E703" s="5"/>
      <c r="F703" s="5"/>
      <c r="G703" s="5"/>
      <c r="H703" s="5"/>
      <c r="I703" s="5"/>
      <c r="J703" s="5"/>
      <c r="K703" s="5"/>
      <c r="L703" s="5"/>
      <c r="M703" s="5"/>
      <c r="N703" s="5"/>
      <c r="O703" s="5"/>
      <c r="P703" s="5"/>
      <c r="Q703" s="5"/>
      <c r="R703" s="5"/>
      <c r="S703" s="5"/>
      <c r="T703" s="5"/>
      <c r="U703" s="5"/>
      <c r="V703" s="5"/>
      <c r="W703" s="5"/>
    </row>
    <row r="704">
      <c r="A704" s="5"/>
      <c r="B704" s="3"/>
      <c r="C704" s="5"/>
      <c r="D704" s="5"/>
      <c r="E704" s="5"/>
      <c r="F704" s="5"/>
      <c r="G704" s="5"/>
      <c r="H704" s="5"/>
      <c r="I704" s="5"/>
      <c r="J704" s="5"/>
      <c r="K704" s="5"/>
      <c r="L704" s="5"/>
      <c r="M704" s="5"/>
      <c r="N704" s="5"/>
      <c r="O704" s="5"/>
      <c r="P704" s="5"/>
      <c r="Q704" s="5"/>
      <c r="R704" s="5"/>
      <c r="S704" s="5"/>
      <c r="T704" s="5"/>
      <c r="U704" s="5"/>
      <c r="V704" s="5"/>
      <c r="W704" s="5"/>
    </row>
    <row r="705">
      <c r="A705" s="5"/>
      <c r="B705" s="3"/>
      <c r="C705" s="5"/>
      <c r="D705" s="5"/>
      <c r="E705" s="5"/>
      <c r="F705" s="5"/>
      <c r="G705" s="5"/>
      <c r="H705" s="5"/>
      <c r="I705" s="5"/>
      <c r="J705" s="5"/>
      <c r="K705" s="5"/>
      <c r="L705" s="5"/>
      <c r="M705" s="5"/>
      <c r="N705" s="5"/>
      <c r="O705" s="5"/>
      <c r="P705" s="5"/>
      <c r="Q705" s="5"/>
      <c r="R705" s="5"/>
      <c r="S705" s="5"/>
      <c r="T705" s="5"/>
      <c r="U705" s="5"/>
      <c r="V705" s="5"/>
      <c r="W705" s="5"/>
    </row>
    <row r="706">
      <c r="A706" s="5"/>
      <c r="B706" s="3"/>
      <c r="C706" s="5"/>
      <c r="D706" s="5"/>
      <c r="E706" s="5"/>
      <c r="F706" s="5"/>
      <c r="G706" s="5"/>
      <c r="H706" s="5"/>
      <c r="I706" s="5"/>
      <c r="J706" s="5"/>
      <c r="K706" s="5"/>
      <c r="L706" s="5"/>
      <c r="M706" s="5"/>
      <c r="N706" s="5"/>
      <c r="O706" s="5"/>
      <c r="P706" s="5"/>
      <c r="Q706" s="5"/>
      <c r="R706" s="5"/>
      <c r="S706" s="5"/>
      <c r="T706" s="5"/>
      <c r="U706" s="5"/>
      <c r="V706" s="5"/>
      <c r="W706" s="5"/>
    </row>
    <row r="707">
      <c r="A707" s="5"/>
      <c r="B707" s="3"/>
      <c r="C707" s="5"/>
      <c r="D707" s="5"/>
      <c r="E707" s="5"/>
      <c r="F707" s="5"/>
      <c r="G707" s="5"/>
      <c r="H707" s="5"/>
      <c r="I707" s="5"/>
      <c r="J707" s="5"/>
      <c r="K707" s="5"/>
      <c r="L707" s="5"/>
      <c r="M707" s="5"/>
      <c r="N707" s="5"/>
      <c r="O707" s="5"/>
      <c r="P707" s="5"/>
      <c r="Q707" s="5"/>
      <c r="R707" s="5"/>
      <c r="S707" s="5"/>
      <c r="T707" s="5"/>
      <c r="U707" s="5"/>
      <c r="V707" s="5"/>
      <c r="W707" s="5"/>
    </row>
    <row r="708">
      <c r="A708" s="5"/>
      <c r="B708" s="3"/>
      <c r="C708" s="5"/>
      <c r="D708" s="5"/>
      <c r="E708" s="5"/>
      <c r="F708" s="5"/>
      <c r="G708" s="5"/>
      <c r="H708" s="5"/>
      <c r="I708" s="5"/>
      <c r="J708" s="5"/>
      <c r="K708" s="5"/>
      <c r="L708" s="5"/>
      <c r="M708" s="5"/>
      <c r="N708" s="5"/>
      <c r="O708" s="5"/>
      <c r="P708" s="5"/>
      <c r="Q708" s="5"/>
      <c r="R708" s="5"/>
      <c r="S708" s="5"/>
      <c r="T708" s="5"/>
      <c r="U708" s="5"/>
      <c r="V708" s="5"/>
      <c r="W708" s="5"/>
    </row>
    <row r="709">
      <c r="A709" s="5"/>
      <c r="B709" s="3"/>
      <c r="C709" s="5"/>
      <c r="D709" s="5"/>
      <c r="E709" s="5"/>
      <c r="F709" s="5"/>
      <c r="G709" s="5"/>
      <c r="H709" s="5"/>
      <c r="I709" s="5"/>
      <c r="J709" s="5"/>
      <c r="K709" s="5"/>
      <c r="L709" s="5"/>
      <c r="M709" s="5"/>
      <c r="N709" s="5"/>
      <c r="O709" s="5"/>
      <c r="P709" s="5"/>
      <c r="Q709" s="5"/>
      <c r="R709" s="5"/>
      <c r="S709" s="5"/>
      <c r="T709" s="5"/>
      <c r="U709" s="5"/>
      <c r="V709" s="5"/>
      <c r="W709" s="5"/>
    </row>
    <row r="710">
      <c r="A710" s="5"/>
      <c r="B710" s="3"/>
      <c r="C710" s="5"/>
      <c r="D710" s="5"/>
      <c r="E710" s="5"/>
      <c r="F710" s="5"/>
      <c r="G710" s="5"/>
      <c r="H710" s="5"/>
      <c r="I710" s="5"/>
      <c r="J710" s="5"/>
      <c r="K710" s="5"/>
      <c r="L710" s="5"/>
      <c r="M710" s="5"/>
      <c r="N710" s="5"/>
      <c r="O710" s="5"/>
      <c r="P710" s="5"/>
      <c r="Q710" s="5"/>
      <c r="R710" s="5"/>
      <c r="S710" s="5"/>
      <c r="T710" s="5"/>
      <c r="U710" s="5"/>
      <c r="V710" s="5"/>
      <c r="W710" s="5"/>
    </row>
    <row r="711">
      <c r="A711" s="5"/>
      <c r="B711" s="3"/>
      <c r="C711" s="5"/>
      <c r="D711" s="5"/>
      <c r="E711" s="5"/>
      <c r="F711" s="5"/>
      <c r="G711" s="5"/>
      <c r="H711" s="5"/>
      <c r="I711" s="5"/>
      <c r="J711" s="5"/>
      <c r="K711" s="5"/>
      <c r="L711" s="5"/>
      <c r="M711" s="5"/>
      <c r="N711" s="5"/>
      <c r="O711" s="5"/>
      <c r="P711" s="5"/>
      <c r="Q711" s="5"/>
      <c r="R711" s="5"/>
      <c r="S711" s="5"/>
      <c r="T711" s="5"/>
      <c r="U711" s="5"/>
      <c r="V711" s="5"/>
      <c r="W711" s="5"/>
    </row>
    <row r="712">
      <c r="A712" s="5"/>
      <c r="B712" s="3"/>
      <c r="C712" s="5"/>
      <c r="D712" s="5"/>
      <c r="E712" s="5"/>
      <c r="F712" s="5"/>
      <c r="G712" s="5"/>
      <c r="H712" s="5"/>
      <c r="I712" s="5"/>
      <c r="J712" s="5"/>
      <c r="K712" s="5"/>
      <c r="L712" s="5"/>
      <c r="M712" s="5"/>
      <c r="N712" s="5"/>
      <c r="O712" s="5"/>
      <c r="P712" s="5"/>
      <c r="Q712" s="5"/>
      <c r="R712" s="5"/>
      <c r="S712" s="5"/>
      <c r="T712" s="5"/>
      <c r="U712" s="5"/>
      <c r="V712" s="5"/>
      <c r="W712" s="5"/>
    </row>
    <row r="713">
      <c r="A713" s="5"/>
      <c r="B713" s="3"/>
      <c r="C713" s="5"/>
      <c r="D713" s="5"/>
      <c r="E713" s="5"/>
      <c r="F713" s="5"/>
      <c r="G713" s="5"/>
      <c r="H713" s="5"/>
      <c r="I713" s="5"/>
      <c r="J713" s="5"/>
      <c r="K713" s="5"/>
      <c r="L713" s="5"/>
      <c r="M713" s="5"/>
      <c r="N713" s="5"/>
      <c r="O713" s="5"/>
      <c r="P713" s="5"/>
      <c r="Q713" s="5"/>
      <c r="R713" s="5"/>
      <c r="S713" s="5"/>
      <c r="T713" s="5"/>
      <c r="U713" s="5"/>
      <c r="V713" s="5"/>
      <c r="W713" s="5"/>
    </row>
    <row r="714">
      <c r="A714" s="5"/>
      <c r="B714" s="3"/>
      <c r="C714" s="5"/>
      <c r="D714" s="5"/>
      <c r="E714" s="5"/>
      <c r="F714" s="5"/>
      <c r="G714" s="5"/>
      <c r="H714" s="5"/>
      <c r="I714" s="5"/>
      <c r="J714" s="5"/>
      <c r="K714" s="5"/>
      <c r="L714" s="5"/>
      <c r="M714" s="5"/>
      <c r="N714" s="5"/>
      <c r="O714" s="5"/>
      <c r="P714" s="5"/>
      <c r="Q714" s="5"/>
      <c r="R714" s="5"/>
      <c r="S714" s="5"/>
      <c r="T714" s="5"/>
      <c r="U714" s="5"/>
      <c r="V714" s="5"/>
      <c r="W714" s="5"/>
    </row>
    <row r="715">
      <c r="A715" s="5"/>
      <c r="B715" s="3"/>
      <c r="C715" s="5"/>
      <c r="D715" s="5"/>
      <c r="E715" s="5"/>
      <c r="F715" s="5"/>
      <c r="G715" s="5"/>
      <c r="H715" s="5"/>
      <c r="I715" s="5"/>
      <c r="J715" s="5"/>
      <c r="K715" s="5"/>
      <c r="L715" s="5"/>
      <c r="M715" s="5"/>
      <c r="N715" s="5"/>
      <c r="O715" s="5"/>
      <c r="P715" s="5"/>
      <c r="Q715" s="5"/>
      <c r="R715" s="5"/>
      <c r="S715" s="5"/>
      <c r="T715" s="5"/>
      <c r="U715" s="5"/>
      <c r="V715" s="5"/>
      <c r="W715" s="5"/>
    </row>
    <row r="716">
      <c r="A716" s="5"/>
      <c r="B716" s="3"/>
      <c r="C716" s="5"/>
      <c r="D716" s="5"/>
      <c r="E716" s="5"/>
      <c r="F716" s="5"/>
      <c r="G716" s="5"/>
      <c r="H716" s="5"/>
      <c r="I716" s="5"/>
      <c r="J716" s="5"/>
      <c r="K716" s="5"/>
      <c r="L716" s="5"/>
      <c r="M716" s="5"/>
      <c r="N716" s="5"/>
      <c r="O716" s="5"/>
      <c r="P716" s="5"/>
      <c r="Q716" s="5"/>
      <c r="R716" s="5"/>
      <c r="S716" s="5"/>
      <c r="T716" s="5"/>
      <c r="U716" s="5"/>
      <c r="V716" s="5"/>
      <c r="W716" s="5"/>
    </row>
    <row r="717">
      <c r="A717" s="5"/>
      <c r="B717" s="3"/>
      <c r="C717" s="5"/>
      <c r="D717" s="5"/>
      <c r="E717" s="5"/>
      <c r="F717" s="5"/>
      <c r="G717" s="5"/>
      <c r="H717" s="5"/>
      <c r="I717" s="5"/>
      <c r="J717" s="5"/>
      <c r="K717" s="5"/>
      <c r="L717" s="5"/>
      <c r="M717" s="5"/>
      <c r="N717" s="5"/>
      <c r="O717" s="5"/>
      <c r="P717" s="5"/>
      <c r="Q717" s="5"/>
      <c r="R717" s="5"/>
      <c r="S717" s="5"/>
      <c r="T717" s="5"/>
      <c r="U717" s="5"/>
      <c r="V717" s="5"/>
      <c r="W717" s="5"/>
    </row>
    <row r="718">
      <c r="A718" s="5"/>
      <c r="B718" s="3"/>
      <c r="C718" s="5"/>
      <c r="D718" s="5"/>
      <c r="E718" s="5"/>
      <c r="F718" s="5"/>
      <c r="G718" s="5"/>
      <c r="H718" s="5"/>
      <c r="I718" s="5"/>
      <c r="J718" s="5"/>
      <c r="K718" s="5"/>
      <c r="L718" s="5"/>
      <c r="M718" s="5"/>
      <c r="N718" s="5"/>
      <c r="O718" s="5"/>
      <c r="P718" s="5"/>
      <c r="Q718" s="5"/>
      <c r="R718" s="5"/>
      <c r="S718" s="5"/>
      <c r="T718" s="5"/>
      <c r="U718" s="5"/>
      <c r="V718" s="5"/>
      <c r="W718" s="5"/>
    </row>
    <row r="719">
      <c r="A719" s="5"/>
      <c r="B719" s="3"/>
      <c r="C719" s="5"/>
      <c r="D719" s="5"/>
      <c r="E719" s="5"/>
      <c r="F719" s="5"/>
      <c r="G719" s="5"/>
      <c r="H719" s="5"/>
      <c r="I719" s="5"/>
      <c r="J719" s="5"/>
      <c r="K719" s="5"/>
      <c r="L719" s="5"/>
      <c r="M719" s="5"/>
      <c r="N719" s="5"/>
      <c r="O719" s="5"/>
      <c r="P719" s="5"/>
      <c r="Q719" s="5"/>
      <c r="R719" s="5"/>
      <c r="S719" s="5"/>
      <c r="T719" s="5"/>
      <c r="U719" s="5"/>
      <c r="V719" s="5"/>
      <c r="W719" s="5"/>
    </row>
    <row r="720">
      <c r="A720" s="5"/>
      <c r="B720" s="3"/>
      <c r="C720" s="5"/>
      <c r="D720" s="5"/>
      <c r="E720" s="5"/>
      <c r="F720" s="5"/>
      <c r="G720" s="5"/>
      <c r="H720" s="5"/>
      <c r="I720" s="5"/>
      <c r="J720" s="5"/>
      <c r="K720" s="5"/>
      <c r="L720" s="5"/>
      <c r="M720" s="5"/>
      <c r="N720" s="5"/>
      <c r="O720" s="5"/>
      <c r="P720" s="5"/>
      <c r="Q720" s="5"/>
      <c r="R720" s="5"/>
      <c r="S720" s="5"/>
      <c r="T720" s="5"/>
      <c r="U720" s="5"/>
      <c r="V720" s="5"/>
      <c r="W720" s="5"/>
    </row>
    <row r="721">
      <c r="A721" s="5"/>
      <c r="B721" s="3"/>
      <c r="C721" s="5"/>
      <c r="D721" s="5"/>
      <c r="E721" s="5"/>
      <c r="F721" s="5"/>
      <c r="G721" s="5"/>
      <c r="H721" s="5"/>
      <c r="I721" s="5"/>
      <c r="J721" s="5"/>
      <c r="K721" s="5"/>
      <c r="L721" s="5"/>
      <c r="M721" s="5"/>
      <c r="N721" s="5"/>
      <c r="O721" s="5"/>
      <c r="P721" s="5"/>
      <c r="Q721" s="5"/>
      <c r="R721" s="5"/>
      <c r="S721" s="5"/>
      <c r="T721" s="5"/>
      <c r="U721" s="5"/>
      <c r="V721" s="5"/>
      <c r="W721" s="5"/>
    </row>
    <row r="722">
      <c r="A722" s="5"/>
      <c r="B722" s="3"/>
      <c r="C722" s="5"/>
      <c r="D722" s="5"/>
      <c r="E722" s="5"/>
      <c r="F722" s="5"/>
      <c r="G722" s="5"/>
      <c r="H722" s="5"/>
      <c r="I722" s="5"/>
      <c r="J722" s="5"/>
      <c r="K722" s="5"/>
      <c r="L722" s="5"/>
      <c r="M722" s="5"/>
      <c r="N722" s="5"/>
      <c r="O722" s="5"/>
      <c r="P722" s="5"/>
      <c r="Q722" s="5"/>
      <c r="R722" s="5"/>
      <c r="S722" s="5"/>
      <c r="T722" s="5"/>
      <c r="U722" s="5"/>
      <c r="V722" s="5"/>
      <c r="W722" s="5"/>
    </row>
    <row r="723">
      <c r="A723" s="5"/>
      <c r="B723" s="3"/>
      <c r="C723" s="5"/>
      <c r="D723" s="5"/>
      <c r="E723" s="5"/>
      <c r="F723" s="5"/>
      <c r="G723" s="5"/>
      <c r="H723" s="5"/>
      <c r="I723" s="5"/>
      <c r="J723" s="5"/>
      <c r="K723" s="5"/>
      <c r="L723" s="5"/>
      <c r="M723" s="5"/>
      <c r="N723" s="5"/>
      <c r="O723" s="5"/>
      <c r="P723" s="5"/>
      <c r="Q723" s="5"/>
      <c r="R723" s="5"/>
      <c r="S723" s="5"/>
      <c r="T723" s="5"/>
      <c r="U723" s="5"/>
      <c r="V723" s="5"/>
      <c r="W723" s="5"/>
    </row>
    <row r="724">
      <c r="A724" s="5"/>
      <c r="B724" s="3"/>
      <c r="C724" s="5"/>
      <c r="D724" s="5"/>
      <c r="E724" s="5"/>
      <c r="F724" s="5"/>
      <c r="G724" s="5"/>
      <c r="H724" s="5"/>
      <c r="I724" s="5"/>
      <c r="J724" s="5"/>
      <c r="K724" s="5"/>
      <c r="L724" s="5"/>
      <c r="M724" s="5"/>
      <c r="N724" s="5"/>
      <c r="O724" s="5"/>
      <c r="P724" s="5"/>
      <c r="Q724" s="5"/>
      <c r="R724" s="5"/>
      <c r="S724" s="5"/>
      <c r="T724" s="5"/>
      <c r="U724" s="5"/>
      <c r="V724" s="5"/>
      <c r="W724" s="5"/>
    </row>
    <row r="725">
      <c r="A725" s="5"/>
      <c r="B725" s="3"/>
      <c r="C725" s="5"/>
      <c r="D725" s="5"/>
      <c r="E725" s="5"/>
      <c r="F725" s="5"/>
      <c r="G725" s="5"/>
      <c r="H725" s="5"/>
      <c r="I725" s="5"/>
      <c r="J725" s="5"/>
      <c r="K725" s="5"/>
      <c r="L725" s="5"/>
      <c r="M725" s="5"/>
      <c r="N725" s="5"/>
      <c r="O725" s="5"/>
      <c r="P725" s="5"/>
      <c r="Q725" s="5"/>
      <c r="R725" s="5"/>
      <c r="S725" s="5"/>
      <c r="T725" s="5"/>
      <c r="U725" s="5"/>
      <c r="V725" s="5"/>
      <c r="W725" s="5"/>
    </row>
    <row r="726">
      <c r="A726" s="5"/>
      <c r="B726" s="3"/>
      <c r="C726" s="5"/>
      <c r="D726" s="5"/>
      <c r="E726" s="5"/>
      <c r="F726" s="5"/>
      <c r="G726" s="5"/>
      <c r="H726" s="5"/>
      <c r="I726" s="5"/>
      <c r="J726" s="5"/>
      <c r="K726" s="5"/>
      <c r="L726" s="5"/>
      <c r="M726" s="5"/>
      <c r="N726" s="5"/>
      <c r="O726" s="5"/>
      <c r="P726" s="5"/>
      <c r="Q726" s="5"/>
      <c r="R726" s="5"/>
      <c r="S726" s="5"/>
      <c r="T726" s="5"/>
      <c r="U726" s="5"/>
      <c r="V726" s="5"/>
      <c r="W726" s="5"/>
    </row>
    <row r="727">
      <c r="A727" s="5"/>
      <c r="B727" s="3"/>
      <c r="C727" s="5"/>
      <c r="D727" s="5"/>
      <c r="E727" s="5"/>
      <c r="F727" s="5"/>
      <c r="G727" s="5"/>
      <c r="H727" s="5"/>
      <c r="I727" s="5"/>
      <c r="J727" s="5"/>
      <c r="K727" s="5"/>
      <c r="L727" s="5"/>
      <c r="M727" s="5"/>
      <c r="N727" s="5"/>
      <c r="O727" s="5"/>
      <c r="P727" s="5"/>
      <c r="Q727" s="5"/>
      <c r="R727" s="5"/>
      <c r="S727" s="5"/>
      <c r="T727" s="5"/>
      <c r="U727" s="5"/>
      <c r="V727" s="5"/>
      <c r="W727" s="5"/>
    </row>
    <row r="728">
      <c r="A728" s="5"/>
      <c r="B728" s="3"/>
      <c r="C728" s="5"/>
      <c r="D728" s="5"/>
      <c r="E728" s="5"/>
      <c r="F728" s="5"/>
      <c r="G728" s="5"/>
      <c r="H728" s="5"/>
      <c r="I728" s="5"/>
      <c r="J728" s="5"/>
      <c r="K728" s="5"/>
      <c r="L728" s="5"/>
      <c r="M728" s="5"/>
      <c r="N728" s="5"/>
      <c r="O728" s="5"/>
      <c r="P728" s="5"/>
      <c r="Q728" s="5"/>
      <c r="R728" s="5"/>
      <c r="S728" s="5"/>
      <c r="T728" s="5"/>
      <c r="U728" s="5"/>
      <c r="V728" s="5"/>
      <c r="W728" s="5"/>
    </row>
    <row r="729">
      <c r="A729" s="5"/>
      <c r="B729" s="3"/>
      <c r="C729" s="5"/>
      <c r="D729" s="5"/>
      <c r="E729" s="5"/>
      <c r="F729" s="5"/>
      <c r="G729" s="5"/>
      <c r="H729" s="5"/>
      <c r="I729" s="5"/>
      <c r="J729" s="5"/>
      <c r="K729" s="5"/>
      <c r="L729" s="5"/>
      <c r="M729" s="5"/>
      <c r="N729" s="5"/>
      <c r="O729" s="5"/>
      <c r="P729" s="5"/>
      <c r="Q729" s="5"/>
      <c r="R729" s="5"/>
      <c r="S729" s="5"/>
      <c r="T729" s="5"/>
      <c r="U729" s="5"/>
      <c r="V729" s="5"/>
      <c r="W729" s="5"/>
    </row>
    <row r="730">
      <c r="A730" s="5"/>
      <c r="B730" s="3"/>
      <c r="C730" s="5"/>
      <c r="D730" s="5"/>
      <c r="E730" s="5"/>
      <c r="F730" s="5"/>
      <c r="G730" s="5"/>
      <c r="H730" s="5"/>
      <c r="I730" s="5"/>
      <c r="J730" s="5"/>
      <c r="K730" s="5"/>
      <c r="L730" s="5"/>
      <c r="M730" s="5"/>
      <c r="N730" s="5"/>
      <c r="O730" s="5"/>
      <c r="P730" s="5"/>
      <c r="Q730" s="5"/>
      <c r="R730" s="5"/>
      <c r="S730" s="5"/>
      <c r="T730" s="5"/>
      <c r="U730" s="5"/>
      <c r="V730" s="5"/>
      <c r="W730" s="5"/>
    </row>
    <row r="731">
      <c r="A731" s="5"/>
      <c r="B731" s="3"/>
      <c r="C731" s="5"/>
      <c r="D731" s="5"/>
      <c r="E731" s="5"/>
      <c r="F731" s="5"/>
      <c r="G731" s="5"/>
      <c r="H731" s="5"/>
      <c r="I731" s="5"/>
      <c r="J731" s="5"/>
      <c r="K731" s="5"/>
      <c r="L731" s="5"/>
      <c r="M731" s="5"/>
      <c r="N731" s="5"/>
      <c r="O731" s="5"/>
      <c r="P731" s="5"/>
      <c r="Q731" s="5"/>
      <c r="R731" s="5"/>
      <c r="S731" s="5"/>
      <c r="T731" s="5"/>
      <c r="U731" s="5"/>
      <c r="V731" s="5"/>
      <c r="W731" s="5"/>
    </row>
    <row r="732">
      <c r="A732" s="5"/>
      <c r="B732" s="3"/>
      <c r="C732" s="5"/>
      <c r="D732" s="5"/>
      <c r="E732" s="5"/>
      <c r="F732" s="5"/>
      <c r="G732" s="5"/>
      <c r="H732" s="5"/>
      <c r="I732" s="5"/>
      <c r="J732" s="5"/>
      <c r="K732" s="5"/>
      <c r="L732" s="5"/>
      <c r="M732" s="5"/>
      <c r="N732" s="5"/>
      <c r="O732" s="5"/>
      <c r="P732" s="5"/>
      <c r="Q732" s="5"/>
      <c r="R732" s="5"/>
      <c r="S732" s="5"/>
      <c r="T732" s="5"/>
      <c r="U732" s="5"/>
      <c r="V732" s="5"/>
      <c r="W732" s="5"/>
    </row>
    <row r="733">
      <c r="A733" s="5"/>
      <c r="B733" s="3"/>
      <c r="C733" s="5"/>
      <c r="D733" s="5"/>
      <c r="E733" s="5"/>
      <c r="F733" s="5"/>
      <c r="G733" s="5"/>
      <c r="H733" s="5"/>
      <c r="I733" s="5"/>
      <c r="J733" s="5"/>
      <c r="K733" s="5"/>
      <c r="L733" s="5"/>
      <c r="M733" s="5"/>
      <c r="N733" s="5"/>
      <c r="O733" s="5"/>
      <c r="P733" s="5"/>
      <c r="Q733" s="5"/>
      <c r="R733" s="5"/>
      <c r="S733" s="5"/>
      <c r="T733" s="5"/>
      <c r="U733" s="5"/>
      <c r="V733" s="5"/>
      <c r="W733" s="5"/>
    </row>
    <row r="734">
      <c r="A734" s="5"/>
      <c r="B734" s="3"/>
      <c r="C734" s="5"/>
      <c r="D734" s="5"/>
      <c r="E734" s="5"/>
      <c r="F734" s="5"/>
      <c r="G734" s="5"/>
      <c r="H734" s="5"/>
      <c r="I734" s="5"/>
      <c r="J734" s="5"/>
      <c r="K734" s="5"/>
      <c r="L734" s="5"/>
      <c r="M734" s="5"/>
      <c r="N734" s="5"/>
      <c r="O734" s="5"/>
      <c r="P734" s="5"/>
      <c r="Q734" s="5"/>
      <c r="R734" s="5"/>
      <c r="S734" s="5"/>
      <c r="T734" s="5"/>
      <c r="U734" s="5"/>
      <c r="V734" s="5"/>
      <c r="W734" s="5"/>
    </row>
    <row r="735">
      <c r="A735" s="5"/>
      <c r="B735" s="3"/>
      <c r="C735" s="5"/>
      <c r="D735" s="5"/>
      <c r="E735" s="5"/>
      <c r="F735" s="5"/>
      <c r="G735" s="5"/>
      <c r="H735" s="5"/>
      <c r="I735" s="5"/>
      <c r="J735" s="5"/>
      <c r="K735" s="5"/>
      <c r="L735" s="5"/>
      <c r="M735" s="5"/>
      <c r="N735" s="5"/>
      <c r="O735" s="5"/>
      <c r="P735" s="5"/>
      <c r="Q735" s="5"/>
      <c r="R735" s="5"/>
      <c r="S735" s="5"/>
      <c r="T735" s="5"/>
      <c r="U735" s="5"/>
      <c r="V735" s="5"/>
      <c r="W735" s="5"/>
    </row>
    <row r="736">
      <c r="A736" s="5"/>
      <c r="B736" s="3"/>
      <c r="C736" s="5"/>
      <c r="D736" s="5"/>
      <c r="E736" s="5"/>
      <c r="F736" s="5"/>
      <c r="G736" s="5"/>
      <c r="H736" s="5"/>
      <c r="I736" s="5"/>
      <c r="J736" s="5"/>
      <c r="K736" s="5"/>
      <c r="L736" s="5"/>
      <c r="M736" s="5"/>
      <c r="N736" s="5"/>
      <c r="O736" s="5"/>
      <c r="P736" s="5"/>
      <c r="Q736" s="5"/>
      <c r="R736" s="5"/>
      <c r="S736" s="5"/>
      <c r="T736" s="5"/>
      <c r="U736" s="5"/>
      <c r="V736" s="5"/>
      <c r="W736" s="5"/>
    </row>
    <row r="737">
      <c r="A737" s="5"/>
      <c r="B737" s="3"/>
      <c r="C737" s="5"/>
      <c r="D737" s="5"/>
      <c r="E737" s="5"/>
      <c r="F737" s="5"/>
      <c r="G737" s="5"/>
      <c r="H737" s="5"/>
      <c r="I737" s="5"/>
      <c r="J737" s="5"/>
      <c r="K737" s="5"/>
      <c r="L737" s="5"/>
      <c r="M737" s="5"/>
      <c r="N737" s="5"/>
      <c r="O737" s="5"/>
      <c r="P737" s="5"/>
      <c r="Q737" s="5"/>
      <c r="R737" s="5"/>
      <c r="S737" s="5"/>
      <c r="T737" s="5"/>
      <c r="U737" s="5"/>
      <c r="V737" s="5"/>
      <c r="W737" s="5"/>
    </row>
    <row r="738">
      <c r="A738" s="5"/>
      <c r="B738" s="3"/>
      <c r="C738" s="5"/>
      <c r="D738" s="5"/>
      <c r="E738" s="5"/>
      <c r="F738" s="5"/>
      <c r="G738" s="5"/>
      <c r="H738" s="5"/>
      <c r="I738" s="5"/>
      <c r="J738" s="5"/>
      <c r="K738" s="5"/>
      <c r="L738" s="5"/>
      <c r="M738" s="5"/>
      <c r="N738" s="5"/>
      <c r="O738" s="5"/>
      <c r="P738" s="5"/>
      <c r="Q738" s="5"/>
      <c r="R738" s="5"/>
      <c r="S738" s="5"/>
      <c r="T738" s="5"/>
      <c r="U738" s="5"/>
      <c r="V738" s="5"/>
      <c r="W738" s="5"/>
    </row>
    <row r="739">
      <c r="A739" s="5"/>
      <c r="B739" s="3"/>
      <c r="C739" s="5"/>
      <c r="D739" s="5"/>
      <c r="E739" s="5"/>
      <c r="F739" s="5"/>
      <c r="G739" s="5"/>
      <c r="H739" s="5"/>
      <c r="I739" s="5"/>
      <c r="J739" s="5"/>
      <c r="K739" s="5"/>
      <c r="L739" s="5"/>
      <c r="M739" s="5"/>
      <c r="N739" s="5"/>
      <c r="O739" s="5"/>
      <c r="P739" s="5"/>
      <c r="Q739" s="5"/>
      <c r="R739" s="5"/>
      <c r="S739" s="5"/>
      <c r="T739" s="5"/>
      <c r="U739" s="5"/>
      <c r="V739" s="5"/>
      <c r="W739" s="5"/>
    </row>
    <row r="740">
      <c r="A740" s="5"/>
      <c r="B740" s="3"/>
      <c r="C740" s="5"/>
      <c r="D740" s="5"/>
      <c r="E740" s="5"/>
      <c r="F740" s="5"/>
      <c r="G740" s="5"/>
      <c r="H740" s="5"/>
      <c r="I740" s="5"/>
      <c r="J740" s="5"/>
      <c r="K740" s="5"/>
      <c r="L740" s="5"/>
      <c r="M740" s="5"/>
      <c r="N740" s="5"/>
      <c r="O740" s="5"/>
      <c r="P740" s="5"/>
      <c r="Q740" s="5"/>
      <c r="R740" s="5"/>
      <c r="S740" s="5"/>
      <c r="T740" s="5"/>
      <c r="U740" s="5"/>
      <c r="V740" s="5"/>
      <c r="W740" s="5"/>
    </row>
    <row r="741">
      <c r="A741" s="5"/>
      <c r="B741" s="3"/>
      <c r="C741" s="5"/>
      <c r="D741" s="5"/>
      <c r="E741" s="5"/>
      <c r="F741" s="5"/>
      <c r="G741" s="5"/>
      <c r="H741" s="5"/>
      <c r="I741" s="5"/>
      <c r="J741" s="5"/>
      <c r="K741" s="5"/>
      <c r="L741" s="5"/>
      <c r="M741" s="5"/>
      <c r="N741" s="5"/>
      <c r="O741" s="5"/>
      <c r="P741" s="5"/>
      <c r="Q741" s="5"/>
      <c r="R741" s="5"/>
      <c r="S741" s="5"/>
      <c r="T741" s="5"/>
      <c r="U741" s="5"/>
      <c r="V741" s="5"/>
      <c r="W741" s="5"/>
    </row>
    <row r="742">
      <c r="A742" s="5"/>
      <c r="B742" s="3"/>
      <c r="C742" s="5"/>
      <c r="D742" s="5"/>
      <c r="E742" s="5"/>
      <c r="F742" s="5"/>
      <c r="G742" s="5"/>
      <c r="H742" s="5"/>
      <c r="I742" s="5"/>
      <c r="J742" s="5"/>
      <c r="K742" s="5"/>
      <c r="L742" s="5"/>
      <c r="M742" s="5"/>
      <c r="N742" s="5"/>
      <c r="O742" s="5"/>
      <c r="P742" s="5"/>
      <c r="Q742" s="5"/>
      <c r="R742" s="5"/>
      <c r="S742" s="5"/>
      <c r="T742" s="5"/>
      <c r="U742" s="5"/>
      <c r="V742" s="5"/>
      <c r="W742" s="5"/>
    </row>
    <row r="743">
      <c r="A743" s="5"/>
      <c r="B743" s="3"/>
      <c r="C743" s="5"/>
      <c r="D743" s="5"/>
      <c r="E743" s="5"/>
      <c r="F743" s="5"/>
      <c r="G743" s="5"/>
      <c r="H743" s="5"/>
      <c r="I743" s="5"/>
      <c r="J743" s="5"/>
      <c r="K743" s="5"/>
      <c r="L743" s="5"/>
      <c r="M743" s="5"/>
      <c r="N743" s="5"/>
      <c r="O743" s="5"/>
      <c r="P743" s="5"/>
      <c r="Q743" s="5"/>
      <c r="R743" s="5"/>
      <c r="S743" s="5"/>
      <c r="T743" s="5"/>
      <c r="U743" s="5"/>
      <c r="V743" s="5"/>
      <c r="W743" s="5"/>
    </row>
    <row r="744">
      <c r="A744" s="5"/>
      <c r="B744" s="3"/>
      <c r="C744" s="5"/>
      <c r="D744" s="5"/>
      <c r="E744" s="5"/>
      <c r="F744" s="5"/>
      <c r="G744" s="5"/>
      <c r="H744" s="5"/>
      <c r="I744" s="5"/>
      <c r="J744" s="5"/>
      <c r="K744" s="5"/>
      <c r="L744" s="5"/>
      <c r="M744" s="5"/>
      <c r="N744" s="5"/>
      <c r="O744" s="5"/>
      <c r="P744" s="5"/>
      <c r="Q744" s="5"/>
      <c r="R744" s="5"/>
      <c r="S744" s="5"/>
      <c r="T744" s="5"/>
      <c r="U744" s="5"/>
      <c r="V744" s="5"/>
      <c r="W744" s="5"/>
    </row>
    <row r="745">
      <c r="A745" s="5"/>
      <c r="B745" s="3"/>
      <c r="C745" s="5"/>
      <c r="D745" s="5"/>
      <c r="E745" s="5"/>
      <c r="F745" s="5"/>
      <c r="G745" s="5"/>
      <c r="H745" s="5"/>
      <c r="I745" s="5"/>
      <c r="J745" s="5"/>
      <c r="K745" s="5"/>
      <c r="L745" s="5"/>
      <c r="M745" s="5"/>
      <c r="N745" s="5"/>
      <c r="O745" s="5"/>
      <c r="P745" s="5"/>
      <c r="Q745" s="5"/>
      <c r="R745" s="5"/>
      <c r="S745" s="5"/>
      <c r="T745" s="5"/>
      <c r="U745" s="5"/>
      <c r="V745" s="5"/>
      <c r="W745" s="5"/>
    </row>
    <row r="746">
      <c r="A746" s="5"/>
      <c r="B746" s="3"/>
      <c r="C746" s="5"/>
      <c r="D746" s="5"/>
      <c r="E746" s="5"/>
      <c r="F746" s="5"/>
      <c r="G746" s="5"/>
      <c r="H746" s="5"/>
      <c r="I746" s="5"/>
      <c r="J746" s="5"/>
      <c r="K746" s="5"/>
      <c r="L746" s="5"/>
      <c r="M746" s="5"/>
      <c r="N746" s="5"/>
      <c r="O746" s="5"/>
      <c r="P746" s="5"/>
      <c r="Q746" s="5"/>
      <c r="R746" s="5"/>
      <c r="S746" s="5"/>
      <c r="T746" s="5"/>
      <c r="U746" s="5"/>
      <c r="V746" s="5"/>
      <c r="W746" s="5"/>
    </row>
    <row r="747">
      <c r="A747" s="5"/>
      <c r="B747" s="3"/>
      <c r="C747" s="5"/>
      <c r="D747" s="5"/>
      <c r="E747" s="5"/>
      <c r="F747" s="5"/>
      <c r="G747" s="5"/>
      <c r="H747" s="5"/>
      <c r="I747" s="5"/>
      <c r="J747" s="5"/>
      <c r="K747" s="5"/>
      <c r="L747" s="5"/>
      <c r="M747" s="5"/>
      <c r="N747" s="5"/>
      <c r="O747" s="5"/>
      <c r="P747" s="5"/>
      <c r="Q747" s="5"/>
      <c r="R747" s="5"/>
      <c r="S747" s="5"/>
      <c r="T747" s="5"/>
      <c r="U747" s="5"/>
      <c r="V747" s="5"/>
      <c r="W747" s="5"/>
    </row>
    <row r="748">
      <c r="A748" s="5"/>
      <c r="B748" s="3"/>
      <c r="C748" s="5"/>
      <c r="D748" s="5"/>
      <c r="E748" s="5"/>
      <c r="F748" s="5"/>
      <c r="G748" s="5"/>
      <c r="H748" s="5"/>
      <c r="I748" s="5"/>
      <c r="J748" s="5"/>
      <c r="K748" s="5"/>
      <c r="L748" s="5"/>
      <c r="M748" s="5"/>
      <c r="N748" s="5"/>
      <c r="O748" s="5"/>
      <c r="P748" s="5"/>
      <c r="Q748" s="5"/>
      <c r="R748" s="5"/>
      <c r="S748" s="5"/>
      <c r="T748" s="5"/>
      <c r="U748" s="5"/>
      <c r="V748" s="5"/>
      <c r="W748" s="5"/>
    </row>
    <row r="749">
      <c r="A749" s="5"/>
      <c r="B749" s="3"/>
      <c r="C749" s="5"/>
      <c r="D749" s="5"/>
      <c r="E749" s="5"/>
      <c r="F749" s="5"/>
      <c r="G749" s="5"/>
      <c r="H749" s="5"/>
      <c r="I749" s="5"/>
      <c r="J749" s="5"/>
      <c r="K749" s="5"/>
      <c r="L749" s="5"/>
      <c r="M749" s="5"/>
      <c r="N749" s="5"/>
      <c r="O749" s="5"/>
      <c r="P749" s="5"/>
      <c r="Q749" s="5"/>
      <c r="R749" s="5"/>
      <c r="S749" s="5"/>
      <c r="T749" s="5"/>
      <c r="U749" s="5"/>
      <c r="V749" s="5"/>
      <c r="W749" s="5"/>
    </row>
    <row r="750">
      <c r="A750" s="5"/>
      <c r="B750" s="3"/>
      <c r="C750" s="5"/>
      <c r="D750" s="5"/>
      <c r="E750" s="5"/>
      <c r="F750" s="5"/>
      <c r="G750" s="5"/>
      <c r="H750" s="5"/>
      <c r="I750" s="5"/>
      <c r="J750" s="5"/>
      <c r="K750" s="5"/>
      <c r="L750" s="5"/>
      <c r="M750" s="5"/>
      <c r="N750" s="5"/>
      <c r="O750" s="5"/>
      <c r="P750" s="5"/>
      <c r="Q750" s="5"/>
      <c r="R750" s="5"/>
      <c r="S750" s="5"/>
      <c r="T750" s="5"/>
      <c r="U750" s="5"/>
      <c r="V750" s="5"/>
      <c r="W750" s="5"/>
    </row>
    <row r="751">
      <c r="A751" s="5"/>
      <c r="B751" s="3"/>
      <c r="C751" s="5"/>
      <c r="D751" s="5"/>
      <c r="E751" s="5"/>
      <c r="F751" s="5"/>
      <c r="G751" s="5"/>
      <c r="H751" s="5"/>
      <c r="I751" s="5"/>
      <c r="J751" s="5"/>
      <c r="K751" s="5"/>
      <c r="L751" s="5"/>
      <c r="M751" s="5"/>
      <c r="N751" s="5"/>
      <c r="O751" s="5"/>
      <c r="P751" s="5"/>
      <c r="Q751" s="5"/>
      <c r="R751" s="5"/>
      <c r="S751" s="5"/>
      <c r="T751" s="5"/>
      <c r="U751" s="5"/>
      <c r="V751" s="5"/>
      <c r="W751" s="5"/>
    </row>
    <row r="752">
      <c r="A752" s="5"/>
      <c r="B752" s="3"/>
      <c r="C752" s="5"/>
      <c r="D752" s="5"/>
      <c r="E752" s="5"/>
      <c r="F752" s="5"/>
      <c r="G752" s="5"/>
      <c r="H752" s="5"/>
      <c r="I752" s="5"/>
      <c r="J752" s="5"/>
      <c r="K752" s="5"/>
      <c r="L752" s="5"/>
      <c r="M752" s="5"/>
      <c r="N752" s="5"/>
      <c r="O752" s="5"/>
      <c r="P752" s="5"/>
      <c r="Q752" s="5"/>
      <c r="R752" s="5"/>
      <c r="S752" s="5"/>
      <c r="T752" s="5"/>
      <c r="U752" s="5"/>
      <c r="V752" s="5"/>
      <c r="W752" s="5"/>
    </row>
    <row r="753">
      <c r="A753" s="5"/>
      <c r="B753" s="3"/>
      <c r="C753" s="5"/>
      <c r="D753" s="5"/>
      <c r="E753" s="5"/>
      <c r="F753" s="5"/>
      <c r="G753" s="5"/>
      <c r="H753" s="5"/>
      <c r="I753" s="5"/>
      <c r="J753" s="5"/>
      <c r="K753" s="5"/>
      <c r="L753" s="5"/>
      <c r="M753" s="5"/>
      <c r="N753" s="5"/>
      <c r="O753" s="5"/>
      <c r="P753" s="5"/>
      <c r="Q753" s="5"/>
      <c r="R753" s="5"/>
      <c r="S753" s="5"/>
      <c r="T753" s="5"/>
      <c r="U753" s="5"/>
      <c r="V753" s="5"/>
      <c r="W753" s="5"/>
    </row>
    <row r="754">
      <c r="A754" s="5"/>
      <c r="B754" s="3"/>
      <c r="C754" s="5"/>
      <c r="D754" s="5"/>
      <c r="E754" s="5"/>
      <c r="F754" s="5"/>
      <c r="G754" s="5"/>
      <c r="H754" s="5"/>
      <c r="I754" s="5"/>
      <c r="J754" s="5"/>
      <c r="K754" s="5"/>
      <c r="L754" s="5"/>
      <c r="M754" s="5"/>
      <c r="N754" s="5"/>
      <c r="O754" s="5"/>
      <c r="P754" s="5"/>
      <c r="Q754" s="5"/>
      <c r="R754" s="5"/>
      <c r="S754" s="5"/>
      <c r="T754" s="5"/>
      <c r="U754" s="5"/>
      <c r="V754" s="5"/>
      <c r="W754" s="5"/>
    </row>
    <row r="755">
      <c r="A755" s="5"/>
      <c r="B755" s="3"/>
      <c r="C755" s="5"/>
      <c r="D755" s="5"/>
      <c r="E755" s="5"/>
      <c r="F755" s="5"/>
      <c r="G755" s="5"/>
      <c r="H755" s="5"/>
      <c r="I755" s="5"/>
      <c r="J755" s="5"/>
      <c r="K755" s="5"/>
      <c r="L755" s="5"/>
      <c r="M755" s="5"/>
      <c r="N755" s="5"/>
      <c r="O755" s="5"/>
      <c r="P755" s="5"/>
      <c r="Q755" s="5"/>
      <c r="R755" s="5"/>
      <c r="S755" s="5"/>
      <c r="T755" s="5"/>
      <c r="U755" s="5"/>
      <c r="V755" s="5"/>
      <c r="W755" s="5"/>
    </row>
    <row r="756">
      <c r="A756" s="5"/>
      <c r="B756" s="3"/>
      <c r="C756" s="5"/>
      <c r="D756" s="5"/>
      <c r="E756" s="5"/>
      <c r="F756" s="5"/>
      <c r="G756" s="5"/>
      <c r="H756" s="5"/>
      <c r="I756" s="5"/>
      <c r="J756" s="5"/>
      <c r="K756" s="5"/>
      <c r="L756" s="5"/>
      <c r="M756" s="5"/>
      <c r="N756" s="5"/>
      <c r="O756" s="5"/>
      <c r="P756" s="5"/>
      <c r="Q756" s="5"/>
      <c r="R756" s="5"/>
      <c r="S756" s="5"/>
      <c r="T756" s="5"/>
      <c r="U756" s="5"/>
      <c r="V756" s="5"/>
      <c r="W756" s="5"/>
    </row>
    <row r="757">
      <c r="A757" s="5"/>
      <c r="B757" s="3"/>
      <c r="C757" s="5"/>
      <c r="D757" s="5"/>
      <c r="E757" s="5"/>
      <c r="F757" s="5"/>
      <c r="G757" s="5"/>
      <c r="H757" s="5"/>
      <c r="I757" s="5"/>
      <c r="J757" s="5"/>
      <c r="K757" s="5"/>
      <c r="L757" s="5"/>
      <c r="M757" s="5"/>
      <c r="N757" s="5"/>
      <c r="O757" s="5"/>
      <c r="P757" s="5"/>
      <c r="Q757" s="5"/>
      <c r="R757" s="5"/>
      <c r="S757" s="5"/>
      <c r="T757" s="5"/>
      <c r="U757" s="5"/>
      <c r="V757" s="5"/>
      <c r="W757" s="5"/>
    </row>
    <row r="758">
      <c r="A758" s="5"/>
      <c r="B758" s="3"/>
      <c r="C758" s="5"/>
      <c r="D758" s="5"/>
      <c r="E758" s="5"/>
      <c r="F758" s="5"/>
      <c r="G758" s="5"/>
      <c r="H758" s="5"/>
      <c r="I758" s="5"/>
      <c r="J758" s="5"/>
      <c r="K758" s="5"/>
      <c r="L758" s="5"/>
      <c r="M758" s="5"/>
      <c r="N758" s="5"/>
      <c r="O758" s="5"/>
      <c r="P758" s="5"/>
      <c r="Q758" s="5"/>
      <c r="R758" s="5"/>
      <c r="S758" s="5"/>
      <c r="T758" s="5"/>
      <c r="U758" s="5"/>
      <c r="V758" s="5"/>
      <c r="W758" s="5"/>
    </row>
    <row r="759">
      <c r="A759" s="5"/>
      <c r="B759" s="3"/>
      <c r="C759" s="5"/>
      <c r="D759" s="5"/>
      <c r="E759" s="5"/>
      <c r="F759" s="5"/>
      <c r="G759" s="5"/>
      <c r="H759" s="5"/>
      <c r="I759" s="5"/>
      <c r="J759" s="5"/>
      <c r="K759" s="5"/>
      <c r="L759" s="5"/>
      <c r="M759" s="5"/>
      <c r="N759" s="5"/>
      <c r="O759" s="5"/>
      <c r="P759" s="5"/>
      <c r="Q759" s="5"/>
      <c r="R759" s="5"/>
      <c r="S759" s="5"/>
      <c r="T759" s="5"/>
      <c r="U759" s="5"/>
      <c r="V759" s="5"/>
      <c r="W759" s="5"/>
    </row>
    <row r="760">
      <c r="A760" s="5"/>
      <c r="B760" s="3"/>
      <c r="C760" s="5"/>
      <c r="D760" s="5"/>
      <c r="E760" s="5"/>
      <c r="F760" s="5"/>
      <c r="G760" s="5"/>
      <c r="H760" s="5"/>
      <c r="I760" s="5"/>
      <c r="J760" s="5"/>
      <c r="K760" s="5"/>
      <c r="L760" s="5"/>
      <c r="M760" s="5"/>
      <c r="N760" s="5"/>
      <c r="O760" s="5"/>
      <c r="P760" s="5"/>
      <c r="Q760" s="5"/>
      <c r="R760" s="5"/>
      <c r="S760" s="5"/>
      <c r="T760" s="5"/>
      <c r="U760" s="5"/>
      <c r="V760" s="5"/>
      <c r="W760" s="5"/>
    </row>
    <row r="761">
      <c r="A761" s="5"/>
      <c r="B761" s="3"/>
      <c r="C761" s="5"/>
      <c r="D761" s="5"/>
      <c r="E761" s="5"/>
      <c r="F761" s="5"/>
      <c r="G761" s="5"/>
      <c r="H761" s="5"/>
      <c r="I761" s="5"/>
      <c r="J761" s="5"/>
      <c r="K761" s="5"/>
      <c r="L761" s="5"/>
      <c r="M761" s="5"/>
      <c r="N761" s="5"/>
      <c r="O761" s="5"/>
      <c r="P761" s="5"/>
      <c r="Q761" s="5"/>
      <c r="R761" s="5"/>
      <c r="S761" s="5"/>
      <c r="T761" s="5"/>
      <c r="U761" s="5"/>
      <c r="V761" s="5"/>
      <c r="W761" s="5"/>
    </row>
    <row r="762">
      <c r="A762" s="5"/>
      <c r="B762" s="3"/>
      <c r="C762" s="5"/>
      <c r="D762" s="5"/>
      <c r="E762" s="5"/>
      <c r="F762" s="5"/>
      <c r="G762" s="5"/>
      <c r="H762" s="5"/>
      <c r="I762" s="5"/>
      <c r="J762" s="5"/>
      <c r="K762" s="5"/>
      <c r="L762" s="5"/>
      <c r="M762" s="5"/>
      <c r="N762" s="5"/>
      <c r="O762" s="5"/>
      <c r="P762" s="5"/>
      <c r="Q762" s="5"/>
      <c r="R762" s="5"/>
      <c r="S762" s="5"/>
      <c r="T762" s="5"/>
      <c r="U762" s="5"/>
      <c r="V762" s="5"/>
      <c r="W762" s="5"/>
    </row>
    <row r="763">
      <c r="A763" s="5"/>
      <c r="B763" s="3"/>
      <c r="C763" s="5"/>
      <c r="D763" s="5"/>
      <c r="E763" s="5"/>
      <c r="F763" s="5"/>
      <c r="G763" s="5"/>
      <c r="H763" s="5"/>
      <c r="I763" s="5"/>
      <c r="J763" s="5"/>
      <c r="K763" s="5"/>
      <c r="L763" s="5"/>
      <c r="M763" s="5"/>
      <c r="N763" s="5"/>
      <c r="O763" s="5"/>
      <c r="P763" s="5"/>
      <c r="Q763" s="5"/>
      <c r="R763" s="5"/>
      <c r="S763" s="5"/>
      <c r="T763" s="5"/>
      <c r="U763" s="5"/>
      <c r="V763" s="5"/>
      <c r="W763" s="5"/>
    </row>
    <row r="764">
      <c r="A764" s="5"/>
      <c r="B764" s="3"/>
      <c r="C764" s="5"/>
      <c r="D764" s="5"/>
      <c r="E764" s="5"/>
      <c r="F764" s="5"/>
      <c r="G764" s="5"/>
      <c r="H764" s="5"/>
      <c r="I764" s="5"/>
      <c r="J764" s="5"/>
      <c r="K764" s="5"/>
      <c r="L764" s="5"/>
      <c r="M764" s="5"/>
      <c r="N764" s="5"/>
      <c r="O764" s="5"/>
      <c r="P764" s="5"/>
      <c r="Q764" s="5"/>
      <c r="R764" s="5"/>
      <c r="S764" s="5"/>
      <c r="T764" s="5"/>
      <c r="U764" s="5"/>
      <c r="V764" s="5"/>
      <c r="W764" s="5"/>
    </row>
    <row r="765">
      <c r="A765" s="5"/>
      <c r="B765" s="3"/>
      <c r="C765" s="5"/>
      <c r="D765" s="5"/>
      <c r="E765" s="5"/>
      <c r="F765" s="5"/>
      <c r="G765" s="5"/>
      <c r="H765" s="5"/>
      <c r="I765" s="5"/>
      <c r="J765" s="5"/>
      <c r="K765" s="5"/>
      <c r="L765" s="5"/>
      <c r="M765" s="5"/>
      <c r="N765" s="5"/>
      <c r="O765" s="5"/>
      <c r="P765" s="5"/>
      <c r="Q765" s="5"/>
      <c r="R765" s="5"/>
      <c r="S765" s="5"/>
      <c r="T765" s="5"/>
      <c r="U765" s="5"/>
      <c r="V765" s="5"/>
      <c r="W765" s="5"/>
    </row>
    <row r="766">
      <c r="A766" s="5"/>
      <c r="B766" s="3"/>
      <c r="C766" s="5"/>
      <c r="D766" s="5"/>
      <c r="E766" s="5"/>
      <c r="F766" s="5"/>
      <c r="G766" s="5"/>
      <c r="H766" s="5"/>
      <c r="I766" s="5"/>
      <c r="J766" s="5"/>
      <c r="K766" s="5"/>
      <c r="L766" s="5"/>
      <c r="M766" s="5"/>
      <c r="N766" s="5"/>
      <c r="O766" s="5"/>
      <c r="P766" s="5"/>
      <c r="Q766" s="5"/>
      <c r="R766" s="5"/>
      <c r="S766" s="5"/>
      <c r="T766" s="5"/>
      <c r="U766" s="5"/>
      <c r="V766" s="5"/>
      <c r="W766" s="5"/>
    </row>
    <row r="767">
      <c r="A767" s="5"/>
      <c r="B767" s="3"/>
      <c r="C767" s="5"/>
      <c r="D767" s="5"/>
      <c r="E767" s="5"/>
      <c r="F767" s="5"/>
      <c r="G767" s="5"/>
      <c r="H767" s="5"/>
      <c r="I767" s="5"/>
      <c r="J767" s="5"/>
      <c r="K767" s="5"/>
      <c r="L767" s="5"/>
      <c r="M767" s="5"/>
      <c r="N767" s="5"/>
      <c r="O767" s="5"/>
      <c r="P767" s="5"/>
      <c r="Q767" s="5"/>
      <c r="R767" s="5"/>
      <c r="S767" s="5"/>
      <c r="T767" s="5"/>
      <c r="U767" s="5"/>
      <c r="V767" s="5"/>
      <c r="W767" s="5"/>
    </row>
    <row r="768">
      <c r="A768" s="5"/>
      <c r="B768" s="3"/>
      <c r="C768" s="5"/>
      <c r="D768" s="5"/>
      <c r="E768" s="5"/>
      <c r="F768" s="5"/>
      <c r="G768" s="5"/>
      <c r="H768" s="5"/>
      <c r="I768" s="5"/>
      <c r="J768" s="5"/>
      <c r="K768" s="5"/>
      <c r="L768" s="5"/>
      <c r="M768" s="5"/>
      <c r="N768" s="5"/>
      <c r="O768" s="5"/>
      <c r="P768" s="5"/>
      <c r="Q768" s="5"/>
      <c r="R768" s="5"/>
      <c r="S768" s="5"/>
      <c r="T768" s="5"/>
      <c r="U768" s="5"/>
      <c r="V768" s="5"/>
      <c r="W768" s="5"/>
    </row>
    <row r="769">
      <c r="A769" s="5"/>
      <c r="B769" s="3"/>
      <c r="C769" s="5"/>
      <c r="D769" s="5"/>
      <c r="E769" s="5"/>
      <c r="F769" s="5"/>
      <c r="G769" s="5"/>
      <c r="H769" s="5"/>
      <c r="I769" s="5"/>
      <c r="J769" s="5"/>
      <c r="K769" s="5"/>
      <c r="L769" s="5"/>
      <c r="M769" s="5"/>
      <c r="N769" s="5"/>
      <c r="O769" s="5"/>
      <c r="P769" s="5"/>
      <c r="Q769" s="5"/>
      <c r="R769" s="5"/>
      <c r="S769" s="5"/>
      <c r="T769" s="5"/>
      <c r="U769" s="5"/>
      <c r="V769" s="5"/>
      <c r="W769" s="5"/>
    </row>
    <row r="770">
      <c r="A770" s="5"/>
      <c r="B770" s="3"/>
      <c r="C770" s="5"/>
      <c r="D770" s="5"/>
      <c r="E770" s="5"/>
      <c r="F770" s="5"/>
      <c r="G770" s="5"/>
      <c r="H770" s="5"/>
      <c r="I770" s="5"/>
      <c r="J770" s="5"/>
      <c r="K770" s="5"/>
      <c r="L770" s="5"/>
      <c r="M770" s="5"/>
      <c r="N770" s="5"/>
      <c r="O770" s="5"/>
      <c r="P770" s="5"/>
      <c r="Q770" s="5"/>
      <c r="R770" s="5"/>
      <c r="S770" s="5"/>
      <c r="T770" s="5"/>
      <c r="U770" s="5"/>
      <c r="V770" s="5"/>
      <c r="W770" s="5"/>
    </row>
    <row r="771">
      <c r="A771" s="5"/>
      <c r="B771" s="3"/>
      <c r="C771" s="5"/>
      <c r="D771" s="5"/>
      <c r="E771" s="5"/>
      <c r="F771" s="5"/>
      <c r="G771" s="5"/>
      <c r="H771" s="5"/>
      <c r="I771" s="5"/>
      <c r="J771" s="5"/>
      <c r="K771" s="5"/>
      <c r="L771" s="5"/>
      <c r="M771" s="5"/>
      <c r="N771" s="5"/>
      <c r="O771" s="5"/>
      <c r="P771" s="5"/>
      <c r="Q771" s="5"/>
      <c r="R771" s="5"/>
      <c r="S771" s="5"/>
      <c r="T771" s="5"/>
      <c r="U771" s="5"/>
      <c r="V771" s="5"/>
      <c r="W771" s="5"/>
    </row>
    <row r="772">
      <c r="A772" s="5"/>
      <c r="B772" s="3"/>
      <c r="C772" s="5"/>
      <c r="D772" s="5"/>
      <c r="E772" s="5"/>
      <c r="F772" s="5"/>
      <c r="G772" s="5"/>
      <c r="H772" s="5"/>
      <c r="I772" s="5"/>
      <c r="J772" s="5"/>
      <c r="K772" s="5"/>
      <c r="L772" s="5"/>
      <c r="M772" s="5"/>
      <c r="N772" s="5"/>
      <c r="O772" s="5"/>
      <c r="P772" s="5"/>
      <c r="Q772" s="5"/>
      <c r="R772" s="5"/>
      <c r="S772" s="5"/>
      <c r="T772" s="5"/>
      <c r="U772" s="5"/>
      <c r="V772" s="5"/>
      <c r="W772" s="5"/>
    </row>
    <row r="773">
      <c r="A773" s="5"/>
      <c r="B773" s="3"/>
      <c r="C773" s="5"/>
      <c r="D773" s="5"/>
      <c r="E773" s="5"/>
      <c r="F773" s="5"/>
      <c r="G773" s="5"/>
      <c r="H773" s="5"/>
      <c r="I773" s="5"/>
      <c r="J773" s="5"/>
      <c r="K773" s="5"/>
      <c r="L773" s="5"/>
      <c r="M773" s="5"/>
      <c r="N773" s="5"/>
      <c r="O773" s="5"/>
      <c r="P773" s="5"/>
      <c r="Q773" s="5"/>
      <c r="R773" s="5"/>
      <c r="S773" s="5"/>
      <c r="T773" s="5"/>
      <c r="U773" s="5"/>
      <c r="V773" s="5"/>
      <c r="W773" s="5"/>
    </row>
    <row r="774">
      <c r="A774" s="5"/>
      <c r="B774" s="3"/>
      <c r="C774" s="5"/>
      <c r="D774" s="5"/>
      <c r="E774" s="5"/>
      <c r="F774" s="5"/>
      <c r="G774" s="5"/>
      <c r="H774" s="5"/>
      <c r="I774" s="5"/>
      <c r="J774" s="5"/>
      <c r="K774" s="5"/>
      <c r="L774" s="5"/>
      <c r="M774" s="5"/>
      <c r="N774" s="5"/>
      <c r="O774" s="5"/>
      <c r="P774" s="5"/>
      <c r="Q774" s="5"/>
      <c r="R774" s="5"/>
      <c r="S774" s="5"/>
      <c r="T774" s="5"/>
      <c r="U774" s="5"/>
      <c r="V774" s="5"/>
      <c r="W774" s="5"/>
    </row>
    <row r="775">
      <c r="A775" s="5"/>
      <c r="B775" s="3"/>
      <c r="C775" s="5"/>
      <c r="D775" s="5"/>
      <c r="E775" s="5"/>
      <c r="F775" s="5"/>
      <c r="G775" s="5"/>
      <c r="H775" s="5"/>
      <c r="I775" s="5"/>
      <c r="J775" s="5"/>
      <c r="K775" s="5"/>
      <c r="L775" s="5"/>
      <c r="M775" s="5"/>
      <c r="N775" s="5"/>
      <c r="O775" s="5"/>
      <c r="P775" s="5"/>
      <c r="Q775" s="5"/>
      <c r="R775" s="5"/>
      <c r="S775" s="5"/>
      <c r="T775" s="5"/>
      <c r="U775" s="5"/>
      <c r="V775" s="5"/>
      <c r="W775" s="5"/>
    </row>
    <row r="776">
      <c r="A776" s="5"/>
      <c r="B776" s="3"/>
      <c r="C776" s="5"/>
      <c r="D776" s="5"/>
      <c r="E776" s="5"/>
      <c r="F776" s="5"/>
      <c r="G776" s="5"/>
      <c r="H776" s="5"/>
      <c r="I776" s="5"/>
      <c r="J776" s="5"/>
      <c r="K776" s="5"/>
      <c r="L776" s="5"/>
      <c r="M776" s="5"/>
      <c r="N776" s="5"/>
      <c r="O776" s="5"/>
      <c r="P776" s="5"/>
      <c r="Q776" s="5"/>
      <c r="R776" s="5"/>
      <c r="S776" s="5"/>
      <c r="T776" s="5"/>
      <c r="U776" s="5"/>
      <c r="V776" s="5"/>
      <c r="W776" s="5"/>
    </row>
    <row r="777">
      <c r="A777" s="5"/>
      <c r="B777" s="3"/>
      <c r="C777" s="5"/>
      <c r="D777" s="5"/>
      <c r="E777" s="5"/>
      <c r="F777" s="5"/>
      <c r="G777" s="5"/>
      <c r="H777" s="5"/>
      <c r="I777" s="5"/>
      <c r="J777" s="5"/>
      <c r="K777" s="5"/>
      <c r="L777" s="5"/>
      <c r="M777" s="5"/>
      <c r="N777" s="5"/>
      <c r="O777" s="5"/>
      <c r="P777" s="5"/>
      <c r="Q777" s="5"/>
      <c r="R777" s="5"/>
      <c r="S777" s="5"/>
      <c r="T777" s="5"/>
      <c r="U777" s="5"/>
      <c r="V777" s="5"/>
      <c r="W777" s="5"/>
    </row>
    <row r="778">
      <c r="A778" s="5"/>
      <c r="B778" s="3"/>
      <c r="C778" s="5"/>
      <c r="D778" s="5"/>
      <c r="E778" s="5"/>
      <c r="F778" s="5"/>
      <c r="G778" s="5"/>
      <c r="H778" s="5"/>
      <c r="I778" s="5"/>
      <c r="J778" s="5"/>
      <c r="K778" s="5"/>
      <c r="L778" s="5"/>
      <c r="M778" s="5"/>
      <c r="N778" s="5"/>
      <c r="O778" s="5"/>
      <c r="P778" s="5"/>
      <c r="Q778" s="5"/>
      <c r="R778" s="5"/>
      <c r="S778" s="5"/>
      <c r="T778" s="5"/>
      <c r="U778" s="5"/>
      <c r="V778" s="5"/>
      <c r="W778" s="5"/>
    </row>
    <row r="779">
      <c r="A779" s="5"/>
      <c r="B779" s="3"/>
      <c r="C779" s="5"/>
      <c r="D779" s="5"/>
      <c r="E779" s="5"/>
      <c r="F779" s="5"/>
      <c r="G779" s="5"/>
      <c r="H779" s="5"/>
      <c r="I779" s="5"/>
      <c r="J779" s="5"/>
      <c r="K779" s="5"/>
      <c r="L779" s="5"/>
      <c r="M779" s="5"/>
      <c r="N779" s="5"/>
      <c r="O779" s="5"/>
      <c r="P779" s="5"/>
      <c r="Q779" s="5"/>
      <c r="R779" s="5"/>
      <c r="S779" s="5"/>
      <c r="T779" s="5"/>
      <c r="U779" s="5"/>
      <c r="V779" s="5"/>
      <c r="W779" s="5"/>
    </row>
    <row r="780">
      <c r="A780" s="5"/>
      <c r="B780" s="3"/>
      <c r="C780" s="5"/>
      <c r="D780" s="5"/>
      <c r="E780" s="5"/>
      <c r="F780" s="5"/>
      <c r="G780" s="5"/>
      <c r="H780" s="5"/>
      <c r="I780" s="5"/>
      <c r="J780" s="5"/>
      <c r="K780" s="5"/>
      <c r="L780" s="5"/>
      <c r="M780" s="5"/>
      <c r="N780" s="5"/>
      <c r="O780" s="5"/>
      <c r="P780" s="5"/>
      <c r="Q780" s="5"/>
      <c r="R780" s="5"/>
      <c r="S780" s="5"/>
      <c r="T780" s="5"/>
      <c r="U780" s="5"/>
      <c r="V780" s="5"/>
      <c r="W780" s="5"/>
    </row>
    <row r="781">
      <c r="A781" s="5"/>
      <c r="B781" s="3"/>
      <c r="C781" s="5"/>
      <c r="D781" s="5"/>
      <c r="E781" s="5"/>
      <c r="F781" s="5"/>
      <c r="G781" s="5"/>
      <c r="H781" s="5"/>
      <c r="I781" s="5"/>
      <c r="J781" s="5"/>
      <c r="K781" s="5"/>
      <c r="L781" s="5"/>
      <c r="M781" s="5"/>
      <c r="N781" s="5"/>
      <c r="O781" s="5"/>
      <c r="P781" s="5"/>
      <c r="Q781" s="5"/>
      <c r="R781" s="5"/>
      <c r="S781" s="5"/>
      <c r="T781" s="5"/>
      <c r="U781" s="5"/>
      <c r="V781" s="5"/>
      <c r="W781" s="5"/>
    </row>
    <row r="782">
      <c r="A782" s="5"/>
      <c r="B782" s="3"/>
      <c r="C782" s="5"/>
      <c r="D782" s="5"/>
      <c r="E782" s="5"/>
      <c r="F782" s="5"/>
      <c r="G782" s="5"/>
      <c r="H782" s="5"/>
      <c r="I782" s="5"/>
      <c r="J782" s="5"/>
      <c r="K782" s="5"/>
      <c r="L782" s="5"/>
      <c r="M782" s="5"/>
      <c r="N782" s="5"/>
      <c r="O782" s="5"/>
      <c r="P782" s="5"/>
      <c r="Q782" s="5"/>
      <c r="R782" s="5"/>
      <c r="S782" s="5"/>
      <c r="T782" s="5"/>
      <c r="U782" s="5"/>
      <c r="V782" s="5"/>
      <c r="W782" s="5"/>
    </row>
    <row r="783">
      <c r="A783" s="5"/>
      <c r="B783" s="3"/>
      <c r="C783" s="5"/>
      <c r="D783" s="5"/>
      <c r="E783" s="5"/>
      <c r="F783" s="5"/>
      <c r="G783" s="5"/>
      <c r="H783" s="5"/>
      <c r="I783" s="5"/>
      <c r="J783" s="5"/>
      <c r="K783" s="5"/>
      <c r="L783" s="5"/>
      <c r="M783" s="5"/>
      <c r="N783" s="5"/>
      <c r="O783" s="5"/>
      <c r="P783" s="5"/>
      <c r="Q783" s="5"/>
      <c r="R783" s="5"/>
      <c r="S783" s="5"/>
      <c r="T783" s="5"/>
      <c r="U783" s="5"/>
      <c r="V783" s="5"/>
      <c r="W783" s="5"/>
    </row>
    <row r="784">
      <c r="A784" s="5"/>
      <c r="B784" s="3"/>
      <c r="C784" s="5"/>
      <c r="D784" s="5"/>
      <c r="E784" s="5"/>
      <c r="F784" s="5"/>
      <c r="G784" s="5"/>
      <c r="H784" s="5"/>
      <c r="I784" s="5"/>
      <c r="J784" s="5"/>
      <c r="K784" s="5"/>
      <c r="L784" s="5"/>
      <c r="M784" s="5"/>
      <c r="N784" s="5"/>
      <c r="O784" s="5"/>
      <c r="P784" s="5"/>
      <c r="Q784" s="5"/>
      <c r="R784" s="5"/>
      <c r="S784" s="5"/>
      <c r="T784" s="5"/>
      <c r="U784" s="5"/>
      <c r="V784" s="5"/>
      <c r="W784" s="5"/>
    </row>
    <row r="785">
      <c r="A785" s="5"/>
      <c r="B785" s="3"/>
      <c r="C785" s="5"/>
      <c r="D785" s="5"/>
      <c r="E785" s="5"/>
      <c r="F785" s="5"/>
      <c r="G785" s="5"/>
      <c r="H785" s="5"/>
      <c r="I785" s="5"/>
      <c r="J785" s="5"/>
      <c r="K785" s="5"/>
      <c r="L785" s="5"/>
      <c r="M785" s="5"/>
      <c r="N785" s="5"/>
      <c r="O785" s="5"/>
      <c r="P785" s="5"/>
      <c r="Q785" s="5"/>
      <c r="R785" s="5"/>
      <c r="S785" s="5"/>
      <c r="T785" s="5"/>
      <c r="U785" s="5"/>
      <c r="V785" s="5"/>
      <c r="W785" s="5"/>
    </row>
    <row r="786">
      <c r="A786" s="5"/>
      <c r="B786" s="3"/>
      <c r="C786" s="5"/>
      <c r="D786" s="5"/>
      <c r="E786" s="5"/>
      <c r="F786" s="5"/>
      <c r="G786" s="5"/>
      <c r="H786" s="5"/>
      <c r="I786" s="5"/>
      <c r="J786" s="5"/>
      <c r="K786" s="5"/>
      <c r="L786" s="5"/>
      <c r="M786" s="5"/>
      <c r="N786" s="5"/>
      <c r="O786" s="5"/>
      <c r="P786" s="5"/>
      <c r="Q786" s="5"/>
      <c r="R786" s="5"/>
      <c r="S786" s="5"/>
      <c r="T786" s="5"/>
      <c r="U786" s="5"/>
      <c r="V786" s="5"/>
      <c r="W786" s="5"/>
    </row>
    <row r="787">
      <c r="A787" s="5"/>
      <c r="B787" s="3"/>
      <c r="C787" s="5"/>
      <c r="D787" s="5"/>
      <c r="E787" s="5"/>
      <c r="F787" s="5"/>
      <c r="G787" s="5"/>
      <c r="H787" s="5"/>
      <c r="I787" s="5"/>
      <c r="J787" s="5"/>
      <c r="K787" s="5"/>
      <c r="L787" s="5"/>
      <c r="M787" s="5"/>
      <c r="N787" s="5"/>
      <c r="O787" s="5"/>
      <c r="P787" s="5"/>
      <c r="Q787" s="5"/>
      <c r="R787" s="5"/>
      <c r="S787" s="5"/>
      <c r="T787" s="5"/>
      <c r="U787" s="5"/>
      <c r="V787" s="5"/>
      <c r="W787" s="5"/>
    </row>
    <row r="788">
      <c r="A788" s="5"/>
      <c r="B788" s="3"/>
      <c r="C788" s="5"/>
      <c r="D788" s="5"/>
      <c r="E788" s="5"/>
      <c r="F788" s="5"/>
      <c r="G788" s="5"/>
      <c r="H788" s="5"/>
      <c r="I788" s="5"/>
      <c r="J788" s="5"/>
      <c r="K788" s="5"/>
      <c r="L788" s="5"/>
      <c r="M788" s="5"/>
      <c r="N788" s="5"/>
      <c r="O788" s="5"/>
      <c r="P788" s="5"/>
      <c r="Q788" s="5"/>
      <c r="R788" s="5"/>
      <c r="S788" s="5"/>
      <c r="T788" s="5"/>
      <c r="U788" s="5"/>
      <c r="V788" s="5"/>
      <c r="W788" s="5"/>
    </row>
    <row r="789">
      <c r="A789" s="5"/>
      <c r="B789" s="3"/>
      <c r="C789" s="5"/>
      <c r="D789" s="5"/>
      <c r="E789" s="5"/>
      <c r="F789" s="5"/>
      <c r="G789" s="5"/>
      <c r="H789" s="5"/>
      <c r="I789" s="5"/>
      <c r="J789" s="5"/>
      <c r="K789" s="5"/>
      <c r="L789" s="5"/>
      <c r="M789" s="5"/>
      <c r="N789" s="5"/>
      <c r="O789" s="5"/>
      <c r="P789" s="5"/>
      <c r="Q789" s="5"/>
      <c r="R789" s="5"/>
      <c r="S789" s="5"/>
      <c r="T789" s="5"/>
      <c r="U789" s="5"/>
      <c r="V789" s="5"/>
      <c r="W789" s="5"/>
    </row>
    <row r="790">
      <c r="A790" s="5"/>
      <c r="B790" s="3"/>
      <c r="C790" s="5"/>
      <c r="D790" s="5"/>
      <c r="E790" s="5"/>
      <c r="F790" s="5"/>
      <c r="G790" s="5"/>
      <c r="H790" s="5"/>
      <c r="I790" s="5"/>
      <c r="J790" s="5"/>
      <c r="K790" s="5"/>
      <c r="L790" s="5"/>
      <c r="M790" s="5"/>
      <c r="N790" s="5"/>
      <c r="O790" s="5"/>
      <c r="P790" s="5"/>
      <c r="Q790" s="5"/>
      <c r="R790" s="5"/>
      <c r="S790" s="5"/>
      <c r="T790" s="5"/>
      <c r="U790" s="5"/>
      <c r="V790" s="5"/>
      <c r="W790" s="5"/>
    </row>
    <row r="791">
      <c r="A791" s="5"/>
      <c r="B791" s="3"/>
      <c r="C791" s="5"/>
      <c r="D791" s="5"/>
      <c r="E791" s="5"/>
      <c r="F791" s="5"/>
      <c r="G791" s="5"/>
      <c r="H791" s="5"/>
      <c r="I791" s="5"/>
      <c r="J791" s="5"/>
      <c r="K791" s="5"/>
      <c r="L791" s="5"/>
      <c r="M791" s="5"/>
      <c r="N791" s="5"/>
      <c r="O791" s="5"/>
      <c r="P791" s="5"/>
      <c r="Q791" s="5"/>
      <c r="R791" s="5"/>
      <c r="S791" s="5"/>
      <c r="T791" s="5"/>
      <c r="U791" s="5"/>
      <c r="V791" s="5"/>
      <c r="W791" s="5"/>
    </row>
    <row r="792">
      <c r="A792" s="5"/>
      <c r="B792" s="3"/>
      <c r="C792" s="5"/>
      <c r="D792" s="5"/>
      <c r="E792" s="5"/>
      <c r="F792" s="5"/>
      <c r="G792" s="5"/>
      <c r="H792" s="5"/>
      <c r="I792" s="5"/>
      <c r="J792" s="5"/>
      <c r="K792" s="5"/>
      <c r="L792" s="5"/>
      <c r="M792" s="5"/>
      <c r="N792" s="5"/>
      <c r="O792" s="5"/>
      <c r="P792" s="5"/>
      <c r="Q792" s="5"/>
      <c r="R792" s="5"/>
      <c r="S792" s="5"/>
      <c r="T792" s="5"/>
      <c r="U792" s="5"/>
      <c r="V792" s="5"/>
      <c r="W792" s="5"/>
    </row>
    <row r="793">
      <c r="A793" s="3"/>
      <c r="B793" s="3"/>
      <c r="C793" s="5"/>
      <c r="D793" s="3"/>
      <c r="E793" s="5"/>
      <c r="F793" s="5"/>
      <c r="G793" s="5"/>
      <c r="H793" s="5"/>
      <c r="I793" s="5"/>
      <c r="J793" s="5"/>
      <c r="K793" s="5"/>
      <c r="L793" s="5"/>
      <c r="M793" s="5"/>
      <c r="N793" s="5"/>
      <c r="O793" s="5"/>
      <c r="P793" s="5"/>
      <c r="Q793" s="5"/>
      <c r="R793" s="5"/>
      <c r="S793" s="5"/>
      <c r="T793" s="5"/>
      <c r="U793" s="5"/>
      <c r="V793" s="5"/>
      <c r="W793" s="5"/>
    </row>
    <row r="794">
      <c r="A794" s="3"/>
      <c r="B794" s="3"/>
      <c r="C794" s="5"/>
      <c r="D794" s="3"/>
      <c r="E794" s="5"/>
      <c r="F794" s="5"/>
      <c r="G794" s="5"/>
      <c r="H794" s="5"/>
      <c r="I794" s="5"/>
      <c r="J794" s="5"/>
      <c r="K794" s="5"/>
      <c r="L794" s="5"/>
      <c r="M794" s="5"/>
      <c r="N794" s="5"/>
      <c r="O794" s="5"/>
      <c r="P794" s="5"/>
      <c r="Q794" s="5"/>
      <c r="R794" s="5"/>
      <c r="S794" s="5"/>
      <c r="T794" s="5"/>
      <c r="U794" s="5"/>
      <c r="V794" s="5"/>
      <c r="W794" s="5"/>
    </row>
    <row r="795">
      <c r="A795" s="3"/>
      <c r="B795" s="3"/>
      <c r="C795" s="5"/>
      <c r="D795" s="3"/>
      <c r="E795" s="5"/>
      <c r="F795" s="5"/>
      <c r="G795" s="5"/>
      <c r="H795" s="5"/>
      <c r="I795" s="5"/>
      <c r="J795" s="5"/>
      <c r="K795" s="5"/>
      <c r="L795" s="5"/>
      <c r="M795" s="5"/>
      <c r="N795" s="5"/>
      <c r="O795" s="5"/>
      <c r="P795" s="5"/>
      <c r="Q795" s="5"/>
      <c r="R795" s="5"/>
      <c r="S795" s="5"/>
      <c r="T795" s="5"/>
      <c r="U795" s="5"/>
      <c r="V795" s="5"/>
      <c r="W795" s="5"/>
    </row>
    <row r="796">
      <c r="A796" s="5"/>
      <c r="B796" s="5"/>
      <c r="C796" s="5"/>
      <c r="D796" s="5"/>
      <c r="E796" s="5"/>
      <c r="F796" s="5"/>
      <c r="G796" s="5"/>
      <c r="H796" s="5"/>
      <c r="I796" s="5"/>
      <c r="J796" s="5"/>
      <c r="K796" s="5"/>
      <c r="L796" s="5"/>
      <c r="M796" s="5"/>
      <c r="N796" s="5"/>
      <c r="O796" s="5"/>
      <c r="P796" s="5"/>
      <c r="Q796" s="5"/>
      <c r="R796" s="5"/>
      <c r="S796" s="5"/>
      <c r="T796" s="5"/>
      <c r="U796" s="5"/>
      <c r="V796" s="5"/>
      <c r="W796" s="5"/>
    </row>
    <row r="797">
      <c r="A797" s="5"/>
      <c r="B797" s="5"/>
      <c r="C797" s="5"/>
      <c r="D797" s="5"/>
      <c r="E797" s="5"/>
      <c r="F797" s="5"/>
      <c r="G797" s="5"/>
      <c r="H797" s="5"/>
      <c r="I797" s="5"/>
      <c r="J797" s="5"/>
      <c r="K797" s="5"/>
      <c r="L797" s="5"/>
      <c r="M797" s="5"/>
      <c r="N797" s="5"/>
      <c r="O797" s="5"/>
      <c r="P797" s="5"/>
      <c r="Q797" s="5"/>
      <c r="R797" s="5"/>
      <c r="S797" s="5"/>
      <c r="T797" s="5"/>
      <c r="U797" s="5"/>
      <c r="V797" s="5"/>
      <c r="W797" s="5"/>
    </row>
    <row r="798">
      <c r="A798" s="5"/>
      <c r="B798" s="5"/>
      <c r="C798" s="5"/>
      <c r="D798" s="5"/>
      <c r="E798" s="5"/>
      <c r="F798" s="5"/>
      <c r="G798" s="5"/>
      <c r="H798" s="5"/>
      <c r="I798" s="5"/>
      <c r="J798" s="5"/>
      <c r="K798" s="5"/>
      <c r="L798" s="5"/>
      <c r="M798" s="5"/>
      <c r="N798" s="5"/>
      <c r="O798" s="5"/>
      <c r="P798" s="5"/>
      <c r="Q798" s="5"/>
      <c r="R798" s="5"/>
      <c r="S798" s="5"/>
      <c r="T798" s="5"/>
      <c r="U798" s="5"/>
      <c r="V798" s="5"/>
      <c r="W798" s="5"/>
    </row>
    <row r="799">
      <c r="A799" s="5"/>
      <c r="B799" s="5"/>
      <c r="C799" s="5"/>
      <c r="D799" s="5"/>
      <c r="E799" s="5"/>
      <c r="F799" s="5"/>
      <c r="G799" s="5"/>
      <c r="H799" s="5"/>
      <c r="I799" s="5"/>
      <c r="J799" s="5"/>
      <c r="K799" s="5"/>
      <c r="L799" s="5"/>
      <c r="M799" s="5"/>
      <c r="N799" s="5"/>
      <c r="O799" s="5"/>
      <c r="P799" s="5"/>
      <c r="Q799" s="5"/>
      <c r="R799" s="5"/>
      <c r="S799" s="5"/>
      <c r="T799" s="5"/>
      <c r="U799" s="5"/>
      <c r="V799" s="5"/>
      <c r="W799" s="5"/>
    </row>
    <row r="800">
      <c r="A800" s="5"/>
      <c r="B800" s="5"/>
      <c r="C800" s="5"/>
      <c r="D800" s="5"/>
      <c r="E800" s="5"/>
      <c r="F800" s="5"/>
      <c r="G800" s="5"/>
      <c r="H800" s="5"/>
      <c r="I800" s="5"/>
      <c r="J800" s="5"/>
      <c r="K800" s="5"/>
      <c r="L800" s="5"/>
      <c r="M800" s="5"/>
      <c r="N800" s="5"/>
      <c r="O800" s="5"/>
      <c r="P800" s="5"/>
      <c r="Q800" s="5"/>
      <c r="R800" s="5"/>
      <c r="S800" s="5"/>
      <c r="T800" s="5"/>
      <c r="U800" s="5"/>
      <c r="V800" s="5"/>
      <c r="W800" s="5"/>
    </row>
    <row r="801">
      <c r="A801" s="5"/>
      <c r="B801" s="5"/>
      <c r="C801" s="5"/>
      <c r="D801" s="5"/>
      <c r="E801" s="5"/>
      <c r="F801" s="5"/>
      <c r="G801" s="5"/>
      <c r="H801" s="5"/>
      <c r="I801" s="5"/>
      <c r="J801" s="5"/>
      <c r="K801" s="5"/>
      <c r="L801" s="5"/>
      <c r="M801" s="5"/>
      <c r="N801" s="5"/>
      <c r="O801" s="5"/>
      <c r="P801" s="5"/>
      <c r="Q801" s="5"/>
      <c r="R801" s="5"/>
      <c r="S801" s="5"/>
      <c r="T801" s="5"/>
      <c r="U801" s="5"/>
      <c r="V801" s="5"/>
      <c r="W801" s="5"/>
    </row>
    <row r="802">
      <c r="A802" s="5"/>
      <c r="B802" s="5"/>
      <c r="C802" s="5"/>
      <c r="D802" s="5"/>
      <c r="E802" s="5"/>
      <c r="F802" s="5"/>
      <c r="G802" s="5"/>
      <c r="H802" s="5"/>
      <c r="I802" s="5"/>
      <c r="J802" s="5"/>
      <c r="K802" s="5"/>
      <c r="L802" s="5"/>
      <c r="M802" s="5"/>
      <c r="N802" s="5"/>
      <c r="O802" s="5"/>
      <c r="P802" s="5"/>
      <c r="Q802" s="5"/>
      <c r="R802" s="5"/>
      <c r="S802" s="5"/>
      <c r="T802" s="5"/>
      <c r="U802" s="5"/>
      <c r="V802" s="5"/>
      <c r="W802" s="5"/>
    </row>
    <row r="803">
      <c r="A803" s="5"/>
      <c r="B803" s="5"/>
      <c r="C803" s="5"/>
      <c r="D803" s="5"/>
      <c r="E803" s="5"/>
      <c r="F803" s="5"/>
      <c r="G803" s="5"/>
      <c r="H803" s="5"/>
      <c r="I803" s="5"/>
      <c r="J803" s="5"/>
      <c r="K803" s="5"/>
      <c r="L803" s="5"/>
      <c r="M803" s="5"/>
      <c r="N803" s="5"/>
      <c r="O803" s="5"/>
      <c r="P803" s="5"/>
      <c r="Q803" s="5"/>
      <c r="R803" s="5"/>
      <c r="S803" s="5"/>
      <c r="T803" s="5"/>
      <c r="U803" s="5"/>
      <c r="V803" s="5"/>
      <c r="W803" s="5"/>
    </row>
    <row r="804">
      <c r="A804" s="5"/>
      <c r="B804" s="5"/>
      <c r="C804" s="5"/>
      <c r="D804" s="5"/>
      <c r="E804" s="5"/>
      <c r="F804" s="5"/>
      <c r="G804" s="5"/>
      <c r="H804" s="5"/>
      <c r="I804" s="5"/>
      <c r="J804" s="5"/>
      <c r="K804" s="5"/>
      <c r="L804" s="5"/>
      <c r="M804" s="5"/>
      <c r="N804" s="5"/>
      <c r="O804" s="5"/>
      <c r="P804" s="5"/>
      <c r="Q804" s="5"/>
      <c r="R804" s="5"/>
      <c r="S804" s="5"/>
      <c r="T804" s="5"/>
      <c r="U804" s="5"/>
      <c r="V804" s="5"/>
      <c r="W804" s="5"/>
    </row>
    <row r="805">
      <c r="A805" s="5"/>
      <c r="B805" s="5"/>
      <c r="C805" s="5"/>
      <c r="D805" s="5"/>
      <c r="E805" s="5"/>
      <c r="F805" s="5"/>
      <c r="G805" s="5"/>
      <c r="H805" s="5"/>
      <c r="I805" s="5"/>
      <c r="J805" s="5"/>
      <c r="K805" s="5"/>
      <c r="L805" s="5"/>
      <c r="M805" s="5"/>
      <c r="N805" s="5"/>
      <c r="O805" s="5"/>
      <c r="P805" s="5"/>
      <c r="Q805" s="5"/>
      <c r="R805" s="5"/>
      <c r="S805" s="5"/>
      <c r="T805" s="5"/>
      <c r="U805" s="5"/>
      <c r="V805" s="5"/>
      <c r="W805" s="5"/>
    </row>
    <row r="806">
      <c r="A806" s="5"/>
      <c r="B806" s="5"/>
      <c r="C806" s="5"/>
      <c r="D806" s="5"/>
      <c r="E806" s="5"/>
      <c r="F806" s="5"/>
      <c r="G806" s="5"/>
      <c r="H806" s="5"/>
      <c r="I806" s="5"/>
      <c r="J806" s="5"/>
      <c r="K806" s="5"/>
      <c r="L806" s="5"/>
      <c r="M806" s="5"/>
      <c r="N806" s="5"/>
      <c r="O806" s="5"/>
      <c r="P806" s="5"/>
      <c r="Q806" s="5"/>
      <c r="R806" s="5"/>
      <c r="S806" s="5"/>
      <c r="T806" s="5"/>
      <c r="U806" s="5"/>
      <c r="V806" s="5"/>
      <c r="W806" s="5"/>
    </row>
    <row r="807">
      <c r="A807" s="5"/>
      <c r="B807" s="5"/>
      <c r="C807" s="5"/>
      <c r="D807" s="5"/>
      <c r="E807" s="5"/>
      <c r="F807" s="5"/>
      <c r="G807" s="5"/>
      <c r="H807" s="5"/>
      <c r="I807" s="5"/>
      <c r="J807" s="5"/>
      <c r="K807" s="5"/>
      <c r="L807" s="5"/>
      <c r="M807" s="5"/>
      <c r="N807" s="5"/>
      <c r="O807" s="5"/>
      <c r="P807" s="5"/>
      <c r="Q807" s="5"/>
      <c r="R807" s="5"/>
      <c r="S807" s="5"/>
      <c r="T807" s="5"/>
      <c r="U807" s="5"/>
      <c r="V807" s="5"/>
      <c r="W807" s="5"/>
    </row>
    <row r="808">
      <c r="A808" s="5"/>
      <c r="B808" s="5"/>
      <c r="C808" s="5"/>
      <c r="D808" s="5"/>
      <c r="E808" s="5"/>
      <c r="F808" s="5"/>
      <c r="G808" s="5"/>
      <c r="H808" s="5"/>
      <c r="I808" s="5"/>
      <c r="J808" s="5"/>
      <c r="K808" s="5"/>
      <c r="L808" s="5"/>
      <c r="M808" s="5"/>
      <c r="N808" s="5"/>
      <c r="O808" s="5"/>
      <c r="P808" s="5"/>
      <c r="Q808" s="5"/>
      <c r="R808" s="5"/>
      <c r="S808" s="5"/>
      <c r="T808" s="5"/>
      <c r="U808" s="5"/>
      <c r="V808" s="5"/>
      <c r="W808" s="5"/>
    </row>
    <row r="809">
      <c r="A809" s="5"/>
      <c r="B809" s="5"/>
      <c r="C809" s="5"/>
      <c r="D809" s="5"/>
      <c r="E809" s="5"/>
      <c r="F809" s="5"/>
      <c r="G809" s="5"/>
      <c r="H809" s="5"/>
      <c r="I809" s="5"/>
      <c r="J809" s="5"/>
      <c r="K809" s="5"/>
      <c r="L809" s="5"/>
      <c r="M809" s="5"/>
      <c r="N809" s="5"/>
      <c r="O809" s="5"/>
      <c r="P809" s="5"/>
      <c r="Q809" s="5"/>
      <c r="R809" s="5"/>
      <c r="S809" s="5"/>
      <c r="T809" s="5"/>
      <c r="U809" s="5"/>
      <c r="V809" s="5"/>
      <c r="W809" s="5"/>
    </row>
    <row r="810">
      <c r="A810" s="5"/>
      <c r="B810" s="5"/>
      <c r="C810" s="5"/>
      <c r="D810" s="5"/>
      <c r="E810" s="5"/>
      <c r="F810" s="5"/>
      <c r="G810" s="5"/>
      <c r="H810" s="5"/>
      <c r="I810" s="5"/>
      <c r="J810" s="5"/>
      <c r="K810" s="5"/>
      <c r="L810" s="5"/>
      <c r="M810" s="5"/>
      <c r="N810" s="5"/>
      <c r="O810" s="5"/>
      <c r="P810" s="5"/>
      <c r="Q810" s="5"/>
      <c r="R810" s="5"/>
      <c r="S810" s="5"/>
      <c r="T810" s="5"/>
      <c r="U810" s="5"/>
      <c r="V810" s="5"/>
      <c r="W810" s="5"/>
    </row>
    <row r="811">
      <c r="A811" s="5"/>
      <c r="B811" s="5"/>
      <c r="C811" s="5"/>
      <c r="D811" s="5"/>
      <c r="E811" s="5"/>
      <c r="F811" s="5"/>
      <c r="G811" s="5"/>
      <c r="H811" s="5"/>
      <c r="I811" s="5"/>
      <c r="J811" s="5"/>
      <c r="K811" s="5"/>
      <c r="L811" s="5"/>
      <c r="M811" s="5"/>
      <c r="N811" s="5"/>
      <c r="O811" s="5"/>
      <c r="P811" s="5"/>
      <c r="Q811" s="5"/>
      <c r="R811" s="5"/>
      <c r="S811" s="5"/>
      <c r="T811" s="5"/>
      <c r="U811" s="5"/>
      <c r="V811" s="5"/>
      <c r="W811" s="5"/>
    </row>
    <row r="812">
      <c r="A812" s="5"/>
      <c r="B812" s="5"/>
      <c r="C812" s="5"/>
      <c r="D812" s="5"/>
      <c r="E812" s="5"/>
      <c r="F812" s="5"/>
      <c r="G812" s="5"/>
      <c r="H812" s="5"/>
      <c r="I812" s="5"/>
      <c r="J812" s="5"/>
      <c r="K812" s="5"/>
      <c r="L812" s="5"/>
      <c r="M812" s="5"/>
      <c r="N812" s="5"/>
      <c r="O812" s="5"/>
      <c r="P812" s="5"/>
      <c r="Q812" s="5"/>
      <c r="R812" s="5"/>
      <c r="S812" s="5"/>
      <c r="T812" s="5"/>
      <c r="U812" s="5"/>
      <c r="V812" s="5"/>
      <c r="W812" s="5"/>
    </row>
    <row r="813">
      <c r="A813" s="5"/>
      <c r="B813" s="5"/>
      <c r="C813" s="5"/>
      <c r="D813" s="5"/>
      <c r="E813" s="5"/>
      <c r="F813" s="5"/>
      <c r="G813" s="5"/>
      <c r="H813" s="5"/>
      <c r="I813" s="5"/>
      <c r="J813" s="5"/>
      <c r="K813" s="5"/>
      <c r="L813" s="5"/>
      <c r="M813" s="5"/>
      <c r="N813" s="5"/>
      <c r="O813" s="5"/>
      <c r="P813" s="5"/>
      <c r="Q813" s="5"/>
      <c r="R813" s="5"/>
      <c r="S813" s="5"/>
      <c r="T813" s="5"/>
      <c r="U813" s="5"/>
      <c r="V813" s="5"/>
      <c r="W813" s="5"/>
    </row>
    <row r="814">
      <c r="A814" s="5"/>
      <c r="B814" s="5"/>
      <c r="C814" s="5"/>
      <c r="D814" s="5"/>
      <c r="E814" s="5"/>
      <c r="F814" s="5"/>
      <c r="G814" s="5"/>
      <c r="H814" s="5"/>
      <c r="I814" s="5"/>
      <c r="J814" s="5"/>
      <c r="K814" s="5"/>
      <c r="L814" s="5"/>
      <c r="M814" s="5"/>
      <c r="N814" s="5"/>
      <c r="O814" s="5"/>
      <c r="P814" s="5"/>
      <c r="Q814" s="5"/>
      <c r="R814" s="5"/>
      <c r="S814" s="5"/>
      <c r="T814" s="5"/>
      <c r="U814" s="5"/>
      <c r="V814" s="5"/>
      <c r="W814" s="5"/>
    </row>
    <row r="815">
      <c r="A815" s="5"/>
      <c r="B815" s="5"/>
      <c r="C815" s="5"/>
      <c r="D815" s="5"/>
      <c r="E815" s="5"/>
      <c r="F815" s="5"/>
      <c r="G815" s="5"/>
      <c r="H815" s="5"/>
      <c r="I815" s="5"/>
      <c r="J815" s="5"/>
      <c r="K815" s="5"/>
      <c r="L815" s="5"/>
      <c r="M815" s="5"/>
      <c r="N815" s="5"/>
      <c r="O815" s="5"/>
      <c r="P815" s="5"/>
      <c r="Q815" s="5"/>
      <c r="R815" s="5"/>
      <c r="S815" s="5"/>
      <c r="T815" s="5"/>
      <c r="U815" s="5"/>
      <c r="V815" s="5"/>
      <c r="W815" s="5"/>
    </row>
    <row r="816">
      <c r="A816" s="5"/>
      <c r="B816" s="5"/>
      <c r="C816" s="5"/>
      <c r="D816" s="5"/>
      <c r="E816" s="5"/>
      <c r="F816" s="5"/>
      <c r="G816" s="5"/>
      <c r="H816" s="5"/>
      <c r="I816" s="5"/>
      <c r="J816" s="5"/>
      <c r="K816" s="5"/>
      <c r="L816" s="5"/>
      <c r="M816" s="5"/>
      <c r="N816" s="5"/>
      <c r="O816" s="5"/>
      <c r="P816" s="5"/>
      <c r="Q816" s="5"/>
      <c r="R816" s="5"/>
      <c r="S816" s="5"/>
      <c r="T816" s="5"/>
      <c r="U816" s="5"/>
      <c r="V816" s="5"/>
      <c r="W816" s="5"/>
    </row>
    <row r="817">
      <c r="A817" s="5"/>
      <c r="B817" s="5"/>
      <c r="C817" s="5"/>
      <c r="D817" s="5"/>
      <c r="E817" s="5"/>
      <c r="F817" s="5"/>
      <c r="G817" s="5"/>
      <c r="H817" s="5"/>
      <c r="I817" s="5"/>
      <c r="J817" s="5"/>
      <c r="K817" s="5"/>
      <c r="L817" s="5"/>
      <c r="M817" s="5"/>
      <c r="N817" s="5"/>
      <c r="O817" s="5"/>
      <c r="P817" s="5"/>
      <c r="Q817" s="5"/>
      <c r="R817" s="5"/>
      <c r="S817" s="5"/>
      <c r="T817" s="5"/>
      <c r="U817" s="5"/>
      <c r="V817" s="5"/>
      <c r="W817" s="5"/>
    </row>
    <row r="818">
      <c r="A818" s="5"/>
      <c r="B818" s="5"/>
      <c r="C818" s="5"/>
      <c r="D818" s="5"/>
      <c r="E818" s="5"/>
      <c r="F818" s="5"/>
      <c r="G818" s="5"/>
      <c r="H818" s="5"/>
      <c r="I818" s="5"/>
      <c r="J818" s="5"/>
      <c r="K818" s="5"/>
      <c r="L818" s="5"/>
      <c r="M818" s="5"/>
      <c r="N818" s="5"/>
      <c r="O818" s="5"/>
      <c r="P818" s="5"/>
      <c r="Q818" s="5"/>
      <c r="R818" s="5"/>
      <c r="S818" s="5"/>
      <c r="T818" s="5"/>
      <c r="U818" s="5"/>
      <c r="V818" s="5"/>
      <c r="W818" s="5"/>
    </row>
    <row r="819">
      <c r="A819" s="5"/>
      <c r="B819" s="5"/>
      <c r="C819" s="5"/>
      <c r="D819" s="5"/>
      <c r="E819" s="5"/>
      <c r="F819" s="5"/>
      <c r="G819" s="5"/>
      <c r="H819" s="5"/>
      <c r="I819" s="5"/>
      <c r="J819" s="5"/>
      <c r="K819" s="5"/>
      <c r="L819" s="5"/>
      <c r="M819" s="5"/>
      <c r="N819" s="5"/>
      <c r="O819" s="5"/>
      <c r="P819" s="5"/>
      <c r="Q819" s="5"/>
      <c r="R819" s="5"/>
      <c r="S819" s="5"/>
      <c r="T819" s="5"/>
      <c r="U819" s="5"/>
      <c r="V819" s="5"/>
      <c r="W819" s="5"/>
    </row>
    <row r="820">
      <c r="A820" s="5"/>
      <c r="B820" s="5"/>
      <c r="C820" s="5"/>
      <c r="D820" s="5"/>
      <c r="E820" s="5"/>
      <c r="F820" s="5"/>
      <c r="G820" s="5"/>
      <c r="H820" s="5"/>
      <c r="I820" s="5"/>
      <c r="J820" s="5"/>
      <c r="K820" s="5"/>
      <c r="L820" s="5"/>
      <c r="M820" s="5"/>
      <c r="N820" s="5"/>
      <c r="O820" s="5"/>
      <c r="P820" s="5"/>
      <c r="Q820" s="5"/>
      <c r="R820" s="5"/>
      <c r="S820" s="5"/>
      <c r="T820" s="5"/>
      <c r="U820" s="5"/>
      <c r="V820" s="5"/>
      <c r="W820" s="5"/>
    </row>
    <row r="821">
      <c r="A821" s="5"/>
      <c r="B821" s="5"/>
      <c r="C821" s="5"/>
      <c r="D821" s="5"/>
      <c r="E821" s="5"/>
      <c r="F821" s="5"/>
      <c r="G821" s="5"/>
      <c r="H821" s="5"/>
      <c r="I821" s="5"/>
      <c r="J821" s="5"/>
      <c r="K821" s="5"/>
      <c r="L821" s="5"/>
      <c r="M821" s="5"/>
      <c r="N821" s="5"/>
      <c r="O821" s="5"/>
      <c r="P821" s="5"/>
      <c r="Q821" s="5"/>
      <c r="R821" s="5"/>
      <c r="S821" s="5"/>
      <c r="T821" s="5"/>
      <c r="U821" s="5"/>
      <c r="V821" s="5"/>
      <c r="W821" s="5"/>
    </row>
    <row r="822">
      <c r="A822" s="5"/>
      <c r="B822" s="5"/>
      <c r="C822" s="5"/>
      <c r="D822" s="5"/>
      <c r="E822" s="5"/>
      <c r="F822" s="5"/>
      <c r="G822" s="5"/>
      <c r="H822" s="5"/>
      <c r="I822" s="5"/>
      <c r="J822" s="5"/>
      <c r="K822" s="5"/>
      <c r="L822" s="5"/>
      <c r="M822" s="5"/>
      <c r="N822" s="5"/>
      <c r="O822" s="5"/>
      <c r="P822" s="5"/>
      <c r="Q822" s="5"/>
      <c r="R822" s="5"/>
      <c r="S822" s="5"/>
      <c r="T822" s="5"/>
      <c r="U822" s="5"/>
      <c r="V822" s="5"/>
      <c r="W822" s="5"/>
    </row>
    <row r="823">
      <c r="A823" s="5"/>
      <c r="B823" s="5"/>
      <c r="C823" s="5"/>
      <c r="D823" s="5"/>
      <c r="E823" s="5"/>
      <c r="F823" s="5"/>
      <c r="G823" s="5"/>
      <c r="H823" s="5"/>
      <c r="I823" s="5"/>
      <c r="J823" s="5"/>
      <c r="K823" s="5"/>
      <c r="L823" s="5"/>
      <c r="M823" s="5"/>
      <c r="N823" s="5"/>
      <c r="O823" s="5"/>
      <c r="P823" s="5"/>
      <c r="Q823" s="5"/>
      <c r="R823" s="5"/>
      <c r="S823" s="5"/>
      <c r="T823" s="5"/>
      <c r="U823" s="5"/>
      <c r="V823" s="5"/>
      <c r="W823" s="5"/>
    </row>
    <row r="824">
      <c r="A824" s="5"/>
      <c r="B824" s="5"/>
      <c r="C824" s="5"/>
      <c r="D824" s="5"/>
      <c r="E824" s="5"/>
      <c r="F824" s="5"/>
      <c r="G824" s="5"/>
      <c r="H824" s="5"/>
      <c r="I824" s="5"/>
      <c r="J824" s="5"/>
      <c r="K824" s="5"/>
      <c r="L824" s="5"/>
      <c r="M824" s="5"/>
      <c r="N824" s="5"/>
      <c r="O824" s="5"/>
      <c r="P824" s="5"/>
      <c r="Q824" s="5"/>
      <c r="R824" s="5"/>
      <c r="S824" s="5"/>
      <c r="T824" s="5"/>
      <c r="U824" s="5"/>
      <c r="V824" s="5"/>
      <c r="W824" s="5"/>
    </row>
    <row r="825">
      <c r="A825" s="5"/>
      <c r="B825" s="5"/>
      <c r="C825" s="5"/>
      <c r="D825" s="5"/>
      <c r="E825" s="5"/>
      <c r="F825" s="5"/>
      <c r="G825" s="5"/>
      <c r="H825" s="5"/>
      <c r="I825" s="5"/>
      <c r="J825" s="5"/>
      <c r="K825" s="5"/>
      <c r="L825" s="5"/>
      <c r="M825" s="5"/>
      <c r="N825" s="5"/>
      <c r="O825" s="5"/>
      <c r="P825" s="5"/>
      <c r="Q825" s="5"/>
      <c r="R825" s="5"/>
      <c r="S825" s="5"/>
      <c r="T825" s="5"/>
      <c r="U825" s="5"/>
      <c r="V825" s="5"/>
      <c r="W825" s="5"/>
    </row>
    <row r="826">
      <c r="A826" s="5"/>
      <c r="B826" s="5"/>
      <c r="C826" s="5"/>
      <c r="D826" s="5"/>
      <c r="E826" s="5"/>
      <c r="F826" s="5"/>
      <c r="G826" s="5"/>
      <c r="H826" s="5"/>
      <c r="I826" s="5"/>
      <c r="J826" s="5"/>
      <c r="K826" s="5"/>
      <c r="L826" s="5"/>
      <c r="M826" s="5"/>
      <c r="N826" s="5"/>
      <c r="O826" s="5"/>
      <c r="P826" s="5"/>
      <c r="Q826" s="5"/>
      <c r="R826" s="5"/>
      <c r="S826" s="5"/>
      <c r="T826" s="5"/>
      <c r="U826" s="5"/>
      <c r="V826" s="5"/>
      <c r="W826" s="5"/>
    </row>
    <row r="827">
      <c r="A827" s="5"/>
      <c r="B827" s="5"/>
      <c r="C827" s="5"/>
      <c r="D827" s="5"/>
      <c r="E827" s="5"/>
      <c r="F827" s="5"/>
      <c r="G827" s="5"/>
      <c r="H827" s="5"/>
      <c r="I827" s="5"/>
      <c r="J827" s="5"/>
      <c r="K827" s="5"/>
      <c r="L827" s="5"/>
      <c r="M827" s="5"/>
      <c r="N827" s="5"/>
      <c r="O827" s="5"/>
      <c r="P827" s="5"/>
      <c r="Q827" s="5"/>
      <c r="R827" s="5"/>
      <c r="S827" s="5"/>
      <c r="T827" s="5"/>
      <c r="U827" s="5"/>
      <c r="V827" s="5"/>
      <c r="W827" s="5"/>
    </row>
    <row r="828">
      <c r="A828" s="5"/>
      <c r="B828" s="5"/>
      <c r="C828" s="5"/>
      <c r="D828" s="5"/>
      <c r="E828" s="5"/>
      <c r="F828" s="5"/>
      <c r="G828" s="5"/>
      <c r="H828" s="5"/>
      <c r="I828" s="5"/>
      <c r="J828" s="5"/>
      <c r="K828" s="5"/>
      <c r="L828" s="5"/>
      <c r="M828" s="5"/>
      <c r="N828" s="5"/>
      <c r="O828" s="5"/>
      <c r="P828" s="5"/>
      <c r="Q828" s="5"/>
      <c r="R828" s="5"/>
      <c r="S828" s="5"/>
      <c r="T828" s="5"/>
      <c r="U828" s="5"/>
      <c r="V828" s="5"/>
      <c r="W828" s="5"/>
    </row>
    <row r="829">
      <c r="A829" s="5"/>
      <c r="B829" s="5"/>
      <c r="C829" s="5"/>
      <c r="D829" s="5"/>
      <c r="E829" s="5"/>
      <c r="F829" s="5"/>
      <c r="G829" s="5"/>
      <c r="H829" s="5"/>
      <c r="I829" s="5"/>
      <c r="J829" s="5"/>
      <c r="K829" s="5"/>
      <c r="L829" s="5"/>
      <c r="M829" s="5"/>
      <c r="N829" s="5"/>
      <c r="O829" s="5"/>
      <c r="P829" s="5"/>
      <c r="Q829" s="5"/>
      <c r="R829" s="5"/>
      <c r="S829" s="5"/>
      <c r="T829" s="5"/>
      <c r="U829" s="5"/>
      <c r="V829" s="5"/>
      <c r="W829" s="5"/>
    </row>
    <row r="830">
      <c r="A830" s="5"/>
      <c r="B830" s="5"/>
      <c r="C830" s="5"/>
      <c r="D830" s="5"/>
      <c r="E830" s="5"/>
      <c r="F830" s="5"/>
      <c r="G830" s="5"/>
      <c r="H830" s="5"/>
      <c r="I830" s="5"/>
      <c r="J830" s="5"/>
      <c r="K830" s="5"/>
      <c r="L830" s="5"/>
      <c r="M830" s="5"/>
      <c r="N830" s="5"/>
      <c r="O830" s="5"/>
      <c r="P830" s="5"/>
      <c r="Q830" s="5"/>
      <c r="R830" s="5"/>
      <c r="S830" s="5"/>
      <c r="T830" s="5"/>
      <c r="U830" s="5"/>
      <c r="V830" s="5"/>
      <c r="W830" s="5"/>
    </row>
    <row r="831">
      <c r="A831" s="5"/>
      <c r="B831" s="5"/>
      <c r="C831" s="5"/>
      <c r="D831" s="5"/>
      <c r="E831" s="5"/>
      <c r="F831" s="5"/>
      <c r="G831" s="5"/>
      <c r="H831" s="5"/>
      <c r="I831" s="5"/>
      <c r="J831" s="5"/>
      <c r="K831" s="5"/>
      <c r="L831" s="5"/>
      <c r="M831" s="5"/>
      <c r="N831" s="5"/>
      <c r="O831" s="5"/>
      <c r="P831" s="5"/>
      <c r="Q831" s="5"/>
      <c r="R831" s="5"/>
      <c r="S831" s="5"/>
      <c r="T831" s="5"/>
      <c r="U831" s="5"/>
      <c r="V831" s="5"/>
      <c r="W831" s="5"/>
    </row>
    <row r="832">
      <c r="A832" s="5"/>
      <c r="B832" s="5"/>
      <c r="C832" s="5"/>
      <c r="D832" s="5"/>
      <c r="E832" s="5"/>
      <c r="F832" s="5"/>
      <c r="G832" s="5"/>
      <c r="H832" s="5"/>
      <c r="I832" s="5"/>
      <c r="J832" s="5"/>
      <c r="K832" s="5"/>
      <c r="L832" s="5"/>
      <c r="M832" s="5"/>
      <c r="N832" s="5"/>
      <c r="O832" s="5"/>
      <c r="P832" s="5"/>
      <c r="Q832" s="5"/>
      <c r="R832" s="5"/>
      <c r="S832" s="5"/>
      <c r="T832" s="5"/>
      <c r="U832" s="5"/>
      <c r="V832" s="5"/>
      <c r="W832" s="5"/>
    </row>
    <row r="833">
      <c r="A833" s="5"/>
      <c r="B833" s="5"/>
      <c r="C833" s="5"/>
      <c r="D833" s="5"/>
      <c r="E833" s="5"/>
      <c r="F833" s="5"/>
      <c r="G833" s="5"/>
      <c r="H833" s="5"/>
      <c r="I833" s="5"/>
      <c r="J833" s="5"/>
      <c r="K833" s="5"/>
      <c r="L833" s="5"/>
      <c r="M833" s="5"/>
      <c r="N833" s="5"/>
      <c r="O833" s="5"/>
      <c r="P833" s="5"/>
      <c r="Q833" s="5"/>
      <c r="R833" s="5"/>
      <c r="S833" s="5"/>
      <c r="T833" s="5"/>
      <c r="U833" s="5"/>
      <c r="V833" s="5"/>
      <c r="W833" s="5"/>
    </row>
    <row r="834">
      <c r="A834" s="5"/>
      <c r="B834" s="5"/>
      <c r="C834" s="5"/>
      <c r="D834" s="5"/>
      <c r="E834" s="5"/>
      <c r="F834" s="5"/>
      <c r="G834" s="5"/>
      <c r="H834" s="5"/>
      <c r="I834" s="5"/>
      <c r="J834" s="5"/>
      <c r="K834" s="5"/>
      <c r="L834" s="5"/>
      <c r="M834" s="5"/>
      <c r="N834" s="5"/>
      <c r="O834" s="5"/>
      <c r="P834" s="5"/>
      <c r="Q834" s="5"/>
      <c r="R834" s="5"/>
      <c r="S834" s="5"/>
      <c r="T834" s="5"/>
      <c r="U834" s="5"/>
      <c r="V834" s="5"/>
      <c r="W834" s="5"/>
    </row>
    <row r="835">
      <c r="A835" s="5"/>
      <c r="B835" s="5"/>
      <c r="C835" s="5"/>
      <c r="D835" s="5"/>
      <c r="E835" s="5"/>
      <c r="F835" s="5"/>
      <c r="G835" s="5"/>
      <c r="H835" s="5"/>
      <c r="I835" s="5"/>
      <c r="J835" s="5"/>
      <c r="K835" s="5"/>
      <c r="L835" s="5"/>
      <c r="M835" s="5"/>
      <c r="N835" s="5"/>
      <c r="O835" s="5"/>
      <c r="P835" s="5"/>
      <c r="Q835" s="5"/>
      <c r="R835" s="5"/>
      <c r="S835" s="5"/>
      <c r="T835" s="5"/>
      <c r="U835" s="5"/>
      <c r="V835" s="5"/>
      <c r="W835" s="5"/>
    </row>
    <row r="836">
      <c r="A836" s="5"/>
      <c r="B836" s="5"/>
      <c r="C836" s="5"/>
      <c r="D836" s="5"/>
      <c r="E836" s="5"/>
      <c r="F836" s="5"/>
      <c r="G836" s="5"/>
      <c r="H836" s="5"/>
      <c r="I836" s="5"/>
      <c r="J836" s="5"/>
      <c r="K836" s="5"/>
      <c r="L836" s="5"/>
      <c r="M836" s="5"/>
      <c r="N836" s="5"/>
      <c r="O836" s="5"/>
      <c r="P836" s="5"/>
      <c r="Q836" s="5"/>
      <c r="R836" s="5"/>
      <c r="S836" s="5"/>
      <c r="T836" s="5"/>
      <c r="U836" s="5"/>
      <c r="V836" s="5"/>
      <c r="W836" s="5"/>
    </row>
    <row r="837">
      <c r="A837" s="5"/>
      <c r="B837" s="5"/>
      <c r="C837" s="5"/>
      <c r="D837" s="5"/>
      <c r="E837" s="5"/>
      <c r="F837" s="5"/>
      <c r="G837" s="5"/>
      <c r="H837" s="5"/>
      <c r="I837" s="5"/>
      <c r="J837" s="5"/>
      <c r="K837" s="5"/>
      <c r="L837" s="5"/>
      <c r="M837" s="5"/>
      <c r="N837" s="5"/>
      <c r="O837" s="5"/>
      <c r="P837" s="5"/>
      <c r="Q837" s="5"/>
      <c r="R837" s="5"/>
      <c r="S837" s="5"/>
      <c r="T837" s="5"/>
      <c r="U837" s="5"/>
      <c r="V837" s="5"/>
      <c r="W837" s="5"/>
    </row>
    <row r="838">
      <c r="A838" s="5"/>
      <c r="B838" s="5"/>
      <c r="C838" s="5"/>
      <c r="D838" s="5"/>
      <c r="E838" s="5"/>
      <c r="F838" s="5"/>
      <c r="G838" s="5"/>
      <c r="H838" s="5"/>
      <c r="I838" s="5"/>
      <c r="J838" s="5"/>
      <c r="K838" s="5"/>
      <c r="L838" s="5"/>
      <c r="M838" s="5"/>
      <c r="N838" s="5"/>
      <c r="O838" s="5"/>
      <c r="P838" s="5"/>
      <c r="Q838" s="5"/>
      <c r="R838" s="5"/>
      <c r="S838" s="5"/>
      <c r="T838" s="5"/>
      <c r="U838" s="5"/>
      <c r="V838" s="5"/>
      <c r="W838" s="5"/>
    </row>
    <row r="839">
      <c r="A839" s="5"/>
      <c r="B839" s="5"/>
      <c r="C839" s="5"/>
      <c r="D839" s="5"/>
      <c r="E839" s="5"/>
      <c r="F839" s="5"/>
      <c r="G839" s="5"/>
      <c r="H839" s="5"/>
      <c r="I839" s="5"/>
      <c r="J839" s="5"/>
      <c r="K839" s="5"/>
      <c r="L839" s="5"/>
      <c r="M839" s="5"/>
      <c r="N839" s="5"/>
      <c r="O839" s="5"/>
      <c r="P839" s="5"/>
      <c r="Q839" s="5"/>
      <c r="R839" s="5"/>
      <c r="S839" s="5"/>
      <c r="T839" s="5"/>
      <c r="U839" s="5"/>
      <c r="V839" s="5"/>
      <c r="W839" s="5"/>
    </row>
    <row r="840">
      <c r="A840" s="5"/>
      <c r="B840" s="5"/>
      <c r="C840" s="5"/>
      <c r="D840" s="5"/>
      <c r="E840" s="5"/>
      <c r="F840" s="5"/>
      <c r="G840" s="5"/>
      <c r="H840" s="5"/>
      <c r="I840" s="5"/>
      <c r="J840" s="5"/>
      <c r="K840" s="5"/>
      <c r="L840" s="5"/>
      <c r="M840" s="5"/>
      <c r="N840" s="5"/>
      <c r="O840" s="5"/>
      <c r="P840" s="5"/>
      <c r="Q840" s="5"/>
      <c r="R840" s="5"/>
      <c r="S840" s="5"/>
      <c r="T840" s="5"/>
      <c r="U840" s="5"/>
      <c r="V840" s="5"/>
      <c r="W840" s="5"/>
    </row>
    <row r="841">
      <c r="A841" s="5"/>
      <c r="B841" s="5"/>
      <c r="C841" s="5"/>
      <c r="D841" s="5"/>
      <c r="E841" s="5"/>
      <c r="F841" s="5"/>
      <c r="G841" s="5"/>
      <c r="H841" s="5"/>
      <c r="I841" s="5"/>
      <c r="J841" s="5"/>
      <c r="K841" s="5"/>
      <c r="L841" s="5"/>
      <c r="M841" s="5"/>
      <c r="N841" s="5"/>
      <c r="O841" s="5"/>
      <c r="P841" s="5"/>
      <c r="Q841" s="5"/>
      <c r="R841" s="5"/>
      <c r="S841" s="5"/>
      <c r="T841" s="5"/>
      <c r="U841" s="5"/>
      <c r="V841" s="5"/>
      <c r="W841" s="5"/>
    </row>
    <row r="842">
      <c r="A842" s="5"/>
      <c r="B842" s="5"/>
      <c r="C842" s="5"/>
      <c r="D842" s="5"/>
      <c r="E842" s="5"/>
      <c r="F842" s="5"/>
      <c r="G842" s="5"/>
      <c r="H842" s="5"/>
      <c r="I842" s="5"/>
      <c r="J842" s="5"/>
      <c r="K842" s="5"/>
      <c r="L842" s="5"/>
      <c r="M842" s="5"/>
      <c r="N842" s="5"/>
      <c r="O842" s="5"/>
      <c r="P842" s="5"/>
      <c r="Q842" s="5"/>
      <c r="R842" s="5"/>
      <c r="S842" s="5"/>
      <c r="T842" s="5"/>
      <c r="U842" s="5"/>
      <c r="V842" s="5"/>
      <c r="W842" s="5"/>
    </row>
    <row r="843">
      <c r="A843" s="5"/>
      <c r="B843" s="5"/>
      <c r="C843" s="5"/>
      <c r="D843" s="5"/>
      <c r="E843" s="5"/>
      <c r="F843" s="5"/>
      <c r="G843" s="5"/>
      <c r="H843" s="5"/>
      <c r="I843" s="5"/>
      <c r="J843" s="5"/>
      <c r="K843" s="5"/>
      <c r="L843" s="5"/>
      <c r="M843" s="5"/>
      <c r="N843" s="5"/>
      <c r="O843" s="5"/>
      <c r="P843" s="5"/>
      <c r="Q843" s="5"/>
      <c r="R843" s="5"/>
      <c r="S843" s="5"/>
      <c r="T843" s="5"/>
      <c r="U843" s="5"/>
      <c r="V843" s="5"/>
      <c r="W843" s="5"/>
    </row>
    <row r="844">
      <c r="A844" s="5"/>
      <c r="B844" s="5"/>
      <c r="C844" s="5"/>
      <c r="D844" s="5"/>
      <c r="E844" s="5"/>
      <c r="F844" s="5"/>
      <c r="G844" s="5"/>
      <c r="H844" s="5"/>
      <c r="I844" s="5"/>
      <c r="J844" s="5"/>
      <c r="K844" s="5"/>
      <c r="L844" s="5"/>
      <c r="M844" s="5"/>
      <c r="N844" s="5"/>
      <c r="O844" s="5"/>
      <c r="P844" s="5"/>
      <c r="Q844" s="5"/>
      <c r="R844" s="5"/>
      <c r="S844" s="5"/>
      <c r="T844" s="5"/>
      <c r="U844" s="5"/>
      <c r="V844" s="5"/>
      <c r="W844" s="5"/>
    </row>
    <row r="845">
      <c r="A845" s="5"/>
      <c r="B845" s="5"/>
      <c r="C845" s="5"/>
      <c r="D845" s="5"/>
      <c r="E845" s="5"/>
      <c r="F845" s="5"/>
      <c r="G845" s="5"/>
      <c r="H845" s="5"/>
      <c r="I845" s="5"/>
      <c r="J845" s="5"/>
      <c r="K845" s="5"/>
      <c r="L845" s="5"/>
      <c r="M845" s="5"/>
      <c r="N845" s="5"/>
      <c r="O845" s="5"/>
      <c r="P845" s="5"/>
      <c r="Q845" s="5"/>
      <c r="R845" s="5"/>
      <c r="S845" s="5"/>
      <c r="T845" s="5"/>
      <c r="U845" s="5"/>
      <c r="V845" s="5"/>
      <c r="W845" s="5"/>
    </row>
    <row r="846">
      <c r="A846" s="5"/>
      <c r="B846" s="5"/>
      <c r="C846" s="5"/>
      <c r="D846" s="5"/>
      <c r="E846" s="5"/>
      <c r="F846" s="5"/>
      <c r="G846" s="5"/>
      <c r="H846" s="5"/>
      <c r="I846" s="5"/>
      <c r="J846" s="5"/>
      <c r="K846" s="5"/>
      <c r="L846" s="5"/>
      <c r="M846" s="5"/>
      <c r="N846" s="5"/>
      <c r="O846" s="5"/>
      <c r="P846" s="5"/>
      <c r="Q846" s="5"/>
      <c r="R846" s="5"/>
      <c r="S846" s="5"/>
      <c r="T846" s="5"/>
      <c r="U846" s="5"/>
      <c r="V846" s="5"/>
      <c r="W846" s="5"/>
    </row>
    <row r="847">
      <c r="A847" s="5"/>
      <c r="B847" s="5"/>
      <c r="C847" s="5"/>
      <c r="D847" s="5"/>
      <c r="E847" s="5"/>
      <c r="F847" s="5"/>
      <c r="G847" s="5"/>
      <c r="H847" s="5"/>
      <c r="I847" s="5"/>
      <c r="J847" s="5"/>
      <c r="K847" s="5"/>
      <c r="L847" s="5"/>
      <c r="M847" s="5"/>
      <c r="N847" s="5"/>
      <c r="O847" s="5"/>
      <c r="P847" s="5"/>
      <c r="Q847" s="5"/>
      <c r="R847" s="5"/>
      <c r="S847" s="5"/>
      <c r="T847" s="5"/>
      <c r="U847" s="5"/>
      <c r="V847" s="5"/>
      <c r="W847" s="5"/>
    </row>
    <row r="848">
      <c r="A848" s="5"/>
      <c r="B848" s="5"/>
      <c r="C848" s="5"/>
      <c r="D848" s="5"/>
      <c r="E848" s="5"/>
      <c r="F848" s="5"/>
      <c r="G848" s="5"/>
      <c r="H848" s="5"/>
      <c r="I848" s="5"/>
      <c r="J848" s="5"/>
      <c r="K848" s="5"/>
      <c r="L848" s="5"/>
      <c r="M848" s="5"/>
      <c r="N848" s="5"/>
      <c r="O848" s="5"/>
      <c r="P848" s="5"/>
      <c r="Q848" s="5"/>
      <c r="R848" s="5"/>
      <c r="S848" s="5"/>
      <c r="T848" s="5"/>
      <c r="U848" s="5"/>
      <c r="V848" s="5"/>
      <c r="W848" s="5"/>
    </row>
    <row r="849">
      <c r="A849" s="5"/>
      <c r="B849" s="5"/>
      <c r="C849" s="5"/>
      <c r="D849" s="5"/>
      <c r="E849" s="5"/>
      <c r="F849" s="5"/>
      <c r="G849" s="5"/>
      <c r="H849" s="5"/>
      <c r="I849" s="5"/>
      <c r="J849" s="5"/>
      <c r="K849" s="5"/>
      <c r="L849" s="5"/>
      <c r="M849" s="5"/>
      <c r="N849" s="5"/>
      <c r="O849" s="5"/>
      <c r="P849" s="5"/>
      <c r="Q849" s="5"/>
      <c r="R849" s="5"/>
      <c r="S849" s="5"/>
      <c r="T849" s="5"/>
      <c r="U849" s="5"/>
      <c r="V849" s="5"/>
      <c r="W849" s="5"/>
    </row>
    <row r="850">
      <c r="A850" s="5"/>
      <c r="B850" s="5"/>
      <c r="C850" s="5"/>
      <c r="D850" s="5"/>
      <c r="E850" s="5"/>
      <c r="F850" s="5"/>
      <c r="G850" s="5"/>
      <c r="H850" s="5"/>
      <c r="I850" s="5"/>
      <c r="J850" s="5"/>
      <c r="K850" s="5"/>
      <c r="L850" s="5"/>
      <c r="M850" s="5"/>
      <c r="N850" s="5"/>
      <c r="O850" s="5"/>
      <c r="P850" s="5"/>
      <c r="Q850" s="5"/>
      <c r="R850" s="5"/>
      <c r="S850" s="5"/>
      <c r="T850" s="5"/>
      <c r="U850" s="5"/>
      <c r="V850" s="5"/>
      <c r="W850" s="5"/>
    </row>
    <row r="851">
      <c r="A851" s="5"/>
      <c r="B851" s="5"/>
      <c r="C851" s="5"/>
      <c r="D851" s="5"/>
      <c r="E851" s="5"/>
      <c r="F851" s="5"/>
      <c r="G851" s="5"/>
      <c r="H851" s="5"/>
      <c r="I851" s="5"/>
      <c r="J851" s="5"/>
      <c r="K851" s="5"/>
      <c r="L851" s="5"/>
      <c r="M851" s="5"/>
      <c r="N851" s="5"/>
      <c r="O851" s="5"/>
      <c r="P851" s="5"/>
      <c r="Q851" s="5"/>
      <c r="R851" s="5"/>
      <c r="S851" s="5"/>
      <c r="T851" s="5"/>
      <c r="U851" s="5"/>
      <c r="V851" s="5"/>
      <c r="W851" s="5"/>
    </row>
    <row r="852">
      <c r="A852" s="5"/>
      <c r="B852" s="5"/>
      <c r="C852" s="5"/>
      <c r="D852" s="5"/>
      <c r="E852" s="5"/>
      <c r="F852" s="5"/>
      <c r="G852" s="5"/>
      <c r="H852" s="5"/>
      <c r="I852" s="5"/>
      <c r="J852" s="5"/>
      <c r="K852" s="5"/>
      <c r="L852" s="5"/>
      <c r="M852" s="5"/>
      <c r="N852" s="5"/>
      <c r="O852" s="5"/>
      <c r="P852" s="5"/>
      <c r="Q852" s="5"/>
      <c r="R852" s="5"/>
      <c r="S852" s="5"/>
      <c r="T852" s="5"/>
      <c r="U852" s="5"/>
      <c r="V852" s="5"/>
      <c r="W852" s="5"/>
    </row>
    <row r="853">
      <c r="A853" s="5"/>
      <c r="B853" s="5"/>
      <c r="C853" s="5"/>
      <c r="D853" s="5"/>
      <c r="E853" s="5"/>
      <c r="F853" s="5"/>
      <c r="G853" s="5"/>
      <c r="H853" s="5"/>
      <c r="I853" s="5"/>
      <c r="J853" s="5"/>
      <c r="K853" s="5"/>
      <c r="L853" s="5"/>
      <c r="M853" s="5"/>
      <c r="N853" s="5"/>
      <c r="O853" s="5"/>
      <c r="P853" s="5"/>
      <c r="Q853" s="5"/>
      <c r="R853" s="5"/>
      <c r="S853" s="5"/>
      <c r="T853" s="5"/>
      <c r="U853" s="5"/>
      <c r="V853" s="5"/>
      <c r="W853" s="5"/>
    </row>
    <row r="854">
      <c r="A854" s="5"/>
      <c r="B854" s="5"/>
      <c r="C854" s="5"/>
      <c r="D854" s="5"/>
      <c r="E854" s="5"/>
      <c r="F854" s="5"/>
      <c r="G854" s="5"/>
      <c r="H854" s="5"/>
      <c r="I854" s="5"/>
      <c r="J854" s="5"/>
      <c r="K854" s="5"/>
      <c r="L854" s="5"/>
      <c r="M854" s="5"/>
      <c r="N854" s="5"/>
      <c r="O854" s="5"/>
      <c r="P854" s="5"/>
      <c r="Q854" s="5"/>
      <c r="R854" s="5"/>
      <c r="S854" s="5"/>
      <c r="T854" s="5"/>
      <c r="U854" s="5"/>
      <c r="V854" s="5"/>
      <c r="W854" s="5"/>
    </row>
    <row r="855">
      <c r="A855" s="5"/>
      <c r="B855" s="5"/>
      <c r="C855" s="5"/>
      <c r="D855" s="5"/>
      <c r="E855" s="5"/>
      <c r="F855" s="5"/>
      <c r="G855" s="5"/>
      <c r="H855" s="5"/>
      <c r="I855" s="5"/>
      <c r="J855" s="5"/>
      <c r="K855" s="5"/>
      <c r="L855" s="5"/>
      <c r="M855" s="5"/>
      <c r="N855" s="5"/>
      <c r="O855" s="5"/>
      <c r="P855" s="5"/>
      <c r="Q855" s="5"/>
      <c r="R855" s="5"/>
      <c r="S855" s="5"/>
      <c r="T855" s="5"/>
      <c r="U855" s="5"/>
      <c r="V855" s="5"/>
      <c r="W855" s="5"/>
    </row>
    <row r="856">
      <c r="A856" s="5"/>
      <c r="B856" s="5"/>
      <c r="C856" s="5"/>
      <c r="D856" s="5"/>
      <c r="E856" s="5"/>
      <c r="F856" s="5"/>
      <c r="G856" s="5"/>
      <c r="H856" s="5"/>
      <c r="I856" s="5"/>
      <c r="J856" s="5"/>
      <c r="K856" s="5"/>
      <c r="L856" s="5"/>
      <c r="M856" s="5"/>
      <c r="N856" s="5"/>
      <c r="O856" s="5"/>
      <c r="P856" s="5"/>
      <c r="Q856" s="5"/>
      <c r="R856" s="5"/>
      <c r="S856" s="5"/>
      <c r="T856" s="5"/>
      <c r="U856" s="5"/>
      <c r="V856" s="5"/>
      <c r="W856" s="5"/>
    </row>
    <row r="857">
      <c r="A857" s="5"/>
      <c r="B857" s="5"/>
      <c r="C857" s="5"/>
      <c r="D857" s="5"/>
      <c r="E857" s="5"/>
      <c r="F857" s="5"/>
      <c r="G857" s="5"/>
      <c r="H857" s="5"/>
      <c r="I857" s="5"/>
      <c r="J857" s="5"/>
      <c r="K857" s="5"/>
      <c r="L857" s="5"/>
      <c r="M857" s="5"/>
      <c r="N857" s="5"/>
      <c r="O857" s="5"/>
      <c r="P857" s="5"/>
      <c r="Q857" s="5"/>
      <c r="R857" s="5"/>
      <c r="S857" s="5"/>
      <c r="T857" s="5"/>
      <c r="U857" s="5"/>
      <c r="V857" s="5"/>
      <c r="W857" s="5"/>
    </row>
    <row r="858">
      <c r="A858" s="5"/>
      <c r="B858" s="5"/>
      <c r="C858" s="5"/>
      <c r="D858" s="5"/>
      <c r="E858" s="5"/>
      <c r="F858" s="5"/>
      <c r="G858" s="5"/>
      <c r="H858" s="5"/>
      <c r="I858" s="5"/>
      <c r="J858" s="5"/>
      <c r="K858" s="5"/>
      <c r="L858" s="5"/>
      <c r="M858" s="5"/>
      <c r="N858" s="5"/>
      <c r="O858" s="5"/>
      <c r="P858" s="5"/>
      <c r="Q858" s="5"/>
      <c r="R858" s="5"/>
      <c r="S858" s="5"/>
      <c r="T858" s="5"/>
      <c r="U858" s="5"/>
      <c r="V858" s="5"/>
      <c r="W858" s="5"/>
    </row>
    <row r="859">
      <c r="A859" s="5"/>
      <c r="B859" s="5"/>
      <c r="C859" s="5"/>
      <c r="D859" s="5"/>
      <c r="E859" s="5"/>
      <c r="F859" s="5"/>
      <c r="G859" s="5"/>
      <c r="H859" s="5"/>
      <c r="I859" s="5"/>
      <c r="J859" s="5"/>
      <c r="K859" s="5"/>
      <c r="L859" s="5"/>
      <c r="M859" s="5"/>
      <c r="N859" s="5"/>
      <c r="O859" s="5"/>
      <c r="P859" s="5"/>
      <c r="Q859" s="5"/>
      <c r="R859" s="5"/>
      <c r="S859" s="5"/>
      <c r="T859" s="5"/>
      <c r="U859" s="5"/>
      <c r="V859" s="5"/>
      <c r="W859" s="5"/>
    </row>
    <row r="860">
      <c r="A860" s="5"/>
      <c r="B860" s="5"/>
      <c r="C860" s="5"/>
      <c r="D860" s="5"/>
      <c r="E860" s="5"/>
      <c r="F860" s="5"/>
      <c r="G860" s="5"/>
      <c r="H860" s="5"/>
      <c r="I860" s="5"/>
      <c r="J860" s="5"/>
      <c r="K860" s="5"/>
      <c r="L860" s="5"/>
      <c r="M860" s="5"/>
      <c r="N860" s="5"/>
      <c r="O860" s="5"/>
      <c r="P860" s="5"/>
      <c r="Q860" s="5"/>
      <c r="R860" s="5"/>
      <c r="S860" s="5"/>
      <c r="T860" s="5"/>
      <c r="U860" s="5"/>
      <c r="V860" s="5"/>
      <c r="W860" s="5"/>
    </row>
    <row r="861">
      <c r="A861" s="5"/>
      <c r="B861" s="5"/>
      <c r="C861" s="5"/>
      <c r="D861" s="5"/>
      <c r="E861" s="5"/>
      <c r="F861" s="5"/>
      <c r="G861" s="5"/>
      <c r="H861" s="5"/>
      <c r="I861" s="5"/>
      <c r="J861" s="5"/>
      <c r="K861" s="5"/>
      <c r="L861" s="5"/>
      <c r="M861" s="5"/>
      <c r="N861" s="5"/>
      <c r="O861" s="5"/>
      <c r="P861" s="5"/>
      <c r="Q861" s="5"/>
      <c r="R861" s="5"/>
      <c r="S861" s="5"/>
      <c r="T861" s="5"/>
      <c r="U861" s="5"/>
      <c r="V861" s="5"/>
      <c r="W861" s="5"/>
    </row>
    <row r="862">
      <c r="A862" s="5"/>
      <c r="B862" s="5"/>
      <c r="C862" s="5"/>
      <c r="D862" s="5"/>
      <c r="E862" s="5"/>
      <c r="F862" s="5"/>
      <c r="G862" s="5"/>
      <c r="H862" s="5"/>
      <c r="I862" s="5"/>
      <c r="J862" s="5"/>
      <c r="K862" s="5"/>
      <c r="L862" s="5"/>
      <c r="M862" s="5"/>
      <c r="N862" s="5"/>
      <c r="O862" s="5"/>
      <c r="P862" s="5"/>
      <c r="Q862" s="5"/>
      <c r="R862" s="5"/>
      <c r="S862" s="5"/>
      <c r="T862" s="5"/>
      <c r="U862" s="5"/>
      <c r="V862" s="5"/>
      <c r="W862" s="5"/>
    </row>
    <row r="863">
      <c r="A863" s="5"/>
      <c r="B863" s="5"/>
      <c r="C863" s="5"/>
      <c r="D863" s="5"/>
      <c r="E863" s="5"/>
      <c r="F863" s="5"/>
      <c r="G863" s="5"/>
      <c r="H863" s="5"/>
      <c r="I863" s="5"/>
      <c r="J863" s="5"/>
      <c r="K863" s="5"/>
      <c r="L863" s="5"/>
      <c r="M863" s="5"/>
      <c r="N863" s="5"/>
      <c r="O863" s="5"/>
      <c r="P863" s="5"/>
      <c r="Q863" s="5"/>
      <c r="R863" s="5"/>
      <c r="S863" s="5"/>
      <c r="T863" s="5"/>
      <c r="U863" s="5"/>
      <c r="V863" s="5"/>
      <c r="W863" s="5"/>
    </row>
    <row r="864">
      <c r="A864" s="5"/>
      <c r="B864" s="5"/>
      <c r="C864" s="5"/>
      <c r="D864" s="5"/>
      <c r="E864" s="5"/>
      <c r="F864" s="5"/>
      <c r="G864" s="5"/>
      <c r="H864" s="5"/>
      <c r="I864" s="5"/>
      <c r="J864" s="5"/>
      <c r="K864" s="5"/>
      <c r="L864" s="5"/>
      <c r="M864" s="5"/>
      <c r="N864" s="5"/>
      <c r="O864" s="5"/>
      <c r="P864" s="5"/>
      <c r="Q864" s="5"/>
      <c r="R864" s="5"/>
      <c r="S864" s="5"/>
      <c r="T864" s="5"/>
      <c r="U864" s="5"/>
      <c r="V864" s="5"/>
      <c r="W864" s="5"/>
    </row>
    <row r="865">
      <c r="A865" s="5"/>
      <c r="B865" s="5"/>
      <c r="C865" s="5"/>
      <c r="D865" s="5"/>
      <c r="E865" s="5"/>
      <c r="F865" s="5"/>
      <c r="G865" s="5"/>
      <c r="H865" s="5"/>
      <c r="I865" s="5"/>
      <c r="J865" s="5"/>
      <c r="K865" s="5"/>
      <c r="L865" s="5"/>
      <c r="M865" s="5"/>
      <c r="N865" s="5"/>
      <c r="O865" s="5"/>
      <c r="P865" s="5"/>
      <c r="Q865" s="5"/>
      <c r="R865" s="5"/>
      <c r="S865" s="5"/>
      <c r="T865" s="5"/>
      <c r="U865" s="5"/>
      <c r="V865" s="5"/>
      <c r="W865" s="5"/>
    </row>
    <row r="866">
      <c r="A866" s="5"/>
      <c r="B866" s="5"/>
      <c r="C866" s="5"/>
      <c r="D866" s="5"/>
      <c r="E866" s="5"/>
      <c r="F866" s="5"/>
      <c r="G866" s="5"/>
      <c r="H866" s="5"/>
      <c r="I866" s="5"/>
      <c r="J866" s="5"/>
      <c r="K866" s="5"/>
      <c r="L866" s="5"/>
      <c r="M866" s="5"/>
      <c r="N866" s="5"/>
      <c r="O866" s="5"/>
      <c r="P866" s="5"/>
      <c r="Q866" s="5"/>
      <c r="R866" s="5"/>
      <c r="S866" s="5"/>
      <c r="T866" s="5"/>
      <c r="U866" s="5"/>
      <c r="V866" s="5"/>
      <c r="W866" s="5"/>
    </row>
    <row r="867">
      <c r="A867" s="5"/>
      <c r="B867" s="5"/>
      <c r="C867" s="5"/>
      <c r="D867" s="5"/>
      <c r="E867" s="5"/>
      <c r="F867" s="5"/>
      <c r="G867" s="5"/>
      <c r="H867" s="5"/>
      <c r="I867" s="5"/>
      <c r="J867" s="5"/>
      <c r="K867" s="5"/>
      <c r="L867" s="5"/>
      <c r="M867" s="5"/>
      <c r="N867" s="5"/>
      <c r="O867" s="5"/>
      <c r="P867" s="5"/>
      <c r="Q867" s="5"/>
      <c r="R867" s="5"/>
      <c r="S867" s="5"/>
      <c r="T867" s="5"/>
      <c r="U867" s="5"/>
      <c r="V867" s="5"/>
      <c r="W867" s="5"/>
    </row>
    <row r="868">
      <c r="A868" s="5"/>
      <c r="B868" s="5"/>
      <c r="C868" s="5"/>
      <c r="D868" s="5"/>
      <c r="E868" s="5"/>
      <c r="F868" s="5"/>
      <c r="G868" s="5"/>
      <c r="H868" s="5"/>
      <c r="I868" s="5"/>
      <c r="J868" s="5"/>
      <c r="K868" s="5"/>
      <c r="L868" s="5"/>
      <c r="M868" s="5"/>
      <c r="N868" s="5"/>
      <c r="O868" s="5"/>
      <c r="P868" s="5"/>
      <c r="Q868" s="5"/>
      <c r="R868" s="5"/>
      <c r="S868" s="5"/>
      <c r="T868" s="5"/>
      <c r="U868" s="5"/>
      <c r="V868" s="5"/>
      <c r="W868" s="5"/>
    </row>
    <row r="869">
      <c r="A869" s="5"/>
      <c r="B869" s="5"/>
      <c r="C869" s="5"/>
      <c r="D869" s="5"/>
      <c r="E869" s="5"/>
      <c r="F869" s="5"/>
      <c r="G869" s="5"/>
      <c r="H869" s="5"/>
      <c r="I869" s="5"/>
      <c r="J869" s="5"/>
      <c r="K869" s="5"/>
      <c r="L869" s="5"/>
      <c r="M869" s="5"/>
      <c r="N869" s="5"/>
      <c r="O869" s="5"/>
      <c r="P869" s="5"/>
      <c r="Q869" s="5"/>
      <c r="R869" s="5"/>
      <c r="S869" s="5"/>
      <c r="T869" s="5"/>
      <c r="U869" s="5"/>
      <c r="V869" s="5"/>
      <c r="W869" s="5"/>
    </row>
    <row r="870">
      <c r="A870" s="5"/>
      <c r="B870" s="5"/>
      <c r="C870" s="5"/>
      <c r="D870" s="5"/>
      <c r="E870" s="5"/>
      <c r="F870" s="5"/>
      <c r="G870" s="5"/>
      <c r="H870" s="5"/>
      <c r="I870" s="5"/>
      <c r="J870" s="5"/>
      <c r="K870" s="5"/>
      <c r="L870" s="5"/>
      <c r="M870" s="5"/>
      <c r="N870" s="5"/>
      <c r="O870" s="5"/>
      <c r="P870" s="5"/>
      <c r="Q870" s="5"/>
      <c r="R870" s="5"/>
      <c r="S870" s="5"/>
      <c r="T870" s="5"/>
      <c r="U870" s="5"/>
      <c r="V870" s="5"/>
      <c r="W870" s="5"/>
    </row>
    <row r="871">
      <c r="A871" s="5"/>
      <c r="B871" s="5"/>
      <c r="C871" s="5"/>
      <c r="D871" s="5"/>
      <c r="E871" s="5"/>
      <c r="F871" s="5"/>
      <c r="G871" s="5"/>
      <c r="H871" s="5"/>
      <c r="I871" s="5"/>
      <c r="J871" s="5"/>
      <c r="K871" s="5"/>
      <c r="L871" s="5"/>
      <c r="M871" s="5"/>
      <c r="N871" s="5"/>
      <c r="O871" s="5"/>
      <c r="P871" s="5"/>
      <c r="Q871" s="5"/>
      <c r="R871" s="5"/>
      <c r="S871" s="5"/>
      <c r="T871" s="5"/>
      <c r="U871" s="5"/>
      <c r="V871" s="5"/>
      <c r="W871" s="5"/>
    </row>
    <row r="872">
      <c r="A872" s="5"/>
      <c r="B872" s="5"/>
      <c r="C872" s="5"/>
      <c r="D872" s="5"/>
      <c r="E872" s="5"/>
      <c r="F872" s="5"/>
      <c r="G872" s="5"/>
      <c r="H872" s="5"/>
      <c r="I872" s="5"/>
      <c r="J872" s="5"/>
      <c r="K872" s="5"/>
      <c r="L872" s="5"/>
      <c r="M872" s="5"/>
      <c r="N872" s="5"/>
      <c r="O872" s="5"/>
      <c r="P872" s="5"/>
      <c r="Q872" s="5"/>
      <c r="R872" s="5"/>
      <c r="S872" s="5"/>
      <c r="T872" s="5"/>
      <c r="U872" s="5"/>
      <c r="V872" s="5"/>
      <c r="W872" s="5"/>
    </row>
    <row r="873">
      <c r="A873" s="5"/>
      <c r="B873" s="5"/>
      <c r="C873" s="5"/>
      <c r="D873" s="5"/>
      <c r="E873" s="5"/>
      <c r="F873" s="5"/>
      <c r="G873" s="5"/>
      <c r="H873" s="5"/>
      <c r="I873" s="5"/>
      <c r="J873" s="5"/>
      <c r="K873" s="5"/>
      <c r="L873" s="5"/>
      <c r="M873" s="5"/>
      <c r="N873" s="5"/>
      <c r="O873" s="5"/>
      <c r="P873" s="5"/>
      <c r="Q873" s="5"/>
      <c r="R873" s="5"/>
      <c r="S873" s="5"/>
      <c r="T873" s="5"/>
      <c r="U873" s="5"/>
      <c r="V873" s="5"/>
      <c r="W873" s="5"/>
    </row>
    <row r="874">
      <c r="A874" s="5"/>
      <c r="B874" s="5"/>
      <c r="C874" s="5"/>
      <c r="D874" s="5"/>
      <c r="E874" s="5"/>
      <c r="F874" s="5"/>
      <c r="G874" s="5"/>
      <c r="H874" s="5"/>
      <c r="I874" s="5"/>
      <c r="J874" s="5"/>
      <c r="K874" s="5"/>
      <c r="L874" s="5"/>
      <c r="M874" s="5"/>
      <c r="N874" s="5"/>
      <c r="O874" s="5"/>
      <c r="P874" s="5"/>
      <c r="Q874" s="5"/>
      <c r="R874" s="5"/>
      <c r="S874" s="5"/>
      <c r="T874" s="5"/>
      <c r="U874" s="5"/>
      <c r="V874" s="5"/>
      <c r="W874" s="5"/>
    </row>
    <row r="875">
      <c r="A875" s="5"/>
      <c r="B875" s="5"/>
      <c r="C875" s="5"/>
      <c r="D875" s="5"/>
      <c r="E875" s="5"/>
      <c r="F875" s="5"/>
      <c r="G875" s="5"/>
      <c r="H875" s="5"/>
      <c r="I875" s="5"/>
      <c r="J875" s="5"/>
      <c r="K875" s="5"/>
      <c r="L875" s="5"/>
      <c r="M875" s="5"/>
      <c r="N875" s="5"/>
      <c r="O875" s="5"/>
      <c r="P875" s="5"/>
      <c r="Q875" s="5"/>
      <c r="R875" s="5"/>
      <c r="S875" s="5"/>
      <c r="T875" s="5"/>
      <c r="U875" s="5"/>
      <c r="V875" s="5"/>
      <c r="W875" s="5"/>
    </row>
    <row r="876">
      <c r="A876" s="5"/>
      <c r="B876" s="5"/>
      <c r="C876" s="5"/>
      <c r="D876" s="5"/>
      <c r="E876" s="5"/>
      <c r="F876" s="5"/>
      <c r="G876" s="5"/>
      <c r="H876" s="5"/>
      <c r="I876" s="5"/>
      <c r="J876" s="5"/>
      <c r="K876" s="5"/>
      <c r="L876" s="5"/>
      <c r="M876" s="5"/>
      <c r="N876" s="5"/>
      <c r="O876" s="5"/>
      <c r="P876" s="5"/>
      <c r="Q876" s="5"/>
      <c r="R876" s="5"/>
      <c r="S876" s="5"/>
      <c r="T876" s="5"/>
      <c r="U876" s="5"/>
      <c r="V876" s="5"/>
      <c r="W876" s="5"/>
    </row>
    <row r="877">
      <c r="A877" s="5"/>
      <c r="B877" s="5"/>
      <c r="C877" s="5"/>
      <c r="D877" s="5"/>
      <c r="E877" s="5"/>
      <c r="F877" s="5"/>
      <c r="G877" s="5"/>
      <c r="H877" s="5"/>
      <c r="I877" s="5"/>
      <c r="J877" s="5"/>
      <c r="K877" s="5"/>
      <c r="L877" s="5"/>
      <c r="M877" s="5"/>
      <c r="N877" s="5"/>
      <c r="O877" s="5"/>
      <c r="P877" s="5"/>
      <c r="Q877" s="5"/>
      <c r="R877" s="5"/>
      <c r="S877" s="5"/>
      <c r="T877" s="5"/>
      <c r="U877" s="5"/>
      <c r="V877" s="5"/>
      <c r="W877" s="5"/>
    </row>
    <row r="878">
      <c r="A878" s="5"/>
      <c r="B878" s="5"/>
      <c r="C878" s="5"/>
      <c r="D878" s="5"/>
      <c r="E878" s="5"/>
      <c r="F878" s="5"/>
      <c r="G878" s="5"/>
      <c r="H878" s="5"/>
      <c r="I878" s="5"/>
      <c r="J878" s="5"/>
      <c r="K878" s="5"/>
      <c r="L878" s="5"/>
      <c r="M878" s="5"/>
      <c r="N878" s="5"/>
      <c r="O878" s="5"/>
      <c r="P878" s="5"/>
      <c r="Q878" s="5"/>
      <c r="R878" s="5"/>
      <c r="S878" s="5"/>
      <c r="T878" s="5"/>
      <c r="U878" s="5"/>
      <c r="V878" s="5"/>
      <c r="W878" s="5"/>
    </row>
    <row r="879">
      <c r="A879" s="5"/>
      <c r="B879" s="5"/>
      <c r="C879" s="5"/>
      <c r="D879" s="5"/>
      <c r="E879" s="5"/>
      <c r="F879" s="5"/>
      <c r="G879" s="5"/>
      <c r="H879" s="5"/>
      <c r="I879" s="5"/>
      <c r="J879" s="5"/>
      <c r="K879" s="5"/>
      <c r="L879" s="5"/>
      <c r="M879" s="5"/>
      <c r="N879" s="5"/>
      <c r="O879" s="5"/>
      <c r="P879" s="5"/>
      <c r="Q879" s="5"/>
      <c r="R879" s="5"/>
      <c r="S879" s="5"/>
      <c r="T879" s="5"/>
      <c r="U879" s="5"/>
      <c r="V879" s="5"/>
      <c r="W879" s="5"/>
    </row>
    <row r="880">
      <c r="A880" s="5"/>
      <c r="B880" s="5"/>
      <c r="C880" s="5"/>
      <c r="D880" s="5"/>
      <c r="E880" s="5"/>
      <c r="F880" s="5"/>
      <c r="G880" s="5"/>
      <c r="H880" s="5"/>
      <c r="I880" s="5"/>
      <c r="J880" s="5"/>
      <c r="K880" s="5"/>
      <c r="L880" s="5"/>
      <c r="M880" s="5"/>
      <c r="N880" s="5"/>
      <c r="O880" s="5"/>
      <c r="P880" s="5"/>
      <c r="Q880" s="5"/>
      <c r="R880" s="5"/>
      <c r="S880" s="5"/>
      <c r="T880" s="5"/>
      <c r="U880" s="5"/>
      <c r="V880" s="5"/>
      <c r="W880" s="5"/>
    </row>
    <row r="881">
      <c r="A881" s="5"/>
      <c r="B881" s="5"/>
      <c r="C881" s="5"/>
      <c r="D881" s="5"/>
      <c r="E881" s="5"/>
      <c r="F881" s="5"/>
      <c r="G881" s="5"/>
      <c r="H881" s="5"/>
      <c r="I881" s="5"/>
      <c r="J881" s="5"/>
      <c r="K881" s="5"/>
      <c r="L881" s="5"/>
      <c r="M881" s="5"/>
      <c r="N881" s="5"/>
      <c r="O881" s="5"/>
      <c r="P881" s="5"/>
      <c r="Q881" s="5"/>
      <c r="R881" s="5"/>
      <c r="S881" s="5"/>
      <c r="T881" s="5"/>
      <c r="U881" s="5"/>
      <c r="V881" s="5"/>
      <c r="W881" s="5"/>
    </row>
    <row r="882">
      <c r="A882" s="5"/>
      <c r="B882" s="5"/>
      <c r="C882" s="5"/>
      <c r="D882" s="5"/>
      <c r="E882" s="5"/>
      <c r="F882" s="5"/>
      <c r="G882" s="5"/>
      <c r="H882" s="5"/>
      <c r="I882" s="5"/>
      <c r="J882" s="5"/>
      <c r="K882" s="5"/>
      <c r="L882" s="5"/>
      <c r="M882" s="5"/>
      <c r="N882" s="5"/>
      <c r="O882" s="5"/>
      <c r="P882" s="5"/>
      <c r="Q882" s="5"/>
      <c r="R882" s="5"/>
      <c r="S882" s="5"/>
      <c r="T882" s="5"/>
      <c r="U882" s="5"/>
      <c r="V882" s="5"/>
      <c r="W882" s="5"/>
    </row>
    <row r="883">
      <c r="A883" s="5"/>
      <c r="B883" s="5"/>
      <c r="C883" s="5"/>
      <c r="D883" s="5"/>
      <c r="E883" s="5"/>
      <c r="F883" s="5"/>
      <c r="G883" s="5"/>
      <c r="H883" s="5"/>
      <c r="I883" s="5"/>
      <c r="J883" s="5"/>
      <c r="K883" s="5"/>
      <c r="L883" s="5"/>
      <c r="M883" s="5"/>
      <c r="N883" s="5"/>
      <c r="O883" s="5"/>
      <c r="P883" s="5"/>
      <c r="Q883" s="5"/>
      <c r="R883" s="5"/>
      <c r="S883" s="5"/>
      <c r="T883" s="5"/>
      <c r="U883" s="5"/>
      <c r="V883" s="5"/>
      <c r="W883" s="5"/>
    </row>
    <row r="884">
      <c r="A884" s="5"/>
      <c r="B884" s="5"/>
      <c r="C884" s="5"/>
      <c r="D884" s="5"/>
      <c r="E884" s="5"/>
      <c r="F884" s="5"/>
      <c r="G884" s="5"/>
      <c r="H884" s="5"/>
      <c r="I884" s="5"/>
      <c r="J884" s="5"/>
      <c r="K884" s="5"/>
      <c r="L884" s="5"/>
      <c r="M884" s="5"/>
      <c r="N884" s="5"/>
      <c r="O884" s="5"/>
      <c r="P884" s="5"/>
      <c r="Q884" s="5"/>
      <c r="R884" s="5"/>
      <c r="S884" s="5"/>
      <c r="T884" s="5"/>
      <c r="U884" s="5"/>
      <c r="V884" s="5"/>
      <c r="W884" s="5"/>
    </row>
    <row r="885">
      <c r="A885" s="5"/>
      <c r="B885" s="5"/>
      <c r="C885" s="5"/>
      <c r="D885" s="5"/>
      <c r="E885" s="5"/>
      <c r="F885" s="5"/>
      <c r="G885" s="5"/>
      <c r="H885" s="5"/>
      <c r="I885" s="5"/>
      <c r="J885" s="5"/>
      <c r="K885" s="5"/>
      <c r="L885" s="5"/>
      <c r="M885" s="5"/>
      <c r="N885" s="5"/>
      <c r="O885" s="5"/>
      <c r="P885" s="5"/>
      <c r="Q885" s="5"/>
      <c r="R885" s="5"/>
      <c r="S885" s="5"/>
      <c r="T885" s="5"/>
      <c r="U885" s="5"/>
      <c r="V885" s="5"/>
      <c r="W885" s="5"/>
    </row>
    <row r="886">
      <c r="A886" s="5"/>
      <c r="B886" s="5"/>
      <c r="C886" s="5"/>
      <c r="D886" s="5"/>
      <c r="E886" s="5"/>
      <c r="F886" s="5"/>
      <c r="G886" s="5"/>
      <c r="H886" s="5"/>
      <c r="I886" s="5"/>
      <c r="J886" s="5"/>
      <c r="K886" s="5"/>
      <c r="L886" s="5"/>
      <c r="M886" s="5"/>
      <c r="N886" s="5"/>
      <c r="O886" s="5"/>
      <c r="P886" s="5"/>
      <c r="Q886" s="5"/>
      <c r="R886" s="5"/>
      <c r="S886" s="5"/>
      <c r="T886" s="5"/>
      <c r="U886" s="5"/>
      <c r="V886" s="5"/>
      <c r="W886" s="5"/>
    </row>
    <row r="887">
      <c r="A887" s="5"/>
      <c r="B887" s="5"/>
      <c r="C887" s="5"/>
      <c r="D887" s="5"/>
      <c r="E887" s="5"/>
      <c r="F887" s="5"/>
      <c r="G887" s="5"/>
      <c r="H887" s="5"/>
      <c r="I887" s="5"/>
      <c r="J887" s="5"/>
      <c r="K887" s="5"/>
      <c r="L887" s="5"/>
      <c r="M887" s="5"/>
      <c r="N887" s="5"/>
      <c r="O887" s="5"/>
      <c r="P887" s="5"/>
      <c r="Q887" s="5"/>
      <c r="R887" s="5"/>
      <c r="S887" s="5"/>
      <c r="T887" s="5"/>
      <c r="U887" s="5"/>
      <c r="V887" s="5"/>
      <c r="W887" s="5"/>
    </row>
    <row r="888">
      <c r="A888" s="5"/>
      <c r="B888" s="5"/>
      <c r="C888" s="5"/>
      <c r="D888" s="5"/>
      <c r="E888" s="5"/>
      <c r="F888" s="5"/>
      <c r="G888" s="5"/>
      <c r="H888" s="5"/>
      <c r="I888" s="5"/>
      <c r="J888" s="5"/>
      <c r="K888" s="5"/>
      <c r="L888" s="5"/>
      <c r="M888" s="5"/>
      <c r="N888" s="5"/>
      <c r="O888" s="5"/>
      <c r="P888" s="5"/>
      <c r="Q888" s="5"/>
      <c r="R888" s="5"/>
      <c r="S888" s="5"/>
      <c r="T888" s="5"/>
      <c r="U888" s="5"/>
      <c r="V888" s="5"/>
      <c r="W888" s="5"/>
    </row>
    <row r="889">
      <c r="A889" s="5"/>
      <c r="B889" s="5"/>
      <c r="C889" s="5"/>
      <c r="D889" s="5"/>
      <c r="E889" s="5"/>
      <c r="F889" s="5"/>
      <c r="G889" s="5"/>
      <c r="H889" s="5"/>
      <c r="I889" s="5"/>
      <c r="J889" s="5"/>
      <c r="K889" s="5"/>
      <c r="L889" s="5"/>
      <c r="M889" s="5"/>
      <c r="N889" s="5"/>
      <c r="O889" s="5"/>
      <c r="P889" s="5"/>
      <c r="Q889" s="5"/>
      <c r="R889" s="5"/>
      <c r="S889" s="5"/>
      <c r="T889" s="5"/>
      <c r="U889" s="5"/>
      <c r="V889" s="5"/>
      <c r="W889" s="5"/>
    </row>
    <row r="890">
      <c r="A890" s="5"/>
      <c r="B890" s="5"/>
      <c r="C890" s="5"/>
      <c r="D890" s="5"/>
      <c r="E890" s="5"/>
      <c r="F890" s="5"/>
      <c r="G890" s="5"/>
      <c r="H890" s="5"/>
      <c r="I890" s="5"/>
      <c r="J890" s="5"/>
      <c r="K890" s="5"/>
      <c r="L890" s="5"/>
      <c r="M890" s="5"/>
      <c r="N890" s="5"/>
      <c r="O890" s="5"/>
      <c r="P890" s="5"/>
      <c r="Q890" s="5"/>
      <c r="R890" s="5"/>
      <c r="S890" s="5"/>
      <c r="T890" s="5"/>
      <c r="U890" s="5"/>
      <c r="V890" s="5"/>
      <c r="W890" s="5"/>
    </row>
    <row r="891">
      <c r="A891" s="5"/>
      <c r="B891" s="5"/>
      <c r="C891" s="5"/>
      <c r="D891" s="5"/>
      <c r="E891" s="5"/>
      <c r="F891" s="5"/>
      <c r="G891" s="5"/>
      <c r="H891" s="5"/>
      <c r="I891" s="5"/>
      <c r="J891" s="5"/>
      <c r="K891" s="5"/>
      <c r="L891" s="5"/>
      <c r="M891" s="5"/>
      <c r="N891" s="5"/>
      <c r="O891" s="5"/>
      <c r="P891" s="5"/>
      <c r="Q891" s="5"/>
      <c r="R891" s="5"/>
      <c r="S891" s="5"/>
      <c r="T891" s="5"/>
      <c r="U891" s="5"/>
      <c r="V891" s="5"/>
      <c r="W891" s="5"/>
    </row>
    <row r="892">
      <c r="A892" s="5"/>
      <c r="B892" s="5"/>
      <c r="C892" s="5"/>
      <c r="D892" s="5"/>
      <c r="E892" s="5"/>
      <c r="F892" s="5"/>
      <c r="G892" s="5"/>
      <c r="H892" s="5"/>
      <c r="I892" s="5"/>
      <c r="J892" s="5"/>
      <c r="K892" s="5"/>
      <c r="L892" s="5"/>
      <c r="M892" s="5"/>
      <c r="N892" s="5"/>
      <c r="O892" s="5"/>
      <c r="P892" s="5"/>
      <c r="Q892" s="5"/>
      <c r="R892" s="5"/>
      <c r="S892" s="5"/>
      <c r="T892" s="5"/>
      <c r="U892" s="5"/>
      <c r="V892" s="5"/>
      <c r="W892" s="5"/>
    </row>
    <row r="893">
      <c r="A893" s="5"/>
      <c r="B893" s="5"/>
      <c r="C893" s="5"/>
      <c r="D893" s="5"/>
      <c r="E893" s="5"/>
      <c r="F893" s="5"/>
      <c r="G893" s="5"/>
      <c r="H893" s="5"/>
      <c r="I893" s="5"/>
      <c r="J893" s="5"/>
      <c r="K893" s="5"/>
      <c r="L893" s="5"/>
      <c r="M893" s="5"/>
      <c r="N893" s="5"/>
      <c r="O893" s="5"/>
      <c r="P893" s="5"/>
      <c r="Q893" s="5"/>
      <c r="R893" s="5"/>
      <c r="S893" s="5"/>
      <c r="T893" s="5"/>
      <c r="U893" s="5"/>
      <c r="V893" s="5"/>
      <c r="W893" s="5"/>
    </row>
    <row r="894">
      <c r="A894" s="5"/>
      <c r="B894" s="5"/>
      <c r="C894" s="5"/>
      <c r="D894" s="5"/>
      <c r="E894" s="5"/>
      <c r="F894" s="5"/>
      <c r="G894" s="5"/>
      <c r="H894" s="5"/>
      <c r="I894" s="5"/>
      <c r="J894" s="5"/>
      <c r="K894" s="5"/>
      <c r="L894" s="5"/>
      <c r="M894" s="5"/>
      <c r="N894" s="5"/>
      <c r="O894" s="5"/>
      <c r="P894" s="5"/>
      <c r="Q894" s="5"/>
      <c r="R894" s="5"/>
      <c r="S894" s="5"/>
      <c r="T894" s="5"/>
      <c r="U894" s="5"/>
      <c r="V894" s="5"/>
      <c r="W894" s="5"/>
    </row>
    <row r="895">
      <c r="A895" s="5"/>
      <c r="B895" s="5"/>
      <c r="C895" s="5"/>
      <c r="D895" s="5"/>
      <c r="E895" s="5"/>
      <c r="F895" s="5"/>
      <c r="G895" s="5"/>
      <c r="H895" s="5"/>
      <c r="I895" s="5"/>
      <c r="J895" s="5"/>
      <c r="K895" s="5"/>
      <c r="L895" s="5"/>
      <c r="M895" s="5"/>
      <c r="N895" s="5"/>
      <c r="O895" s="5"/>
      <c r="P895" s="5"/>
      <c r="Q895" s="5"/>
      <c r="R895" s="5"/>
      <c r="S895" s="5"/>
      <c r="T895" s="5"/>
      <c r="U895" s="5"/>
      <c r="V895" s="5"/>
      <c r="W895" s="5"/>
    </row>
    <row r="896">
      <c r="A896" s="5"/>
      <c r="B896" s="5"/>
      <c r="C896" s="5"/>
      <c r="D896" s="5"/>
      <c r="E896" s="5"/>
      <c r="F896" s="5"/>
      <c r="G896" s="5"/>
      <c r="H896" s="5"/>
      <c r="I896" s="5"/>
      <c r="J896" s="5"/>
      <c r="K896" s="5"/>
      <c r="L896" s="5"/>
      <c r="M896" s="5"/>
      <c r="N896" s="5"/>
      <c r="O896" s="5"/>
      <c r="P896" s="5"/>
      <c r="Q896" s="5"/>
      <c r="R896" s="5"/>
      <c r="S896" s="5"/>
      <c r="T896" s="5"/>
      <c r="U896" s="5"/>
      <c r="V896" s="5"/>
      <c r="W896" s="5"/>
    </row>
    <row r="897">
      <c r="A897" s="5"/>
      <c r="B897" s="5"/>
      <c r="C897" s="5"/>
      <c r="D897" s="5"/>
      <c r="E897" s="5"/>
      <c r="F897" s="5"/>
      <c r="G897" s="5"/>
      <c r="H897" s="5"/>
      <c r="I897" s="5"/>
      <c r="J897" s="5"/>
      <c r="K897" s="5"/>
      <c r="L897" s="5"/>
      <c r="M897" s="5"/>
      <c r="N897" s="5"/>
      <c r="O897" s="5"/>
      <c r="P897" s="5"/>
      <c r="Q897" s="5"/>
      <c r="R897" s="5"/>
      <c r="S897" s="5"/>
      <c r="T897" s="5"/>
      <c r="U897" s="5"/>
      <c r="V897" s="5"/>
      <c r="W897" s="5"/>
    </row>
    <row r="898">
      <c r="A898" s="5"/>
      <c r="B898" s="5"/>
      <c r="C898" s="5"/>
      <c r="D898" s="5"/>
      <c r="E898" s="5"/>
      <c r="F898" s="5"/>
      <c r="G898" s="5"/>
      <c r="H898" s="5"/>
      <c r="I898" s="5"/>
      <c r="J898" s="5"/>
      <c r="K898" s="5"/>
      <c r="L898" s="5"/>
      <c r="M898" s="5"/>
      <c r="N898" s="5"/>
      <c r="O898" s="5"/>
      <c r="P898" s="5"/>
      <c r="Q898" s="5"/>
      <c r="R898" s="5"/>
      <c r="S898" s="5"/>
      <c r="T898" s="5"/>
      <c r="U898" s="5"/>
      <c r="V898" s="5"/>
      <c r="W898" s="5"/>
    </row>
    <row r="899">
      <c r="A899" s="5"/>
      <c r="B899" s="5"/>
      <c r="C899" s="5"/>
      <c r="D899" s="5"/>
      <c r="E899" s="5"/>
      <c r="F899" s="5"/>
      <c r="G899" s="5"/>
      <c r="H899" s="5"/>
      <c r="I899" s="5"/>
      <c r="J899" s="5"/>
      <c r="K899" s="5"/>
      <c r="L899" s="5"/>
      <c r="M899" s="5"/>
      <c r="N899" s="5"/>
      <c r="O899" s="5"/>
      <c r="P899" s="5"/>
      <c r="Q899" s="5"/>
      <c r="R899" s="5"/>
      <c r="S899" s="5"/>
      <c r="T899" s="5"/>
      <c r="U899" s="5"/>
      <c r="V899" s="5"/>
      <c r="W899" s="5"/>
    </row>
    <row r="900">
      <c r="A900" s="5"/>
      <c r="B900" s="5"/>
      <c r="C900" s="5"/>
      <c r="D900" s="5"/>
      <c r="E900" s="5"/>
      <c r="F900" s="5"/>
      <c r="G900" s="5"/>
      <c r="H900" s="5"/>
      <c r="I900" s="5"/>
      <c r="J900" s="5"/>
      <c r="K900" s="5"/>
      <c r="L900" s="5"/>
      <c r="M900" s="5"/>
      <c r="N900" s="5"/>
      <c r="O900" s="5"/>
      <c r="P900" s="5"/>
      <c r="Q900" s="5"/>
      <c r="R900" s="5"/>
      <c r="S900" s="5"/>
      <c r="T900" s="5"/>
      <c r="U900" s="5"/>
      <c r="V900" s="5"/>
      <c r="W900" s="5"/>
    </row>
    <row r="901">
      <c r="A901" s="5"/>
      <c r="B901" s="5"/>
      <c r="C901" s="5"/>
      <c r="D901" s="5"/>
      <c r="E901" s="5"/>
      <c r="F901" s="5"/>
      <c r="G901" s="5"/>
      <c r="H901" s="5"/>
      <c r="I901" s="5"/>
      <c r="J901" s="5"/>
      <c r="K901" s="5"/>
      <c r="L901" s="5"/>
      <c r="M901" s="5"/>
      <c r="N901" s="5"/>
      <c r="O901" s="5"/>
      <c r="P901" s="5"/>
      <c r="Q901" s="5"/>
      <c r="R901" s="5"/>
      <c r="S901" s="5"/>
      <c r="T901" s="5"/>
      <c r="U901" s="5"/>
      <c r="V901" s="5"/>
      <c r="W901" s="5"/>
    </row>
    <row r="902">
      <c r="A902" s="5"/>
      <c r="B902" s="5"/>
      <c r="C902" s="5"/>
      <c r="D902" s="5"/>
      <c r="E902" s="5"/>
      <c r="F902" s="5"/>
      <c r="G902" s="5"/>
      <c r="H902" s="5"/>
      <c r="I902" s="5"/>
      <c r="J902" s="5"/>
      <c r="K902" s="5"/>
      <c r="L902" s="5"/>
      <c r="M902" s="5"/>
      <c r="N902" s="5"/>
      <c r="O902" s="5"/>
      <c r="P902" s="5"/>
      <c r="Q902" s="5"/>
      <c r="R902" s="5"/>
      <c r="S902" s="5"/>
      <c r="T902" s="5"/>
      <c r="U902" s="5"/>
      <c r="V902" s="5"/>
      <c r="W902" s="5"/>
    </row>
    <row r="903">
      <c r="A903" s="5"/>
      <c r="B903" s="5"/>
      <c r="C903" s="5"/>
      <c r="D903" s="5"/>
      <c r="E903" s="5"/>
      <c r="F903" s="5"/>
      <c r="G903" s="5"/>
      <c r="H903" s="5"/>
      <c r="I903" s="5"/>
      <c r="J903" s="5"/>
      <c r="K903" s="5"/>
      <c r="L903" s="5"/>
      <c r="M903" s="5"/>
      <c r="N903" s="5"/>
      <c r="O903" s="5"/>
      <c r="P903" s="5"/>
      <c r="Q903" s="5"/>
      <c r="R903" s="5"/>
      <c r="S903" s="5"/>
      <c r="T903" s="5"/>
      <c r="U903" s="5"/>
      <c r="V903" s="5"/>
      <c r="W903" s="5"/>
    </row>
    <row r="904">
      <c r="A904" s="5"/>
      <c r="B904" s="5"/>
      <c r="C904" s="5"/>
      <c r="D904" s="5"/>
      <c r="E904" s="5"/>
      <c r="F904" s="5"/>
      <c r="G904" s="5"/>
      <c r="H904" s="5"/>
      <c r="I904" s="5"/>
      <c r="J904" s="5"/>
      <c r="K904" s="5"/>
      <c r="L904" s="5"/>
      <c r="M904" s="5"/>
      <c r="N904" s="5"/>
      <c r="O904" s="5"/>
      <c r="P904" s="5"/>
      <c r="Q904" s="5"/>
      <c r="R904" s="5"/>
      <c r="S904" s="5"/>
      <c r="T904" s="5"/>
      <c r="U904" s="5"/>
      <c r="V904" s="5"/>
      <c r="W904" s="5"/>
    </row>
    <row r="905">
      <c r="A905" s="5"/>
      <c r="B905" s="5"/>
      <c r="C905" s="5"/>
      <c r="D905" s="5"/>
      <c r="E905" s="5"/>
      <c r="F905" s="5"/>
      <c r="G905" s="5"/>
      <c r="H905" s="5"/>
      <c r="I905" s="5"/>
      <c r="J905" s="5"/>
      <c r="K905" s="5"/>
      <c r="L905" s="5"/>
      <c r="M905" s="5"/>
      <c r="N905" s="5"/>
      <c r="O905" s="5"/>
      <c r="P905" s="5"/>
      <c r="Q905" s="5"/>
      <c r="R905" s="5"/>
      <c r="S905" s="5"/>
      <c r="T905" s="5"/>
      <c r="U905" s="5"/>
      <c r="V905" s="5"/>
      <c r="W905" s="5"/>
    </row>
    <row r="906">
      <c r="A906" s="5"/>
      <c r="B906" s="5"/>
      <c r="C906" s="5"/>
      <c r="D906" s="5"/>
      <c r="E906" s="5"/>
      <c r="F906" s="5"/>
      <c r="G906" s="5"/>
      <c r="H906" s="5"/>
      <c r="I906" s="5"/>
      <c r="J906" s="5"/>
      <c r="K906" s="5"/>
      <c r="L906" s="5"/>
      <c r="M906" s="5"/>
      <c r="N906" s="5"/>
      <c r="O906" s="5"/>
      <c r="P906" s="5"/>
      <c r="Q906" s="5"/>
      <c r="R906" s="5"/>
      <c r="S906" s="5"/>
      <c r="T906" s="5"/>
      <c r="U906" s="5"/>
      <c r="V906" s="5"/>
      <c r="W906" s="5"/>
    </row>
    <row r="907">
      <c r="A907" s="5"/>
      <c r="B907" s="5"/>
      <c r="C907" s="5"/>
      <c r="D907" s="5"/>
      <c r="E907" s="5"/>
      <c r="F907" s="5"/>
      <c r="G907" s="5"/>
      <c r="H907" s="5"/>
      <c r="I907" s="5"/>
      <c r="J907" s="5"/>
      <c r="K907" s="5"/>
      <c r="L907" s="5"/>
      <c r="M907" s="5"/>
      <c r="N907" s="5"/>
      <c r="O907" s="5"/>
      <c r="P907" s="5"/>
      <c r="Q907" s="5"/>
      <c r="R907" s="5"/>
      <c r="S907" s="5"/>
      <c r="T907" s="5"/>
      <c r="U907" s="5"/>
      <c r="V907" s="5"/>
      <c r="W907" s="5"/>
    </row>
    <row r="908">
      <c r="A908" s="5"/>
      <c r="B908" s="5"/>
      <c r="C908" s="5"/>
      <c r="D908" s="5"/>
      <c r="E908" s="5"/>
      <c r="F908" s="5"/>
      <c r="G908" s="5"/>
      <c r="H908" s="5"/>
      <c r="I908" s="5"/>
      <c r="J908" s="5"/>
      <c r="K908" s="5"/>
      <c r="L908" s="5"/>
      <c r="M908" s="5"/>
      <c r="N908" s="5"/>
      <c r="O908" s="5"/>
      <c r="P908" s="5"/>
      <c r="Q908" s="5"/>
      <c r="R908" s="5"/>
      <c r="S908" s="5"/>
      <c r="T908" s="5"/>
      <c r="U908" s="5"/>
      <c r="V908" s="5"/>
      <c r="W908" s="5"/>
    </row>
    <row r="909">
      <c r="A909" s="5"/>
      <c r="B909" s="5"/>
      <c r="C909" s="5"/>
      <c r="D909" s="5"/>
      <c r="E909" s="5"/>
      <c r="F909" s="5"/>
      <c r="G909" s="5"/>
      <c r="H909" s="5"/>
      <c r="I909" s="5"/>
      <c r="J909" s="5"/>
      <c r="K909" s="5"/>
      <c r="L909" s="5"/>
      <c r="M909" s="5"/>
      <c r="N909" s="5"/>
      <c r="O909" s="5"/>
      <c r="P909" s="5"/>
      <c r="Q909" s="5"/>
      <c r="R909" s="5"/>
      <c r="S909" s="5"/>
      <c r="T909" s="5"/>
      <c r="U909" s="5"/>
      <c r="V909" s="5"/>
      <c r="W909" s="5"/>
    </row>
    <row r="910">
      <c r="A910" s="5"/>
      <c r="B910" s="5"/>
      <c r="C910" s="5"/>
      <c r="D910" s="5"/>
      <c r="E910" s="5"/>
      <c r="F910" s="5"/>
      <c r="G910" s="5"/>
      <c r="H910" s="5"/>
      <c r="I910" s="5"/>
      <c r="J910" s="5"/>
      <c r="K910" s="5"/>
      <c r="L910" s="5"/>
      <c r="M910" s="5"/>
      <c r="N910" s="5"/>
      <c r="O910" s="5"/>
      <c r="P910" s="5"/>
      <c r="Q910" s="5"/>
      <c r="R910" s="5"/>
      <c r="S910" s="5"/>
      <c r="T910" s="5"/>
      <c r="U910" s="5"/>
      <c r="V910" s="5"/>
      <c r="W910" s="5"/>
    </row>
    <row r="911">
      <c r="A911" s="5"/>
      <c r="B911" s="5"/>
      <c r="C911" s="5"/>
      <c r="D911" s="5"/>
      <c r="E911" s="5"/>
      <c r="F911" s="5"/>
      <c r="G911" s="5"/>
      <c r="H911" s="5"/>
      <c r="I911" s="5"/>
      <c r="J911" s="5"/>
      <c r="K911" s="5"/>
      <c r="L911" s="5"/>
      <c r="M911" s="5"/>
      <c r="N911" s="5"/>
      <c r="O911" s="5"/>
      <c r="P911" s="5"/>
      <c r="Q911" s="5"/>
      <c r="R911" s="5"/>
      <c r="S911" s="5"/>
      <c r="T911" s="5"/>
      <c r="U911" s="5"/>
      <c r="V911" s="5"/>
      <c r="W911" s="5"/>
    </row>
    <row r="912">
      <c r="A912" s="5"/>
      <c r="B912" s="5"/>
      <c r="C912" s="5"/>
      <c r="D912" s="5"/>
      <c r="E912" s="5"/>
      <c r="F912" s="5"/>
      <c r="G912" s="5"/>
      <c r="H912" s="5"/>
      <c r="I912" s="5"/>
      <c r="J912" s="5"/>
      <c r="K912" s="5"/>
      <c r="L912" s="5"/>
      <c r="M912" s="5"/>
      <c r="N912" s="5"/>
      <c r="O912" s="5"/>
      <c r="P912" s="5"/>
      <c r="Q912" s="5"/>
      <c r="R912" s="5"/>
      <c r="S912" s="5"/>
      <c r="T912" s="5"/>
      <c r="U912" s="5"/>
      <c r="V912" s="5"/>
      <c r="W912" s="5"/>
    </row>
    <row r="913">
      <c r="A913" s="5"/>
      <c r="B913" s="5"/>
      <c r="C913" s="5"/>
      <c r="D913" s="5"/>
      <c r="E913" s="5"/>
      <c r="F913" s="5"/>
      <c r="G913" s="5"/>
      <c r="H913" s="5"/>
      <c r="I913" s="5"/>
      <c r="J913" s="5"/>
      <c r="K913" s="5"/>
      <c r="L913" s="5"/>
      <c r="M913" s="5"/>
      <c r="N913" s="5"/>
      <c r="O913" s="5"/>
      <c r="P913" s="5"/>
      <c r="Q913" s="5"/>
      <c r="R913" s="5"/>
      <c r="S913" s="5"/>
      <c r="T913" s="5"/>
      <c r="U913" s="5"/>
      <c r="V913" s="5"/>
      <c r="W913" s="5"/>
    </row>
    <row r="914">
      <c r="A914" s="5"/>
      <c r="B914" s="5"/>
      <c r="C914" s="5"/>
      <c r="D914" s="5"/>
      <c r="E914" s="5"/>
      <c r="F914" s="5"/>
      <c r="G914" s="5"/>
      <c r="H914" s="5"/>
      <c r="I914" s="5"/>
      <c r="J914" s="5"/>
      <c r="K914" s="5"/>
      <c r="L914" s="5"/>
      <c r="M914" s="5"/>
      <c r="N914" s="5"/>
      <c r="O914" s="5"/>
      <c r="P914" s="5"/>
      <c r="Q914" s="5"/>
      <c r="R914" s="5"/>
      <c r="S914" s="5"/>
      <c r="T914" s="5"/>
      <c r="U914" s="5"/>
      <c r="V914" s="5"/>
      <c r="W914" s="5"/>
    </row>
    <row r="915">
      <c r="A915" s="5"/>
      <c r="B915" s="5"/>
      <c r="C915" s="5"/>
      <c r="D915" s="5"/>
      <c r="E915" s="5"/>
      <c r="F915" s="5"/>
      <c r="G915" s="5"/>
      <c r="H915" s="5"/>
      <c r="I915" s="5"/>
      <c r="J915" s="5"/>
      <c r="K915" s="5"/>
      <c r="L915" s="5"/>
      <c r="M915" s="5"/>
      <c r="N915" s="5"/>
      <c r="O915" s="5"/>
      <c r="P915" s="5"/>
      <c r="Q915" s="5"/>
      <c r="R915" s="5"/>
      <c r="S915" s="5"/>
      <c r="T915" s="5"/>
      <c r="U915" s="5"/>
      <c r="V915" s="5"/>
      <c r="W915" s="5"/>
    </row>
    <row r="916">
      <c r="A916" s="5"/>
      <c r="B916" s="5"/>
      <c r="C916" s="5"/>
      <c r="D916" s="5"/>
      <c r="E916" s="5"/>
      <c r="F916" s="5"/>
      <c r="G916" s="5"/>
      <c r="H916" s="5"/>
      <c r="I916" s="5"/>
      <c r="J916" s="5"/>
      <c r="K916" s="5"/>
      <c r="L916" s="5"/>
      <c r="M916" s="5"/>
      <c r="N916" s="5"/>
      <c r="O916" s="5"/>
      <c r="P916" s="5"/>
      <c r="Q916" s="5"/>
      <c r="R916" s="5"/>
      <c r="S916" s="5"/>
      <c r="T916" s="5"/>
      <c r="U916" s="5"/>
      <c r="V916" s="5"/>
      <c r="W916" s="5"/>
    </row>
    <row r="917">
      <c r="A917" s="5"/>
      <c r="B917" s="5"/>
      <c r="C917" s="5"/>
      <c r="D917" s="5"/>
      <c r="E917" s="5"/>
      <c r="F917" s="5"/>
      <c r="G917" s="5"/>
      <c r="H917" s="5"/>
      <c r="I917" s="5"/>
      <c r="J917" s="5"/>
      <c r="K917" s="5"/>
      <c r="L917" s="5"/>
      <c r="M917" s="5"/>
      <c r="N917" s="5"/>
      <c r="O917" s="5"/>
      <c r="P917" s="5"/>
      <c r="Q917" s="5"/>
      <c r="R917" s="5"/>
      <c r="S917" s="5"/>
      <c r="T917" s="5"/>
      <c r="U917" s="5"/>
      <c r="V917" s="5"/>
      <c r="W917" s="5"/>
    </row>
    <row r="918">
      <c r="A918" s="5"/>
      <c r="B918" s="5"/>
      <c r="C918" s="5"/>
      <c r="D918" s="5"/>
      <c r="E918" s="5"/>
      <c r="F918" s="5"/>
      <c r="G918" s="5"/>
      <c r="H918" s="5"/>
      <c r="I918" s="5"/>
      <c r="J918" s="5"/>
      <c r="K918" s="5"/>
      <c r="L918" s="5"/>
      <c r="M918" s="5"/>
      <c r="N918" s="5"/>
      <c r="O918" s="5"/>
      <c r="P918" s="5"/>
      <c r="Q918" s="5"/>
      <c r="R918" s="5"/>
      <c r="S918" s="5"/>
      <c r="T918" s="5"/>
      <c r="U918" s="5"/>
      <c r="V918" s="5"/>
      <c r="W918" s="5"/>
    </row>
    <row r="919">
      <c r="A919" s="5"/>
      <c r="B919" s="5"/>
      <c r="C919" s="5"/>
      <c r="D919" s="5"/>
      <c r="E919" s="5"/>
      <c r="F919" s="5"/>
      <c r="G919" s="5"/>
      <c r="H919" s="5"/>
      <c r="I919" s="5"/>
      <c r="J919" s="5"/>
      <c r="K919" s="5"/>
      <c r="L919" s="5"/>
      <c r="M919" s="5"/>
      <c r="N919" s="5"/>
      <c r="O919" s="5"/>
      <c r="P919" s="5"/>
      <c r="Q919" s="5"/>
      <c r="R919" s="5"/>
      <c r="S919" s="5"/>
      <c r="T919" s="5"/>
      <c r="U919" s="5"/>
      <c r="V919" s="5"/>
      <c r="W919" s="5"/>
    </row>
    <row r="920">
      <c r="A920" s="5"/>
      <c r="B920" s="5"/>
      <c r="C920" s="5"/>
      <c r="D920" s="5"/>
      <c r="E920" s="5"/>
      <c r="F920" s="5"/>
      <c r="G920" s="5"/>
      <c r="H920" s="5"/>
      <c r="I920" s="5"/>
      <c r="J920" s="5"/>
      <c r="K920" s="5"/>
      <c r="L920" s="5"/>
      <c r="M920" s="5"/>
      <c r="N920" s="5"/>
      <c r="O920" s="5"/>
      <c r="P920" s="5"/>
      <c r="Q920" s="5"/>
      <c r="R920" s="5"/>
      <c r="S920" s="5"/>
      <c r="T920" s="5"/>
      <c r="U920" s="5"/>
      <c r="V920" s="5"/>
      <c r="W920" s="5"/>
    </row>
    <row r="921">
      <c r="A921" s="5"/>
      <c r="B921" s="5"/>
      <c r="C921" s="5"/>
      <c r="D921" s="5"/>
      <c r="E921" s="5"/>
      <c r="F921" s="5"/>
      <c r="G921" s="5"/>
      <c r="H921" s="5"/>
      <c r="I921" s="5"/>
      <c r="J921" s="5"/>
      <c r="K921" s="5"/>
      <c r="L921" s="5"/>
      <c r="M921" s="5"/>
      <c r="N921" s="5"/>
      <c r="O921" s="5"/>
      <c r="P921" s="5"/>
      <c r="Q921" s="5"/>
      <c r="R921" s="5"/>
      <c r="S921" s="5"/>
      <c r="T921" s="5"/>
      <c r="U921" s="5"/>
      <c r="V921" s="5"/>
      <c r="W921" s="5"/>
    </row>
    <row r="922">
      <c r="A922" s="5"/>
      <c r="B922" s="5"/>
      <c r="C922" s="5"/>
      <c r="D922" s="5"/>
      <c r="E922" s="5"/>
      <c r="F922" s="5"/>
      <c r="G922" s="5"/>
      <c r="H922" s="5"/>
      <c r="I922" s="5"/>
      <c r="J922" s="5"/>
      <c r="K922" s="5"/>
      <c r="L922" s="5"/>
      <c r="M922" s="5"/>
      <c r="N922" s="5"/>
      <c r="O922" s="5"/>
      <c r="P922" s="5"/>
      <c r="Q922" s="5"/>
      <c r="R922" s="5"/>
      <c r="S922" s="5"/>
      <c r="T922" s="5"/>
      <c r="U922" s="5"/>
      <c r="V922" s="5"/>
      <c r="W922" s="5"/>
    </row>
    <row r="923">
      <c r="A923" s="5"/>
      <c r="B923" s="5"/>
      <c r="C923" s="5"/>
      <c r="D923" s="5"/>
      <c r="E923" s="5"/>
      <c r="F923" s="5"/>
      <c r="G923" s="5"/>
      <c r="H923" s="5"/>
      <c r="I923" s="5"/>
      <c r="J923" s="5"/>
      <c r="K923" s="5"/>
      <c r="L923" s="5"/>
      <c r="M923" s="5"/>
      <c r="N923" s="5"/>
      <c r="O923" s="5"/>
      <c r="P923" s="5"/>
      <c r="Q923" s="5"/>
      <c r="R923" s="5"/>
      <c r="S923" s="5"/>
      <c r="T923" s="5"/>
      <c r="U923" s="5"/>
      <c r="V923" s="5"/>
      <c r="W923" s="5"/>
    </row>
    <row r="924">
      <c r="A924" s="5"/>
      <c r="B924" s="5"/>
      <c r="C924" s="5"/>
      <c r="D924" s="5"/>
      <c r="E924" s="5"/>
      <c r="F924" s="5"/>
      <c r="G924" s="5"/>
      <c r="H924" s="5"/>
      <c r="I924" s="5"/>
      <c r="J924" s="5"/>
      <c r="K924" s="5"/>
      <c r="L924" s="5"/>
      <c r="M924" s="5"/>
      <c r="N924" s="5"/>
      <c r="O924" s="5"/>
      <c r="P924" s="5"/>
      <c r="Q924" s="5"/>
      <c r="R924" s="5"/>
      <c r="S924" s="5"/>
      <c r="T924" s="5"/>
      <c r="U924" s="5"/>
      <c r="V924" s="5"/>
      <c r="W924" s="5"/>
    </row>
    <row r="925">
      <c r="A925" s="5"/>
      <c r="B925" s="5"/>
      <c r="C925" s="5"/>
      <c r="D925" s="5"/>
      <c r="E925" s="5"/>
      <c r="F925" s="5"/>
      <c r="G925" s="5"/>
      <c r="H925" s="5"/>
      <c r="I925" s="5"/>
      <c r="J925" s="5"/>
      <c r="K925" s="5"/>
      <c r="L925" s="5"/>
      <c r="M925" s="5"/>
      <c r="N925" s="5"/>
      <c r="O925" s="5"/>
      <c r="P925" s="5"/>
      <c r="Q925" s="5"/>
      <c r="R925" s="5"/>
      <c r="S925" s="5"/>
      <c r="T925" s="5"/>
      <c r="U925" s="5"/>
      <c r="V925" s="5"/>
      <c r="W925" s="5"/>
    </row>
    <row r="926">
      <c r="A926" s="5"/>
      <c r="B926" s="5"/>
      <c r="C926" s="5"/>
      <c r="D926" s="5"/>
      <c r="E926" s="5"/>
      <c r="F926" s="5"/>
      <c r="G926" s="5"/>
      <c r="H926" s="5"/>
      <c r="I926" s="5"/>
      <c r="J926" s="5"/>
      <c r="K926" s="5"/>
      <c r="L926" s="5"/>
      <c r="M926" s="5"/>
      <c r="N926" s="5"/>
      <c r="O926" s="5"/>
      <c r="P926" s="5"/>
      <c r="Q926" s="5"/>
      <c r="R926" s="5"/>
      <c r="S926" s="5"/>
      <c r="T926" s="5"/>
      <c r="U926" s="5"/>
      <c r="V926" s="5"/>
      <c r="W926" s="5"/>
    </row>
    <row r="927">
      <c r="A927" s="5"/>
      <c r="B927" s="5"/>
      <c r="C927" s="5"/>
      <c r="D927" s="5"/>
      <c r="E927" s="5"/>
      <c r="F927" s="5"/>
      <c r="G927" s="5"/>
      <c r="H927" s="5"/>
      <c r="I927" s="5"/>
      <c r="J927" s="5"/>
      <c r="K927" s="5"/>
      <c r="L927" s="5"/>
      <c r="M927" s="5"/>
      <c r="N927" s="5"/>
      <c r="O927" s="5"/>
      <c r="P927" s="5"/>
      <c r="Q927" s="5"/>
      <c r="R927" s="5"/>
      <c r="S927" s="5"/>
      <c r="T927" s="5"/>
      <c r="U927" s="5"/>
      <c r="V927" s="5"/>
      <c r="W927" s="5"/>
    </row>
    <row r="928">
      <c r="A928" s="5"/>
      <c r="B928" s="5"/>
      <c r="C928" s="5"/>
      <c r="D928" s="5"/>
      <c r="E928" s="5"/>
      <c r="F928" s="5"/>
      <c r="G928" s="5"/>
      <c r="H928" s="5"/>
      <c r="I928" s="5"/>
      <c r="J928" s="5"/>
      <c r="K928" s="5"/>
      <c r="L928" s="5"/>
      <c r="M928" s="5"/>
      <c r="N928" s="5"/>
      <c r="O928" s="5"/>
      <c r="P928" s="5"/>
      <c r="Q928" s="5"/>
      <c r="R928" s="5"/>
      <c r="S928" s="5"/>
      <c r="T928" s="5"/>
      <c r="U928" s="5"/>
      <c r="V928" s="5"/>
      <c r="W928" s="5"/>
    </row>
    <row r="929">
      <c r="A929" s="5"/>
      <c r="B929" s="5"/>
      <c r="C929" s="5"/>
      <c r="D929" s="5"/>
      <c r="E929" s="5"/>
      <c r="F929" s="5"/>
      <c r="G929" s="5"/>
      <c r="H929" s="5"/>
      <c r="I929" s="5"/>
      <c r="J929" s="5"/>
      <c r="K929" s="5"/>
      <c r="L929" s="5"/>
      <c r="M929" s="5"/>
      <c r="N929" s="5"/>
      <c r="O929" s="5"/>
      <c r="P929" s="5"/>
      <c r="Q929" s="5"/>
      <c r="R929" s="5"/>
      <c r="S929" s="5"/>
      <c r="T929" s="5"/>
      <c r="U929" s="5"/>
      <c r="V929" s="5"/>
      <c r="W929" s="5"/>
    </row>
    <row r="930">
      <c r="A930" s="5"/>
      <c r="B930" s="5"/>
      <c r="C930" s="5"/>
      <c r="D930" s="5"/>
      <c r="E930" s="5"/>
      <c r="F930" s="5"/>
      <c r="G930" s="5"/>
      <c r="H930" s="5"/>
      <c r="I930" s="5"/>
      <c r="J930" s="5"/>
      <c r="K930" s="5"/>
      <c r="L930" s="5"/>
      <c r="M930" s="5"/>
      <c r="N930" s="5"/>
      <c r="O930" s="5"/>
      <c r="P930" s="5"/>
      <c r="Q930" s="5"/>
      <c r="R930" s="5"/>
      <c r="S930" s="5"/>
      <c r="T930" s="5"/>
      <c r="U930" s="5"/>
      <c r="V930" s="5"/>
      <c r="W930" s="5"/>
    </row>
    <row r="931">
      <c r="A931" s="5"/>
      <c r="B931" s="5"/>
      <c r="C931" s="5"/>
      <c r="D931" s="5"/>
      <c r="E931" s="5"/>
      <c r="F931" s="5"/>
      <c r="G931" s="5"/>
      <c r="H931" s="5"/>
      <c r="I931" s="5"/>
      <c r="J931" s="5"/>
      <c r="K931" s="5"/>
      <c r="L931" s="5"/>
      <c r="M931" s="5"/>
      <c r="N931" s="5"/>
      <c r="O931" s="5"/>
      <c r="P931" s="5"/>
      <c r="Q931" s="5"/>
      <c r="R931" s="5"/>
      <c r="S931" s="5"/>
      <c r="T931" s="5"/>
      <c r="U931" s="5"/>
      <c r="V931" s="5"/>
      <c r="W931" s="5"/>
    </row>
    <row r="932">
      <c r="A932" s="5"/>
      <c r="B932" s="5"/>
      <c r="C932" s="5"/>
      <c r="D932" s="5"/>
      <c r="E932" s="5"/>
      <c r="F932" s="5"/>
      <c r="G932" s="5"/>
      <c r="H932" s="5"/>
      <c r="I932" s="5"/>
      <c r="J932" s="5"/>
      <c r="K932" s="5"/>
      <c r="L932" s="5"/>
      <c r="M932" s="5"/>
      <c r="N932" s="5"/>
      <c r="O932" s="5"/>
      <c r="P932" s="5"/>
      <c r="Q932" s="5"/>
      <c r="R932" s="5"/>
      <c r="S932" s="5"/>
      <c r="T932" s="5"/>
      <c r="U932" s="5"/>
      <c r="V932" s="5"/>
      <c r="W932" s="5"/>
    </row>
    <row r="933">
      <c r="A933" s="5"/>
      <c r="B933" s="5"/>
      <c r="C933" s="5"/>
      <c r="D933" s="5"/>
      <c r="E933" s="5"/>
      <c r="F933" s="5"/>
      <c r="G933" s="5"/>
      <c r="H933" s="5"/>
      <c r="I933" s="5"/>
      <c r="J933" s="5"/>
      <c r="K933" s="5"/>
      <c r="L933" s="5"/>
      <c r="M933" s="5"/>
      <c r="N933" s="5"/>
      <c r="O933" s="5"/>
      <c r="P933" s="5"/>
      <c r="Q933" s="5"/>
      <c r="R933" s="5"/>
      <c r="S933" s="5"/>
      <c r="T933" s="5"/>
      <c r="U933" s="5"/>
      <c r="V933" s="5"/>
      <c r="W933" s="5"/>
    </row>
    <row r="934">
      <c r="A934" s="5"/>
      <c r="B934" s="5"/>
      <c r="C934" s="5"/>
      <c r="D934" s="5"/>
      <c r="E934" s="5"/>
      <c r="F934" s="5"/>
      <c r="G934" s="5"/>
      <c r="H934" s="5"/>
      <c r="I934" s="5"/>
      <c r="J934" s="5"/>
      <c r="K934" s="5"/>
      <c r="L934" s="5"/>
      <c r="M934" s="5"/>
      <c r="N934" s="5"/>
      <c r="O934" s="5"/>
      <c r="P934" s="5"/>
      <c r="Q934" s="5"/>
      <c r="R934" s="5"/>
      <c r="S934" s="5"/>
      <c r="T934" s="5"/>
      <c r="U934" s="5"/>
      <c r="V934" s="5"/>
      <c r="W934" s="5"/>
    </row>
    <row r="935">
      <c r="A935" s="5"/>
      <c r="B935" s="5"/>
      <c r="C935" s="5"/>
      <c r="D935" s="5"/>
      <c r="E935" s="5"/>
      <c r="F935" s="5"/>
      <c r="G935" s="5"/>
      <c r="H935" s="5"/>
      <c r="I935" s="5"/>
      <c r="J935" s="5"/>
      <c r="K935" s="5"/>
      <c r="L935" s="5"/>
      <c r="M935" s="5"/>
      <c r="N935" s="5"/>
      <c r="O935" s="5"/>
      <c r="P935" s="5"/>
      <c r="Q935" s="5"/>
      <c r="R935" s="5"/>
      <c r="S935" s="5"/>
      <c r="T935" s="5"/>
      <c r="U935" s="5"/>
      <c r="V935" s="5"/>
      <c r="W935" s="5"/>
    </row>
    <row r="936">
      <c r="A936" s="5"/>
      <c r="B936" s="5"/>
      <c r="C936" s="5"/>
      <c r="D936" s="5"/>
      <c r="E936" s="5"/>
      <c r="F936" s="5"/>
      <c r="G936" s="5"/>
      <c r="H936" s="5"/>
      <c r="I936" s="5"/>
      <c r="J936" s="5"/>
      <c r="K936" s="5"/>
      <c r="L936" s="5"/>
      <c r="M936" s="5"/>
      <c r="N936" s="5"/>
      <c r="O936" s="5"/>
      <c r="P936" s="5"/>
      <c r="Q936" s="5"/>
      <c r="R936" s="5"/>
      <c r="S936" s="5"/>
      <c r="T936" s="5"/>
      <c r="U936" s="5"/>
      <c r="V936" s="5"/>
      <c r="W936" s="5"/>
    </row>
    <row r="937">
      <c r="A937" s="5"/>
      <c r="B937" s="5"/>
      <c r="C937" s="5"/>
      <c r="D937" s="5"/>
      <c r="E937" s="5"/>
      <c r="F937" s="5"/>
      <c r="G937" s="5"/>
      <c r="H937" s="5"/>
      <c r="I937" s="5"/>
      <c r="J937" s="5"/>
      <c r="K937" s="5"/>
      <c r="L937" s="5"/>
      <c r="M937" s="5"/>
      <c r="N937" s="5"/>
      <c r="O937" s="5"/>
      <c r="P937" s="5"/>
      <c r="Q937" s="5"/>
      <c r="R937" s="5"/>
      <c r="S937" s="5"/>
      <c r="T937" s="5"/>
      <c r="U937" s="5"/>
      <c r="V937" s="5"/>
      <c r="W937" s="5"/>
    </row>
    <row r="938">
      <c r="A938" s="5"/>
      <c r="B938" s="5"/>
      <c r="C938" s="5"/>
      <c r="D938" s="5"/>
      <c r="E938" s="5"/>
      <c r="F938" s="5"/>
      <c r="G938" s="5"/>
      <c r="H938" s="5"/>
      <c r="I938" s="5"/>
      <c r="J938" s="5"/>
      <c r="K938" s="5"/>
      <c r="L938" s="5"/>
      <c r="M938" s="5"/>
      <c r="N938" s="5"/>
      <c r="O938" s="5"/>
      <c r="P938" s="5"/>
      <c r="Q938" s="5"/>
      <c r="R938" s="5"/>
      <c r="S938" s="5"/>
      <c r="T938" s="5"/>
      <c r="U938" s="5"/>
      <c r="V938" s="5"/>
      <c r="W938" s="5"/>
    </row>
    <row r="939">
      <c r="A939" s="5"/>
      <c r="B939" s="5"/>
      <c r="C939" s="5"/>
      <c r="D939" s="5"/>
      <c r="E939" s="5"/>
      <c r="F939" s="5"/>
      <c r="G939" s="5"/>
      <c r="H939" s="5"/>
      <c r="I939" s="5"/>
      <c r="J939" s="5"/>
      <c r="K939" s="5"/>
      <c r="L939" s="5"/>
      <c r="M939" s="5"/>
      <c r="N939" s="5"/>
      <c r="O939" s="5"/>
      <c r="P939" s="5"/>
      <c r="Q939" s="5"/>
      <c r="R939" s="5"/>
      <c r="S939" s="5"/>
      <c r="T939" s="5"/>
      <c r="U939" s="5"/>
      <c r="V939" s="5"/>
      <c r="W939" s="5"/>
    </row>
    <row r="940">
      <c r="A940" s="5"/>
      <c r="B940" s="5"/>
      <c r="C940" s="5"/>
      <c r="D940" s="5"/>
      <c r="E940" s="5"/>
      <c r="F940" s="5"/>
      <c r="G940" s="5"/>
      <c r="H940" s="5"/>
      <c r="I940" s="5"/>
      <c r="J940" s="5"/>
      <c r="K940" s="5"/>
      <c r="L940" s="5"/>
      <c r="M940" s="5"/>
      <c r="N940" s="5"/>
      <c r="O940" s="5"/>
      <c r="P940" s="5"/>
      <c r="Q940" s="5"/>
      <c r="R940" s="5"/>
      <c r="S940" s="5"/>
      <c r="T940" s="5"/>
      <c r="U940" s="5"/>
      <c r="V940" s="5"/>
      <c r="W940" s="5"/>
    </row>
    <row r="941">
      <c r="A941" s="5"/>
      <c r="B941" s="5"/>
      <c r="C941" s="5"/>
      <c r="D941" s="5"/>
      <c r="E941" s="5"/>
      <c r="F941" s="5"/>
      <c r="G941" s="5"/>
      <c r="H941" s="5"/>
      <c r="I941" s="5"/>
      <c r="J941" s="5"/>
      <c r="K941" s="5"/>
      <c r="L941" s="5"/>
      <c r="M941" s="5"/>
      <c r="N941" s="5"/>
      <c r="O941" s="5"/>
      <c r="P941" s="5"/>
      <c r="Q941" s="5"/>
      <c r="R941" s="5"/>
      <c r="S941" s="5"/>
      <c r="T941" s="5"/>
      <c r="U941" s="5"/>
      <c r="V941" s="5"/>
      <c r="W941" s="5"/>
    </row>
    <row r="942">
      <c r="A942" s="5"/>
      <c r="B942" s="5"/>
      <c r="C942" s="5"/>
      <c r="D942" s="5"/>
      <c r="E942" s="5"/>
      <c r="F942" s="5"/>
      <c r="G942" s="5"/>
      <c r="H942" s="5"/>
      <c r="I942" s="5"/>
      <c r="J942" s="5"/>
      <c r="K942" s="5"/>
      <c r="L942" s="5"/>
      <c r="M942" s="5"/>
      <c r="N942" s="5"/>
      <c r="O942" s="5"/>
      <c r="P942" s="5"/>
      <c r="Q942" s="5"/>
      <c r="R942" s="5"/>
      <c r="S942" s="5"/>
      <c r="T942" s="5"/>
      <c r="U942" s="5"/>
      <c r="V942" s="5"/>
      <c r="W942" s="5"/>
    </row>
    <row r="943">
      <c r="A943" s="5"/>
      <c r="B943" s="5"/>
      <c r="C943" s="5"/>
      <c r="D943" s="5"/>
      <c r="E943" s="5"/>
      <c r="F943" s="5"/>
      <c r="G943" s="5"/>
      <c r="H943" s="5"/>
      <c r="I943" s="5"/>
      <c r="J943" s="5"/>
      <c r="K943" s="5"/>
      <c r="L943" s="5"/>
      <c r="M943" s="5"/>
      <c r="N943" s="5"/>
      <c r="O943" s="5"/>
      <c r="P943" s="5"/>
      <c r="Q943" s="5"/>
      <c r="R943" s="5"/>
      <c r="S943" s="5"/>
      <c r="T943" s="5"/>
      <c r="U943" s="5"/>
      <c r="V943" s="5"/>
      <c r="W943" s="5"/>
    </row>
    <row r="944">
      <c r="A944" s="5"/>
      <c r="B944" s="5"/>
      <c r="C944" s="5"/>
      <c r="D944" s="5"/>
      <c r="E944" s="5"/>
      <c r="F944" s="5"/>
      <c r="G944" s="5"/>
      <c r="H944" s="5"/>
      <c r="I944" s="5"/>
      <c r="J944" s="5"/>
      <c r="K944" s="5"/>
      <c r="L944" s="5"/>
      <c r="M944" s="5"/>
      <c r="N944" s="5"/>
      <c r="O944" s="5"/>
      <c r="P944" s="5"/>
      <c r="Q944" s="5"/>
      <c r="R944" s="5"/>
      <c r="S944" s="5"/>
      <c r="T944" s="5"/>
      <c r="U944" s="5"/>
      <c r="V944" s="5"/>
      <c r="W944" s="5"/>
    </row>
    <row r="945">
      <c r="A945" s="5"/>
      <c r="B945" s="5"/>
      <c r="C945" s="5"/>
      <c r="D945" s="5"/>
      <c r="E945" s="5"/>
      <c r="F945" s="5"/>
      <c r="G945" s="5"/>
      <c r="H945" s="5"/>
      <c r="I945" s="5"/>
      <c r="J945" s="5"/>
      <c r="K945" s="5"/>
      <c r="L945" s="5"/>
      <c r="M945" s="5"/>
      <c r="N945" s="5"/>
      <c r="O945" s="5"/>
      <c r="P945" s="5"/>
      <c r="Q945" s="5"/>
      <c r="R945" s="5"/>
      <c r="S945" s="5"/>
      <c r="T945" s="5"/>
      <c r="U945" s="5"/>
      <c r="V945" s="5"/>
      <c r="W945" s="5"/>
    </row>
    <row r="946">
      <c r="A946" s="5"/>
      <c r="B946" s="5"/>
      <c r="C946" s="5"/>
      <c r="D946" s="5"/>
      <c r="E946" s="5"/>
      <c r="F946" s="5"/>
      <c r="G946" s="5"/>
      <c r="H946" s="5"/>
      <c r="I946" s="5"/>
      <c r="J946" s="5"/>
      <c r="K946" s="5"/>
      <c r="L946" s="5"/>
      <c r="M946" s="5"/>
      <c r="N946" s="5"/>
      <c r="O946" s="5"/>
      <c r="P946" s="5"/>
      <c r="Q946" s="5"/>
      <c r="R946" s="5"/>
      <c r="S946" s="5"/>
      <c r="T946" s="5"/>
      <c r="U946" s="5"/>
      <c r="V946" s="5"/>
      <c r="W946" s="5"/>
    </row>
    <row r="947">
      <c r="A947" s="5"/>
      <c r="B947" s="5"/>
      <c r="C947" s="5"/>
      <c r="D947" s="5"/>
      <c r="E947" s="5"/>
      <c r="F947" s="5"/>
      <c r="G947" s="5"/>
      <c r="H947" s="5"/>
      <c r="I947" s="5"/>
      <c r="J947" s="5"/>
      <c r="K947" s="5"/>
      <c r="L947" s="5"/>
      <c r="M947" s="5"/>
      <c r="N947" s="5"/>
      <c r="O947" s="5"/>
      <c r="P947" s="5"/>
      <c r="Q947" s="5"/>
      <c r="R947" s="5"/>
      <c r="S947" s="5"/>
      <c r="T947" s="5"/>
      <c r="U947" s="5"/>
      <c r="V947" s="5"/>
      <c r="W947" s="5"/>
    </row>
    <row r="948">
      <c r="A948" s="5"/>
      <c r="B948" s="5"/>
      <c r="C948" s="5"/>
      <c r="D948" s="5"/>
      <c r="E948" s="5"/>
      <c r="F948" s="5"/>
      <c r="G948" s="5"/>
      <c r="H948" s="5"/>
      <c r="I948" s="5"/>
      <c r="J948" s="5"/>
      <c r="K948" s="5"/>
      <c r="L948" s="5"/>
      <c r="M948" s="5"/>
      <c r="N948" s="5"/>
      <c r="O948" s="5"/>
      <c r="P948" s="5"/>
      <c r="Q948" s="5"/>
      <c r="R948" s="5"/>
      <c r="S948" s="5"/>
      <c r="T948" s="5"/>
      <c r="U948" s="5"/>
      <c r="V948" s="5"/>
      <c r="W948" s="5"/>
    </row>
    <row r="949">
      <c r="A949" s="5"/>
      <c r="B949" s="5"/>
      <c r="C949" s="5"/>
      <c r="D949" s="5"/>
      <c r="E949" s="5"/>
      <c r="F949" s="5"/>
      <c r="G949" s="5"/>
      <c r="H949" s="5"/>
      <c r="I949" s="5"/>
      <c r="J949" s="5"/>
      <c r="K949" s="5"/>
      <c r="L949" s="5"/>
      <c r="M949" s="5"/>
      <c r="N949" s="5"/>
      <c r="O949" s="5"/>
      <c r="P949" s="5"/>
      <c r="Q949" s="5"/>
      <c r="R949" s="5"/>
      <c r="S949" s="5"/>
      <c r="T949" s="5"/>
      <c r="U949" s="5"/>
      <c r="V949" s="5"/>
      <c r="W949" s="5"/>
    </row>
    <row r="950">
      <c r="A950" s="5"/>
      <c r="B950" s="5"/>
      <c r="C950" s="5"/>
      <c r="D950" s="5"/>
      <c r="E950" s="5"/>
      <c r="F950" s="5"/>
      <c r="G950" s="5"/>
      <c r="H950" s="5"/>
      <c r="I950" s="5"/>
      <c r="J950" s="5"/>
      <c r="K950" s="5"/>
      <c r="L950" s="5"/>
      <c r="M950" s="5"/>
      <c r="N950" s="5"/>
      <c r="O950" s="5"/>
      <c r="P950" s="5"/>
      <c r="Q950" s="5"/>
      <c r="R950" s="5"/>
      <c r="S950" s="5"/>
      <c r="T950" s="5"/>
      <c r="U950" s="5"/>
      <c r="V950" s="5"/>
      <c r="W950" s="5"/>
    </row>
    <row r="951">
      <c r="A951" s="5"/>
      <c r="B951" s="5"/>
      <c r="C951" s="5"/>
      <c r="D951" s="5"/>
      <c r="E951" s="5"/>
      <c r="F951" s="5"/>
      <c r="G951" s="5"/>
      <c r="H951" s="5"/>
      <c r="I951" s="5"/>
      <c r="J951" s="5"/>
      <c r="K951" s="5"/>
      <c r="L951" s="5"/>
      <c r="M951" s="5"/>
      <c r="N951" s="5"/>
      <c r="O951" s="5"/>
      <c r="P951" s="5"/>
      <c r="Q951" s="5"/>
      <c r="R951" s="5"/>
      <c r="S951" s="5"/>
      <c r="T951" s="5"/>
      <c r="U951" s="5"/>
      <c r="V951" s="5"/>
      <c r="W951" s="5"/>
    </row>
    <row r="952">
      <c r="A952" s="5"/>
      <c r="B952" s="5"/>
      <c r="C952" s="5"/>
      <c r="D952" s="5"/>
      <c r="E952" s="5"/>
      <c r="F952" s="5"/>
      <c r="G952" s="5"/>
      <c r="H952" s="5"/>
      <c r="I952" s="5"/>
      <c r="J952" s="5"/>
      <c r="K952" s="5"/>
      <c r="L952" s="5"/>
      <c r="M952" s="5"/>
      <c r="N952" s="5"/>
      <c r="O952" s="5"/>
      <c r="P952" s="5"/>
      <c r="Q952" s="5"/>
      <c r="R952" s="5"/>
      <c r="S952" s="5"/>
      <c r="T952" s="5"/>
      <c r="U952" s="5"/>
      <c r="V952" s="5"/>
      <c r="W952" s="5"/>
    </row>
    <row r="953">
      <c r="A953" s="5"/>
      <c r="B953" s="5"/>
      <c r="C953" s="5"/>
      <c r="D953" s="5"/>
      <c r="E953" s="5"/>
      <c r="F953" s="5"/>
      <c r="G953" s="5"/>
      <c r="H953" s="5"/>
      <c r="I953" s="5"/>
      <c r="J953" s="5"/>
      <c r="K953" s="5"/>
      <c r="L953" s="5"/>
      <c r="M953" s="5"/>
      <c r="N953" s="5"/>
      <c r="O953" s="5"/>
      <c r="P953" s="5"/>
      <c r="Q953" s="5"/>
      <c r="R953" s="5"/>
      <c r="S953" s="5"/>
      <c r="T953" s="5"/>
      <c r="U953" s="5"/>
      <c r="V953" s="5"/>
      <c r="W953" s="5"/>
    </row>
    <row r="954">
      <c r="A954" s="5"/>
      <c r="B954" s="5"/>
      <c r="C954" s="5"/>
      <c r="D954" s="5"/>
      <c r="E954" s="5"/>
      <c r="F954" s="5"/>
      <c r="G954" s="5"/>
      <c r="H954" s="5"/>
      <c r="I954" s="5"/>
      <c r="J954" s="5"/>
      <c r="K954" s="5"/>
      <c r="L954" s="5"/>
      <c r="M954" s="5"/>
      <c r="N954" s="5"/>
      <c r="O954" s="5"/>
      <c r="P954" s="5"/>
      <c r="Q954" s="5"/>
      <c r="R954" s="5"/>
      <c r="S954" s="5"/>
      <c r="T954" s="5"/>
      <c r="U954" s="5"/>
      <c r="V954" s="5"/>
      <c r="W954" s="5"/>
    </row>
    <row r="955">
      <c r="A955" s="5"/>
      <c r="B955" s="5"/>
      <c r="C955" s="5"/>
      <c r="D955" s="5"/>
      <c r="E955" s="5"/>
      <c r="F955" s="5"/>
      <c r="G955" s="5"/>
      <c r="H955" s="5"/>
      <c r="I955" s="5"/>
      <c r="J955" s="5"/>
      <c r="K955" s="5"/>
      <c r="L955" s="5"/>
      <c r="M955" s="5"/>
      <c r="N955" s="5"/>
      <c r="O955" s="5"/>
      <c r="P955" s="5"/>
      <c r="Q955" s="5"/>
      <c r="R955" s="5"/>
      <c r="S955" s="5"/>
      <c r="T955" s="5"/>
      <c r="U955" s="5"/>
      <c r="V955" s="5"/>
      <c r="W955" s="5"/>
    </row>
    <row r="956">
      <c r="A956" s="5"/>
      <c r="B956" s="5"/>
      <c r="C956" s="5"/>
      <c r="D956" s="5"/>
      <c r="E956" s="5"/>
      <c r="F956" s="5"/>
      <c r="G956" s="5"/>
      <c r="H956" s="5"/>
      <c r="I956" s="5"/>
      <c r="J956" s="5"/>
      <c r="K956" s="5"/>
      <c r="L956" s="5"/>
      <c r="M956" s="5"/>
      <c r="N956" s="5"/>
      <c r="O956" s="5"/>
      <c r="P956" s="5"/>
      <c r="Q956" s="5"/>
      <c r="R956" s="5"/>
      <c r="S956" s="5"/>
      <c r="T956" s="5"/>
      <c r="U956" s="5"/>
      <c r="V956" s="5"/>
      <c r="W956" s="5"/>
    </row>
    <row r="957">
      <c r="A957" s="5"/>
      <c r="B957" s="5"/>
      <c r="C957" s="5"/>
      <c r="D957" s="5"/>
      <c r="E957" s="5"/>
      <c r="F957" s="5"/>
      <c r="G957" s="5"/>
      <c r="H957" s="5"/>
      <c r="I957" s="5"/>
      <c r="J957" s="5"/>
      <c r="K957" s="5"/>
      <c r="L957" s="5"/>
      <c r="M957" s="5"/>
      <c r="N957" s="5"/>
      <c r="O957" s="5"/>
      <c r="P957" s="5"/>
      <c r="Q957" s="5"/>
      <c r="R957" s="5"/>
      <c r="S957" s="5"/>
      <c r="T957" s="5"/>
      <c r="U957" s="5"/>
      <c r="V957" s="5"/>
      <c r="W957" s="5"/>
    </row>
    <row r="958">
      <c r="A958" s="5"/>
      <c r="B958" s="5"/>
      <c r="C958" s="5"/>
      <c r="D958" s="5"/>
      <c r="E958" s="5"/>
      <c r="F958" s="5"/>
      <c r="G958" s="5"/>
      <c r="H958" s="5"/>
      <c r="I958" s="5"/>
      <c r="J958" s="5"/>
      <c r="K958" s="5"/>
      <c r="L958" s="5"/>
      <c r="M958" s="5"/>
      <c r="N958" s="5"/>
      <c r="O958" s="5"/>
      <c r="P958" s="5"/>
      <c r="Q958" s="5"/>
      <c r="R958" s="5"/>
      <c r="S958" s="5"/>
      <c r="T958" s="5"/>
      <c r="U958" s="5"/>
      <c r="V958" s="5"/>
      <c r="W958" s="5"/>
    </row>
    <row r="959">
      <c r="A959" s="5"/>
      <c r="B959" s="5"/>
      <c r="C959" s="5"/>
      <c r="D959" s="5"/>
      <c r="E959" s="5"/>
      <c r="F959" s="5"/>
      <c r="G959" s="5"/>
      <c r="H959" s="5"/>
      <c r="I959" s="5"/>
      <c r="J959" s="5"/>
      <c r="K959" s="5"/>
      <c r="L959" s="5"/>
      <c r="M959" s="5"/>
      <c r="N959" s="5"/>
      <c r="O959" s="5"/>
      <c r="P959" s="5"/>
      <c r="Q959" s="5"/>
      <c r="R959" s="5"/>
      <c r="S959" s="5"/>
      <c r="T959" s="5"/>
      <c r="U959" s="5"/>
      <c r="V959" s="5"/>
      <c r="W959" s="5"/>
    </row>
    <row r="960">
      <c r="A960" s="5"/>
      <c r="B960" s="5"/>
      <c r="C960" s="5"/>
      <c r="D960" s="5"/>
      <c r="E960" s="5"/>
      <c r="F960" s="5"/>
      <c r="G960" s="5"/>
      <c r="H960" s="5"/>
      <c r="I960" s="5"/>
      <c r="J960" s="5"/>
      <c r="K960" s="5"/>
      <c r="L960" s="5"/>
      <c r="M960" s="5"/>
      <c r="N960" s="5"/>
      <c r="O960" s="5"/>
      <c r="P960" s="5"/>
      <c r="Q960" s="5"/>
      <c r="R960" s="5"/>
      <c r="S960" s="5"/>
      <c r="T960" s="5"/>
      <c r="U960" s="5"/>
      <c r="V960" s="5"/>
      <c r="W960" s="5"/>
    </row>
    <row r="961">
      <c r="A961" s="5"/>
      <c r="B961" s="5"/>
      <c r="C961" s="5"/>
      <c r="D961" s="5"/>
      <c r="E961" s="5"/>
      <c r="F961" s="5"/>
      <c r="G961" s="5"/>
      <c r="H961" s="5"/>
      <c r="I961" s="5"/>
      <c r="J961" s="5"/>
      <c r="K961" s="5"/>
      <c r="L961" s="5"/>
      <c r="M961" s="5"/>
      <c r="N961" s="5"/>
      <c r="O961" s="5"/>
      <c r="P961" s="5"/>
      <c r="Q961" s="5"/>
      <c r="R961" s="5"/>
      <c r="S961" s="5"/>
      <c r="T961" s="5"/>
      <c r="U961" s="5"/>
      <c r="V961" s="5"/>
      <c r="W961" s="5"/>
    </row>
    <row r="962">
      <c r="A962" s="5"/>
      <c r="B962" s="5"/>
      <c r="C962" s="5"/>
      <c r="D962" s="5"/>
      <c r="E962" s="5"/>
      <c r="F962" s="5"/>
      <c r="G962" s="5"/>
      <c r="H962" s="5"/>
      <c r="I962" s="5"/>
      <c r="J962" s="5"/>
      <c r="K962" s="5"/>
      <c r="L962" s="5"/>
      <c r="M962" s="5"/>
      <c r="N962" s="5"/>
      <c r="O962" s="5"/>
      <c r="P962" s="5"/>
      <c r="Q962" s="5"/>
      <c r="R962" s="5"/>
      <c r="S962" s="5"/>
      <c r="T962" s="5"/>
      <c r="U962" s="5"/>
      <c r="V962" s="5"/>
      <c r="W962" s="5"/>
    </row>
    <row r="963">
      <c r="A963" s="5"/>
      <c r="B963" s="5"/>
      <c r="C963" s="5"/>
      <c r="D963" s="5"/>
      <c r="E963" s="5"/>
      <c r="F963" s="5"/>
      <c r="G963" s="5"/>
      <c r="H963" s="5"/>
      <c r="I963" s="5"/>
      <c r="J963" s="5"/>
      <c r="K963" s="5"/>
      <c r="L963" s="5"/>
      <c r="M963" s="5"/>
      <c r="N963" s="5"/>
      <c r="O963" s="5"/>
      <c r="P963" s="5"/>
      <c r="Q963" s="5"/>
      <c r="R963" s="5"/>
      <c r="S963" s="5"/>
      <c r="T963" s="5"/>
      <c r="U963" s="5"/>
      <c r="V963" s="5"/>
      <c r="W963" s="5"/>
    </row>
    <row r="964">
      <c r="A964" s="5"/>
      <c r="B964" s="5"/>
      <c r="C964" s="5"/>
      <c r="D964" s="5"/>
      <c r="E964" s="5"/>
      <c r="F964" s="5"/>
      <c r="G964" s="5"/>
      <c r="H964" s="5"/>
      <c r="I964" s="5"/>
      <c r="J964" s="5"/>
      <c r="K964" s="5"/>
      <c r="L964" s="5"/>
      <c r="M964" s="5"/>
      <c r="N964" s="5"/>
      <c r="O964" s="5"/>
      <c r="P964" s="5"/>
      <c r="Q964" s="5"/>
      <c r="R964" s="5"/>
      <c r="S964" s="5"/>
      <c r="T964" s="5"/>
      <c r="U964" s="5"/>
      <c r="V964" s="5"/>
      <c r="W964" s="5"/>
    </row>
    <row r="965">
      <c r="A965" s="5"/>
      <c r="B965" s="5"/>
      <c r="C965" s="5"/>
      <c r="D965" s="5"/>
      <c r="E965" s="5"/>
      <c r="F965" s="5"/>
      <c r="G965" s="5"/>
      <c r="H965" s="5"/>
      <c r="I965" s="5"/>
      <c r="J965" s="5"/>
      <c r="K965" s="5"/>
      <c r="L965" s="5"/>
      <c r="M965" s="5"/>
      <c r="N965" s="5"/>
      <c r="O965" s="5"/>
      <c r="P965" s="5"/>
      <c r="Q965" s="5"/>
      <c r="R965" s="5"/>
      <c r="S965" s="5"/>
      <c r="T965" s="5"/>
      <c r="U965" s="5"/>
      <c r="V965" s="5"/>
      <c r="W965" s="5"/>
    </row>
    <row r="966">
      <c r="A966" s="5"/>
      <c r="B966" s="5"/>
      <c r="C966" s="5"/>
      <c r="D966" s="5"/>
      <c r="E966" s="5"/>
      <c r="F966" s="5"/>
      <c r="G966" s="5"/>
      <c r="H966" s="5"/>
      <c r="I966" s="5"/>
      <c r="J966" s="5"/>
      <c r="K966" s="5"/>
      <c r="L966" s="5"/>
      <c r="M966" s="5"/>
      <c r="N966" s="5"/>
      <c r="O966" s="5"/>
      <c r="P966" s="5"/>
      <c r="Q966" s="5"/>
      <c r="R966" s="5"/>
      <c r="S966" s="5"/>
      <c r="T966" s="5"/>
      <c r="U966" s="5"/>
      <c r="V966" s="5"/>
      <c r="W966" s="5"/>
    </row>
    <row r="967">
      <c r="A967" s="5"/>
      <c r="B967" s="5"/>
      <c r="C967" s="5"/>
      <c r="D967" s="5"/>
      <c r="E967" s="5"/>
      <c r="F967" s="5"/>
      <c r="G967" s="5"/>
      <c r="H967" s="5"/>
      <c r="I967" s="5"/>
      <c r="J967" s="5"/>
      <c r="K967" s="5"/>
      <c r="L967" s="5"/>
      <c r="M967" s="5"/>
      <c r="N967" s="5"/>
      <c r="O967" s="5"/>
      <c r="P967" s="5"/>
      <c r="Q967" s="5"/>
      <c r="R967" s="5"/>
      <c r="S967" s="5"/>
      <c r="T967" s="5"/>
      <c r="U967" s="5"/>
      <c r="V967" s="5"/>
      <c r="W967" s="5"/>
    </row>
    <row r="968">
      <c r="A968" s="5"/>
      <c r="B968" s="5"/>
      <c r="C968" s="5"/>
      <c r="D968" s="5"/>
      <c r="E968" s="5"/>
      <c r="F968" s="5"/>
      <c r="G968" s="5"/>
      <c r="H968" s="5"/>
      <c r="I968" s="5"/>
      <c r="J968" s="5"/>
      <c r="K968" s="5"/>
      <c r="L968" s="5"/>
      <c r="M968" s="5"/>
      <c r="N968" s="5"/>
      <c r="O968" s="5"/>
      <c r="P968" s="5"/>
      <c r="Q968" s="5"/>
      <c r="R968" s="5"/>
      <c r="S968" s="5"/>
      <c r="T968" s="5"/>
      <c r="U968" s="5"/>
      <c r="V968" s="5"/>
      <c r="W968" s="5"/>
    </row>
    <row r="969">
      <c r="A969" s="5"/>
      <c r="B969" s="5"/>
      <c r="C969" s="5"/>
      <c r="D969" s="5"/>
      <c r="E969" s="5"/>
      <c r="F969" s="5"/>
      <c r="G969" s="5"/>
      <c r="H969" s="5"/>
      <c r="I969" s="5"/>
      <c r="J969" s="5"/>
      <c r="K969" s="5"/>
      <c r="L969" s="5"/>
      <c r="M969" s="5"/>
      <c r="N969" s="5"/>
      <c r="O969" s="5"/>
      <c r="P969" s="5"/>
      <c r="Q969" s="5"/>
      <c r="R969" s="5"/>
      <c r="S969" s="5"/>
      <c r="T969" s="5"/>
      <c r="U969" s="5"/>
      <c r="V969" s="5"/>
      <c r="W969" s="5"/>
    </row>
    <row r="970">
      <c r="A970" s="5"/>
      <c r="B970" s="5"/>
      <c r="C970" s="5"/>
      <c r="D970" s="5"/>
      <c r="E970" s="5"/>
      <c r="F970" s="5"/>
      <c r="G970" s="5"/>
      <c r="H970" s="5"/>
      <c r="I970" s="5"/>
      <c r="J970" s="5"/>
      <c r="K970" s="5"/>
      <c r="L970" s="5"/>
      <c r="M970" s="5"/>
      <c r="N970" s="5"/>
      <c r="O970" s="5"/>
      <c r="P970" s="5"/>
      <c r="Q970" s="5"/>
      <c r="R970" s="5"/>
      <c r="S970" s="5"/>
      <c r="T970" s="5"/>
      <c r="U970" s="5"/>
      <c r="V970" s="5"/>
      <c r="W970" s="5"/>
    </row>
    <row r="971">
      <c r="A971" s="5"/>
      <c r="B971" s="5"/>
      <c r="C971" s="5"/>
      <c r="D971" s="5"/>
      <c r="E971" s="5"/>
      <c r="F971" s="5"/>
      <c r="G971" s="5"/>
      <c r="H971" s="5"/>
      <c r="I971" s="5"/>
      <c r="J971" s="5"/>
      <c r="K971" s="5"/>
      <c r="L971" s="5"/>
      <c r="M971" s="5"/>
      <c r="N971" s="5"/>
      <c r="O971" s="5"/>
      <c r="P971" s="5"/>
      <c r="Q971" s="5"/>
      <c r="R971" s="5"/>
      <c r="S971" s="5"/>
      <c r="T971" s="5"/>
      <c r="U971" s="5"/>
      <c r="V971" s="5"/>
      <c r="W971" s="5"/>
    </row>
    <row r="972">
      <c r="A972" s="5"/>
      <c r="B972" s="5"/>
      <c r="C972" s="5"/>
      <c r="D972" s="5"/>
      <c r="E972" s="5"/>
      <c r="F972" s="5"/>
      <c r="G972" s="5"/>
      <c r="H972" s="5"/>
      <c r="I972" s="5"/>
      <c r="J972" s="5"/>
      <c r="K972" s="5"/>
      <c r="L972" s="5"/>
      <c r="M972" s="5"/>
      <c r="N972" s="5"/>
      <c r="O972" s="5"/>
      <c r="P972" s="5"/>
      <c r="Q972" s="5"/>
      <c r="R972" s="5"/>
      <c r="S972" s="5"/>
      <c r="T972" s="5"/>
      <c r="U972" s="5"/>
      <c r="V972" s="5"/>
      <c r="W972" s="5"/>
    </row>
    <row r="973">
      <c r="A973" s="5"/>
      <c r="B973" s="5"/>
      <c r="C973" s="5"/>
      <c r="D973" s="5"/>
      <c r="E973" s="5"/>
      <c r="F973" s="5"/>
      <c r="G973" s="5"/>
      <c r="H973" s="5"/>
      <c r="I973" s="5"/>
      <c r="J973" s="5"/>
      <c r="K973" s="5"/>
      <c r="L973" s="5"/>
      <c r="M973" s="5"/>
      <c r="N973" s="5"/>
      <c r="O973" s="5"/>
      <c r="P973" s="5"/>
      <c r="Q973" s="5"/>
      <c r="R973" s="5"/>
      <c r="S973" s="5"/>
      <c r="T973" s="5"/>
      <c r="U973" s="5"/>
      <c r="V973" s="5"/>
      <c r="W973" s="5"/>
    </row>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 r:id="rId25" ref="E26"/>
    <hyperlink r:id="rId26" ref="E27"/>
    <hyperlink r:id="rId27" ref="E28"/>
    <hyperlink r:id="rId28" ref="E29"/>
    <hyperlink r:id="rId29" ref="E30"/>
    <hyperlink r:id="rId30" ref="E31"/>
    <hyperlink r:id="rId31" ref="E32"/>
    <hyperlink r:id="rId32" ref="E33"/>
    <hyperlink r:id="rId33" ref="E34"/>
    <hyperlink r:id="rId34" ref="E35"/>
    <hyperlink r:id="rId35" ref="E36"/>
    <hyperlink r:id="rId36" ref="E37"/>
    <hyperlink r:id="rId37" ref="E38"/>
    <hyperlink r:id="rId38" ref="E39"/>
    <hyperlink r:id="rId39" ref="E40"/>
    <hyperlink r:id="rId40" ref="E41"/>
    <hyperlink r:id="rId41" ref="E42"/>
    <hyperlink r:id="rId42" ref="E43"/>
    <hyperlink r:id="rId43" ref="E44"/>
    <hyperlink r:id="rId44" ref="E45"/>
    <hyperlink r:id="rId45" ref="E46"/>
    <hyperlink r:id="rId46" ref="E47"/>
    <hyperlink r:id="rId47" ref="E48"/>
    <hyperlink r:id="rId48" ref="E49"/>
    <hyperlink r:id="rId49" ref="E50"/>
    <hyperlink r:id="rId50" ref="E51"/>
    <hyperlink r:id="rId51" ref="E52"/>
    <hyperlink r:id="rId52" ref="E53"/>
    <hyperlink r:id="rId53" ref="E54"/>
    <hyperlink r:id="rId54" ref="E55"/>
    <hyperlink r:id="rId55" ref="E56"/>
    <hyperlink r:id="rId56" ref="E57"/>
    <hyperlink r:id="rId57" ref="E58"/>
    <hyperlink r:id="rId58" ref="E59"/>
    <hyperlink r:id="rId59" ref="E60"/>
    <hyperlink r:id="rId60" ref="E61"/>
    <hyperlink r:id="rId61" ref="E62"/>
    <hyperlink r:id="rId62" ref="E63"/>
    <hyperlink r:id="rId63" ref="E64"/>
    <hyperlink r:id="rId64" ref="E65"/>
    <hyperlink r:id="rId65" ref="E66"/>
    <hyperlink r:id="rId66" ref="E67"/>
    <hyperlink r:id="rId67" ref="E68"/>
    <hyperlink r:id="rId68" ref="E69"/>
    <hyperlink r:id="rId69" ref="E70"/>
    <hyperlink r:id="rId70" ref="E71"/>
    <hyperlink r:id="rId71" ref="E72"/>
    <hyperlink r:id="rId72" ref="E73"/>
    <hyperlink r:id="rId73" ref="E74"/>
    <hyperlink r:id="rId74" ref="E75"/>
    <hyperlink r:id="rId75" ref="E76"/>
    <hyperlink r:id="rId76" ref="E77"/>
    <hyperlink r:id="rId77" ref="E78"/>
    <hyperlink r:id="rId78" ref="E79"/>
    <hyperlink r:id="rId79" ref="E80"/>
    <hyperlink r:id="rId80" ref="E81"/>
    <hyperlink r:id="rId81" ref="E82"/>
    <hyperlink r:id="rId82" ref="E83"/>
    <hyperlink r:id="rId83" ref="E84"/>
    <hyperlink r:id="rId84" ref="E85"/>
    <hyperlink r:id="rId85" ref="E86"/>
    <hyperlink r:id="rId86" ref="E87"/>
    <hyperlink r:id="rId87" ref="E88"/>
    <hyperlink r:id="rId88" ref="E89"/>
    <hyperlink r:id="rId89" ref="E90"/>
    <hyperlink r:id="rId90" ref="E91"/>
    <hyperlink r:id="rId91" ref="E92"/>
    <hyperlink r:id="rId92" ref="E93"/>
    <hyperlink r:id="rId93" ref="E94"/>
    <hyperlink r:id="rId94" ref="E95"/>
  </hyperlinks>
  <drawing r:id="rId9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sheetPr>
  <sheetViews>
    <sheetView workbookViewId="0"/>
  </sheetViews>
  <sheetFormatPr customHeight="1" defaultColWidth="12.63" defaultRowHeight="15.75"/>
  <cols>
    <col customWidth="1" min="1" max="1" width="40.75"/>
    <col customWidth="1" min="2" max="2" width="70.63"/>
    <col customWidth="1" min="5" max="5" width="28.63"/>
  </cols>
  <sheetData>
    <row r="1">
      <c r="A1" s="1" t="s">
        <v>4</v>
      </c>
      <c r="B1" s="1" t="s">
        <v>8</v>
      </c>
      <c r="C1" s="1" t="s">
        <v>12</v>
      </c>
      <c r="D1" s="1" t="s">
        <v>16</v>
      </c>
      <c r="E1" s="1" t="s">
        <v>20</v>
      </c>
      <c r="F1" s="5"/>
      <c r="G1" s="5"/>
      <c r="H1" s="5"/>
      <c r="I1" s="5"/>
      <c r="J1" s="5"/>
      <c r="K1" s="5"/>
      <c r="L1" s="5"/>
      <c r="M1" s="5"/>
      <c r="N1" s="5"/>
      <c r="O1" s="5"/>
      <c r="P1" s="5"/>
      <c r="Q1" s="5"/>
      <c r="R1" s="5"/>
      <c r="S1" s="5"/>
      <c r="T1" s="5"/>
      <c r="U1" s="5"/>
      <c r="V1" s="5"/>
      <c r="W1" s="5"/>
    </row>
    <row r="2">
      <c r="A2" s="3" t="s">
        <v>950</v>
      </c>
      <c r="B2" s="3" t="s">
        <v>951</v>
      </c>
      <c r="C2" s="3" t="s">
        <v>144</v>
      </c>
      <c r="D2" s="3" t="s">
        <v>952</v>
      </c>
      <c r="E2" s="4" t="s">
        <v>53</v>
      </c>
      <c r="F2" s="5"/>
      <c r="G2" s="5"/>
      <c r="H2" s="5"/>
      <c r="I2" s="5"/>
      <c r="J2" s="5"/>
      <c r="K2" s="5"/>
      <c r="L2" s="5"/>
      <c r="M2" s="5"/>
      <c r="N2" s="5"/>
      <c r="O2" s="5"/>
      <c r="P2" s="5"/>
      <c r="Q2" s="5"/>
      <c r="R2" s="5"/>
      <c r="S2" s="5"/>
      <c r="T2" s="5"/>
      <c r="U2" s="5"/>
      <c r="V2" s="5"/>
      <c r="W2" s="5"/>
    </row>
    <row r="3">
      <c r="A3" s="3" t="s">
        <v>629</v>
      </c>
      <c r="B3" s="3" t="s">
        <v>953</v>
      </c>
      <c r="C3" s="3" t="s">
        <v>146</v>
      </c>
      <c r="D3" s="3" t="s">
        <v>954</v>
      </c>
      <c r="E3" s="4" t="s">
        <v>53</v>
      </c>
      <c r="F3" s="5"/>
      <c r="G3" s="5"/>
      <c r="H3" s="5"/>
      <c r="I3" s="5"/>
      <c r="J3" s="5"/>
      <c r="K3" s="5"/>
      <c r="L3" s="5"/>
      <c r="M3" s="5"/>
      <c r="N3" s="5"/>
      <c r="O3" s="5"/>
      <c r="P3" s="5"/>
      <c r="Q3" s="5"/>
      <c r="R3" s="5"/>
      <c r="S3" s="5"/>
      <c r="T3" s="5"/>
      <c r="U3" s="5"/>
      <c r="V3" s="5"/>
      <c r="W3" s="5"/>
    </row>
    <row r="4">
      <c r="A4" s="3" t="s">
        <v>955</v>
      </c>
      <c r="B4" s="3" t="s">
        <v>956</v>
      </c>
      <c r="C4" s="3" t="s">
        <v>634</v>
      </c>
      <c r="D4" s="3" t="s">
        <v>635</v>
      </c>
      <c r="E4" s="4" t="s">
        <v>53</v>
      </c>
      <c r="F4" s="5"/>
      <c r="G4" s="5"/>
      <c r="H4" s="5"/>
      <c r="I4" s="5"/>
      <c r="J4" s="5"/>
      <c r="K4" s="5"/>
      <c r="L4" s="5"/>
      <c r="M4" s="5"/>
      <c r="N4" s="5"/>
      <c r="O4" s="5"/>
      <c r="P4" s="5"/>
      <c r="Q4" s="5"/>
      <c r="R4" s="5"/>
      <c r="S4" s="5"/>
      <c r="T4" s="5"/>
      <c r="U4" s="5"/>
      <c r="V4" s="5"/>
      <c r="W4" s="5"/>
    </row>
    <row r="5">
      <c r="A5" s="3" t="s">
        <v>636</v>
      </c>
      <c r="B5" s="3" t="s">
        <v>957</v>
      </c>
      <c r="C5" s="3" t="s">
        <v>638</v>
      </c>
      <c r="D5" s="3" t="s">
        <v>639</v>
      </c>
      <c r="E5" s="4" t="s">
        <v>53</v>
      </c>
      <c r="F5" s="5"/>
      <c r="G5" s="5"/>
      <c r="H5" s="5"/>
      <c r="I5" s="5"/>
      <c r="J5" s="5"/>
      <c r="K5" s="5"/>
      <c r="L5" s="5"/>
      <c r="M5" s="5"/>
      <c r="N5" s="5"/>
      <c r="O5" s="5"/>
      <c r="P5" s="5"/>
      <c r="Q5" s="5"/>
      <c r="R5" s="5"/>
      <c r="S5" s="5"/>
      <c r="T5" s="5"/>
      <c r="U5" s="5"/>
      <c r="V5" s="5"/>
      <c r="W5" s="5"/>
    </row>
    <row r="6">
      <c r="A6" s="3" t="s">
        <v>640</v>
      </c>
      <c r="B6" s="3" t="s">
        <v>958</v>
      </c>
      <c r="C6" s="3" t="s">
        <v>642</v>
      </c>
      <c r="D6" s="3" t="s">
        <v>643</v>
      </c>
      <c r="E6" s="4" t="s">
        <v>53</v>
      </c>
      <c r="F6" s="5"/>
      <c r="G6" s="5"/>
      <c r="H6" s="5"/>
      <c r="I6" s="5"/>
      <c r="J6" s="5"/>
      <c r="K6" s="5"/>
      <c r="L6" s="5"/>
      <c r="M6" s="5"/>
      <c r="N6" s="5"/>
      <c r="O6" s="5"/>
      <c r="P6" s="5"/>
      <c r="Q6" s="5"/>
      <c r="R6" s="5"/>
      <c r="S6" s="5"/>
      <c r="T6" s="5"/>
      <c r="U6" s="5"/>
      <c r="V6" s="5"/>
      <c r="W6" s="5"/>
    </row>
    <row r="7">
      <c r="A7" s="3" t="s">
        <v>644</v>
      </c>
      <c r="B7" s="3" t="s">
        <v>959</v>
      </c>
      <c r="C7" s="3" t="s">
        <v>646</v>
      </c>
      <c r="D7" s="3" t="s">
        <v>647</v>
      </c>
      <c r="E7" s="4" t="s">
        <v>53</v>
      </c>
      <c r="F7" s="5"/>
      <c r="G7" s="5"/>
      <c r="H7" s="5"/>
      <c r="I7" s="5"/>
      <c r="J7" s="5"/>
      <c r="K7" s="5"/>
      <c r="L7" s="5"/>
      <c r="M7" s="5"/>
      <c r="N7" s="5"/>
      <c r="O7" s="5"/>
      <c r="P7" s="5"/>
      <c r="Q7" s="5"/>
      <c r="R7" s="5"/>
      <c r="S7" s="5"/>
      <c r="T7" s="5"/>
      <c r="U7" s="5"/>
      <c r="V7" s="5"/>
      <c r="W7" s="5"/>
    </row>
    <row r="8">
      <c r="A8" s="3" t="s">
        <v>648</v>
      </c>
      <c r="B8" s="3" t="s">
        <v>960</v>
      </c>
      <c r="C8" s="3" t="s">
        <v>650</v>
      </c>
      <c r="D8" s="3" t="s">
        <v>651</v>
      </c>
      <c r="E8" s="4" t="s">
        <v>53</v>
      </c>
      <c r="F8" s="5"/>
      <c r="G8" s="5"/>
      <c r="H8" s="5"/>
      <c r="I8" s="5"/>
      <c r="J8" s="5"/>
      <c r="K8" s="5"/>
      <c r="L8" s="5"/>
      <c r="M8" s="5"/>
      <c r="N8" s="5"/>
      <c r="O8" s="5"/>
      <c r="P8" s="5"/>
      <c r="Q8" s="5"/>
      <c r="R8" s="5"/>
      <c r="S8" s="5"/>
      <c r="T8" s="5"/>
      <c r="U8" s="5"/>
      <c r="V8" s="5"/>
      <c r="W8" s="5"/>
    </row>
    <row r="9">
      <c r="A9" s="3" t="s">
        <v>652</v>
      </c>
      <c r="B9" s="3" t="s">
        <v>961</v>
      </c>
      <c r="C9" s="3" t="s">
        <v>634</v>
      </c>
      <c r="D9" s="3" t="s">
        <v>654</v>
      </c>
      <c r="E9" s="4" t="s">
        <v>53</v>
      </c>
      <c r="F9" s="5"/>
      <c r="G9" s="5"/>
      <c r="H9" s="5"/>
      <c r="I9" s="5"/>
      <c r="J9" s="5"/>
      <c r="K9" s="5"/>
      <c r="L9" s="5"/>
      <c r="M9" s="5"/>
      <c r="N9" s="5"/>
      <c r="O9" s="5"/>
      <c r="P9" s="5"/>
      <c r="Q9" s="5"/>
      <c r="R9" s="5"/>
      <c r="S9" s="5"/>
      <c r="T9" s="5"/>
      <c r="U9" s="5"/>
      <c r="V9" s="5"/>
      <c r="W9" s="5"/>
    </row>
    <row r="10">
      <c r="A10" s="3" t="s">
        <v>655</v>
      </c>
      <c r="B10" s="3" t="s">
        <v>962</v>
      </c>
      <c r="C10" s="3" t="s">
        <v>634</v>
      </c>
      <c r="D10" s="3" t="s">
        <v>657</v>
      </c>
      <c r="E10" s="4" t="s">
        <v>53</v>
      </c>
      <c r="F10" s="5"/>
      <c r="G10" s="5"/>
      <c r="H10" s="5"/>
      <c r="I10" s="5"/>
      <c r="J10" s="5"/>
      <c r="K10" s="5"/>
      <c r="L10" s="5"/>
      <c r="M10" s="5"/>
      <c r="N10" s="5"/>
      <c r="O10" s="5"/>
      <c r="P10" s="5"/>
      <c r="Q10" s="5"/>
      <c r="R10" s="5"/>
      <c r="S10" s="5"/>
      <c r="T10" s="5"/>
      <c r="U10" s="5"/>
      <c r="V10" s="5"/>
      <c r="W10" s="5"/>
    </row>
    <row r="11">
      <c r="A11" s="3" t="s">
        <v>963</v>
      </c>
      <c r="B11" s="3" t="s">
        <v>964</v>
      </c>
      <c r="C11" s="3" t="s">
        <v>150</v>
      </c>
      <c r="D11" s="3" t="s">
        <v>965</v>
      </c>
      <c r="E11" s="4" t="s">
        <v>53</v>
      </c>
      <c r="F11" s="5"/>
      <c r="G11" s="5"/>
      <c r="H11" s="5"/>
      <c r="I11" s="5"/>
      <c r="J11" s="5"/>
      <c r="K11" s="5"/>
      <c r="L11" s="5"/>
      <c r="M11" s="5"/>
      <c r="N11" s="5"/>
      <c r="O11" s="5"/>
      <c r="P11" s="5"/>
      <c r="Q11" s="5"/>
      <c r="R11" s="5"/>
      <c r="S11" s="5"/>
      <c r="T11" s="5"/>
      <c r="U11" s="5"/>
      <c r="V11" s="5"/>
      <c r="W11" s="5"/>
    </row>
    <row r="12">
      <c r="A12" s="3" t="s">
        <v>661</v>
      </c>
      <c r="B12" s="3" t="s">
        <v>966</v>
      </c>
      <c r="C12" s="3" t="s">
        <v>150</v>
      </c>
      <c r="D12" s="3" t="s">
        <v>663</v>
      </c>
      <c r="E12" s="4" t="s">
        <v>53</v>
      </c>
      <c r="F12" s="5"/>
      <c r="G12" s="5"/>
      <c r="H12" s="5"/>
      <c r="I12" s="5"/>
      <c r="J12" s="5"/>
      <c r="K12" s="5"/>
      <c r="L12" s="5"/>
      <c r="M12" s="5"/>
      <c r="N12" s="5"/>
      <c r="O12" s="5"/>
      <c r="P12" s="5"/>
      <c r="Q12" s="5"/>
      <c r="R12" s="5"/>
      <c r="S12" s="5"/>
      <c r="T12" s="5"/>
      <c r="U12" s="5"/>
      <c r="V12" s="5"/>
      <c r="W12" s="5"/>
    </row>
    <row r="13">
      <c r="A13" s="3" t="s">
        <v>967</v>
      </c>
      <c r="B13" s="3" t="s">
        <v>968</v>
      </c>
      <c r="C13" s="3" t="s">
        <v>144</v>
      </c>
      <c r="D13" s="3" t="s">
        <v>969</v>
      </c>
      <c r="E13" s="4" t="s">
        <v>53</v>
      </c>
      <c r="F13" s="5"/>
      <c r="G13" s="5"/>
      <c r="H13" s="5"/>
      <c r="I13" s="5"/>
      <c r="J13" s="5"/>
      <c r="K13" s="5"/>
      <c r="L13" s="5"/>
      <c r="M13" s="5"/>
      <c r="N13" s="5"/>
      <c r="O13" s="5"/>
      <c r="P13" s="5"/>
      <c r="Q13" s="5"/>
      <c r="R13" s="5"/>
      <c r="S13" s="5"/>
      <c r="T13" s="5"/>
      <c r="U13" s="5"/>
      <c r="V13" s="5"/>
      <c r="W13" s="5"/>
    </row>
    <row r="14">
      <c r="A14" s="3" t="s">
        <v>970</v>
      </c>
      <c r="B14" s="3" t="s">
        <v>971</v>
      </c>
      <c r="C14" s="3" t="s">
        <v>144</v>
      </c>
      <c r="D14" s="3" t="s">
        <v>972</v>
      </c>
      <c r="E14" s="4" t="s">
        <v>53</v>
      </c>
      <c r="F14" s="5"/>
      <c r="G14" s="5"/>
      <c r="H14" s="5"/>
      <c r="I14" s="5"/>
      <c r="J14" s="5"/>
      <c r="K14" s="5"/>
      <c r="L14" s="5"/>
      <c r="M14" s="5"/>
      <c r="N14" s="5"/>
      <c r="O14" s="5"/>
      <c r="P14" s="5"/>
      <c r="Q14" s="5"/>
      <c r="R14" s="5"/>
      <c r="S14" s="5"/>
      <c r="T14" s="5"/>
      <c r="U14" s="5"/>
      <c r="V14" s="5"/>
      <c r="W14" s="5"/>
    </row>
    <row r="15">
      <c r="A15" s="3" t="s">
        <v>973</v>
      </c>
      <c r="B15" s="3" t="s">
        <v>671</v>
      </c>
      <c r="C15" s="3" t="s">
        <v>672</v>
      </c>
      <c r="D15" s="3" t="s">
        <v>974</v>
      </c>
      <c r="E15" s="4" t="s">
        <v>53</v>
      </c>
      <c r="F15" s="5"/>
      <c r="G15" s="5"/>
      <c r="H15" s="5"/>
      <c r="I15" s="5"/>
      <c r="J15" s="5"/>
      <c r="K15" s="5"/>
      <c r="L15" s="5"/>
      <c r="M15" s="5"/>
      <c r="N15" s="5"/>
      <c r="O15" s="5"/>
      <c r="P15" s="5"/>
      <c r="Q15" s="5"/>
      <c r="R15" s="5"/>
      <c r="S15" s="5"/>
      <c r="T15" s="5"/>
      <c r="U15" s="5"/>
      <c r="V15" s="5"/>
      <c r="W15" s="5"/>
    </row>
    <row r="16">
      <c r="A16" s="3" t="s">
        <v>975</v>
      </c>
      <c r="B16" s="3" t="s">
        <v>976</v>
      </c>
      <c r="C16" s="3" t="s">
        <v>144</v>
      </c>
      <c r="D16" s="3" t="s">
        <v>977</v>
      </c>
      <c r="E16" s="4" t="s">
        <v>171</v>
      </c>
      <c r="F16" s="5"/>
      <c r="G16" s="5"/>
      <c r="H16" s="5"/>
      <c r="I16" s="5"/>
      <c r="J16" s="5"/>
      <c r="K16" s="5"/>
      <c r="L16" s="5"/>
      <c r="M16" s="5"/>
      <c r="N16" s="5"/>
      <c r="O16" s="5"/>
      <c r="P16" s="5"/>
      <c r="Q16" s="5"/>
      <c r="R16" s="5"/>
      <c r="S16" s="5"/>
      <c r="T16" s="5"/>
      <c r="U16" s="5"/>
      <c r="V16" s="5"/>
      <c r="W16" s="5"/>
    </row>
    <row r="17">
      <c r="A17" s="3" t="s">
        <v>680</v>
      </c>
      <c r="B17" s="3" t="s">
        <v>978</v>
      </c>
      <c r="C17" s="3" t="s">
        <v>146</v>
      </c>
      <c r="D17" s="3" t="s">
        <v>682</v>
      </c>
      <c r="E17" s="4" t="s">
        <v>173</v>
      </c>
      <c r="F17" s="5"/>
      <c r="G17" s="5"/>
      <c r="H17" s="5"/>
      <c r="I17" s="5"/>
      <c r="J17" s="5"/>
      <c r="K17" s="5"/>
      <c r="L17" s="5"/>
      <c r="M17" s="5"/>
      <c r="N17" s="5"/>
      <c r="O17" s="5"/>
      <c r="P17" s="5"/>
      <c r="Q17" s="5"/>
      <c r="R17" s="5"/>
      <c r="S17" s="5"/>
      <c r="T17" s="5"/>
      <c r="U17" s="5"/>
      <c r="V17" s="5"/>
      <c r="W17" s="5"/>
    </row>
    <row r="18">
      <c r="A18" s="3" t="s">
        <v>683</v>
      </c>
      <c r="B18" s="3" t="s">
        <v>979</v>
      </c>
      <c r="C18" s="3" t="s">
        <v>146</v>
      </c>
      <c r="D18" s="3" t="s">
        <v>980</v>
      </c>
      <c r="E18" s="4" t="s">
        <v>173</v>
      </c>
      <c r="F18" s="5"/>
      <c r="G18" s="5"/>
      <c r="H18" s="5"/>
      <c r="I18" s="5"/>
      <c r="J18" s="5"/>
      <c r="K18" s="5"/>
      <c r="L18" s="5"/>
      <c r="M18" s="5"/>
      <c r="N18" s="5"/>
      <c r="O18" s="5"/>
      <c r="P18" s="5"/>
      <c r="Q18" s="5"/>
      <c r="R18" s="5"/>
      <c r="S18" s="5"/>
      <c r="T18" s="5"/>
      <c r="U18" s="5"/>
      <c r="V18" s="5"/>
      <c r="W18" s="5"/>
    </row>
    <row r="19">
      <c r="A19" s="3" t="s">
        <v>686</v>
      </c>
      <c r="B19" s="3" t="s">
        <v>981</v>
      </c>
      <c r="C19" s="3" t="s">
        <v>146</v>
      </c>
      <c r="D19" s="3" t="s">
        <v>688</v>
      </c>
      <c r="E19" s="4" t="s">
        <v>173</v>
      </c>
      <c r="F19" s="5"/>
      <c r="G19" s="5"/>
      <c r="H19" s="5"/>
      <c r="I19" s="5"/>
      <c r="J19" s="5"/>
      <c r="K19" s="5"/>
      <c r="L19" s="5"/>
      <c r="M19" s="5"/>
      <c r="N19" s="5"/>
      <c r="O19" s="5"/>
      <c r="P19" s="5"/>
      <c r="Q19" s="5"/>
      <c r="R19" s="5"/>
      <c r="S19" s="5"/>
      <c r="T19" s="5"/>
      <c r="U19" s="5"/>
      <c r="V19" s="5"/>
      <c r="W19" s="5"/>
    </row>
    <row r="20">
      <c r="A20" s="3" t="s">
        <v>689</v>
      </c>
      <c r="B20" s="3" t="s">
        <v>690</v>
      </c>
      <c r="C20" s="3" t="s">
        <v>148</v>
      </c>
      <c r="D20" s="3" t="s">
        <v>691</v>
      </c>
      <c r="E20" s="15" t="s">
        <v>149</v>
      </c>
      <c r="F20" s="3"/>
      <c r="G20" s="5"/>
      <c r="H20" s="5"/>
      <c r="I20" s="5"/>
      <c r="J20" s="5"/>
      <c r="K20" s="5"/>
      <c r="L20" s="5"/>
      <c r="M20" s="5"/>
      <c r="N20" s="5"/>
      <c r="O20" s="5"/>
      <c r="P20" s="5"/>
      <c r="Q20" s="5"/>
      <c r="R20" s="5"/>
      <c r="S20" s="5"/>
      <c r="T20" s="5"/>
      <c r="U20" s="5"/>
      <c r="V20" s="5"/>
      <c r="W20" s="5"/>
    </row>
    <row r="21">
      <c r="A21" s="3" t="s">
        <v>692</v>
      </c>
      <c r="B21" s="3" t="s">
        <v>693</v>
      </c>
      <c r="C21" s="3" t="s">
        <v>148</v>
      </c>
      <c r="D21" s="3" t="s">
        <v>694</v>
      </c>
      <c r="E21" s="15" t="s">
        <v>174</v>
      </c>
      <c r="F21" s="5"/>
      <c r="G21" s="5"/>
      <c r="H21" s="5"/>
      <c r="I21" s="5"/>
      <c r="J21" s="5"/>
      <c r="K21" s="5"/>
      <c r="L21" s="5"/>
      <c r="M21" s="5"/>
      <c r="N21" s="5"/>
      <c r="O21" s="5"/>
      <c r="P21" s="5"/>
      <c r="Q21" s="5"/>
      <c r="R21" s="5"/>
      <c r="S21" s="5"/>
      <c r="T21" s="5"/>
      <c r="U21" s="5"/>
      <c r="V21" s="5"/>
      <c r="W21" s="5"/>
    </row>
    <row r="22">
      <c r="A22" s="3" t="s">
        <v>695</v>
      </c>
      <c r="B22" s="3" t="s">
        <v>696</v>
      </c>
      <c r="C22" s="3" t="s">
        <v>148</v>
      </c>
      <c r="D22" s="3" t="s">
        <v>697</v>
      </c>
      <c r="E22" s="15" t="s">
        <v>174</v>
      </c>
      <c r="F22" s="5"/>
      <c r="G22" s="5"/>
      <c r="H22" s="5"/>
      <c r="I22" s="5"/>
      <c r="J22" s="5"/>
      <c r="K22" s="5"/>
      <c r="L22" s="5"/>
      <c r="M22" s="5"/>
      <c r="N22" s="5"/>
      <c r="O22" s="5"/>
      <c r="P22" s="5"/>
      <c r="Q22" s="5"/>
      <c r="R22" s="5"/>
      <c r="S22" s="5"/>
      <c r="T22" s="5"/>
      <c r="U22" s="5"/>
      <c r="V22" s="5"/>
      <c r="W22" s="5"/>
    </row>
    <row r="23">
      <c r="A23" s="3" t="s">
        <v>698</v>
      </c>
      <c r="B23" s="3" t="s">
        <v>699</v>
      </c>
      <c r="C23" s="3" t="s">
        <v>148</v>
      </c>
      <c r="D23" s="3" t="s">
        <v>700</v>
      </c>
      <c r="E23" s="15" t="s">
        <v>174</v>
      </c>
      <c r="F23" s="5"/>
      <c r="G23" s="5"/>
      <c r="H23" s="5"/>
      <c r="I23" s="5"/>
      <c r="J23" s="5"/>
      <c r="K23" s="5"/>
      <c r="L23" s="5"/>
      <c r="M23" s="5"/>
      <c r="N23" s="5"/>
      <c r="O23" s="5"/>
      <c r="P23" s="5"/>
      <c r="Q23" s="5"/>
      <c r="R23" s="5"/>
      <c r="S23" s="5"/>
      <c r="T23" s="5"/>
      <c r="U23" s="5"/>
      <c r="V23" s="5"/>
      <c r="W23" s="5"/>
    </row>
    <row r="24">
      <c r="A24" s="3" t="s">
        <v>701</v>
      </c>
      <c r="B24" s="3" t="s">
        <v>702</v>
      </c>
      <c r="C24" s="3" t="s">
        <v>148</v>
      </c>
      <c r="D24" s="3" t="s">
        <v>703</v>
      </c>
      <c r="E24" s="15" t="s">
        <v>174</v>
      </c>
      <c r="F24" s="5"/>
      <c r="G24" s="5"/>
      <c r="H24" s="5"/>
      <c r="I24" s="5"/>
      <c r="J24" s="5"/>
      <c r="K24" s="5"/>
      <c r="L24" s="5"/>
      <c r="M24" s="5"/>
      <c r="N24" s="5"/>
      <c r="O24" s="5"/>
      <c r="P24" s="5"/>
      <c r="Q24" s="5"/>
      <c r="R24" s="5"/>
      <c r="S24" s="5"/>
      <c r="T24" s="5"/>
      <c r="U24" s="5"/>
      <c r="V24" s="5"/>
      <c r="W24" s="5"/>
    </row>
    <row r="25">
      <c r="A25" s="3" t="s">
        <v>704</v>
      </c>
      <c r="B25" s="3" t="s">
        <v>705</v>
      </c>
      <c r="C25" s="3" t="s">
        <v>706</v>
      </c>
      <c r="D25" s="3" t="s">
        <v>707</v>
      </c>
      <c r="E25" s="4" t="s">
        <v>176</v>
      </c>
      <c r="F25" s="5"/>
      <c r="G25" s="5"/>
      <c r="H25" s="5"/>
      <c r="I25" s="5"/>
      <c r="J25" s="5"/>
      <c r="K25" s="5"/>
      <c r="L25" s="5"/>
      <c r="M25" s="5"/>
      <c r="N25" s="5"/>
      <c r="O25" s="5"/>
      <c r="P25" s="5"/>
      <c r="Q25" s="5"/>
      <c r="R25" s="5"/>
      <c r="S25" s="5"/>
      <c r="T25" s="5"/>
      <c r="U25" s="5"/>
      <c r="V25" s="5"/>
      <c r="W25" s="5"/>
    </row>
    <row r="26">
      <c r="A26" s="3" t="s">
        <v>708</v>
      </c>
      <c r="B26" s="3" t="s">
        <v>709</v>
      </c>
      <c r="C26" s="3" t="s">
        <v>710</v>
      </c>
      <c r="D26" s="3" t="s">
        <v>711</v>
      </c>
      <c r="E26" s="4" t="s">
        <v>176</v>
      </c>
      <c r="F26" s="5"/>
      <c r="G26" s="5"/>
      <c r="H26" s="5"/>
      <c r="I26" s="5"/>
      <c r="J26" s="5"/>
      <c r="K26" s="5"/>
      <c r="L26" s="5"/>
      <c r="M26" s="5"/>
      <c r="N26" s="5"/>
      <c r="O26" s="5"/>
      <c r="P26" s="5"/>
      <c r="Q26" s="5"/>
      <c r="R26" s="5"/>
      <c r="S26" s="5"/>
      <c r="T26" s="5"/>
      <c r="U26" s="5"/>
      <c r="V26" s="5"/>
      <c r="W26" s="5"/>
    </row>
    <row r="27">
      <c r="A27" s="3" t="s">
        <v>712</v>
      </c>
      <c r="B27" s="3" t="s">
        <v>713</v>
      </c>
      <c r="C27" s="3" t="s">
        <v>714</v>
      </c>
      <c r="D27" s="3" t="s">
        <v>715</v>
      </c>
      <c r="E27" s="4" t="s">
        <v>176</v>
      </c>
      <c r="F27" s="5"/>
      <c r="G27" s="5"/>
      <c r="H27" s="5"/>
      <c r="I27" s="5"/>
      <c r="J27" s="5"/>
      <c r="K27" s="5"/>
      <c r="L27" s="5"/>
      <c r="M27" s="5"/>
      <c r="N27" s="5"/>
      <c r="O27" s="5"/>
      <c r="P27" s="5"/>
      <c r="Q27" s="5"/>
      <c r="R27" s="5"/>
      <c r="S27" s="5"/>
      <c r="T27" s="5"/>
      <c r="U27" s="5"/>
      <c r="V27" s="5"/>
      <c r="W27" s="5"/>
    </row>
    <row r="28">
      <c r="A28" s="3" t="s">
        <v>716</v>
      </c>
      <c r="B28" s="3" t="s">
        <v>717</v>
      </c>
      <c r="C28" s="3" t="s">
        <v>718</v>
      </c>
      <c r="D28" s="3" t="s">
        <v>719</v>
      </c>
      <c r="E28" s="4" t="s">
        <v>176</v>
      </c>
      <c r="F28" s="5"/>
      <c r="G28" s="5"/>
      <c r="H28" s="5"/>
      <c r="I28" s="5"/>
      <c r="J28" s="5"/>
      <c r="K28" s="5"/>
      <c r="L28" s="5"/>
      <c r="M28" s="5"/>
      <c r="N28" s="5"/>
      <c r="O28" s="5"/>
      <c r="P28" s="5"/>
      <c r="Q28" s="5"/>
      <c r="R28" s="5"/>
      <c r="S28" s="5"/>
      <c r="T28" s="5"/>
      <c r="U28" s="5"/>
      <c r="V28" s="5"/>
      <c r="W28" s="5"/>
    </row>
    <row r="29">
      <c r="A29" s="3" t="s">
        <v>720</v>
      </c>
      <c r="B29" s="3" t="s">
        <v>721</v>
      </c>
      <c r="C29" s="3" t="s">
        <v>722</v>
      </c>
      <c r="D29" s="3" t="s">
        <v>723</v>
      </c>
      <c r="E29" s="4" t="s">
        <v>176</v>
      </c>
      <c r="F29" s="5"/>
      <c r="G29" s="5"/>
      <c r="H29" s="5"/>
      <c r="I29" s="5"/>
      <c r="J29" s="5"/>
      <c r="K29" s="5"/>
      <c r="L29" s="5"/>
      <c r="M29" s="5"/>
      <c r="N29" s="5"/>
      <c r="O29" s="5"/>
      <c r="P29" s="5"/>
      <c r="Q29" s="5"/>
      <c r="R29" s="5"/>
      <c r="S29" s="5"/>
      <c r="T29" s="5"/>
      <c r="U29" s="5"/>
      <c r="V29" s="5"/>
      <c r="W29" s="5"/>
    </row>
    <row r="30">
      <c r="A30" s="3" t="s">
        <v>724</v>
      </c>
      <c r="B30" s="3" t="s">
        <v>725</v>
      </c>
      <c r="C30" s="3" t="s">
        <v>726</v>
      </c>
      <c r="D30" s="3" t="s">
        <v>727</v>
      </c>
      <c r="E30" s="4" t="s">
        <v>176</v>
      </c>
      <c r="F30" s="5"/>
      <c r="G30" s="5"/>
      <c r="H30" s="5"/>
      <c r="I30" s="5"/>
      <c r="J30" s="5"/>
      <c r="K30" s="5"/>
      <c r="L30" s="5"/>
      <c r="M30" s="5"/>
      <c r="N30" s="5"/>
      <c r="O30" s="5"/>
      <c r="P30" s="5"/>
      <c r="Q30" s="5"/>
      <c r="R30" s="5"/>
      <c r="S30" s="5"/>
      <c r="T30" s="5"/>
      <c r="U30" s="5"/>
      <c r="V30" s="5"/>
      <c r="W30" s="5"/>
    </row>
    <row r="31">
      <c r="A31" s="3" t="s">
        <v>728</v>
      </c>
      <c r="B31" s="3" t="s">
        <v>729</v>
      </c>
      <c r="C31" s="3" t="s">
        <v>730</v>
      </c>
      <c r="D31" s="3" t="s">
        <v>731</v>
      </c>
      <c r="E31" s="4" t="s">
        <v>176</v>
      </c>
      <c r="F31" s="5"/>
      <c r="G31" s="5"/>
      <c r="H31" s="5"/>
      <c r="I31" s="5"/>
      <c r="J31" s="5"/>
      <c r="K31" s="5"/>
      <c r="L31" s="5"/>
      <c r="M31" s="5"/>
      <c r="N31" s="5"/>
      <c r="O31" s="5"/>
      <c r="P31" s="5"/>
      <c r="Q31" s="5"/>
      <c r="R31" s="5"/>
      <c r="S31" s="5"/>
      <c r="T31" s="5"/>
      <c r="U31" s="5"/>
      <c r="V31" s="5"/>
      <c r="W31" s="5"/>
    </row>
    <row r="32">
      <c r="A32" s="3" t="s">
        <v>732</v>
      </c>
      <c r="B32" s="3" t="s">
        <v>733</v>
      </c>
      <c r="C32" s="3" t="s">
        <v>734</v>
      </c>
      <c r="D32" s="3" t="s">
        <v>735</v>
      </c>
      <c r="E32" s="4" t="s">
        <v>176</v>
      </c>
      <c r="F32" s="5"/>
      <c r="G32" s="5"/>
      <c r="H32" s="5"/>
      <c r="I32" s="5"/>
      <c r="J32" s="5"/>
      <c r="K32" s="5"/>
      <c r="L32" s="5"/>
      <c r="M32" s="5"/>
      <c r="N32" s="5"/>
      <c r="O32" s="5"/>
      <c r="P32" s="5"/>
      <c r="Q32" s="5"/>
      <c r="R32" s="5"/>
      <c r="S32" s="5"/>
      <c r="T32" s="5"/>
      <c r="U32" s="5"/>
      <c r="V32" s="5"/>
      <c r="W32" s="5"/>
    </row>
    <row r="33">
      <c r="A33" s="3" t="s">
        <v>736</v>
      </c>
      <c r="B33" s="3" t="s">
        <v>737</v>
      </c>
      <c r="C33" s="3" t="s">
        <v>738</v>
      </c>
      <c r="D33" s="3" t="s">
        <v>739</v>
      </c>
      <c r="E33" s="4" t="s">
        <v>176</v>
      </c>
      <c r="F33" s="5"/>
      <c r="G33" s="5"/>
      <c r="H33" s="5"/>
      <c r="I33" s="5"/>
      <c r="J33" s="5"/>
      <c r="K33" s="5"/>
      <c r="L33" s="5"/>
      <c r="M33" s="5"/>
      <c r="N33" s="5"/>
      <c r="O33" s="5"/>
      <c r="P33" s="5"/>
      <c r="Q33" s="5"/>
      <c r="R33" s="5"/>
      <c r="S33" s="5"/>
      <c r="T33" s="5"/>
      <c r="U33" s="5"/>
      <c r="V33" s="5"/>
      <c r="W33" s="5"/>
    </row>
    <row r="34">
      <c r="A34" s="3" t="s">
        <v>740</v>
      </c>
      <c r="B34" s="3" t="s">
        <v>741</v>
      </c>
      <c r="C34" s="3" t="s">
        <v>742</v>
      </c>
      <c r="D34" s="3" t="s">
        <v>743</v>
      </c>
      <c r="E34" s="4" t="s">
        <v>176</v>
      </c>
      <c r="F34" s="5"/>
      <c r="G34" s="5"/>
      <c r="H34" s="5"/>
      <c r="I34" s="5"/>
      <c r="J34" s="5"/>
      <c r="K34" s="5"/>
      <c r="L34" s="5"/>
      <c r="M34" s="5"/>
      <c r="N34" s="5"/>
      <c r="O34" s="5"/>
      <c r="P34" s="5"/>
      <c r="Q34" s="5"/>
      <c r="R34" s="5"/>
      <c r="S34" s="5"/>
      <c r="T34" s="5"/>
      <c r="U34" s="5"/>
      <c r="V34" s="5"/>
      <c r="W34" s="5"/>
    </row>
    <row r="35">
      <c r="A35" s="3" t="s">
        <v>744</v>
      </c>
      <c r="B35" s="3" t="s">
        <v>745</v>
      </c>
      <c r="C35" s="3" t="s">
        <v>746</v>
      </c>
      <c r="D35" s="3" t="s">
        <v>747</v>
      </c>
      <c r="E35" s="4" t="s">
        <v>176</v>
      </c>
      <c r="F35" s="5"/>
      <c r="G35" s="5"/>
      <c r="H35" s="5"/>
      <c r="I35" s="5"/>
      <c r="J35" s="5"/>
      <c r="K35" s="5"/>
      <c r="L35" s="5"/>
      <c r="M35" s="5"/>
      <c r="N35" s="5"/>
      <c r="O35" s="5"/>
      <c r="P35" s="5"/>
      <c r="Q35" s="5"/>
      <c r="R35" s="5"/>
      <c r="S35" s="5"/>
      <c r="T35" s="5"/>
      <c r="U35" s="5"/>
      <c r="V35" s="5"/>
      <c r="W35" s="5"/>
    </row>
    <row r="36">
      <c r="A36" s="3" t="s">
        <v>748</v>
      </c>
      <c r="B36" s="3" t="s">
        <v>749</v>
      </c>
      <c r="C36" s="3" t="s">
        <v>750</v>
      </c>
      <c r="D36" s="3" t="s">
        <v>751</v>
      </c>
      <c r="E36" s="4" t="s">
        <v>176</v>
      </c>
      <c r="F36" s="5"/>
      <c r="G36" s="5"/>
      <c r="H36" s="5"/>
      <c r="I36" s="5"/>
      <c r="J36" s="5"/>
      <c r="K36" s="5"/>
      <c r="L36" s="5"/>
      <c r="M36" s="5"/>
      <c r="N36" s="5"/>
      <c r="O36" s="5"/>
      <c r="P36" s="5"/>
      <c r="Q36" s="5"/>
      <c r="R36" s="5"/>
      <c r="S36" s="5"/>
      <c r="T36" s="5"/>
      <c r="U36" s="5"/>
      <c r="V36" s="5"/>
      <c r="W36" s="5"/>
    </row>
    <row r="37">
      <c r="A37" s="3" t="s">
        <v>752</v>
      </c>
      <c r="B37" s="3" t="s">
        <v>753</v>
      </c>
      <c r="C37" s="3" t="s">
        <v>754</v>
      </c>
      <c r="D37" s="3" t="s">
        <v>755</v>
      </c>
      <c r="E37" s="4" t="s">
        <v>176</v>
      </c>
      <c r="F37" s="5"/>
      <c r="G37" s="5"/>
      <c r="H37" s="5"/>
      <c r="I37" s="5"/>
      <c r="J37" s="5"/>
      <c r="K37" s="5"/>
      <c r="L37" s="5"/>
      <c r="M37" s="5"/>
      <c r="N37" s="5"/>
      <c r="O37" s="5"/>
      <c r="P37" s="5"/>
      <c r="Q37" s="5"/>
      <c r="R37" s="5"/>
      <c r="S37" s="5"/>
      <c r="T37" s="5"/>
      <c r="U37" s="5"/>
      <c r="V37" s="5"/>
      <c r="W37" s="5"/>
    </row>
    <row r="38">
      <c r="A38" s="3" t="s">
        <v>756</v>
      </c>
      <c r="B38" s="3" t="s">
        <v>757</v>
      </c>
      <c r="C38" s="3" t="s">
        <v>750</v>
      </c>
      <c r="D38" s="3" t="s">
        <v>758</v>
      </c>
      <c r="E38" s="4" t="s">
        <v>176</v>
      </c>
      <c r="F38" s="5"/>
      <c r="G38" s="5"/>
      <c r="H38" s="5"/>
      <c r="I38" s="5"/>
      <c r="J38" s="5"/>
      <c r="K38" s="5"/>
      <c r="L38" s="5"/>
      <c r="M38" s="5"/>
      <c r="N38" s="5"/>
      <c r="O38" s="5"/>
      <c r="P38" s="5"/>
      <c r="Q38" s="5"/>
      <c r="R38" s="5"/>
      <c r="S38" s="5"/>
      <c r="T38" s="5"/>
      <c r="U38" s="5"/>
      <c r="V38" s="5"/>
      <c r="W38" s="5"/>
    </row>
    <row r="39">
      <c r="A39" s="3" t="s">
        <v>759</v>
      </c>
      <c r="B39" s="3" t="s">
        <v>760</v>
      </c>
      <c r="C39" s="3" t="s">
        <v>754</v>
      </c>
      <c r="D39" s="3" t="s">
        <v>761</v>
      </c>
      <c r="E39" s="4" t="s">
        <v>176</v>
      </c>
      <c r="F39" s="5"/>
      <c r="G39" s="5"/>
      <c r="H39" s="5"/>
      <c r="I39" s="5"/>
      <c r="J39" s="5"/>
      <c r="K39" s="5"/>
      <c r="L39" s="5"/>
      <c r="M39" s="5"/>
      <c r="N39" s="5"/>
      <c r="O39" s="5"/>
      <c r="P39" s="5"/>
      <c r="Q39" s="5"/>
      <c r="R39" s="5"/>
      <c r="S39" s="5"/>
      <c r="T39" s="5"/>
      <c r="U39" s="5"/>
      <c r="V39" s="5"/>
      <c r="W39" s="5"/>
    </row>
    <row r="40">
      <c r="A40" s="3" t="s">
        <v>762</v>
      </c>
      <c r="B40" s="3" t="s">
        <v>763</v>
      </c>
      <c r="C40" s="3" t="s">
        <v>750</v>
      </c>
      <c r="D40" s="3" t="s">
        <v>764</v>
      </c>
      <c r="E40" s="4" t="s">
        <v>176</v>
      </c>
      <c r="F40" s="5"/>
      <c r="G40" s="5"/>
      <c r="H40" s="5"/>
      <c r="I40" s="5"/>
      <c r="J40" s="5"/>
      <c r="K40" s="5"/>
      <c r="L40" s="5"/>
      <c r="M40" s="5"/>
      <c r="N40" s="5"/>
      <c r="O40" s="5"/>
      <c r="P40" s="5"/>
      <c r="Q40" s="5"/>
      <c r="R40" s="5"/>
      <c r="S40" s="5"/>
      <c r="T40" s="5"/>
      <c r="U40" s="5"/>
      <c r="V40" s="5"/>
      <c r="W40" s="5"/>
    </row>
    <row r="41">
      <c r="A41" s="3" t="s">
        <v>765</v>
      </c>
      <c r="B41" s="3" t="s">
        <v>766</v>
      </c>
      <c r="C41" s="3" t="s">
        <v>754</v>
      </c>
      <c r="D41" s="3" t="s">
        <v>767</v>
      </c>
      <c r="E41" s="4" t="s">
        <v>176</v>
      </c>
      <c r="F41" s="5"/>
      <c r="G41" s="5"/>
      <c r="H41" s="5"/>
      <c r="I41" s="5"/>
      <c r="J41" s="5"/>
      <c r="K41" s="5"/>
      <c r="L41" s="5"/>
      <c r="M41" s="5"/>
      <c r="N41" s="5"/>
      <c r="O41" s="5"/>
      <c r="P41" s="5"/>
      <c r="Q41" s="5"/>
      <c r="R41" s="5"/>
      <c r="S41" s="5"/>
      <c r="T41" s="5"/>
      <c r="U41" s="5"/>
      <c r="V41" s="5"/>
      <c r="W41" s="5"/>
    </row>
    <row r="42">
      <c r="A42" s="3" t="s">
        <v>768</v>
      </c>
      <c r="B42" s="3" t="s">
        <v>769</v>
      </c>
      <c r="C42" s="3" t="s">
        <v>750</v>
      </c>
      <c r="D42" s="3" t="s">
        <v>770</v>
      </c>
      <c r="E42" s="4" t="s">
        <v>176</v>
      </c>
      <c r="F42" s="5"/>
      <c r="G42" s="5"/>
      <c r="H42" s="5"/>
      <c r="I42" s="5"/>
      <c r="J42" s="5"/>
      <c r="K42" s="5"/>
      <c r="L42" s="5"/>
      <c r="M42" s="5"/>
      <c r="N42" s="5"/>
      <c r="O42" s="5"/>
      <c r="P42" s="5"/>
      <c r="Q42" s="5"/>
      <c r="R42" s="5"/>
      <c r="S42" s="5"/>
      <c r="T42" s="5"/>
      <c r="U42" s="5"/>
      <c r="V42" s="5"/>
      <c r="W42" s="5"/>
    </row>
    <row r="43">
      <c r="A43" s="3" t="s">
        <v>771</v>
      </c>
      <c r="B43" s="3" t="s">
        <v>772</v>
      </c>
      <c r="C43" s="3" t="s">
        <v>754</v>
      </c>
      <c r="D43" s="3" t="s">
        <v>773</v>
      </c>
      <c r="E43" s="4" t="s">
        <v>176</v>
      </c>
      <c r="F43" s="5"/>
      <c r="G43" s="5"/>
      <c r="H43" s="5"/>
      <c r="I43" s="5"/>
      <c r="J43" s="5"/>
      <c r="K43" s="5"/>
      <c r="L43" s="5"/>
      <c r="M43" s="5"/>
      <c r="N43" s="5"/>
      <c r="O43" s="5"/>
      <c r="P43" s="5"/>
      <c r="Q43" s="5"/>
      <c r="R43" s="5"/>
      <c r="S43" s="5"/>
      <c r="T43" s="5"/>
      <c r="U43" s="5"/>
      <c r="V43" s="5"/>
      <c r="W43" s="5"/>
    </row>
    <row r="44">
      <c r="A44" s="3" t="s">
        <v>774</v>
      </c>
      <c r="B44" s="3" t="s">
        <v>775</v>
      </c>
      <c r="C44" s="3" t="s">
        <v>750</v>
      </c>
      <c r="D44" s="3" t="s">
        <v>776</v>
      </c>
      <c r="E44" s="4" t="s">
        <v>176</v>
      </c>
      <c r="F44" s="5"/>
      <c r="G44" s="5"/>
      <c r="H44" s="5"/>
      <c r="I44" s="5"/>
      <c r="J44" s="5"/>
      <c r="K44" s="5"/>
      <c r="L44" s="5"/>
      <c r="M44" s="5"/>
      <c r="N44" s="5"/>
      <c r="O44" s="5"/>
      <c r="P44" s="5"/>
      <c r="Q44" s="5"/>
      <c r="R44" s="5"/>
      <c r="S44" s="5"/>
      <c r="T44" s="5"/>
      <c r="U44" s="5"/>
      <c r="V44" s="5"/>
      <c r="W44" s="5"/>
    </row>
    <row r="45">
      <c r="A45" s="3" t="s">
        <v>777</v>
      </c>
      <c r="B45" s="3" t="s">
        <v>778</v>
      </c>
      <c r="C45" s="3" t="s">
        <v>754</v>
      </c>
      <c r="D45" s="3" t="s">
        <v>779</v>
      </c>
      <c r="E45" s="4" t="s">
        <v>176</v>
      </c>
      <c r="F45" s="5"/>
      <c r="G45" s="5"/>
      <c r="H45" s="5"/>
      <c r="I45" s="5"/>
      <c r="J45" s="5"/>
      <c r="K45" s="5"/>
      <c r="L45" s="5"/>
      <c r="M45" s="5"/>
      <c r="N45" s="5"/>
      <c r="O45" s="5"/>
      <c r="P45" s="5"/>
      <c r="Q45" s="5"/>
      <c r="R45" s="5"/>
      <c r="S45" s="5"/>
      <c r="T45" s="5"/>
      <c r="U45" s="5"/>
      <c r="V45" s="5"/>
      <c r="W45" s="5"/>
    </row>
    <row r="46">
      <c r="A46" s="3" t="s">
        <v>780</v>
      </c>
      <c r="B46" s="3" t="s">
        <v>781</v>
      </c>
      <c r="C46" s="3" t="s">
        <v>750</v>
      </c>
      <c r="D46" s="3" t="s">
        <v>782</v>
      </c>
      <c r="E46" s="4" t="s">
        <v>176</v>
      </c>
      <c r="F46" s="5"/>
      <c r="G46" s="5"/>
      <c r="H46" s="5"/>
      <c r="I46" s="5"/>
      <c r="J46" s="5"/>
      <c r="K46" s="5"/>
      <c r="L46" s="5"/>
      <c r="M46" s="5"/>
      <c r="N46" s="5"/>
      <c r="O46" s="5"/>
      <c r="P46" s="5"/>
      <c r="Q46" s="5"/>
      <c r="R46" s="5"/>
      <c r="S46" s="5"/>
      <c r="T46" s="5"/>
      <c r="U46" s="5"/>
      <c r="V46" s="5"/>
      <c r="W46" s="5"/>
    </row>
    <row r="47">
      <c r="A47" s="3" t="s">
        <v>783</v>
      </c>
      <c r="B47" s="3" t="s">
        <v>784</v>
      </c>
      <c r="C47" s="3" t="s">
        <v>754</v>
      </c>
      <c r="D47" s="3" t="s">
        <v>785</v>
      </c>
      <c r="E47" s="4" t="s">
        <v>176</v>
      </c>
      <c r="F47" s="5"/>
      <c r="G47" s="5"/>
      <c r="H47" s="5"/>
      <c r="I47" s="5"/>
      <c r="J47" s="5"/>
      <c r="K47" s="5"/>
      <c r="L47" s="5"/>
      <c r="M47" s="5"/>
      <c r="N47" s="5"/>
      <c r="O47" s="5"/>
      <c r="P47" s="5"/>
      <c r="Q47" s="5"/>
      <c r="R47" s="5"/>
      <c r="S47" s="5"/>
      <c r="T47" s="5"/>
      <c r="U47" s="5"/>
      <c r="V47" s="5"/>
      <c r="W47" s="5"/>
    </row>
    <row r="48">
      <c r="A48" s="3" t="s">
        <v>786</v>
      </c>
      <c r="B48" s="3" t="s">
        <v>787</v>
      </c>
      <c r="C48" s="3" t="s">
        <v>750</v>
      </c>
      <c r="D48" s="3" t="s">
        <v>788</v>
      </c>
      <c r="E48" s="4" t="s">
        <v>176</v>
      </c>
      <c r="F48" s="5"/>
      <c r="G48" s="5"/>
      <c r="H48" s="5"/>
      <c r="I48" s="5"/>
      <c r="J48" s="5"/>
      <c r="K48" s="5"/>
      <c r="L48" s="5"/>
      <c r="M48" s="5"/>
      <c r="N48" s="5"/>
      <c r="O48" s="5"/>
      <c r="P48" s="5"/>
      <c r="Q48" s="5"/>
      <c r="R48" s="5"/>
      <c r="S48" s="5"/>
      <c r="T48" s="5"/>
      <c r="U48" s="5"/>
      <c r="V48" s="5"/>
      <c r="W48" s="5"/>
    </row>
    <row r="49">
      <c r="A49" s="3" t="s">
        <v>789</v>
      </c>
      <c r="B49" s="3" t="s">
        <v>790</v>
      </c>
      <c r="C49" s="3" t="s">
        <v>754</v>
      </c>
      <c r="D49" s="3" t="s">
        <v>791</v>
      </c>
      <c r="E49" s="4" t="s">
        <v>176</v>
      </c>
      <c r="F49" s="5"/>
      <c r="G49" s="5"/>
      <c r="H49" s="5"/>
      <c r="I49" s="5"/>
      <c r="J49" s="5"/>
      <c r="K49" s="5"/>
      <c r="L49" s="5"/>
      <c r="M49" s="5"/>
      <c r="N49" s="5"/>
      <c r="O49" s="5"/>
      <c r="P49" s="5"/>
      <c r="Q49" s="5"/>
      <c r="R49" s="5"/>
      <c r="S49" s="5"/>
      <c r="T49" s="5"/>
      <c r="U49" s="5"/>
      <c r="V49" s="5"/>
      <c r="W49" s="5"/>
    </row>
    <row r="50">
      <c r="A50" s="3" t="s">
        <v>792</v>
      </c>
      <c r="B50" s="3" t="s">
        <v>793</v>
      </c>
      <c r="C50" s="3" t="s">
        <v>750</v>
      </c>
      <c r="D50" s="3" t="s">
        <v>794</v>
      </c>
      <c r="E50" s="4" t="s">
        <v>176</v>
      </c>
      <c r="F50" s="5"/>
      <c r="G50" s="5"/>
      <c r="H50" s="5"/>
      <c r="I50" s="5"/>
      <c r="J50" s="5"/>
      <c r="K50" s="5"/>
      <c r="L50" s="5"/>
      <c r="M50" s="5"/>
      <c r="N50" s="5"/>
      <c r="O50" s="5"/>
      <c r="P50" s="5"/>
      <c r="Q50" s="5"/>
      <c r="R50" s="5"/>
      <c r="S50" s="5"/>
      <c r="T50" s="5"/>
      <c r="U50" s="5"/>
      <c r="V50" s="5"/>
      <c r="W50" s="5"/>
    </row>
    <row r="51">
      <c r="A51" s="3" t="s">
        <v>795</v>
      </c>
      <c r="B51" s="3" t="s">
        <v>796</v>
      </c>
      <c r="C51" s="3" t="s">
        <v>754</v>
      </c>
      <c r="D51" s="3" t="s">
        <v>797</v>
      </c>
      <c r="E51" s="4" t="s">
        <v>176</v>
      </c>
      <c r="F51" s="5"/>
      <c r="G51" s="5"/>
      <c r="H51" s="5"/>
      <c r="I51" s="5"/>
      <c r="J51" s="5"/>
      <c r="K51" s="5"/>
      <c r="L51" s="5"/>
      <c r="M51" s="5"/>
      <c r="N51" s="5"/>
      <c r="O51" s="5"/>
      <c r="P51" s="5"/>
      <c r="Q51" s="5"/>
      <c r="R51" s="5"/>
      <c r="S51" s="5"/>
      <c r="T51" s="5"/>
      <c r="U51" s="5"/>
      <c r="V51" s="5"/>
      <c r="W51" s="5"/>
    </row>
    <row r="52">
      <c r="A52" s="3" t="s">
        <v>798</v>
      </c>
      <c r="B52" s="3" t="s">
        <v>982</v>
      </c>
      <c r="C52" s="3" t="s">
        <v>800</v>
      </c>
      <c r="D52" s="3" t="s">
        <v>801</v>
      </c>
      <c r="E52" s="4" t="s">
        <v>176</v>
      </c>
      <c r="F52" s="5"/>
      <c r="G52" s="5"/>
      <c r="H52" s="5"/>
      <c r="I52" s="5"/>
      <c r="J52" s="5"/>
      <c r="K52" s="5"/>
      <c r="L52" s="5"/>
      <c r="M52" s="5"/>
      <c r="N52" s="5"/>
      <c r="O52" s="5"/>
      <c r="P52" s="5"/>
      <c r="Q52" s="5"/>
      <c r="R52" s="5"/>
      <c r="S52" s="5"/>
      <c r="T52" s="5"/>
      <c r="U52" s="5"/>
      <c r="V52" s="5"/>
      <c r="W52" s="5"/>
    </row>
    <row r="53">
      <c r="A53" s="3" t="s">
        <v>802</v>
      </c>
      <c r="B53" s="3" t="s">
        <v>803</v>
      </c>
      <c r="C53" s="3" t="s">
        <v>804</v>
      </c>
      <c r="D53" s="3" t="s">
        <v>805</v>
      </c>
      <c r="E53" s="4" t="s">
        <v>176</v>
      </c>
      <c r="F53" s="5"/>
      <c r="G53" s="5"/>
      <c r="H53" s="5"/>
      <c r="I53" s="5"/>
      <c r="J53" s="5"/>
      <c r="K53" s="5"/>
      <c r="L53" s="5"/>
      <c r="M53" s="5"/>
      <c r="N53" s="5"/>
      <c r="O53" s="5"/>
      <c r="P53" s="5"/>
      <c r="Q53" s="5"/>
      <c r="R53" s="5"/>
      <c r="S53" s="5"/>
      <c r="T53" s="5"/>
      <c r="U53" s="5"/>
      <c r="V53" s="5"/>
      <c r="W53" s="5"/>
    </row>
    <row r="54">
      <c r="A54" s="3" t="s">
        <v>983</v>
      </c>
      <c r="B54" s="3" t="s">
        <v>807</v>
      </c>
      <c r="C54" s="3" t="s">
        <v>800</v>
      </c>
      <c r="D54" s="3" t="s">
        <v>801</v>
      </c>
      <c r="E54" s="4" t="s">
        <v>176</v>
      </c>
      <c r="F54" s="5"/>
      <c r="G54" s="5"/>
      <c r="H54" s="5"/>
      <c r="I54" s="5"/>
      <c r="J54" s="5"/>
      <c r="K54" s="5"/>
      <c r="L54" s="5"/>
      <c r="M54" s="5"/>
      <c r="N54" s="5"/>
      <c r="O54" s="5"/>
      <c r="P54" s="5"/>
      <c r="Q54" s="5"/>
      <c r="R54" s="5"/>
      <c r="S54" s="5"/>
      <c r="T54" s="5"/>
      <c r="U54" s="5"/>
      <c r="V54" s="5"/>
      <c r="W54" s="5"/>
    </row>
    <row r="55">
      <c r="A55" s="3" t="s">
        <v>808</v>
      </c>
      <c r="B55" s="3" t="s">
        <v>984</v>
      </c>
      <c r="C55" s="3" t="s">
        <v>800</v>
      </c>
      <c r="D55" s="3" t="s">
        <v>810</v>
      </c>
      <c r="E55" s="4" t="s">
        <v>176</v>
      </c>
      <c r="F55" s="5"/>
      <c r="G55" s="5"/>
      <c r="H55" s="5"/>
      <c r="I55" s="5"/>
      <c r="J55" s="5"/>
      <c r="K55" s="5"/>
      <c r="L55" s="5"/>
      <c r="M55" s="5"/>
      <c r="N55" s="5"/>
      <c r="O55" s="5"/>
      <c r="P55" s="5"/>
      <c r="Q55" s="5"/>
      <c r="R55" s="5"/>
      <c r="S55" s="5"/>
      <c r="T55" s="5"/>
      <c r="U55" s="5"/>
      <c r="V55" s="5"/>
      <c r="W55" s="5"/>
    </row>
    <row r="56">
      <c r="A56" s="3" t="s">
        <v>985</v>
      </c>
      <c r="B56" s="3" t="s">
        <v>986</v>
      </c>
      <c r="C56" s="3" t="s">
        <v>800</v>
      </c>
      <c r="D56" s="3" t="s">
        <v>801</v>
      </c>
      <c r="E56" s="4" t="s">
        <v>176</v>
      </c>
      <c r="F56" s="5"/>
      <c r="G56" s="5"/>
      <c r="H56" s="5"/>
      <c r="I56" s="5"/>
      <c r="J56" s="5"/>
      <c r="K56" s="5"/>
      <c r="L56" s="5"/>
      <c r="M56" s="5"/>
      <c r="N56" s="5"/>
      <c r="O56" s="5"/>
      <c r="P56" s="5"/>
      <c r="Q56" s="5"/>
      <c r="R56" s="5"/>
      <c r="S56" s="5"/>
      <c r="T56" s="5"/>
      <c r="U56" s="5"/>
      <c r="V56" s="5"/>
      <c r="W56" s="5"/>
    </row>
    <row r="57">
      <c r="A57" s="3" t="s">
        <v>811</v>
      </c>
      <c r="B57" s="3" t="s">
        <v>812</v>
      </c>
      <c r="C57" s="3" t="s">
        <v>804</v>
      </c>
      <c r="D57" s="3" t="s">
        <v>813</v>
      </c>
      <c r="E57" s="4" t="s">
        <v>176</v>
      </c>
      <c r="F57" s="5"/>
      <c r="G57" s="5"/>
      <c r="H57" s="5"/>
      <c r="I57" s="5"/>
      <c r="J57" s="5"/>
      <c r="K57" s="5"/>
      <c r="L57" s="5"/>
      <c r="M57" s="5"/>
      <c r="N57" s="5"/>
      <c r="O57" s="5"/>
      <c r="P57" s="5"/>
      <c r="Q57" s="5"/>
      <c r="R57" s="5"/>
      <c r="S57" s="5"/>
      <c r="T57" s="5"/>
      <c r="U57" s="5"/>
      <c r="V57" s="5"/>
      <c r="W57" s="5"/>
    </row>
    <row r="58">
      <c r="A58" s="3" t="s">
        <v>814</v>
      </c>
      <c r="B58" s="3" t="s">
        <v>815</v>
      </c>
      <c r="C58" s="3" t="s">
        <v>816</v>
      </c>
      <c r="D58" s="3" t="s">
        <v>817</v>
      </c>
      <c r="E58" s="4" t="s">
        <v>176</v>
      </c>
      <c r="F58" s="5"/>
      <c r="G58" s="5"/>
      <c r="H58" s="5"/>
      <c r="I58" s="5"/>
      <c r="J58" s="5"/>
      <c r="K58" s="5"/>
      <c r="L58" s="5"/>
      <c r="M58" s="5"/>
      <c r="N58" s="5"/>
      <c r="O58" s="5"/>
      <c r="P58" s="5"/>
      <c r="Q58" s="5"/>
      <c r="R58" s="5"/>
      <c r="S58" s="5"/>
      <c r="T58" s="5"/>
      <c r="U58" s="5"/>
      <c r="V58" s="5"/>
      <c r="W58" s="5"/>
    </row>
    <row r="59">
      <c r="A59" s="3" t="s">
        <v>818</v>
      </c>
      <c r="B59" s="3" t="s">
        <v>819</v>
      </c>
      <c r="C59" s="3" t="s">
        <v>820</v>
      </c>
      <c r="D59" s="3" t="s">
        <v>821</v>
      </c>
      <c r="E59" s="4" t="s">
        <v>176</v>
      </c>
      <c r="F59" s="5"/>
      <c r="G59" s="5"/>
      <c r="H59" s="5"/>
      <c r="I59" s="5"/>
      <c r="J59" s="5"/>
      <c r="K59" s="5"/>
      <c r="L59" s="5"/>
      <c r="M59" s="5"/>
      <c r="N59" s="5"/>
      <c r="O59" s="5"/>
      <c r="P59" s="5"/>
      <c r="Q59" s="5"/>
      <c r="R59" s="5"/>
      <c r="S59" s="5"/>
      <c r="T59" s="5"/>
      <c r="U59" s="5"/>
      <c r="V59" s="5"/>
      <c r="W59" s="5"/>
    </row>
    <row r="60">
      <c r="A60" s="3" t="s">
        <v>822</v>
      </c>
      <c r="B60" s="3" t="s">
        <v>823</v>
      </c>
      <c r="C60" s="3" t="s">
        <v>816</v>
      </c>
      <c r="D60" s="3" t="s">
        <v>824</v>
      </c>
      <c r="E60" s="4" t="s">
        <v>176</v>
      </c>
      <c r="F60" s="5"/>
      <c r="G60" s="5"/>
      <c r="H60" s="5"/>
      <c r="I60" s="5"/>
      <c r="J60" s="5"/>
      <c r="K60" s="5"/>
      <c r="L60" s="5"/>
      <c r="M60" s="5"/>
      <c r="N60" s="5"/>
      <c r="O60" s="5"/>
      <c r="P60" s="5"/>
      <c r="Q60" s="5"/>
      <c r="R60" s="5"/>
      <c r="S60" s="5"/>
      <c r="T60" s="5"/>
      <c r="U60" s="5"/>
      <c r="V60" s="5"/>
      <c r="W60" s="5"/>
    </row>
    <row r="61">
      <c r="A61" s="3" t="s">
        <v>825</v>
      </c>
      <c r="B61" s="3" t="s">
        <v>826</v>
      </c>
      <c r="C61" s="3" t="s">
        <v>827</v>
      </c>
      <c r="D61" s="3" t="s">
        <v>828</v>
      </c>
      <c r="E61" s="4" t="s">
        <v>176</v>
      </c>
      <c r="F61" s="5"/>
      <c r="G61" s="5"/>
      <c r="H61" s="5"/>
      <c r="I61" s="5"/>
      <c r="J61" s="5"/>
      <c r="K61" s="5"/>
      <c r="L61" s="5"/>
      <c r="M61" s="5"/>
      <c r="N61" s="5"/>
      <c r="O61" s="5"/>
      <c r="P61" s="5"/>
      <c r="Q61" s="5"/>
      <c r="R61" s="5"/>
      <c r="S61" s="5"/>
      <c r="T61" s="5"/>
      <c r="U61" s="5"/>
      <c r="V61" s="5"/>
      <c r="W61" s="5"/>
    </row>
    <row r="62">
      <c r="A62" s="3" t="s">
        <v>829</v>
      </c>
      <c r="B62" s="3" t="s">
        <v>830</v>
      </c>
      <c r="C62" s="3" t="s">
        <v>816</v>
      </c>
      <c r="D62" s="3" t="s">
        <v>831</v>
      </c>
      <c r="E62" s="4" t="s">
        <v>176</v>
      </c>
      <c r="F62" s="5"/>
      <c r="G62" s="5"/>
      <c r="H62" s="5"/>
      <c r="I62" s="5"/>
      <c r="J62" s="5"/>
      <c r="K62" s="5"/>
      <c r="L62" s="5"/>
      <c r="M62" s="5"/>
      <c r="N62" s="5"/>
      <c r="O62" s="5"/>
      <c r="P62" s="5"/>
      <c r="Q62" s="5"/>
      <c r="R62" s="5"/>
      <c r="S62" s="5"/>
      <c r="T62" s="5"/>
      <c r="U62" s="5"/>
      <c r="V62" s="5"/>
      <c r="W62" s="5"/>
    </row>
    <row r="63">
      <c r="A63" s="3" t="s">
        <v>832</v>
      </c>
      <c r="B63" s="3" t="s">
        <v>833</v>
      </c>
      <c r="C63" s="3" t="s">
        <v>834</v>
      </c>
      <c r="D63" s="3" t="s">
        <v>835</v>
      </c>
      <c r="E63" s="4" t="s">
        <v>176</v>
      </c>
      <c r="F63" s="5"/>
      <c r="G63" s="5"/>
      <c r="H63" s="5"/>
      <c r="I63" s="5"/>
      <c r="J63" s="5"/>
      <c r="K63" s="5"/>
      <c r="L63" s="5"/>
      <c r="M63" s="5"/>
      <c r="N63" s="5"/>
      <c r="O63" s="5"/>
      <c r="P63" s="5"/>
      <c r="Q63" s="5"/>
      <c r="R63" s="5"/>
      <c r="S63" s="5"/>
      <c r="T63" s="5"/>
      <c r="U63" s="5"/>
      <c r="V63" s="5"/>
      <c r="W63" s="5"/>
    </row>
    <row r="64">
      <c r="A64" s="3" t="s">
        <v>836</v>
      </c>
      <c r="B64" s="3" t="s">
        <v>837</v>
      </c>
      <c r="C64" s="3" t="s">
        <v>838</v>
      </c>
      <c r="D64" s="3" t="s">
        <v>839</v>
      </c>
      <c r="E64" s="4" t="s">
        <v>176</v>
      </c>
      <c r="F64" s="5"/>
      <c r="G64" s="5"/>
      <c r="H64" s="5"/>
      <c r="I64" s="5"/>
      <c r="J64" s="5"/>
      <c r="K64" s="5"/>
      <c r="L64" s="5"/>
      <c r="M64" s="5"/>
      <c r="N64" s="5"/>
      <c r="O64" s="5"/>
      <c r="P64" s="5"/>
      <c r="Q64" s="5"/>
      <c r="R64" s="5"/>
      <c r="S64" s="5"/>
      <c r="T64" s="5"/>
      <c r="U64" s="5"/>
      <c r="V64" s="5"/>
      <c r="W64" s="5"/>
    </row>
    <row r="65">
      <c r="A65" s="3" t="s">
        <v>840</v>
      </c>
      <c r="B65" s="3" t="s">
        <v>841</v>
      </c>
      <c r="C65" s="3" t="s">
        <v>842</v>
      </c>
      <c r="D65" s="3" t="s">
        <v>843</v>
      </c>
      <c r="E65" s="4" t="s">
        <v>176</v>
      </c>
      <c r="F65" s="5"/>
      <c r="G65" s="5"/>
      <c r="H65" s="5"/>
      <c r="I65" s="5"/>
      <c r="J65" s="5"/>
      <c r="K65" s="5"/>
      <c r="L65" s="5"/>
      <c r="M65" s="5"/>
      <c r="N65" s="5"/>
      <c r="O65" s="5"/>
      <c r="P65" s="5"/>
      <c r="Q65" s="5"/>
      <c r="R65" s="5"/>
      <c r="S65" s="5"/>
      <c r="T65" s="5"/>
      <c r="U65" s="5"/>
      <c r="V65" s="5"/>
      <c r="W65" s="5"/>
    </row>
    <row r="66">
      <c r="A66" s="3" t="s">
        <v>844</v>
      </c>
      <c r="B66" s="3" t="s">
        <v>845</v>
      </c>
      <c r="C66" s="3" t="s">
        <v>846</v>
      </c>
      <c r="D66" s="3" t="s">
        <v>847</v>
      </c>
      <c r="E66" s="4" t="s">
        <v>176</v>
      </c>
      <c r="F66" s="5"/>
      <c r="G66" s="5"/>
      <c r="H66" s="5"/>
      <c r="I66" s="5"/>
      <c r="J66" s="5"/>
      <c r="K66" s="5"/>
      <c r="L66" s="5"/>
      <c r="M66" s="5"/>
      <c r="N66" s="5"/>
      <c r="O66" s="5"/>
      <c r="P66" s="5"/>
      <c r="Q66" s="5"/>
      <c r="R66" s="5"/>
      <c r="S66" s="5"/>
      <c r="T66" s="5"/>
      <c r="U66" s="5"/>
      <c r="V66" s="5"/>
      <c r="W66" s="5"/>
    </row>
    <row r="67">
      <c r="A67" s="3" t="s">
        <v>848</v>
      </c>
      <c r="B67" s="3" t="s">
        <v>849</v>
      </c>
      <c r="C67" s="3" t="s">
        <v>850</v>
      </c>
      <c r="D67" s="3" t="s">
        <v>851</v>
      </c>
      <c r="E67" s="4" t="s">
        <v>176</v>
      </c>
      <c r="F67" s="5"/>
      <c r="G67" s="5"/>
      <c r="H67" s="5"/>
      <c r="I67" s="5"/>
      <c r="J67" s="5"/>
      <c r="K67" s="5"/>
      <c r="L67" s="5"/>
      <c r="M67" s="5"/>
      <c r="N67" s="5"/>
      <c r="O67" s="5"/>
      <c r="P67" s="5"/>
      <c r="Q67" s="5"/>
      <c r="R67" s="5"/>
      <c r="S67" s="5"/>
      <c r="T67" s="5"/>
      <c r="U67" s="5"/>
      <c r="V67" s="5"/>
      <c r="W67" s="5"/>
    </row>
    <row r="68">
      <c r="A68" s="3" t="s">
        <v>852</v>
      </c>
      <c r="B68" s="3" t="s">
        <v>853</v>
      </c>
      <c r="C68" s="3" t="s">
        <v>854</v>
      </c>
      <c r="D68" s="3" t="s">
        <v>855</v>
      </c>
      <c r="E68" s="4" t="s">
        <v>176</v>
      </c>
      <c r="F68" s="5"/>
      <c r="G68" s="5"/>
      <c r="H68" s="5"/>
      <c r="I68" s="5"/>
      <c r="J68" s="5"/>
      <c r="K68" s="5"/>
      <c r="L68" s="5"/>
      <c r="M68" s="5"/>
      <c r="N68" s="5"/>
      <c r="O68" s="5"/>
      <c r="P68" s="5"/>
      <c r="Q68" s="5"/>
      <c r="R68" s="5"/>
      <c r="S68" s="5"/>
      <c r="T68" s="5"/>
      <c r="U68" s="5"/>
      <c r="V68" s="5"/>
      <c r="W68" s="5"/>
    </row>
    <row r="69">
      <c r="A69" s="3" t="s">
        <v>856</v>
      </c>
      <c r="B69" s="3" t="s">
        <v>857</v>
      </c>
      <c r="C69" s="3" t="s">
        <v>858</v>
      </c>
      <c r="D69" s="3" t="s">
        <v>859</v>
      </c>
      <c r="E69" s="4" t="s">
        <v>176</v>
      </c>
      <c r="F69" s="5"/>
      <c r="G69" s="5"/>
      <c r="H69" s="5"/>
      <c r="I69" s="5"/>
      <c r="J69" s="5"/>
      <c r="K69" s="5"/>
      <c r="L69" s="5"/>
      <c r="M69" s="5"/>
      <c r="N69" s="5"/>
      <c r="O69" s="5"/>
      <c r="P69" s="5"/>
      <c r="Q69" s="5"/>
      <c r="R69" s="5"/>
      <c r="S69" s="5"/>
      <c r="T69" s="5"/>
      <c r="U69" s="5"/>
      <c r="V69" s="5"/>
      <c r="W69" s="5"/>
    </row>
    <row r="70">
      <c r="A70" s="3" t="s">
        <v>860</v>
      </c>
      <c r="B70" s="3" t="s">
        <v>861</v>
      </c>
      <c r="C70" s="3" t="s">
        <v>862</v>
      </c>
      <c r="D70" s="3" t="s">
        <v>863</v>
      </c>
      <c r="E70" s="4" t="s">
        <v>176</v>
      </c>
      <c r="F70" s="5"/>
      <c r="G70" s="5"/>
      <c r="H70" s="5"/>
      <c r="I70" s="5"/>
      <c r="J70" s="5"/>
      <c r="K70" s="5"/>
      <c r="L70" s="5"/>
      <c r="M70" s="5"/>
      <c r="N70" s="5"/>
      <c r="O70" s="5"/>
      <c r="P70" s="5"/>
      <c r="Q70" s="5"/>
      <c r="R70" s="5"/>
      <c r="S70" s="5"/>
      <c r="T70" s="5"/>
      <c r="U70" s="5"/>
      <c r="V70" s="5"/>
      <c r="W70" s="5"/>
    </row>
    <row r="71">
      <c r="A71" s="3" t="s">
        <v>864</v>
      </c>
      <c r="B71" s="3" t="s">
        <v>865</v>
      </c>
      <c r="C71" s="3" t="s">
        <v>866</v>
      </c>
      <c r="D71" s="3" t="s">
        <v>867</v>
      </c>
      <c r="E71" s="4" t="s">
        <v>176</v>
      </c>
      <c r="F71" s="5"/>
      <c r="G71" s="5"/>
      <c r="H71" s="5"/>
      <c r="I71" s="5"/>
      <c r="J71" s="5"/>
      <c r="K71" s="5"/>
      <c r="L71" s="5"/>
      <c r="M71" s="5"/>
      <c r="N71" s="5"/>
      <c r="O71" s="5"/>
      <c r="P71" s="5"/>
      <c r="Q71" s="5"/>
      <c r="R71" s="5"/>
      <c r="S71" s="5"/>
      <c r="T71" s="5"/>
      <c r="U71" s="5"/>
      <c r="V71" s="5"/>
      <c r="W71" s="5"/>
    </row>
    <row r="72">
      <c r="A72" s="3" t="s">
        <v>868</v>
      </c>
      <c r="B72" s="3" t="s">
        <v>869</v>
      </c>
      <c r="C72" s="3" t="s">
        <v>870</v>
      </c>
      <c r="D72" s="3" t="s">
        <v>871</v>
      </c>
      <c r="E72" s="4" t="s">
        <v>176</v>
      </c>
      <c r="F72" s="5"/>
      <c r="G72" s="5"/>
      <c r="H72" s="5"/>
      <c r="I72" s="5"/>
      <c r="J72" s="5"/>
      <c r="K72" s="5"/>
      <c r="L72" s="5"/>
      <c r="M72" s="5"/>
      <c r="N72" s="5"/>
      <c r="O72" s="5"/>
      <c r="P72" s="5"/>
      <c r="Q72" s="5"/>
      <c r="R72" s="5"/>
      <c r="S72" s="5"/>
      <c r="T72" s="5"/>
      <c r="U72" s="5"/>
      <c r="V72" s="5"/>
      <c r="W72" s="5"/>
    </row>
    <row r="73">
      <c r="A73" s="3" t="s">
        <v>872</v>
      </c>
      <c r="B73" s="3" t="s">
        <v>873</v>
      </c>
      <c r="C73" s="3" t="s">
        <v>874</v>
      </c>
      <c r="D73" s="3" t="s">
        <v>875</v>
      </c>
      <c r="E73" s="4" t="s">
        <v>176</v>
      </c>
      <c r="F73" s="5"/>
      <c r="G73" s="5"/>
      <c r="H73" s="5"/>
      <c r="I73" s="5"/>
      <c r="J73" s="5"/>
      <c r="K73" s="5"/>
      <c r="L73" s="5"/>
      <c r="M73" s="5"/>
      <c r="N73" s="5"/>
      <c r="O73" s="5"/>
      <c r="P73" s="5"/>
      <c r="Q73" s="5"/>
      <c r="R73" s="5"/>
      <c r="S73" s="5"/>
      <c r="T73" s="5"/>
      <c r="U73" s="5"/>
      <c r="V73" s="5"/>
      <c r="W73" s="5"/>
    </row>
    <row r="74">
      <c r="A74" s="3" t="s">
        <v>876</v>
      </c>
      <c r="B74" s="3" t="s">
        <v>877</v>
      </c>
      <c r="C74" s="3" t="s">
        <v>878</v>
      </c>
      <c r="D74" s="3" t="s">
        <v>879</v>
      </c>
      <c r="E74" s="4" t="s">
        <v>176</v>
      </c>
      <c r="F74" s="5"/>
      <c r="G74" s="5"/>
      <c r="H74" s="5"/>
      <c r="I74" s="5"/>
      <c r="J74" s="5"/>
      <c r="K74" s="5"/>
      <c r="L74" s="5"/>
      <c r="M74" s="5"/>
      <c r="N74" s="5"/>
      <c r="O74" s="5"/>
      <c r="P74" s="5"/>
      <c r="Q74" s="5"/>
      <c r="R74" s="5"/>
      <c r="S74" s="5"/>
      <c r="T74" s="5"/>
      <c r="U74" s="5"/>
      <c r="V74" s="5"/>
      <c r="W74" s="5"/>
    </row>
    <row r="75">
      <c r="A75" s="3" t="s">
        <v>880</v>
      </c>
      <c r="B75" s="3" t="s">
        <v>881</v>
      </c>
      <c r="C75" s="3" t="s">
        <v>882</v>
      </c>
      <c r="D75" s="3" t="s">
        <v>883</v>
      </c>
      <c r="E75" s="4" t="s">
        <v>176</v>
      </c>
      <c r="F75" s="5"/>
      <c r="G75" s="5"/>
      <c r="H75" s="5"/>
      <c r="I75" s="5"/>
      <c r="J75" s="5"/>
      <c r="K75" s="5"/>
      <c r="L75" s="5"/>
      <c r="M75" s="5"/>
      <c r="N75" s="5"/>
      <c r="O75" s="5"/>
      <c r="P75" s="5"/>
      <c r="Q75" s="5"/>
      <c r="R75" s="5"/>
      <c r="S75" s="5"/>
      <c r="T75" s="5"/>
      <c r="U75" s="5"/>
      <c r="V75" s="5"/>
      <c r="W75" s="5"/>
    </row>
    <row r="76">
      <c r="A76" s="3" t="s">
        <v>884</v>
      </c>
      <c r="B76" s="3" t="s">
        <v>885</v>
      </c>
      <c r="C76" s="3" t="s">
        <v>878</v>
      </c>
      <c r="D76" s="3" t="s">
        <v>886</v>
      </c>
      <c r="E76" s="4" t="s">
        <v>176</v>
      </c>
      <c r="F76" s="5"/>
      <c r="G76" s="5"/>
      <c r="H76" s="5"/>
      <c r="I76" s="5"/>
      <c r="J76" s="5"/>
      <c r="K76" s="5"/>
      <c r="L76" s="5"/>
      <c r="M76" s="5"/>
      <c r="N76" s="5"/>
      <c r="O76" s="5"/>
      <c r="P76" s="5"/>
      <c r="Q76" s="5"/>
      <c r="R76" s="5"/>
      <c r="S76" s="5"/>
      <c r="T76" s="5"/>
      <c r="U76" s="5"/>
      <c r="V76" s="5"/>
      <c r="W76" s="5"/>
    </row>
    <row r="77">
      <c r="A77" s="3" t="s">
        <v>887</v>
      </c>
      <c r="B77" s="3" t="s">
        <v>888</v>
      </c>
      <c r="C77" s="3" t="s">
        <v>882</v>
      </c>
      <c r="D77" s="3" t="s">
        <v>889</v>
      </c>
      <c r="E77" s="4" t="s">
        <v>176</v>
      </c>
      <c r="F77" s="5"/>
      <c r="G77" s="5"/>
      <c r="H77" s="5"/>
      <c r="I77" s="5"/>
      <c r="J77" s="5"/>
      <c r="K77" s="5"/>
      <c r="L77" s="5"/>
      <c r="M77" s="5"/>
      <c r="N77" s="5"/>
      <c r="O77" s="5"/>
      <c r="P77" s="5"/>
      <c r="Q77" s="5"/>
      <c r="R77" s="5"/>
      <c r="S77" s="5"/>
      <c r="T77" s="5"/>
      <c r="U77" s="5"/>
      <c r="V77" s="5"/>
      <c r="W77" s="5"/>
    </row>
    <row r="78">
      <c r="A78" s="3" t="s">
        <v>890</v>
      </c>
      <c r="B78" s="3" t="s">
        <v>891</v>
      </c>
      <c r="C78" s="3" t="s">
        <v>878</v>
      </c>
      <c r="D78" s="3" t="s">
        <v>892</v>
      </c>
      <c r="E78" s="4" t="s">
        <v>176</v>
      </c>
      <c r="F78" s="5"/>
      <c r="G78" s="5"/>
      <c r="H78" s="5"/>
      <c r="I78" s="5"/>
      <c r="J78" s="5"/>
      <c r="K78" s="5"/>
      <c r="L78" s="5"/>
      <c r="M78" s="5"/>
      <c r="N78" s="5"/>
      <c r="O78" s="5"/>
      <c r="P78" s="5"/>
      <c r="Q78" s="5"/>
      <c r="R78" s="5"/>
      <c r="S78" s="5"/>
      <c r="T78" s="5"/>
      <c r="U78" s="5"/>
      <c r="V78" s="5"/>
      <c r="W78" s="5"/>
    </row>
    <row r="79">
      <c r="A79" s="3" t="s">
        <v>893</v>
      </c>
      <c r="B79" s="3" t="s">
        <v>894</v>
      </c>
      <c r="C79" s="3" t="s">
        <v>878</v>
      </c>
      <c r="D79" s="3" t="s">
        <v>895</v>
      </c>
      <c r="E79" s="4" t="s">
        <v>176</v>
      </c>
      <c r="F79" s="5"/>
      <c r="G79" s="5"/>
      <c r="H79" s="5"/>
      <c r="I79" s="5"/>
      <c r="J79" s="5"/>
      <c r="K79" s="5"/>
      <c r="L79" s="5"/>
      <c r="M79" s="5"/>
      <c r="N79" s="5"/>
      <c r="O79" s="5"/>
      <c r="P79" s="5"/>
      <c r="Q79" s="5"/>
      <c r="R79" s="5"/>
      <c r="S79" s="5"/>
      <c r="T79" s="5"/>
      <c r="U79" s="5"/>
      <c r="V79" s="5"/>
      <c r="W79" s="5"/>
    </row>
    <row r="80">
      <c r="A80" s="3" t="s">
        <v>896</v>
      </c>
      <c r="B80" s="3" t="s">
        <v>897</v>
      </c>
      <c r="C80" s="3" t="s">
        <v>878</v>
      </c>
      <c r="D80" s="3" t="s">
        <v>898</v>
      </c>
      <c r="E80" s="4" t="s">
        <v>176</v>
      </c>
      <c r="F80" s="5"/>
      <c r="G80" s="5"/>
      <c r="H80" s="5"/>
      <c r="I80" s="5"/>
      <c r="J80" s="5"/>
      <c r="K80" s="5"/>
      <c r="L80" s="5"/>
      <c r="M80" s="5"/>
      <c r="N80" s="5"/>
      <c r="O80" s="5"/>
      <c r="P80" s="5"/>
      <c r="Q80" s="5"/>
      <c r="R80" s="5"/>
      <c r="S80" s="5"/>
      <c r="T80" s="5"/>
      <c r="U80" s="5"/>
      <c r="V80" s="5"/>
      <c r="W80" s="5"/>
    </row>
    <row r="81">
      <c r="A81" s="3" t="s">
        <v>899</v>
      </c>
      <c r="B81" s="3" t="s">
        <v>900</v>
      </c>
      <c r="C81" s="3" t="s">
        <v>882</v>
      </c>
      <c r="D81" s="3" t="s">
        <v>901</v>
      </c>
      <c r="E81" s="4" t="s">
        <v>176</v>
      </c>
      <c r="F81" s="5"/>
      <c r="G81" s="5"/>
      <c r="H81" s="5"/>
      <c r="I81" s="5"/>
      <c r="J81" s="5"/>
      <c r="K81" s="5"/>
      <c r="L81" s="5"/>
      <c r="M81" s="5"/>
      <c r="N81" s="5"/>
      <c r="O81" s="5"/>
      <c r="P81" s="5"/>
      <c r="Q81" s="5"/>
      <c r="R81" s="5"/>
      <c r="S81" s="5"/>
      <c r="T81" s="5"/>
      <c r="U81" s="5"/>
      <c r="V81" s="5"/>
      <c r="W81" s="5"/>
    </row>
    <row r="82">
      <c r="A82" s="3" t="s">
        <v>902</v>
      </c>
      <c r="B82" s="3" t="s">
        <v>903</v>
      </c>
      <c r="C82" s="3" t="s">
        <v>882</v>
      </c>
      <c r="D82" s="3" t="s">
        <v>904</v>
      </c>
      <c r="E82" s="4" t="s">
        <v>176</v>
      </c>
      <c r="F82" s="5"/>
      <c r="G82" s="5"/>
      <c r="H82" s="5"/>
      <c r="I82" s="5"/>
      <c r="J82" s="5"/>
      <c r="K82" s="5"/>
      <c r="L82" s="5"/>
      <c r="M82" s="5"/>
      <c r="N82" s="5"/>
      <c r="O82" s="5"/>
      <c r="P82" s="5"/>
      <c r="Q82" s="5"/>
      <c r="R82" s="5"/>
      <c r="S82" s="5"/>
      <c r="T82" s="5"/>
      <c r="U82" s="5"/>
      <c r="V82" s="5"/>
      <c r="W82" s="5"/>
    </row>
    <row r="83">
      <c r="A83" s="3" t="s">
        <v>905</v>
      </c>
      <c r="B83" s="3" t="s">
        <v>906</v>
      </c>
      <c r="C83" s="3" t="s">
        <v>878</v>
      </c>
      <c r="D83" s="3" t="s">
        <v>907</v>
      </c>
      <c r="E83" s="4" t="s">
        <v>176</v>
      </c>
      <c r="F83" s="5"/>
      <c r="G83" s="5"/>
      <c r="H83" s="5"/>
      <c r="I83" s="5"/>
      <c r="J83" s="5"/>
      <c r="K83" s="5"/>
      <c r="L83" s="5"/>
      <c r="M83" s="5"/>
      <c r="N83" s="5"/>
      <c r="O83" s="5"/>
      <c r="P83" s="5"/>
      <c r="Q83" s="5"/>
      <c r="R83" s="5"/>
      <c r="S83" s="5"/>
      <c r="T83" s="5"/>
      <c r="U83" s="5"/>
      <c r="V83" s="5"/>
      <c r="W83" s="5"/>
    </row>
    <row r="84">
      <c r="A84" s="3" t="s">
        <v>908</v>
      </c>
      <c r="B84" s="3" t="s">
        <v>909</v>
      </c>
      <c r="C84" s="3" t="s">
        <v>878</v>
      </c>
      <c r="D84" s="3" t="s">
        <v>910</v>
      </c>
      <c r="E84" s="4" t="s">
        <v>176</v>
      </c>
      <c r="F84" s="5"/>
      <c r="G84" s="5"/>
      <c r="H84" s="5"/>
      <c r="I84" s="5"/>
      <c r="J84" s="5"/>
      <c r="K84" s="5"/>
      <c r="L84" s="5"/>
      <c r="M84" s="5"/>
      <c r="N84" s="5"/>
      <c r="O84" s="5"/>
      <c r="P84" s="5"/>
      <c r="Q84" s="5"/>
      <c r="R84" s="5"/>
      <c r="S84" s="5"/>
      <c r="T84" s="5"/>
      <c r="U84" s="5"/>
      <c r="V84" s="5"/>
      <c r="W84" s="5"/>
    </row>
    <row r="85">
      <c r="A85" s="3" t="s">
        <v>896</v>
      </c>
      <c r="B85" s="3" t="s">
        <v>911</v>
      </c>
      <c r="C85" s="3" t="s">
        <v>816</v>
      </c>
      <c r="D85" s="3" t="s">
        <v>912</v>
      </c>
      <c r="E85" s="4" t="s">
        <v>176</v>
      </c>
      <c r="F85" s="5"/>
      <c r="G85" s="5"/>
      <c r="H85" s="5"/>
      <c r="I85" s="5"/>
      <c r="J85" s="5"/>
      <c r="K85" s="5"/>
      <c r="L85" s="5"/>
      <c r="M85" s="5"/>
      <c r="N85" s="5"/>
      <c r="O85" s="5"/>
      <c r="P85" s="5"/>
      <c r="Q85" s="5"/>
      <c r="R85" s="5"/>
      <c r="S85" s="5"/>
      <c r="T85" s="5"/>
      <c r="U85" s="5"/>
      <c r="V85" s="5"/>
      <c r="W85" s="5"/>
    </row>
    <row r="86">
      <c r="A86" s="3" t="s">
        <v>890</v>
      </c>
      <c r="B86" s="3" t="s">
        <v>913</v>
      </c>
      <c r="C86" s="3" t="s">
        <v>816</v>
      </c>
      <c r="D86" s="3" t="s">
        <v>914</v>
      </c>
      <c r="E86" s="4" t="s">
        <v>176</v>
      </c>
      <c r="F86" s="5"/>
      <c r="G86" s="5"/>
      <c r="H86" s="5"/>
      <c r="I86" s="5"/>
      <c r="J86" s="5"/>
      <c r="K86" s="5"/>
      <c r="L86" s="5"/>
      <c r="M86" s="5"/>
      <c r="N86" s="5"/>
      <c r="O86" s="5"/>
      <c r="P86" s="5"/>
      <c r="Q86" s="5"/>
      <c r="R86" s="5"/>
      <c r="S86" s="5"/>
      <c r="T86" s="5"/>
      <c r="U86" s="5"/>
      <c r="V86" s="5"/>
      <c r="W86" s="5"/>
    </row>
    <row r="87">
      <c r="A87" s="3" t="s">
        <v>915</v>
      </c>
      <c r="B87" s="3" t="s">
        <v>916</v>
      </c>
      <c r="C87" s="3" t="s">
        <v>917</v>
      </c>
      <c r="D87" s="3" t="s">
        <v>918</v>
      </c>
      <c r="E87" s="4" t="s">
        <v>176</v>
      </c>
      <c r="F87" s="5"/>
      <c r="G87" s="5"/>
      <c r="H87" s="5"/>
      <c r="I87" s="5"/>
      <c r="J87" s="5"/>
      <c r="K87" s="5"/>
      <c r="L87" s="5"/>
      <c r="M87" s="5"/>
      <c r="N87" s="5"/>
      <c r="O87" s="5"/>
      <c r="P87" s="5"/>
      <c r="Q87" s="5"/>
      <c r="R87" s="5"/>
      <c r="S87" s="5"/>
      <c r="T87" s="5"/>
      <c r="U87" s="5"/>
      <c r="V87" s="5"/>
      <c r="W87" s="5"/>
    </row>
    <row r="88">
      <c r="A88" s="3" t="s">
        <v>919</v>
      </c>
      <c r="B88" s="3" t="s">
        <v>920</v>
      </c>
      <c r="C88" s="3" t="s">
        <v>917</v>
      </c>
      <c r="D88" s="3" t="s">
        <v>921</v>
      </c>
      <c r="E88" s="4" t="s">
        <v>176</v>
      </c>
      <c r="F88" s="5"/>
      <c r="G88" s="5"/>
      <c r="H88" s="5"/>
      <c r="I88" s="5"/>
      <c r="J88" s="5"/>
      <c r="K88" s="5"/>
      <c r="L88" s="5"/>
      <c r="M88" s="5"/>
      <c r="N88" s="5"/>
      <c r="O88" s="5"/>
      <c r="P88" s="5"/>
      <c r="Q88" s="5"/>
      <c r="R88" s="5"/>
      <c r="S88" s="5"/>
      <c r="T88" s="5"/>
      <c r="U88" s="5"/>
      <c r="V88" s="5"/>
      <c r="W88" s="5"/>
    </row>
    <row r="89">
      <c r="A89" s="3" t="s">
        <v>922</v>
      </c>
      <c r="B89" s="3" t="s">
        <v>923</v>
      </c>
      <c r="C89" s="3" t="s">
        <v>816</v>
      </c>
      <c r="D89" s="3" t="s">
        <v>924</v>
      </c>
      <c r="E89" s="4" t="s">
        <v>176</v>
      </c>
      <c r="F89" s="5"/>
      <c r="G89" s="5"/>
      <c r="H89" s="5"/>
      <c r="I89" s="5"/>
      <c r="J89" s="5"/>
      <c r="K89" s="5"/>
      <c r="L89" s="5"/>
      <c r="M89" s="5"/>
      <c r="N89" s="5"/>
      <c r="O89" s="5"/>
      <c r="P89" s="5"/>
      <c r="Q89" s="5"/>
      <c r="R89" s="5"/>
      <c r="S89" s="5"/>
      <c r="T89" s="5"/>
      <c r="U89" s="5"/>
      <c r="V89" s="5"/>
      <c r="W89" s="5"/>
    </row>
    <row r="90">
      <c r="A90" s="3" t="s">
        <v>925</v>
      </c>
      <c r="B90" s="3" t="s">
        <v>926</v>
      </c>
      <c r="C90" s="3" t="s">
        <v>927</v>
      </c>
      <c r="D90" s="3" t="s">
        <v>928</v>
      </c>
      <c r="E90" s="4" t="s">
        <v>176</v>
      </c>
      <c r="F90" s="5"/>
      <c r="G90" s="5"/>
      <c r="H90" s="5"/>
      <c r="I90" s="5"/>
      <c r="J90" s="5"/>
      <c r="K90" s="5"/>
      <c r="L90" s="5"/>
      <c r="M90" s="5"/>
      <c r="N90" s="5"/>
      <c r="O90" s="5"/>
      <c r="P90" s="5"/>
      <c r="Q90" s="5"/>
      <c r="R90" s="5"/>
      <c r="S90" s="5"/>
      <c r="T90" s="5"/>
      <c r="U90" s="5"/>
      <c r="V90" s="5"/>
      <c r="W90" s="5"/>
    </row>
    <row r="91">
      <c r="A91" s="3" t="s">
        <v>929</v>
      </c>
      <c r="B91" s="3" t="s">
        <v>930</v>
      </c>
      <c r="C91" s="3" t="s">
        <v>931</v>
      </c>
      <c r="D91" s="3" t="s">
        <v>932</v>
      </c>
      <c r="E91" s="4" t="s">
        <v>176</v>
      </c>
      <c r="F91" s="5"/>
      <c r="G91" s="5"/>
      <c r="H91" s="5"/>
      <c r="I91" s="5"/>
      <c r="J91" s="5"/>
      <c r="K91" s="5"/>
      <c r="L91" s="5"/>
      <c r="M91" s="5"/>
      <c r="N91" s="5"/>
      <c r="O91" s="5"/>
      <c r="P91" s="5"/>
      <c r="Q91" s="5"/>
      <c r="R91" s="5"/>
      <c r="S91" s="5"/>
      <c r="T91" s="5"/>
      <c r="U91" s="5"/>
      <c r="V91" s="5"/>
      <c r="W91" s="5"/>
    </row>
    <row r="92">
      <c r="A92" s="3" t="s">
        <v>933</v>
      </c>
      <c r="B92" s="3" t="s">
        <v>934</v>
      </c>
      <c r="C92" s="3" t="s">
        <v>935</v>
      </c>
      <c r="D92" s="3" t="s">
        <v>936</v>
      </c>
      <c r="E92" s="4" t="s">
        <v>177</v>
      </c>
      <c r="F92" s="5"/>
      <c r="G92" s="5"/>
      <c r="H92" s="5"/>
      <c r="I92" s="5"/>
      <c r="J92" s="5"/>
      <c r="K92" s="5"/>
      <c r="L92" s="5"/>
      <c r="M92" s="5"/>
      <c r="N92" s="5"/>
      <c r="O92" s="5"/>
      <c r="P92" s="5"/>
      <c r="Q92" s="5"/>
      <c r="R92" s="5"/>
      <c r="S92" s="5"/>
      <c r="T92" s="5"/>
      <c r="U92" s="5"/>
      <c r="V92" s="5"/>
      <c r="W92" s="5"/>
    </row>
    <row r="93">
      <c r="A93" s="3" t="s">
        <v>937</v>
      </c>
      <c r="B93" s="3" t="s">
        <v>938</v>
      </c>
      <c r="C93" s="3" t="s">
        <v>935</v>
      </c>
      <c r="D93" s="3" t="s">
        <v>939</v>
      </c>
      <c r="E93" s="4" t="s">
        <v>177</v>
      </c>
      <c r="F93" s="5"/>
      <c r="G93" s="5"/>
      <c r="H93" s="5"/>
      <c r="I93" s="5"/>
      <c r="J93" s="5"/>
      <c r="K93" s="5"/>
      <c r="L93" s="5"/>
      <c r="M93" s="5"/>
      <c r="N93" s="5"/>
      <c r="O93" s="5"/>
      <c r="P93" s="5"/>
      <c r="Q93" s="5"/>
      <c r="R93" s="5"/>
      <c r="S93" s="5"/>
      <c r="T93" s="5"/>
      <c r="U93" s="5"/>
      <c r="V93" s="5"/>
      <c r="W93" s="5"/>
    </row>
    <row r="94">
      <c r="A94" s="3" t="s">
        <v>940</v>
      </c>
      <c r="B94" s="3" t="s">
        <v>941</v>
      </c>
      <c r="C94" s="3" t="s">
        <v>935</v>
      </c>
      <c r="D94" s="3" t="s">
        <v>942</v>
      </c>
      <c r="E94" s="4" t="s">
        <v>177</v>
      </c>
      <c r="F94" s="5"/>
      <c r="G94" s="5"/>
      <c r="H94" s="5"/>
      <c r="I94" s="5"/>
      <c r="J94" s="5"/>
      <c r="K94" s="5"/>
      <c r="L94" s="5"/>
      <c r="M94" s="5"/>
      <c r="N94" s="5"/>
      <c r="O94" s="5"/>
      <c r="P94" s="5"/>
      <c r="Q94" s="5"/>
      <c r="R94" s="5"/>
      <c r="S94" s="5"/>
      <c r="T94" s="5"/>
      <c r="U94" s="5"/>
      <c r="V94" s="5"/>
      <c r="W94" s="5"/>
    </row>
    <row r="95">
      <c r="A95" s="3" t="s">
        <v>943</v>
      </c>
      <c r="B95" s="3" t="s">
        <v>944</v>
      </c>
      <c r="C95" s="3" t="s">
        <v>935</v>
      </c>
      <c r="D95" s="3" t="s">
        <v>945</v>
      </c>
      <c r="E95" s="4" t="s">
        <v>177</v>
      </c>
      <c r="F95" s="5"/>
      <c r="G95" s="5"/>
      <c r="H95" s="5"/>
      <c r="I95" s="5"/>
      <c r="J95" s="5"/>
      <c r="K95" s="5"/>
      <c r="L95" s="5"/>
      <c r="M95" s="5"/>
      <c r="N95" s="5"/>
      <c r="O95" s="5"/>
      <c r="P95" s="5"/>
      <c r="Q95" s="5"/>
      <c r="R95" s="5"/>
      <c r="S95" s="5"/>
      <c r="T95" s="5"/>
      <c r="U95" s="5"/>
      <c r="V95" s="5"/>
      <c r="W95" s="5"/>
    </row>
    <row r="96">
      <c r="A96" s="3" t="s">
        <v>987</v>
      </c>
      <c r="B96" s="3" t="s">
        <v>988</v>
      </c>
      <c r="C96" s="3" t="s">
        <v>989</v>
      </c>
      <c r="D96" s="3" t="s">
        <v>990</v>
      </c>
      <c r="E96" s="3"/>
      <c r="F96" s="5"/>
      <c r="G96" s="5"/>
      <c r="H96" s="5"/>
      <c r="I96" s="5"/>
      <c r="J96" s="5"/>
      <c r="K96" s="5"/>
      <c r="L96" s="5"/>
      <c r="M96" s="5"/>
      <c r="N96" s="5"/>
      <c r="O96" s="5"/>
      <c r="P96" s="5"/>
      <c r="Q96" s="5"/>
      <c r="R96" s="5"/>
      <c r="S96" s="5"/>
      <c r="T96" s="5"/>
      <c r="U96" s="5"/>
      <c r="V96" s="5"/>
      <c r="W96" s="5"/>
    </row>
    <row r="97">
      <c r="A97" s="3" t="s">
        <v>991</v>
      </c>
      <c r="B97" s="3" t="s">
        <v>992</v>
      </c>
      <c r="C97" s="3" t="s">
        <v>989</v>
      </c>
      <c r="D97" s="3" t="s">
        <v>993</v>
      </c>
      <c r="E97" s="3"/>
      <c r="F97" s="5"/>
      <c r="G97" s="5"/>
      <c r="H97" s="5"/>
      <c r="I97" s="5"/>
      <c r="J97" s="5"/>
      <c r="K97" s="5"/>
      <c r="L97" s="5"/>
      <c r="M97" s="5"/>
      <c r="N97" s="5"/>
      <c r="O97" s="5"/>
      <c r="P97" s="5"/>
      <c r="Q97" s="5"/>
      <c r="R97" s="5"/>
      <c r="S97" s="5"/>
      <c r="T97" s="5"/>
      <c r="U97" s="5"/>
      <c r="V97" s="5"/>
      <c r="W97" s="5"/>
    </row>
    <row r="98">
      <c r="A98" s="3" t="s">
        <v>994</v>
      </c>
      <c r="B98" s="3" t="s">
        <v>995</v>
      </c>
      <c r="C98" s="3" t="s">
        <v>989</v>
      </c>
      <c r="D98" s="3" t="s">
        <v>996</v>
      </c>
      <c r="E98" s="3"/>
      <c r="F98" s="5"/>
      <c r="G98" s="5"/>
      <c r="H98" s="5"/>
      <c r="I98" s="5"/>
      <c r="J98" s="5"/>
      <c r="K98" s="5"/>
      <c r="L98" s="5"/>
      <c r="M98" s="5"/>
      <c r="N98" s="5"/>
      <c r="O98" s="5"/>
      <c r="P98" s="5"/>
      <c r="Q98" s="5"/>
      <c r="R98" s="5"/>
      <c r="S98" s="5"/>
      <c r="T98" s="5"/>
      <c r="U98" s="5"/>
      <c r="V98" s="5"/>
      <c r="W98" s="5"/>
    </row>
    <row r="99">
      <c r="A99" s="3" t="s">
        <v>997</v>
      </c>
      <c r="B99" s="3" t="s">
        <v>998</v>
      </c>
      <c r="C99" s="3" t="s">
        <v>989</v>
      </c>
      <c r="D99" s="3" t="s">
        <v>999</v>
      </c>
      <c r="E99" s="3"/>
      <c r="F99" s="5"/>
      <c r="G99" s="5"/>
      <c r="H99" s="5"/>
      <c r="I99" s="5"/>
      <c r="J99" s="5"/>
      <c r="K99" s="5"/>
      <c r="L99" s="5"/>
      <c r="M99" s="5"/>
      <c r="N99" s="5"/>
      <c r="O99" s="5"/>
      <c r="P99" s="5"/>
      <c r="Q99" s="5"/>
      <c r="R99" s="5"/>
      <c r="S99" s="5"/>
      <c r="T99" s="5"/>
      <c r="U99" s="5"/>
      <c r="V99" s="5"/>
      <c r="W99" s="5"/>
    </row>
    <row r="100">
      <c r="A100" s="3" t="s">
        <v>1000</v>
      </c>
      <c r="B100" s="3" t="s">
        <v>1001</v>
      </c>
      <c r="C100" s="3" t="s">
        <v>989</v>
      </c>
      <c r="D100" s="3" t="s">
        <v>1002</v>
      </c>
      <c r="E100" s="3"/>
      <c r="F100" s="5"/>
      <c r="G100" s="5"/>
      <c r="H100" s="5"/>
      <c r="I100" s="5"/>
      <c r="J100" s="5"/>
      <c r="K100" s="5"/>
      <c r="L100" s="5"/>
      <c r="M100" s="5"/>
      <c r="N100" s="5"/>
      <c r="O100" s="5"/>
      <c r="P100" s="5"/>
      <c r="Q100" s="5"/>
      <c r="R100" s="5"/>
      <c r="S100" s="5"/>
      <c r="T100" s="5"/>
      <c r="U100" s="5"/>
      <c r="V100" s="5"/>
      <c r="W100" s="5"/>
    </row>
    <row r="101">
      <c r="A101" s="3" t="s">
        <v>946</v>
      </c>
      <c r="B101" s="3" t="s">
        <v>947</v>
      </c>
      <c r="C101" s="3" t="s">
        <v>948</v>
      </c>
      <c r="D101" s="3" t="s">
        <v>949</v>
      </c>
      <c r="E101" s="3"/>
      <c r="F101" s="5"/>
      <c r="G101" s="5"/>
      <c r="H101" s="5"/>
      <c r="I101" s="5"/>
      <c r="J101" s="5"/>
      <c r="K101" s="5"/>
      <c r="L101" s="5"/>
      <c r="M101" s="5"/>
      <c r="N101" s="5"/>
      <c r="O101" s="5"/>
      <c r="P101" s="5"/>
      <c r="Q101" s="5"/>
      <c r="R101" s="5"/>
      <c r="S101" s="5"/>
      <c r="T101" s="5"/>
      <c r="U101" s="5"/>
      <c r="V101" s="5"/>
      <c r="W101" s="5"/>
    </row>
    <row r="102">
      <c r="A102" s="3"/>
      <c r="B102" s="3"/>
      <c r="C102" s="3"/>
      <c r="D102" s="3"/>
      <c r="E102" s="3"/>
      <c r="F102" s="5"/>
      <c r="G102" s="5"/>
      <c r="H102" s="5"/>
      <c r="I102" s="5"/>
      <c r="J102" s="5"/>
      <c r="K102" s="5"/>
      <c r="L102" s="5"/>
      <c r="M102" s="5"/>
      <c r="N102" s="5"/>
      <c r="O102" s="5"/>
      <c r="P102" s="5"/>
      <c r="Q102" s="5"/>
      <c r="R102" s="5"/>
      <c r="S102" s="5"/>
      <c r="T102" s="5"/>
      <c r="U102" s="5"/>
      <c r="V102" s="5"/>
      <c r="W102" s="5"/>
    </row>
    <row r="103">
      <c r="A103" s="3"/>
      <c r="B103" s="3"/>
      <c r="C103" s="3"/>
      <c r="D103" s="3"/>
      <c r="E103" s="3"/>
      <c r="F103" s="5"/>
      <c r="G103" s="5"/>
      <c r="H103" s="5"/>
      <c r="I103" s="5"/>
      <c r="J103" s="5"/>
      <c r="K103" s="5"/>
      <c r="L103" s="5"/>
      <c r="M103" s="5"/>
      <c r="N103" s="5"/>
      <c r="O103" s="5"/>
      <c r="P103" s="5"/>
      <c r="Q103" s="5"/>
      <c r="R103" s="5"/>
      <c r="S103" s="5"/>
      <c r="T103" s="5"/>
      <c r="U103" s="5"/>
      <c r="V103" s="5"/>
      <c r="W103" s="5"/>
    </row>
    <row r="104">
      <c r="A104" s="3"/>
      <c r="B104" s="3"/>
      <c r="C104" s="3"/>
      <c r="D104" s="3"/>
      <c r="E104" s="3"/>
      <c r="F104" s="5"/>
      <c r="G104" s="5"/>
      <c r="H104" s="5"/>
      <c r="I104" s="5"/>
      <c r="J104" s="5"/>
      <c r="K104" s="5"/>
      <c r="L104" s="5"/>
      <c r="M104" s="5"/>
      <c r="N104" s="5"/>
      <c r="O104" s="5"/>
      <c r="P104" s="5"/>
      <c r="Q104" s="5"/>
      <c r="R104" s="5"/>
      <c r="S104" s="5"/>
      <c r="T104" s="5"/>
      <c r="U104" s="5"/>
      <c r="V104" s="5"/>
      <c r="W104" s="5"/>
    </row>
    <row r="105">
      <c r="A105" s="3"/>
      <c r="B105" s="3"/>
      <c r="C105" s="3"/>
      <c r="D105" s="3"/>
      <c r="E105" s="3"/>
      <c r="F105" s="5"/>
      <c r="G105" s="5"/>
      <c r="H105" s="5"/>
      <c r="I105" s="5"/>
      <c r="J105" s="5"/>
      <c r="K105" s="5"/>
      <c r="L105" s="5"/>
      <c r="M105" s="5"/>
      <c r="N105" s="5"/>
      <c r="O105" s="5"/>
      <c r="P105" s="5"/>
      <c r="Q105" s="5"/>
      <c r="R105" s="5"/>
      <c r="S105" s="5"/>
      <c r="T105" s="5"/>
      <c r="U105" s="5"/>
      <c r="V105" s="5"/>
      <c r="W105" s="5"/>
    </row>
    <row r="106">
      <c r="A106" s="3"/>
      <c r="B106" s="3"/>
      <c r="C106" s="3"/>
      <c r="D106" s="3"/>
      <c r="E106" s="3"/>
      <c r="F106" s="5"/>
      <c r="G106" s="5"/>
      <c r="H106" s="5"/>
      <c r="I106" s="5"/>
      <c r="J106" s="5"/>
      <c r="K106" s="5"/>
      <c r="L106" s="5"/>
      <c r="M106" s="5"/>
      <c r="N106" s="5"/>
      <c r="O106" s="5"/>
      <c r="P106" s="5"/>
      <c r="Q106" s="5"/>
      <c r="R106" s="5"/>
      <c r="S106" s="5"/>
      <c r="T106" s="5"/>
      <c r="U106" s="5"/>
      <c r="V106" s="5"/>
      <c r="W106" s="5"/>
    </row>
    <row r="107">
      <c r="A107" s="3"/>
      <c r="B107" s="3"/>
      <c r="C107" s="3"/>
      <c r="D107" s="3"/>
      <c r="E107" s="3"/>
      <c r="F107" s="3"/>
      <c r="G107" s="5"/>
      <c r="H107" s="5"/>
      <c r="I107" s="5"/>
      <c r="J107" s="5"/>
      <c r="K107" s="5"/>
      <c r="L107" s="5"/>
      <c r="M107" s="5"/>
      <c r="N107" s="5"/>
      <c r="O107" s="5"/>
      <c r="P107" s="5"/>
      <c r="Q107" s="5"/>
      <c r="R107" s="5"/>
      <c r="S107" s="5"/>
      <c r="T107" s="5"/>
      <c r="U107" s="5"/>
      <c r="V107" s="5"/>
      <c r="W107" s="5"/>
    </row>
    <row r="108">
      <c r="A108" s="3"/>
      <c r="B108" s="3"/>
      <c r="C108" s="3"/>
      <c r="D108" s="3"/>
      <c r="E108" s="3"/>
      <c r="F108" s="5"/>
      <c r="G108" s="5"/>
      <c r="H108" s="5"/>
      <c r="I108" s="5"/>
      <c r="J108" s="5"/>
      <c r="K108" s="5"/>
      <c r="L108" s="5"/>
      <c r="M108" s="5"/>
      <c r="N108" s="5"/>
      <c r="O108" s="5"/>
      <c r="P108" s="5"/>
      <c r="Q108" s="5"/>
      <c r="R108" s="5"/>
      <c r="S108" s="5"/>
      <c r="T108" s="5"/>
      <c r="U108" s="5"/>
      <c r="V108" s="5"/>
      <c r="W108" s="5"/>
    </row>
    <row r="109">
      <c r="A109" s="3"/>
      <c r="B109" s="3"/>
      <c r="C109" s="3"/>
      <c r="D109" s="3"/>
      <c r="E109" s="3"/>
      <c r="F109" s="5"/>
      <c r="G109" s="5"/>
      <c r="H109" s="5"/>
      <c r="I109" s="5"/>
      <c r="J109" s="5"/>
      <c r="K109" s="5"/>
      <c r="L109" s="5"/>
      <c r="M109" s="5"/>
      <c r="N109" s="5"/>
      <c r="O109" s="5"/>
      <c r="P109" s="5"/>
      <c r="Q109" s="5"/>
      <c r="R109" s="5"/>
      <c r="S109" s="5"/>
      <c r="T109" s="5"/>
      <c r="U109" s="5"/>
      <c r="V109" s="5"/>
      <c r="W109" s="5"/>
    </row>
    <row r="110">
      <c r="A110" s="3"/>
      <c r="B110" s="3"/>
      <c r="C110" s="3"/>
      <c r="D110" s="3"/>
      <c r="E110" s="3"/>
      <c r="F110" s="3"/>
      <c r="G110" s="5"/>
      <c r="H110" s="5"/>
      <c r="I110" s="5"/>
      <c r="J110" s="5"/>
      <c r="K110" s="5"/>
      <c r="L110" s="5"/>
      <c r="M110" s="5"/>
      <c r="N110" s="5"/>
      <c r="O110" s="5"/>
      <c r="P110" s="5"/>
      <c r="Q110" s="5"/>
      <c r="R110" s="5"/>
      <c r="S110" s="5"/>
      <c r="T110" s="5"/>
      <c r="U110" s="5"/>
      <c r="V110" s="5"/>
      <c r="W110" s="5"/>
    </row>
    <row r="111">
      <c r="A111" s="3"/>
      <c r="B111" s="3"/>
      <c r="C111" s="3"/>
      <c r="D111" s="3"/>
      <c r="E111" s="3"/>
      <c r="F111" s="5"/>
      <c r="G111" s="5"/>
      <c r="H111" s="5"/>
      <c r="I111" s="5"/>
      <c r="J111" s="5"/>
      <c r="K111" s="5"/>
      <c r="L111" s="5"/>
      <c r="M111" s="5"/>
      <c r="N111" s="5"/>
      <c r="O111" s="5"/>
      <c r="P111" s="5"/>
      <c r="Q111" s="5"/>
      <c r="R111" s="5"/>
      <c r="S111" s="5"/>
      <c r="T111" s="5"/>
      <c r="U111" s="5"/>
      <c r="V111" s="5"/>
      <c r="W111" s="5"/>
    </row>
    <row r="112">
      <c r="A112" s="3"/>
      <c r="B112" s="3"/>
      <c r="C112" s="3"/>
      <c r="D112" s="3"/>
      <c r="E112" s="3"/>
      <c r="F112" s="5"/>
      <c r="G112" s="5"/>
      <c r="H112" s="5"/>
      <c r="I112" s="5"/>
      <c r="J112" s="5"/>
      <c r="K112" s="5"/>
      <c r="L112" s="5"/>
      <c r="M112" s="5"/>
      <c r="N112" s="5"/>
      <c r="O112" s="5"/>
      <c r="P112" s="5"/>
      <c r="Q112" s="5"/>
      <c r="R112" s="5"/>
      <c r="S112" s="5"/>
      <c r="T112" s="5"/>
      <c r="U112" s="5"/>
      <c r="V112" s="5"/>
      <c r="W112" s="5"/>
    </row>
    <row r="113">
      <c r="A113" s="3"/>
      <c r="B113" s="3"/>
      <c r="C113" s="3"/>
      <c r="D113" s="3"/>
      <c r="E113" s="3"/>
      <c r="F113" s="3"/>
      <c r="G113" s="5"/>
      <c r="H113" s="5"/>
      <c r="I113" s="5"/>
      <c r="J113" s="5"/>
      <c r="K113" s="5"/>
      <c r="L113" s="5"/>
      <c r="M113" s="5"/>
      <c r="N113" s="5"/>
      <c r="O113" s="5"/>
      <c r="P113" s="5"/>
      <c r="Q113" s="5"/>
      <c r="R113" s="5"/>
      <c r="S113" s="5"/>
      <c r="T113" s="5"/>
      <c r="U113" s="5"/>
      <c r="V113" s="5"/>
      <c r="W113" s="5"/>
    </row>
    <row r="114">
      <c r="A114" s="3"/>
      <c r="B114" s="3"/>
      <c r="C114" s="3"/>
      <c r="D114" s="3"/>
      <c r="E114" s="3"/>
      <c r="F114" s="3"/>
      <c r="G114" s="5"/>
      <c r="H114" s="5"/>
      <c r="I114" s="5"/>
      <c r="J114" s="5"/>
      <c r="K114" s="5"/>
      <c r="L114" s="5"/>
      <c r="M114" s="5"/>
      <c r="N114" s="5"/>
      <c r="O114" s="5"/>
      <c r="P114" s="5"/>
      <c r="Q114" s="5"/>
      <c r="R114" s="5"/>
      <c r="S114" s="5"/>
      <c r="T114" s="5"/>
      <c r="U114" s="5"/>
      <c r="V114" s="5"/>
      <c r="W114" s="5"/>
    </row>
    <row r="115">
      <c r="A115" s="3"/>
      <c r="B115" s="3"/>
      <c r="C115" s="3"/>
      <c r="D115" s="3"/>
      <c r="E115" s="3"/>
      <c r="F115" s="3"/>
      <c r="G115" s="5"/>
      <c r="H115" s="5"/>
      <c r="I115" s="5"/>
      <c r="J115" s="5"/>
      <c r="K115" s="5"/>
      <c r="L115" s="5"/>
      <c r="M115" s="5"/>
      <c r="N115" s="5"/>
      <c r="O115" s="5"/>
      <c r="P115" s="5"/>
      <c r="Q115" s="5"/>
      <c r="R115" s="5"/>
      <c r="S115" s="5"/>
      <c r="T115" s="5"/>
      <c r="U115" s="5"/>
      <c r="V115" s="5"/>
      <c r="W115" s="5"/>
    </row>
    <row r="116">
      <c r="A116" s="3"/>
      <c r="B116" s="3"/>
      <c r="C116" s="3"/>
      <c r="D116" s="3"/>
      <c r="E116" s="3"/>
      <c r="F116" s="3"/>
      <c r="G116" s="5"/>
      <c r="H116" s="5"/>
      <c r="I116" s="5"/>
      <c r="J116" s="5"/>
      <c r="K116" s="5"/>
      <c r="L116" s="5"/>
      <c r="M116" s="5"/>
      <c r="N116" s="5"/>
      <c r="O116" s="5"/>
      <c r="P116" s="5"/>
      <c r="Q116" s="5"/>
      <c r="R116" s="5"/>
      <c r="S116" s="5"/>
      <c r="T116" s="5"/>
      <c r="U116" s="5"/>
      <c r="V116" s="5"/>
      <c r="W116" s="5"/>
    </row>
    <row r="117">
      <c r="A117" s="3"/>
      <c r="B117" s="3"/>
      <c r="C117" s="3"/>
      <c r="D117" s="3"/>
      <c r="E117" s="3"/>
      <c r="F117" s="3"/>
      <c r="G117" s="5"/>
      <c r="H117" s="5"/>
      <c r="I117" s="5"/>
      <c r="J117" s="5"/>
      <c r="K117" s="5"/>
      <c r="L117" s="5"/>
      <c r="M117" s="5"/>
      <c r="N117" s="5"/>
      <c r="O117" s="5"/>
      <c r="P117" s="5"/>
      <c r="Q117" s="5"/>
      <c r="R117" s="5"/>
      <c r="S117" s="5"/>
      <c r="T117" s="5"/>
      <c r="U117" s="5"/>
      <c r="V117" s="5"/>
      <c r="W117" s="5"/>
    </row>
    <row r="118">
      <c r="A118" s="3"/>
      <c r="B118" s="3"/>
      <c r="C118" s="3"/>
      <c r="D118" s="3"/>
      <c r="E118" s="3"/>
      <c r="F118" s="3"/>
      <c r="G118" s="5"/>
      <c r="H118" s="5"/>
      <c r="I118" s="5"/>
      <c r="J118" s="5"/>
      <c r="K118" s="5"/>
      <c r="L118" s="5"/>
      <c r="M118" s="5"/>
      <c r="N118" s="5"/>
      <c r="O118" s="5"/>
      <c r="P118" s="5"/>
      <c r="Q118" s="5"/>
      <c r="R118" s="5"/>
      <c r="S118" s="5"/>
      <c r="T118" s="5"/>
      <c r="U118" s="5"/>
      <c r="V118" s="5"/>
      <c r="W118" s="5"/>
    </row>
    <row r="119">
      <c r="A119" s="3"/>
      <c r="B119" s="3"/>
      <c r="C119" s="3"/>
      <c r="D119" s="3"/>
      <c r="E119" s="3"/>
      <c r="F119" s="3"/>
      <c r="G119" s="5"/>
      <c r="H119" s="5"/>
      <c r="I119" s="5"/>
      <c r="J119" s="5"/>
      <c r="K119" s="5"/>
      <c r="L119" s="5"/>
      <c r="M119" s="5"/>
      <c r="N119" s="5"/>
      <c r="O119" s="5"/>
      <c r="P119" s="5"/>
      <c r="Q119" s="5"/>
      <c r="R119" s="5"/>
      <c r="S119" s="5"/>
      <c r="T119" s="5"/>
      <c r="U119" s="5"/>
      <c r="V119" s="5"/>
      <c r="W119" s="5"/>
    </row>
    <row r="120">
      <c r="A120" s="3"/>
      <c r="B120" s="3"/>
      <c r="C120" s="3"/>
      <c r="D120" s="3"/>
      <c r="E120" s="3"/>
      <c r="F120" s="3"/>
      <c r="G120" s="5"/>
      <c r="H120" s="5"/>
      <c r="I120" s="5"/>
      <c r="J120" s="5"/>
      <c r="K120" s="5"/>
      <c r="L120" s="5"/>
      <c r="M120" s="5"/>
      <c r="N120" s="5"/>
      <c r="O120" s="5"/>
      <c r="P120" s="5"/>
      <c r="Q120" s="5"/>
      <c r="R120" s="5"/>
      <c r="S120" s="5"/>
      <c r="T120" s="5"/>
      <c r="U120" s="5"/>
      <c r="V120" s="5"/>
      <c r="W120" s="5"/>
    </row>
    <row r="121">
      <c r="A121" s="3"/>
      <c r="B121" s="3"/>
      <c r="C121" s="3"/>
      <c r="D121" s="3"/>
      <c r="E121" s="3"/>
      <c r="F121" s="3"/>
      <c r="G121" s="5"/>
      <c r="H121" s="5"/>
      <c r="I121" s="5"/>
      <c r="J121" s="5"/>
      <c r="K121" s="5"/>
      <c r="L121" s="5"/>
      <c r="M121" s="5"/>
      <c r="N121" s="5"/>
      <c r="O121" s="5"/>
      <c r="P121" s="5"/>
      <c r="Q121" s="5"/>
      <c r="R121" s="5"/>
      <c r="S121" s="5"/>
      <c r="T121" s="5"/>
      <c r="U121" s="5"/>
      <c r="V121" s="5"/>
      <c r="W121" s="5"/>
    </row>
    <row r="122">
      <c r="A122" s="3"/>
      <c r="B122" s="3"/>
      <c r="C122" s="3"/>
      <c r="D122" s="3"/>
      <c r="E122" s="3"/>
      <c r="F122" s="3"/>
      <c r="G122" s="5"/>
      <c r="H122" s="5"/>
      <c r="I122" s="5"/>
      <c r="J122" s="5"/>
      <c r="K122" s="5"/>
      <c r="L122" s="5"/>
      <c r="M122" s="5"/>
      <c r="N122" s="5"/>
      <c r="O122" s="5"/>
      <c r="P122" s="5"/>
      <c r="Q122" s="5"/>
      <c r="R122" s="5"/>
      <c r="S122" s="5"/>
      <c r="T122" s="5"/>
      <c r="U122" s="5"/>
      <c r="V122" s="5"/>
      <c r="W122" s="5"/>
    </row>
    <row r="123">
      <c r="A123" s="3"/>
      <c r="B123" s="3"/>
      <c r="C123" s="3"/>
      <c r="D123" s="3"/>
      <c r="E123" s="3"/>
      <c r="F123" s="5"/>
      <c r="G123" s="5"/>
      <c r="H123" s="5"/>
      <c r="I123" s="5"/>
      <c r="J123" s="5"/>
      <c r="K123" s="5"/>
      <c r="L123" s="5"/>
      <c r="M123" s="5"/>
      <c r="N123" s="5"/>
      <c r="O123" s="5"/>
      <c r="P123" s="5"/>
      <c r="Q123" s="5"/>
      <c r="R123" s="5"/>
      <c r="S123" s="5"/>
      <c r="T123" s="5"/>
      <c r="U123" s="5"/>
      <c r="V123" s="5"/>
      <c r="W123" s="5"/>
    </row>
    <row r="124">
      <c r="A124" s="3"/>
      <c r="B124" s="3"/>
      <c r="C124" s="3"/>
      <c r="D124" s="3"/>
      <c r="E124" s="3"/>
      <c r="F124" s="5"/>
      <c r="G124" s="5"/>
      <c r="H124" s="5"/>
      <c r="I124" s="5"/>
      <c r="J124" s="5"/>
      <c r="K124" s="5"/>
      <c r="L124" s="5"/>
      <c r="M124" s="5"/>
      <c r="N124" s="5"/>
      <c r="O124" s="5"/>
      <c r="P124" s="5"/>
      <c r="Q124" s="5"/>
      <c r="R124" s="5"/>
      <c r="S124" s="5"/>
      <c r="T124" s="5"/>
      <c r="U124" s="5"/>
      <c r="V124" s="5"/>
      <c r="W124" s="5"/>
    </row>
    <row r="125">
      <c r="A125" s="3"/>
      <c r="B125" s="3"/>
      <c r="C125" s="3"/>
      <c r="D125" s="3"/>
      <c r="E125" s="3"/>
      <c r="F125" s="5"/>
      <c r="G125" s="5"/>
      <c r="H125" s="5"/>
      <c r="I125" s="5"/>
      <c r="J125" s="5"/>
      <c r="K125" s="5"/>
      <c r="L125" s="5"/>
      <c r="M125" s="5"/>
      <c r="N125" s="5"/>
      <c r="O125" s="5"/>
      <c r="P125" s="5"/>
      <c r="Q125" s="5"/>
      <c r="R125" s="5"/>
      <c r="S125" s="5"/>
      <c r="T125" s="5"/>
      <c r="U125" s="5"/>
      <c r="V125" s="5"/>
      <c r="W125" s="5"/>
    </row>
    <row r="126">
      <c r="A126" s="3"/>
      <c r="B126" s="3"/>
      <c r="C126" s="3"/>
      <c r="D126" s="3"/>
      <c r="E126" s="3"/>
      <c r="F126" s="5"/>
      <c r="G126" s="5"/>
      <c r="H126" s="5"/>
      <c r="I126" s="5"/>
      <c r="J126" s="5"/>
      <c r="K126" s="5"/>
      <c r="L126" s="5"/>
      <c r="M126" s="5"/>
      <c r="N126" s="5"/>
      <c r="O126" s="5"/>
      <c r="P126" s="5"/>
      <c r="Q126" s="5"/>
      <c r="R126" s="5"/>
      <c r="S126" s="5"/>
      <c r="T126" s="5"/>
      <c r="U126" s="5"/>
      <c r="V126" s="5"/>
      <c r="W126" s="5"/>
    </row>
    <row r="127">
      <c r="A127" s="3"/>
      <c r="B127" s="3"/>
      <c r="C127" s="3"/>
      <c r="D127" s="3"/>
      <c r="E127" s="3"/>
      <c r="F127" s="5"/>
      <c r="G127" s="5"/>
      <c r="H127" s="5"/>
      <c r="I127" s="5"/>
      <c r="J127" s="5"/>
      <c r="K127" s="5"/>
      <c r="L127" s="5"/>
      <c r="M127" s="5"/>
      <c r="N127" s="5"/>
      <c r="O127" s="5"/>
      <c r="P127" s="5"/>
      <c r="Q127" s="5"/>
      <c r="R127" s="5"/>
      <c r="S127" s="5"/>
      <c r="T127" s="5"/>
      <c r="U127" s="5"/>
      <c r="V127" s="5"/>
      <c r="W127" s="5"/>
    </row>
    <row r="128">
      <c r="A128" s="3"/>
      <c r="B128" s="3"/>
      <c r="C128" s="3"/>
      <c r="D128" s="3"/>
      <c r="E128" s="3"/>
      <c r="F128" s="5"/>
      <c r="G128" s="5"/>
      <c r="H128" s="5"/>
      <c r="I128" s="5"/>
      <c r="J128" s="5"/>
      <c r="K128" s="5"/>
      <c r="L128" s="5"/>
      <c r="M128" s="5"/>
      <c r="N128" s="5"/>
      <c r="O128" s="5"/>
      <c r="P128" s="5"/>
      <c r="Q128" s="5"/>
      <c r="R128" s="5"/>
      <c r="S128" s="5"/>
      <c r="T128" s="5"/>
      <c r="U128" s="5"/>
      <c r="V128" s="5"/>
      <c r="W128" s="5"/>
    </row>
    <row r="129">
      <c r="A129" s="3"/>
      <c r="B129" s="3"/>
      <c r="C129" s="3"/>
      <c r="D129" s="3"/>
      <c r="E129" s="3"/>
      <c r="F129" s="5"/>
      <c r="G129" s="5"/>
      <c r="H129" s="5"/>
      <c r="I129" s="5"/>
      <c r="J129" s="5"/>
      <c r="K129" s="5"/>
      <c r="L129" s="5"/>
      <c r="M129" s="5"/>
      <c r="N129" s="5"/>
      <c r="O129" s="5"/>
      <c r="P129" s="5"/>
      <c r="Q129" s="5"/>
      <c r="R129" s="5"/>
      <c r="S129" s="5"/>
      <c r="T129" s="5"/>
      <c r="U129" s="5"/>
      <c r="V129" s="5"/>
      <c r="W129" s="5"/>
    </row>
    <row r="130">
      <c r="A130" s="3"/>
      <c r="B130" s="3"/>
      <c r="C130" s="3"/>
      <c r="D130" s="3"/>
      <c r="E130" s="3"/>
      <c r="F130" s="5"/>
      <c r="G130" s="5"/>
      <c r="H130" s="5"/>
      <c r="I130" s="5"/>
      <c r="J130" s="5"/>
      <c r="K130" s="5"/>
      <c r="L130" s="5"/>
      <c r="M130" s="5"/>
      <c r="N130" s="5"/>
      <c r="O130" s="5"/>
      <c r="P130" s="5"/>
      <c r="Q130" s="5"/>
      <c r="R130" s="5"/>
      <c r="S130" s="5"/>
      <c r="T130" s="5"/>
      <c r="U130" s="5"/>
      <c r="V130" s="5"/>
      <c r="W130" s="5"/>
    </row>
    <row r="131">
      <c r="A131" s="3"/>
      <c r="B131" s="3"/>
      <c r="C131" s="3"/>
      <c r="D131" s="3"/>
      <c r="E131" s="3"/>
      <c r="F131" s="5"/>
      <c r="G131" s="5"/>
      <c r="H131" s="5"/>
      <c r="I131" s="5"/>
      <c r="J131" s="5"/>
      <c r="K131" s="5"/>
      <c r="L131" s="5"/>
      <c r="M131" s="5"/>
      <c r="N131" s="5"/>
      <c r="O131" s="5"/>
      <c r="P131" s="5"/>
      <c r="Q131" s="5"/>
      <c r="R131" s="5"/>
      <c r="S131" s="5"/>
      <c r="T131" s="5"/>
      <c r="U131" s="5"/>
      <c r="V131" s="5"/>
      <c r="W131" s="5"/>
    </row>
    <row r="132">
      <c r="A132" s="3"/>
      <c r="B132" s="3"/>
      <c r="C132" s="3"/>
      <c r="D132" s="3"/>
      <c r="E132" s="3"/>
      <c r="F132" s="5"/>
      <c r="G132" s="5"/>
      <c r="H132" s="5"/>
      <c r="I132" s="5"/>
      <c r="J132" s="5"/>
      <c r="K132" s="5"/>
      <c r="L132" s="5"/>
      <c r="M132" s="5"/>
      <c r="N132" s="5"/>
      <c r="O132" s="5"/>
      <c r="P132" s="5"/>
      <c r="Q132" s="5"/>
      <c r="R132" s="5"/>
      <c r="S132" s="5"/>
      <c r="T132" s="5"/>
      <c r="U132" s="5"/>
      <c r="V132" s="5"/>
      <c r="W132" s="5"/>
    </row>
    <row r="133">
      <c r="A133" s="3"/>
      <c r="B133" s="3"/>
      <c r="C133" s="3"/>
      <c r="D133" s="3"/>
      <c r="E133" s="3"/>
      <c r="F133" s="5"/>
      <c r="G133" s="5"/>
      <c r="H133" s="5"/>
      <c r="I133" s="5"/>
      <c r="J133" s="5"/>
      <c r="K133" s="5"/>
      <c r="L133" s="5"/>
      <c r="M133" s="5"/>
      <c r="N133" s="5"/>
      <c r="O133" s="5"/>
      <c r="P133" s="5"/>
      <c r="Q133" s="5"/>
      <c r="R133" s="5"/>
      <c r="S133" s="5"/>
      <c r="T133" s="5"/>
      <c r="U133" s="5"/>
      <c r="V133" s="5"/>
      <c r="W133" s="5"/>
    </row>
    <row r="134">
      <c r="A134" s="3"/>
      <c r="B134" s="3"/>
      <c r="C134" s="3"/>
      <c r="D134" s="3"/>
      <c r="E134" s="3"/>
      <c r="F134" s="5"/>
      <c r="G134" s="5"/>
      <c r="H134" s="5"/>
      <c r="I134" s="5"/>
      <c r="J134" s="5"/>
      <c r="K134" s="5"/>
      <c r="L134" s="5"/>
      <c r="M134" s="5"/>
      <c r="N134" s="5"/>
      <c r="O134" s="5"/>
      <c r="P134" s="5"/>
      <c r="Q134" s="5"/>
      <c r="R134" s="5"/>
      <c r="S134" s="5"/>
      <c r="T134" s="5"/>
      <c r="U134" s="5"/>
      <c r="V134" s="5"/>
      <c r="W134" s="5"/>
    </row>
    <row r="135">
      <c r="A135" s="3"/>
      <c r="B135" s="3"/>
      <c r="C135" s="3"/>
      <c r="D135" s="3"/>
      <c r="E135" s="3"/>
      <c r="F135" s="5"/>
      <c r="G135" s="5"/>
      <c r="H135" s="5"/>
      <c r="I135" s="5"/>
      <c r="J135" s="5"/>
      <c r="K135" s="5"/>
      <c r="L135" s="5"/>
      <c r="M135" s="5"/>
      <c r="N135" s="5"/>
      <c r="O135" s="5"/>
      <c r="P135" s="5"/>
      <c r="Q135" s="5"/>
      <c r="R135" s="5"/>
      <c r="S135" s="5"/>
      <c r="T135" s="5"/>
      <c r="U135" s="5"/>
      <c r="V135" s="5"/>
      <c r="W135" s="5"/>
    </row>
    <row r="136">
      <c r="A136" s="3"/>
      <c r="B136" s="3"/>
      <c r="C136" s="3"/>
      <c r="D136" s="3"/>
      <c r="E136" s="3"/>
      <c r="F136" s="5"/>
      <c r="G136" s="5"/>
      <c r="H136" s="5"/>
      <c r="I136" s="5"/>
      <c r="J136" s="5"/>
      <c r="K136" s="5"/>
      <c r="L136" s="5"/>
      <c r="M136" s="5"/>
      <c r="N136" s="5"/>
      <c r="O136" s="5"/>
      <c r="P136" s="5"/>
      <c r="Q136" s="5"/>
      <c r="R136" s="5"/>
      <c r="S136" s="5"/>
      <c r="T136" s="5"/>
      <c r="U136" s="5"/>
      <c r="V136" s="5"/>
      <c r="W136" s="5"/>
    </row>
    <row r="137">
      <c r="A137" s="3"/>
      <c r="B137" s="3"/>
      <c r="C137" s="3"/>
      <c r="D137" s="3"/>
      <c r="E137" s="3"/>
      <c r="F137" s="5"/>
      <c r="G137" s="5"/>
      <c r="H137" s="5"/>
      <c r="I137" s="5"/>
      <c r="J137" s="5"/>
      <c r="K137" s="5"/>
      <c r="L137" s="5"/>
      <c r="M137" s="5"/>
      <c r="N137" s="5"/>
      <c r="O137" s="5"/>
      <c r="P137" s="5"/>
      <c r="Q137" s="5"/>
      <c r="R137" s="5"/>
      <c r="S137" s="5"/>
      <c r="T137" s="5"/>
      <c r="U137" s="5"/>
      <c r="V137" s="5"/>
      <c r="W137" s="5"/>
    </row>
    <row r="138">
      <c r="A138" s="3"/>
      <c r="B138" s="3"/>
      <c r="C138" s="3"/>
      <c r="D138" s="3"/>
      <c r="E138" s="3"/>
      <c r="F138" s="5"/>
      <c r="G138" s="5"/>
      <c r="H138" s="5"/>
      <c r="I138" s="5"/>
      <c r="J138" s="5"/>
      <c r="K138" s="5"/>
      <c r="L138" s="5"/>
      <c r="M138" s="5"/>
      <c r="N138" s="5"/>
      <c r="O138" s="5"/>
      <c r="P138" s="5"/>
      <c r="Q138" s="5"/>
      <c r="R138" s="5"/>
      <c r="S138" s="5"/>
      <c r="T138" s="5"/>
      <c r="U138" s="5"/>
      <c r="V138" s="5"/>
      <c r="W138" s="5"/>
    </row>
    <row r="139">
      <c r="A139" s="3"/>
      <c r="B139" s="3"/>
      <c r="C139" s="3"/>
      <c r="D139" s="3"/>
      <c r="E139" s="3"/>
      <c r="F139" s="5"/>
      <c r="G139" s="5"/>
      <c r="H139" s="5"/>
      <c r="I139" s="5"/>
      <c r="J139" s="5"/>
      <c r="K139" s="5"/>
      <c r="L139" s="5"/>
      <c r="M139" s="5"/>
      <c r="N139" s="5"/>
      <c r="O139" s="5"/>
      <c r="P139" s="5"/>
      <c r="Q139" s="5"/>
      <c r="R139" s="5"/>
      <c r="S139" s="5"/>
      <c r="T139" s="5"/>
      <c r="U139" s="5"/>
      <c r="V139" s="5"/>
      <c r="W139" s="5"/>
    </row>
    <row r="140">
      <c r="A140" s="3"/>
      <c r="B140" s="3"/>
      <c r="C140" s="3"/>
      <c r="D140" s="3"/>
      <c r="E140" s="3"/>
      <c r="F140" s="5"/>
      <c r="G140" s="5"/>
      <c r="H140" s="5"/>
      <c r="I140" s="5"/>
      <c r="J140" s="5"/>
      <c r="K140" s="5"/>
      <c r="L140" s="5"/>
      <c r="M140" s="5"/>
      <c r="N140" s="5"/>
      <c r="O140" s="5"/>
      <c r="P140" s="5"/>
      <c r="Q140" s="5"/>
      <c r="R140" s="5"/>
      <c r="S140" s="5"/>
      <c r="T140" s="5"/>
      <c r="U140" s="5"/>
      <c r="V140" s="5"/>
      <c r="W140" s="5"/>
    </row>
    <row r="141">
      <c r="A141" s="3"/>
      <c r="B141" s="3"/>
      <c r="C141" s="3"/>
      <c r="D141" s="3"/>
      <c r="E141" s="3"/>
      <c r="F141" s="5"/>
      <c r="G141" s="5"/>
      <c r="H141" s="5"/>
      <c r="I141" s="5"/>
      <c r="J141" s="5"/>
      <c r="K141" s="5"/>
      <c r="L141" s="5"/>
      <c r="M141" s="5"/>
      <c r="N141" s="5"/>
      <c r="O141" s="5"/>
      <c r="P141" s="5"/>
      <c r="Q141" s="5"/>
      <c r="R141" s="5"/>
      <c r="S141" s="5"/>
      <c r="T141" s="5"/>
      <c r="U141" s="5"/>
      <c r="V141" s="5"/>
      <c r="W141" s="5"/>
    </row>
    <row r="142">
      <c r="A142" s="3"/>
      <c r="B142" s="3"/>
      <c r="C142" s="3"/>
      <c r="D142" s="3"/>
      <c r="E142" s="3"/>
      <c r="F142" s="5"/>
      <c r="G142" s="5"/>
      <c r="H142" s="5"/>
      <c r="I142" s="5"/>
      <c r="J142" s="5"/>
      <c r="K142" s="5"/>
      <c r="L142" s="5"/>
      <c r="M142" s="5"/>
      <c r="N142" s="5"/>
      <c r="O142" s="5"/>
      <c r="P142" s="5"/>
      <c r="Q142" s="5"/>
      <c r="R142" s="5"/>
      <c r="S142" s="5"/>
      <c r="T142" s="5"/>
      <c r="U142" s="5"/>
      <c r="V142" s="5"/>
      <c r="W142" s="5"/>
    </row>
    <row r="143">
      <c r="A143" s="3"/>
      <c r="B143" s="3"/>
      <c r="C143" s="3"/>
      <c r="D143" s="3"/>
      <c r="E143" s="3"/>
      <c r="F143" s="3"/>
      <c r="G143" s="5"/>
      <c r="H143" s="5"/>
      <c r="I143" s="5"/>
      <c r="J143" s="5"/>
      <c r="K143" s="5"/>
      <c r="L143" s="5"/>
      <c r="M143" s="5"/>
      <c r="N143" s="5"/>
      <c r="O143" s="5"/>
      <c r="P143" s="5"/>
      <c r="Q143" s="5"/>
      <c r="R143" s="5"/>
      <c r="S143" s="5"/>
      <c r="T143" s="5"/>
      <c r="U143" s="5"/>
      <c r="V143" s="5"/>
      <c r="W143" s="5"/>
    </row>
    <row r="144">
      <c r="A144" s="3"/>
      <c r="B144" s="3"/>
      <c r="C144" s="3"/>
      <c r="D144" s="3"/>
      <c r="E144" s="3"/>
      <c r="F144" s="5"/>
      <c r="G144" s="5"/>
      <c r="H144" s="5"/>
      <c r="I144" s="5"/>
      <c r="J144" s="5"/>
      <c r="K144" s="5"/>
      <c r="L144" s="5"/>
      <c r="M144" s="5"/>
      <c r="N144" s="5"/>
      <c r="O144" s="5"/>
      <c r="P144" s="5"/>
      <c r="Q144" s="5"/>
      <c r="R144" s="5"/>
      <c r="S144" s="5"/>
      <c r="T144" s="5"/>
      <c r="U144" s="5"/>
      <c r="V144" s="5"/>
      <c r="W144" s="5"/>
    </row>
    <row r="145">
      <c r="A145" s="3"/>
      <c r="B145" s="3"/>
      <c r="C145" s="3"/>
      <c r="D145" s="3"/>
      <c r="E145" s="3"/>
      <c r="F145" s="5"/>
      <c r="G145" s="5"/>
      <c r="H145" s="5"/>
      <c r="I145" s="5"/>
      <c r="J145" s="5"/>
      <c r="K145" s="5"/>
      <c r="L145" s="5"/>
      <c r="M145" s="5"/>
      <c r="N145" s="5"/>
      <c r="O145" s="5"/>
      <c r="P145" s="5"/>
      <c r="Q145" s="5"/>
      <c r="R145" s="5"/>
      <c r="S145" s="5"/>
      <c r="T145" s="5"/>
      <c r="U145" s="5"/>
      <c r="V145" s="5"/>
      <c r="W145" s="5"/>
    </row>
    <row r="146">
      <c r="A146" s="3"/>
      <c r="B146" s="3"/>
      <c r="C146" s="3"/>
      <c r="D146" s="3"/>
      <c r="E146" s="3"/>
      <c r="F146" s="5"/>
      <c r="G146" s="5"/>
      <c r="H146" s="5"/>
      <c r="I146" s="5"/>
      <c r="J146" s="5"/>
      <c r="K146" s="5"/>
      <c r="L146" s="5"/>
      <c r="M146" s="5"/>
      <c r="N146" s="5"/>
      <c r="O146" s="5"/>
      <c r="P146" s="5"/>
      <c r="Q146" s="5"/>
      <c r="R146" s="5"/>
      <c r="S146" s="5"/>
      <c r="T146" s="5"/>
      <c r="U146" s="5"/>
      <c r="V146" s="5"/>
      <c r="W146" s="5"/>
    </row>
    <row r="147">
      <c r="A147" s="3"/>
      <c r="B147" s="3"/>
      <c r="C147" s="3"/>
      <c r="D147" s="3"/>
      <c r="E147" s="3"/>
      <c r="F147" s="5"/>
      <c r="G147" s="5"/>
      <c r="H147" s="5"/>
      <c r="I147" s="5"/>
      <c r="J147" s="5"/>
      <c r="K147" s="5"/>
      <c r="L147" s="5"/>
      <c r="M147" s="5"/>
      <c r="N147" s="5"/>
      <c r="O147" s="5"/>
      <c r="P147" s="5"/>
      <c r="Q147" s="5"/>
      <c r="R147" s="5"/>
      <c r="S147" s="5"/>
      <c r="T147" s="5"/>
      <c r="U147" s="5"/>
      <c r="V147" s="5"/>
      <c r="W147" s="5"/>
    </row>
    <row r="148">
      <c r="A148" s="3"/>
      <c r="B148" s="3"/>
      <c r="C148" s="3"/>
      <c r="D148" s="3"/>
      <c r="E148" s="3"/>
      <c r="F148" s="5"/>
      <c r="G148" s="5"/>
      <c r="H148" s="5"/>
      <c r="I148" s="5"/>
      <c r="J148" s="5"/>
      <c r="K148" s="5"/>
      <c r="L148" s="5"/>
      <c r="M148" s="5"/>
      <c r="N148" s="5"/>
      <c r="O148" s="5"/>
      <c r="P148" s="5"/>
      <c r="Q148" s="5"/>
      <c r="R148" s="5"/>
      <c r="S148" s="5"/>
      <c r="T148" s="5"/>
      <c r="U148" s="5"/>
      <c r="V148" s="5"/>
      <c r="W148" s="5"/>
    </row>
    <row r="149">
      <c r="A149" s="3"/>
      <c r="B149" s="3"/>
      <c r="C149" s="3"/>
      <c r="D149" s="3"/>
      <c r="E149" s="3"/>
      <c r="F149" s="5"/>
      <c r="G149" s="5"/>
      <c r="H149" s="5"/>
      <c r="I149" s="5"/>
      <c r="J149" s="5"/>
      <c r="K149" s="5"/>
      <c r="L149" s="5"/>
      <c r="M149" s="5"/>
      <c r="N149" s="5"/>
      <c r="O149" s="5"/>
      <c r="P149" s="5"/>
      <c r="Q149" s="5"/>
      <c r="R149" s="5"/>
      <c r="S149" s="5"/>
      <c r="T149" s="5"/>
      <c r="U149" s="5"/>
      <c r="V149" s="5"/>
      <c r="W149" s="5"/>
    </row>
    <row r="150">
      <c r="A150" s="3"/>
      <c r="B150" s="3"/>
      <c r="C150" s="3"/>
      <c r="D150" s="3"/>
      <c r="E150" s="3"/>
      <c r="F150" s="5"/>
      <c r="G150" s="5"/>
      <c r="H150" s="5"/>
      <c r="I150" s="5"/>
      <c r="J150" s="5"/>
      <c r="K150" s="5"/>
      <c r="L150" s="5"/>
      <c r="M150" s="5"/>
      <c r="N150" s="5"/>
      <c r="O150" s="5"/>
      <c r="P150" s="5"/>
      <c r="Q150" s="5"/>
      <c r="R150" s="5"/>
      <c r="S150" s="5"/>
      <c r="T150" s="5"/>
      <c r="U150" s="5"/>
      <c r="V150" s="5"/>
      <c r="W150" s="5"/>
    </row>
    <row r="151">
      <c r="A151" s="3"/>
      <c r="B151" s="3"/>
      <c r="C151" s="3"/>
      <c r="D151" s="3"/>
      <c r="E151" s="3"/>
      <c r="F151" s="5"/>
      <c r="G151" s="5"/>
      <c r="H151" s="5"/>
      <c r="I151" s="5"/>
      <c r="J151" s="5"/>
      <c r="K151" s="5"/>
      <c r="L151" s="5"/>
      <c r="M151" s="5"/>
      <c r="N151" s="5"/>
      <c r="O151" s="5"/>
      <c r="P151" s="5"/>
      <c r="Q151" s="5"/>
      <c r="R151" s="5"/>
      <c r="S151" s="5"/>
      <c r="T151" s="5"/>
      <c r="U151" s="5"/>
      <c r="V151" s="5"/>
      <c r="W151" s="5"/>
    </row>
    <row r="152">
      <c r="A152" s="3"/>
      <c r="B152" s="3"/>
      <c r="C152" s="3"/>
      <c r="D152" s="3"/>
      <c r="E152" s="3"/>
      <c r="F152" s="5"/>
      <c r="G152" s="5"/>
      <c r="H152" s="5"/>
      <c r="I152" s="5"/>
      <c r="J152" s="5"/>
      <c r="K152" s="5"/>
      <c r="L152" s="5"/>
      <c r="M152" s="5"/>
      <c r="N152" s="5"/>
      <c r="O152" s="5"/>
      <c r="P152" s="5"/>
      <c r="Q152" s="5"/>
      <c r="R152" s="5"/>
      <c r="S152" s="5"/>
      <c r="T152" s="5"/>
      <c r="U152" s="5"/>
      <c r="V152" s="5"/>
      <c r="W152" s="5"/>
    </row>
    <row r="153">
      <c r="A153" s="3"/>
      <c r="B153" s="3"/>
      <c r="C153" s="3"/>
      <c r="D153" s="3"/>
      <c r="E153" s="3"/>
      <c r="F153" s="5"/>
      <c r="G153" s="5"/>
      <c r="H153" s="5"/>
      <c r="I153" s="5"/>
      <c r="J153" s="5"/>
      <c r="K153" s="5"/>
      <c r="L153" s="5"/>
      <c r="M153" s="5"/>
      <c r="N153" s="5"/>
      <c r="O153" s="5"/>
      <c r="P153" s="5"/>
      <c r="Q153" s="5"/>
      <c r="R153" s="5"/>
      <c r="S153" s="5"/>
      <c r="T153" s="5"/>
      <c r="U153" s="5"/>
      <c r="V153" s="5"/>
      <c r="W153" s="5"/>
    </row>
    <row r="154">
      <c r="A154" s="3"/>
      <c r="B154" s="3"/>
      <c r="C154" s="3"/>
      <c r="D154" s="3"/>
      <c r="E154" s="3"/>
      <c r="F154" s="5"/>
      <c r="G154" s="5"/>
      <c r="H154" s="5"/>
      <c r="I154" s="5"/>
      <c r="J154" s="5"/>
      <c r="K154" s="5"/>
      <c r="L154" s="5"/>
      <c r="M154" s="5"/>
      <c r="N154" s="5"/>
      <c r="O154" s="5"/>
      <c r="P154" s="5"/>
      <c r="Q154" s="5"/>
      <c r="R154" s="5"/>
      <c r="S154" s="5"/>
      <c r="T154" s="5"/>
      <c r="U154" s="5"/>
      <c r="V154" s="5"/>
      <c r="W154" s="5"/>
    </row>
    <row r="155">
      <c r="A155" s="3"/>
      <c r="B155" s="3"/>
      <c r="C155" s="3"/>
      <c r="D155" s="3"/>
      <c r="E155" s="3"/>
      <c r="F155" s="5"/>
      <c r="G155" s="5"/>
      <c r="H155" s="5"/>
      <c r="I155" s="5"/>
      <c r="J155" s="5"/>
      <c r="K155" s="5"/>
      <c r="L155" s="5"/>
      <c r="M155" s="5"/>
      <c r="N155" s="5"/>
      <c r="O155" s="5"/>
      <c r="P155" s="5"/>
      <c r="Q155" s="5"/>
      <c r="R155" s="5"/>
      <c r="S155" s="5"/>
      <c r="T155" s="5"/>
      <c r="U155" s="5"/>
      <c r="V155" s="5"/>
      <c r="W155" s="5"/>
    </row>
    <row r="156">
      <c r="A156" s="3"/>
      <c r="B156" s="3"/>
      <c r="C156" s="3"/>
      <c r="D156" s="3"/>
      <c r="E156" s="3"/>
      <c r="F156" s="5"/>
      <c r="G156" s="5"/>
      <c r="H156" s="5"/>
      <c r="I156" s="5"/>
      <c r="J156" s="5"/>
      <c r="K156" s="5"/>
      <c r="L156" s="5"/>
      <c r="M156" s="5"/>
      <c r="N156" s="5"/>
      <c r="O156" s="5"/>
      <c r="P156" s="5"/>
      <c r="Q156" s="5"/>
      <c r="R156" s="5"/>
      <c r="S156" s="5"/>
      <c r="T156" s="5"/>
      <c r="U156" s="5"/>
      <c r="V156" s="5"/>
      <c r="W156" s="5"/>
    </row>
    <row r="157">
      <c r="A157" s="3"/>
      <c r="B157" s="3"/>
      <c r="C157" s="3"/>
      <c r="D157" s="3"/>
      <c r="E157" s="3"/>
      <c r="F157" s="5"/>
      <c r="G157" s="5"/>
      <c r="H157" s="5"/>
      <c r="I157" s="5"/>
      <c r="J157" s="5"/>
      <c r="K157" s="5"/>
      <c r="L157" s="5"/>
      <c r="M157" s="5"/>
      <c r="N157" s="5"/>
      <c r="O157" s="5"/>
      <c r="P157" s="5"/>
      <c r="Q157" s="5"/>
      <c r="R157" s="5"/>
      <c r="S157" s="5"/>
      <c r="T157" s="5"/>
      <c r="U157" s="5"/>
      <c r="V157" s="5"/>
      <c r="W157" s="5"/>
    </row>
    <row r="158">
      <c r="A158" s="3"/>
      <c r="B158" s="3"/>
      <c r="C158" s="3"/>
      <c r="D158" s="3"/>
      <c r="E158" s="3"/>
      <c r="F158" s="5"/>
      <c r="G158" s="5"/>
      <c r="H158" s="5"/>
      <c r="I158" s="5"/>
      <c r="J158" s="5"/>
      <c r="K158" s="5"/>
      <c r="L158" s="5"/>
      <c r="M158" s="5"/>
      <c r="N158" s="5"/>
      <c r="O158" s="5"/>
      <c r="P158" s="5"/>
      <c r="Q158" s="5"/>
      <c r="R158" s="5"/>
      <c r="S158" s="5"/>
      <c r="T158" s="5"/>
      <c r="U158" s="5"/>
      <c r="V158" s="5"/>
      <c r="W158" s="5"/>
    </row>
    <row r="159">
      <c r="A159" s="3"/>
      <c r="B159" s="3"/>
      <c r="C159" s="3"/>
      <c r="D159" s="3"/>
      <c r="E159" s="3"/>
      <c r="F159" s="5"/>
      <c r="G159" s="5"/>
      <c r="H159" s="5"/>
      <c r="I159" s="5"/>
      <c r="J159" s="5"/>
      <c r="K159" s="5"/>
      <c r="L159" s="5"/>
      <c r="M159" s="5"/>
      <c r="N159" s="5"/>
      <c r="O159" s="5"/>
      <c r="P159" s="5"/>
      <c r="Q159" s="5"/>
      <c r="R159" s="5"/>
      <c r="S159" s="5"/>
      <c r="T159" s="5"/>
      <c r="U159" s="5"/>
      <c r="V159" s="5"/>
      <c r="W159" s="5"/>
    </row>
    <row r="160">
      <c r="A160" s="3"/>
      <c r="B160" s="3"/>
      <c r="C160" s="3"/>
      <c r="D160" s="3"/>
      <c r="E160" s="3"/>
      <c r="F160" s="5"/>
      <c r="G160" s="5"/>
      <c r="H160" s="5"/>
      <c r="I160" s="5"/>
      <c r="J160" s="5"/>
      <c r="K160" s="5"/>
      <c r="L160" s="5"/>
      <c r="M160" s="5"/>
      <c r="N160" s="5"/>
      <c r="O160" s="5"/>
      <c r="P160" s="5"/>
      <c r="Q160" s="5"/>
      <c r="R160" s="5"/>
      <c r="S160" s="5"/>
      <c r="T160" s="5"/>
      <c r="U160" s="5"/>
      <c r="V160" s="5"/>
      <c r="W160" s="5"/>
    </row>
    <row r="161">
      <c r="A161" s="3"/>
      <c r="B161" s="3"/>
      <c r="C161" s="3"/>
      <c r="D161" s="3"/>
      <c r="E161" s="3"/>
      <c r="F161" s="5"/>
      <c r="G161" s="5"/>
      <c r="H161" s="5"/>
      <c r="I161" s="5"/>
      <c r="J161" s="5"/>
      <c r="K161" s="5"/>
      <c r="L161" s="5"/>
      <c r="M161" s="5"/>
      <c r="N161" s="5"/>
      <c r="O161" s="5"/>
      <c r="P161" s="5"/>
      <c r="Q161" s="5"/>
      <c r="R161" s="5"/>
      <c r="S161" s="5"/>
      <c r="T161" s="5"/>
      <c r="U161" s="5"/>
      <c r="V161" s="5"/>
      <c r="W161" s="5"/>
    </row>
    <row r="162">
      <c r="A162" s="3"/>
      <c r="B162" s="3"/>
      <c r="C162" s="3"/>
      <c r="D162" s="3"/>
      <c r="E162" s="3"/>
      <c r="F162" s="5"/>
      <c r="G162" s="5"/>
      <c r="H162" s="5"/>
      <c r="I162" s="5"/>
      <c r="J162" s="5"/>
      <c r="K162" s="5"/>
      <c r="L162" s="5"/>
      <c r="M162" s="5"/>
      <c r="N162" s="5"/>
      <c r="O162" s="5"/>
      <c r="P162" s="5"/>
      <c r="Q162" s="5"/>
      <c r="R162" s="5"/>
      <c r="S162" s="5"/>
      <c r="T162" s="5"/>
      <c r="U162" s="5"/>
      <c r="V162" s="5"/>
      <c r="W162" s="5"/>
    </row>
    <row r="163">
      <c r="A163" s="3"/>
      <c r="B163" s="3"/>
      <c r="C163" s="3"/>
      <c r="D163" s="3"/>
      <c r="E163" s="3"/>
      <c r="F163" s="5"/>
      <c r="G163" s="5"/>
      <c r="H163" s="5"/>
      <c r="I163" s="5"/>
      <c r="J163" s="5"/>
      <c r="K163" s="5"/>
      <c r="L163" s="5"/>
      <c r="M163" s="5"/>
      <c r="N163" s="5"/>
      <c r="O163" s="5"/>
      <c r="P163" s="5"/>
      <c r="Q163" s="5"/>
      <c r="R163" s="5"/>
      <c r="S163" s="5"/>
      <c r="T163" s="5"/>
      <c r="U163" s="5"/>
      <c r="V163" s="5"/>
      <c r="W163" s="5"/>
    </row>
    <row r="164">
      <c r="A164" s="3"/>
      <c r="B164" s="3"/>
      <c r="C164" s="3"/>
      <c r="D164" s="3"/>
      <c r="E164" s="3"/>
      <c r="F164" s="5"/>
      <c r="G164" s="5"/>
      <c r="H164" s="5"/>
      <c r="I164" s="5"/>
      <c r="J164" s="5"/>
      <c r="K164" s="5"/>
      <c r="L164" s="5"/>
      <c r="M164" s="5"/>
      <c r="N164" s="5"/>
      <c r="O164" s="5"/>
      <c r="P164" s="5"/>
      <c r="Q164" s="5"/>
      <c r="R164" s="5"/>
      <c r="S164" s="5"/>
      <c r="T164" s="5"/>
      <c r="U164" s="5"/>
      <c r="V164" s="5"/>
      <c r="W164" s="5"/>
    </row>
    <row r="165">
      <c r="A165" s="3"/>
      <c r="B165" s="3"/>
      <c r="C165" s="3"/>
      <c r="D165" s="3"/>
      <c r="E165" s="3"/>
      <c r="F165" s="5"/>
      <c r="G165" s="5"/>
      <c r="H165" s="5"/>
      <c r="I165" s="5"/>
      <c r="J165" s="5"/>
      <c r="K165" s="5"/>
      <c r="L165" s="5"/>
      <c r="M165" s="5"/>
      <c r="N165" s="5"/>
      <c r="O165" s="5"/>
      <c r="P165" s="5"/>
      <c r="Q165" s="5"/>
      <c r="R165" s="5"/>
      <c r="S165" s="5"/>
      <c r="T165" s="5"/>
      <c r="U165" s="5"/>
      <c r="V165" s="5"/>
      <c r="W165" s="5"/>
    </row>
    <row r="166">
      <c r="A166" s="3"/>
      <c r="B166" s="3"/>
      <c r="C166" s="3"/>
      <c r="D166" s="3"/>
      <c r="E166" s="3"/>
      <c r="F166" s="5"/>
      <c r="G166" s="5"/>
      <c r="H166" s="5"/>
      <c r="I166" s="5"/>
      <c r="J166" s="5"/>
      <c r="K166" s="5"/>
      <c r="L166" s="5"/>
      <c r="M166" s="5"/>
      <c r="N166" s="5"/>
      <c r="O166" s="5"/>
      <c r="P166" s="5"/>
      <c r="Q166" s="5"/>
      <c r="R166" s="5"/>
      <c r="S166" s="5"/>
      <c r="T166" s="5"/>
      <c r="U166" s="5"/>
      <c r="V166" s="5"/>
      <c r="W166" s="5"/>
    </row>
    <row r="167">
      <c r="A167" s="3"/>
      <c r="B167" s="3"/>
      <c r="C167" s="3"/>
      <c r="D167" s="3"/>
      <c r="E167" s="3"/>
      <c r="F167" s="5"/>
      <c r="G167" s="5"/>
      <c r="H167" s="5"/>
      <c r="I167" s="5"/>
      <c r="J167" s="5"/>
      <c r="K167" s="5"/>
      <c r="L167" s="5"/>
      <c r="M167" s="5"/>
      <c r="N167" s="5"/>
      <c r="O167" s="5"/>
      <c r="P167" s="5"/>
      <c r="Q167" s="5"/>
      <c r="R167" s="5"/>
      <c r="S167" s="5"/>
      <c r="T167" s="5"/>
      <c r="U167" s="5"/>
      <c r="V167" s="5"/>
      <c r="W167" s="5"/>
    </row>
    <row r="168">
      <c r="A168" s="3"/>
      <c r="B168" s="3"/>
      <c r="C168" s="3"/>
      <c r="D168" s="3"/>
      <c r="E168" s="3"/>
      <c r="F168" s="5"/>
      <c r="G168" s="5"/>
      <c r="H168" s="5"/>
      <c r="I168" s="5"/>
      <c r="J168" s="5"/>
      <c r="K168" s="5"/>
      <c r="L168" s="5"/>
      <c r="M168" s="5"/>
      <c r="N168" s="5"/>
      <c r="O168" s="5"/>
      <c r="P168" s="5"/>
      <c r="Q168" s="5"/>
      <c r="R168" s="5"/>
      <c r="S168" s="5"/>
      <c r="T168" s="5"/>
      <c r="U168" s="5"/>
      <c r="V168" s="5"/>
      <c r="W168" s="5"/>
    </row>
    <row r="169">
      <c r="A169" s="3"/>
      <c r="B169" s="3"/>
      <c r="C169" s="3"/>
      <c r="D169" s="3"/>
      <c r="E169" s="3"/>
      <c r="F169" s="5"/>
      <c r="G169" s="5"/>
      <c r="H169" s="5"/>
      <c r="I169" s="5"/>
      <c r="J169" s="5"/>
      <c r="K169" s="5"/>
      <c r="L169" s="5"/>
      <c r="M169" s="5"/>
      <c r="N169" s="5"/>
      <c r="O169" s="5"/>
      <c r="P169" s="5"/>
      <c r="Q169" s="5"/>
      <c r="R169" s="5"/>
      <c r="S169" s="5"/>
      <c r="T169" s="5"/>
      <c r="U169" s="5"/>
      <c r="V169" s="5"/>
      <c r="W169" s="5"/>
    </row>
    <row r="170">
      <c r="A170" s="3"/>
      <c r="B170" s="3"/>
      <c r="C170" s="3"/>
      <c r="D170" s="3"/>
      <c r="E170" s="3"/>
      <c r="F170" s="5"/>
      <c r="G170" s="5"/>
      <c r="H170" s="5"/>
      <c r="I170" s="5"/>
      <c r="J170" s="5"/>
      <c r="K170" s="5"/>
      <c r="L170" s="5"/>
      <c r="M170" s="5"/>
      <c r="N170" s="5"/>
      <c r="O170" s="5"/>
      <c r="P170" s="5"/>
      <c r="Q170" s="5"/>
      <c r="R170" s="5"/>
      <c r="S170" s="5"/>
      <c r="T170" s="5"/>
      <c r="U170" s="5"/>
      <c r="V170" s="5"/>
      <c r="W170" s="5"/>
    </row>
    <row r="171">
      <c r="A171" s="3"/>
      <c r="B171" s="3"/>
      <c r="C171" s="3"/>
      <c r="D171" s="3"/>
      <c r="E171" s="3"/>
      <c r="F171" s="5"/>
      <c r="G171" s="5"/>
      <c r="H171" s="5"/>
      <c r="I171" s="5"/>
      <c r="J171" s="5"/>
      <c r="K171" s="5"/>
      <c r="L171" s="5"/>
      <c r="M171" s="5"/>
      <c r="N171" s="5"/>
      <c r="O171" s="5"/>
      <c r="P171" s="5"/>
      <c r="Q171" s="5"/>
      <c r="R171" s="5"/>
      <c r="S171" s="5"/>
      <c r="T171" s="5"/>
      <c r="U171" s="5"/>
      <c r="V171" s="5"/>
      <c r="W171" s="5"/>
    </row>
    <row r="172">
      <c r="A172" s="3"/>
      <c r="B172" s="3"/>
      <c r="C172" s="3"/>
      <c r="D172" s="3"/>
      <c r="E172" s="3"/>
      <c r="F172" s="5"/>
      <c r="G172" s="5"/>
      <c r="H172" s="5"/>
      <c r="I172" s="5"/>
      <c r="J172" s="5"/>
      <c r="K172" s="5"/>
      <c r="L172" s="5"/>
      <c r="M172" s="5"/>
      <c r="N172" s="5"/>
      <c r="O172" s="5"/>
      <c r="P172" s="5"/>
      <c r="Q172" s="5"/>
      <c r="R172" s="5"/>
      <c r="S172" s="5"/>
      <c r="T172" s="5"/>
      <c r="U172" s="5"/>
      <c r="V172" s="5"/>
      <c r="W172" s="5"/>
    </row>
    <row r="173">
      <c r="A173" s="3"/>
      <c r="B173" s="3"/>
      <c r="C173" s="3"/>
      <c r="D173" s="3"/>
      <c r="E173" s="3"/>
      <c r="F173" s="5"/>
      <c r="G173" s="5"/>
      <c r="H173" s="5"/>
      <c r="I173" s="5"/>
      <c r="J173" s="5"/>
      <c r="K173" s="5"/>
      <c r="L173" s="5"/>
      <c r="M173" s="5"/>
      <c r="N173" s="5"/>
      <c r="O173" s="5"/>
      <c r="P173" s="5"/>
      <c r="Q173" s="5"/>
      <c r="R173" s="5"/>
      <c r="S173" s="5"/>
      <c r="T173" s="5"/>
      <c r="U173" s="5"/>
      <c r="V173" s="5"/>
      <c r="W173" s="5"/>
    </row>
    <row r="174">
      <c r="A174" s="3"/>
      <c r="B174" s="3"/>
      <c r="C174" s="3"/>
      <c r="D174" s="3"/>
      <c r="E174" s="3"/>
      <c r="F174" s="5"/>
      <c r="G174" s="5"/>
      <c r="H174" s="5"/>
      <c r="I174" s="5"/>
      <c r="J174" s="5"/>
      <c r="K174" s="5"/>
      <c r="L174" s="5"/>
      <c r="M174" s="5"/>
      <c r="N174" s="5"/>
      <c r="O174" s="5"/>
      <c r="P174" s="5"/>
      <c r="Q174" s="5"/>
      <c r="R174" s="5"/>
      <c r="S174" s="5"/>
      <c r="T174" s="5"/>
      <c r="U174" s="5"/>
      <c r="V174" s="5"/>
      <c r="W174" s="5"/>
    </row>
    <row r="175">
      <c r="A175" s="3"/>
      <c r="B175" s="3"/>
      <c r="C175" s="3"/>
      <c r="D175" s="3"/>
      <c r="E175" s="3"/>
      <c r="F175" s="5"/>
      <c r="G175" s="5"/>
      <c r="H175" s="5"/>
      <c r="I175" s="5"/>
      <c r="J175" s="5"/>
      <c r="K175" s="5"/>
      <c r="L175" s="5"/>
      <c r="M175" s="5"/>
      <c r="N175" s="5"/>
      <c r="O175" s="5"/>
      <c r="P175" s="5"/>
      <c r="Q175" s="5"/>
      <c r="R175" s="5"/>
      <c r="S175" s="5"/>
      <c r="T175" s="5"/>
      <c r="U175" s="5"/>
      <c r="V175" s="5"/>
      <c r="W175" s="5"/>
    </row>
    <row r="176">
      <c r="A176" s="3"/>
      <c r="B176" s="3"/>
      <c r="C176" s="3"/>
      <c r="D176" s="3"/>
      <c r="E176" s="3"/>
      <c r="F176" s="5"/>
      <c r="G176" s="5"/>
      <c r="H176" s="5"/>
      <c r="I176" s="5"/>
      <c r="J176" s="5"/>
      <c r="K176" s="5"/>
      <c r="L176" s="5"/>
      <c r="M176" s="5"/>
      <c r="N176" s="5"/>
      <c r="O176" s="5"/>
      <c r="P176" s="5"/>
      <c r="Q176" s="5"/>
      <c r="R176" s="5"/>
      <c r="S176" s="5"/>
      <c r="T176" s="5"/>
      <c r="U176" s="5"/>
      <c r="V176" s="5"/>
      <c r="W176" s="5"/>
    </row>
    <row r="177">
      <c r="A177" s="3"/>
      <c r="B177" s="3"/>
      <c r="C177" s="3"/>
      <c r="D177" s="3"/>
      <c r="E177" s="3"/>
      <c r="F177" s="5"/>
      <c r="G177" s="5"/>
      <c r="H177" s="5"/>
      <c r="I177" s="5"/>
      <c r="J177" s="5"/>
      <c r="K177" s="5"/>
      <c r="L177" s="5"/>
      <c r="M177" s="5"/>
      <c r="N177" s="5"/>
      <c r="O177" s="5"/>
      <c r="P177" s="5"/>
      <c r="Q177" s="5"/>
      <c r="R177" s="5"/>
      <c r="S177" s="5"/>
      <c r="T177" s="5"/>
      <c r="U177" s="5"/>
      <c r="V177" s="5"/>
      <c r="W177" s="5"/>
    </row>
    <row r="178">
      <c r="A178" s="3"/>
      <c r="B178" s="3"/>
      <c r="C178" s="3"/>
      <c r="D178" s="3"/>
      <c r="E178" s="3"/>
      <c r="F178" s="5"/>
      <c r="G178" s="5"/>
      <c r="H178" s="5"/>
      <c r="I178" s="5"/>
      <c r="J178" s="5"/>
      <c r="K178" s="5"/>
      <c r="L178" s="5"/>
      <c r="M178" s="5"/>
      <c r="N178" s="5"/>
      <c r="O178" s="5"/>
      <c r="P178" s="5"/>
      <c r="Q178" s="5"/>
      <c r="R178" s="5"/>
      <c r="S178" s="5"/>
      <c r="T178" s="5"/>
      <c r="U178" s="5"/>
      <c r="V178" s="5"/>
      <c r="W178" s="5"/>
    </row>
    <row r="179">
      <c r="A179" s="3"/>
      <c r="B179" s="3"/>
      <c r="C179" s="3"/>
      <c r="D179" s="3"/>
      <c r="E179" s="3"/>
      <c r="F179" s="5"/>
      <c r="G179" s="5"/>
      <c r="H179" s="5"/>
      <c r="I179" s="5"/>
      <c r="J179" s="5"/>
      <c r="K179" s="5"/>
      <c r="L179" s="5"/>
      <c r="M179" s="5"/>
      <c r="N179" s="5"/>
      <c r="O179" s="5"/>
      <c r="P179" s="5"/>
      <c r="Q179" s="5"/>
      <c r="R179" s="5"/>
      <c r="S179" s="5"/>
      <c r="T179" s="5"/>
      <c r="U179" s="5"/>
      <c r="V179" s="5"/>
      <c r="W179" s="5"/>
    </row>
    <row r="180">
      <c r="A180" s="3"/>
      <c r="B180" s="3"/>
      <c r="C180" s="3"/>
      <c r="D180" s="3"/>
      <c r="E180" s="3"/>
      <c r="F180" s="5"/>
      <c r="G180" s="5"/>
      <c r="H180" s="5"/>
      <c r="I180" s="5"/>
      <c r="J180" s="5"/>
      <c r="K180" s="5"/>
      <c r="L180" s="5"/>
      <c r="M180" s="5"/>
      <c r="N180" s="5"/>
      <c r="O180" s="5"/>
      <c r="P180" s="5"/>
      <c r="Q180" s="5"/>
      <c r="R180" s="5"/>
      <c r="S180" s="5"/>
      <c r="T180" s="5"/>
      <c r="U180" s="5"/>
      <c r="V180" s="5"/>
      <c r="W180" s="5"/>
    </row>
    <row r="181">
      <c r="A181" s="3"/>
      <c r="B181" s="3"/>
      <c r="C181" s="3"/>
      <c r="D181" s="3"/>
      <c r="E181" s="3"/>
      <c r="F181" s="5"/>
      <c r="G181" s="5"/>
      <c r="H181" s="5"/>
      <c r="I181" s="5"/>
      <c r="J181" s="5"/>
      <c r="K181" s="5"/>
      <c r="L181" s="5"/>
      <c r="M181" s="5"/>
      <c r="N181" s="5"/>
      <c r="O181" s="5"/>
      <c r="P181" s="5"/>
      <c r="Q181" s="5"/>
      <c r="R181" s="5"/>
      <c r="S181" s="5"/>
      <c r="T181" s="5"/>
      <c r="U181" s="5"/>
      <c r="V181" s="5"/>
      <c r="W181" s="5"/>
    </row>
    <row r="182">
      <c r="A182" s="3"/>
      <c r="B182" s="3"/>
      <c r="C182" s="3"/>
      <c r="D182" s="3"/>
      <c r="E182" s="3"/>
      <c r="F182" s="5"/>
      <c r="G182" s="5"/>
      <c r="H182" s="5"/>
      <c r="I182" s="5"/>
      <c r="J182" s="5"/>
      <c r="K182" s="5"/>
      <c r="L182" s="5"/>
      <c r="M182" s="5"/>
      <c r="N182" s="5"/>
      <c r="O182" s="5"/>
      <c r="P182" s="5"/>
      <c r="Q182" s="5"/>
      <c r="R182" s="5"/>
      <c r="S182" s="5"/>
      <c r="T182" s="5"/>
      <c r="U182" s="5"/>
      <c r="V182" s="5"/>
      <c r="W182" s="5"/>
    </row>
    <row r="183">
      <c r="A183" s="3"/>
      <c r="B183" s="3"/>
      <c r="C183" s="3"/>
      <c r="D183" s="3"/>
      <c r="E183" s="3"/>
      <c r="F183" s="5"/>
      <c r="G183" s="5"/>
      <c r="H183" s="5"/>
      <c r="I183" s="5"/>
      <c r="J183" s="5"/>
      <c r="K183" s="5"/>
      <c r="L183" s="5"/>
      <c r="M183" s="5"/>
      <c r="N183" s="5"/>
      <c r="O183" s="5"/>
      <c r="P183" s="5"/>
      <c r="Q183" s="5"/>
      <c r="R183" s="5"/>
      <c r="S183" s="5"/>
      <c r="T183" s="5"/>
      <c r="U183" s="5"/>
      <c r="V183" s="5"/>
      <c r="W183" s="5"/>
    </row>
    <row r="184">
      <c r="A184" s="3"/>
      <c r="B184" s="3"/>
      <c r="C184" s="3"/>
      <c r="D184" s="3"/>
      <c r="E184" s="3"/>
      <c r="F184" s="5"/>
      <c r="G184" s="5"/>
      <c r="H184" s="5"/>
      <c r="I184" s="5"/>
      <c r="J184" s="5"/>
      <c r="K184" s="5"/>
      <c r="L184" s="5"/>
      <c r="M184" s="5"/>
      <c r="N184" s="5"/>
      <c r="O184" s="5"/>
      <c r="P184" s="5"/>
      <c r="Q184" s="5"/>
      <c r="R184" s="5"/>
      <c r="S184" s="5"/>
      <c r="T184" s="5"/>
      <c r="U184" s="5"/>
      <c r="V184" s="5"/>
      <c r="W184" s="5"/>
    </row>
    <row r="185">
      <c r="A185" s="3"/>
      <c r="B185" s="3"/>
      <c r="C185" s="3"/>
      <c r="D185" s="3"/>
      <c r="E185" s="3"/>
      <c r="F185" s="5"/>
      <c r="G185" s="5"/>
      <c r="H185" s="5"/>
      <c r="I185" s="5"/>
      <c r="J185" s="5"/>
      <c r="K185" s="5"/>
      <c r="L185" s="5"/>
      <c r="M185" s="5"/>
      <c r="N185" s="5"/>
      <c r="O185" s="5"/>
      <c r="P185" s="5"/>
      <c r="Q185" s="5"/>
      <c r="R185" s="5"/>
      <c r="S185" s="5"/>
      <c r="T185" s="5"/>
      <c r="U185" s="5"/>
      <c r="V185" s="5"/>
      <c r="W185" s="5"/>
    </row>
    <row r="186">
      <c r="A186" s="3"/>
      <c r="B186" s="3"/>
      <c r="C186" s="3"/>
      <c r="D186" s="3"/>
      <c r="E186" s="3"/>
      <c r="F186" s="5"/>
      <c r="G186" s="5"/>
      <c r="H186" s="5"/>
      <c r="I186" s="5"/>
      <c r="J186" s="5"/>
      <c r="K186" s="5"/>
      <c r="L186" s="5"/>
      <c r="M186" s="5"/>
      <c r="N186" s="5"/>
      <c r="O186" s="5"/>
      <c r="P186" s="5"/>
      <c r="Q186" s="5"/>
      <c r="R186" s="5"/>
      <c r="S186" s="5"/>
      <c r="T186" s="5"/>
      <c r="U186" s="5"/>
      <c r="V186" s="5"/>
      <c r="W186" s="5"/>
    </row>
    <row r="187">
      <c r="A187" s="5"/>
      <c r="B187" s="3"/>
      <c r="C187" s="5"/>
      <c r="D187" s="5"/>
      <c r="E187" s="5"/>
      <c r="F187" s="5"/>
      <c r="G187" s="5"/>
      <c r="H187" s="5"/>
      <c r="I187" s="5"/>
      <c r="J187" s="5"/>
      <c r="K187" s="5"/>
      <c r="L187" s="5"/>
      <c r="M187" s="5"/>
      <c r="N187" s="5"/>
      <c r="O187" s="5"/>
      <c r="P187" s="5"/>
      <c r="Q187" s="5"/>
      <c r="R187" s="5"/>
      <c r="S187" s="5"/>
      <c r="T187" s="5"/>
      <c r="U187" s="5"/>
      <c r="V187" s="5"/>
      <c r="W187" s="5"/>
    </row>
    <row r="188">
      <c r="A188" s="5"/>
      <c r="B188" s="3"/>
      <c r="C188" s="5"/>
      <c r="D188" s="5"/>
      <c r="E188" s="5"/>
      <c r="F188" s="5"/>
      <c r="G188" s="5"/>
      <c r="H188" s="5"/>
      <c r="I188" s="5"/>
      <c r="J188" s="5"/>
      <c r="K188" s="5"/>
      <c r="L188" s="5"/>
      <c r="M188" s="5"/>
      <c r="N188" s="5"/>
      <c r="O188" s="5"/>
      <c r="P188" s="5"/>
      <c r="Q188" s="5"/>
      <c r="R188" s="5"/>
      <c r="S188" s="5"/>
      <c r="T188" s="5"/>
      <c r="U188" s="5"/>
      <c r="V188" s="5"/>
      <c r="W188" s="5"/>
    </row>
    <row r="189">
      <c r="A189" s="5"/>
      <c r="B189" s="3"/>
      <c r="C189" s="5"/>
      <c r="D189" s="5"/>
      <c r="E189" s="5"/>
      <c r="F189" s="5"/>
      <c r="G189" s="5"/>
      <c r="H189" s="5"/>
      <c r="I189" s="5"/>
      <c r="J189" s="5"/>
      <c r="K189" s="5"/>
      <c r="L189" s="5"/>
      <c r="M189" s="5"/>
      <c r="N189" s="5"/>
      <c r="O189" s="5"/>
      <c r="P189" s="5"/>
      <c r="Q189" s="5"/>
      <c r="R189" s="5"/>
      <c r="S189" s="5"/>
      <c r="T189" s="5"/>
      <c r="U189" s="5"/>
      <c r="V189" s="5"/>
      <c r="W189" s="5"/>
    </row>
    <row r="190">
      <c r="A190" s="5"/>
      <c r="B190" s="3"/>
      <c r="C190" s="5"/>
      <c r="D190" s="5"/>
      <c r="E190" s="5"/>
      <c r="F190" s="5"/>
      <c r="G190" s="5"/>
      <c r="H190" s="5"/>
      <c r="I190" s="5"/>
      <c r="J190" s="5"/>
      <c r="K190" s="5"/>
      <c r="L190" s="5"/>
      <c r="M190" s="5"/>
      <c r="N190" s="5"/>
      <c r="O190" s="5"/>
      <c r="P190" s="5"/>
      <c r="Q190" s="5"/>
      <c r="R190" s="5"/>
      <c r="S190" s="5"/>
      <c r="T190" s="5"/>
      <c r="U190" s="5"/>
      <c r="V190" s="5"/>
      <c r="W190" s="5"/>
    </row>
    <row r="191">
      <c r="A191" s="5"/>
      <c r="B191" s="3"/>
      <c r="C191" s="5"/>
      <c r="D191" s="5"/>
      <c r="E191" s="5"/>
      <c r="F191" s="5"/>
      <c r="G191" s="5"/>
      <c r="H191" s="5"/>
      <c r="I191" s="5"/>
      <c r="J191" s="5"/>
      <c r="K191" s="5"/>
      <c r="L191" s="5"/>
      <c r="M191" s="5"/>
      <c r="N191" s="5"/>
      <c r="O191" s="5"/>
      <c r="P191" s="5"/>
      <c r="Q191" s="5"/>
      <c r="R191" s="5"/>
      <c r="S191" s="5"/>
      <c r="T191" s="5"/>
      <c r="U191" s="5"/>
      <c r="V191" s="5"/>
      <c r="W191" s="5"/>
    </row>
    <row r="192">
      <c r="A192" s="5"/>
      <c r="B192" s="3"/>
      <c r="C192" s="5"/>
      <c r="D192" s="5"/>
      <c r="E192" s="5"/>
      <c r="F192" s="5"/>
      <c r="G192" s="5"/>
      <c r="H192" s="5"/>
      <c r="I192" s="5"/>
      <c r="J192" s="5"/>
      <c r="K192" s="5"/>
      <c r="L192" s="5"/>
      <c r="M192" s="5"/>
      <c r="N192" s="5"/>
      <c r="O192" s="5"/>
      <c r="P192" s="5"/>
      <c r="Q192" s="5"/>
      <c r="R192" s="5"/>
      <c r="S192" s="5"/>
      <c r="T192" s="5"/>
      <c r="U192" s="5"/>
      <c r="V192" s="5"/>
      <c r="W192" s="5"/>
    </row>
    <row r="193">
      <c r="A193" s="5"/>
      <c r="B193" s="3"/>
      <c r="C193" s="5"/>
      <c r="D193" s="5"/>
      <c r="E193" s="5"/>
      <c r="F193" s="5"/>
      <c r="G193" s="5"/>
      <c r="H193" s="5"/>
      <c r="I193" s="5"/>
      <c r="J193" s="5"/>
      <c r="K193" s="5"/>
      <c r="L193" s="5"/>
      <c r="M193" s="5"/>
      <c r="N193" s="5"/>
      <c r="O193" s="5"/>
      <c r="P193" s="5"/>
      <c r="Q193" s="5"/>
      <c r="R193" s="5"/>
      <c r="S193" s="5"/>
      <c r="T193" s="5"/>
      <c r="U193" s="5"/>
      <c r="V193" s="5"/>
      <c r="W193" s="5"/>
    </row>
    <row r="194">
      <c r="A194" s="5"/>
      <c r="B194" s="3"/>
      <c r="C194" s="5"/>
      <c r="D194" s="5"/>
      <c r="E194" s="5"/>
      <c r="F194" s="5"/>
      <c r="G194" s="5"/>
      <c r="H194" s="5"/>
      <c r="I194" s="5"/>
      <c r="J194" s="5"/>
      <c r="K194" s="5"/>
      <c r="L194" s="5"/>
      <c r="M194" s="5"/>
      <c r="N194" s="5"/>
      <c r="O194" s="5"/>
      <c r="P194" s="5"/>
      <c r="Q194" s="5"/>
      <c r="R194" s="5"/>
      <c r="S194" s="5"/>
      <c r="T194" s="5"/>
      <c r="U194" s="5"/>
      <c r="V194" s="5"/>
      <c r="W194" s="5"/>
    </row>
    <row r="195">
      <c r="A195" s="5"/>
      <c r="B195" s="3"/>
      <c r="C195" s="5"/>
      <c r="D195" s="5"/>
      <c r="E195" s="5"/>
      <c r="F195" s="5"/>
      <c r="G195" s="5"/>
      <c r="H195" s="5"/>
      <c r="I195" s="5"/>
      <c r="J195" s="5"/>
      <c r="K195" s="5"/>
      <c r="L195" s="5"/>
      <c r="M195" s="5"/>
      <c r="N195" s="5"/>
      <c r="O195" s="5"/>
      <c r="P195" s="5"/>
      <c r="Q195" s="5"/>
      <c r="R195" s="5"/>
      <c r="S195" s="5"/>
      <c r="T195" s="5"/>
      <c r="U195" s="5"/>
      <c r="V195" s="5"/>
      <c r="W195" s="5"/>
    </row>
    <row r="196">
      <c r="A196" s="5"/>
      <c r="B196" s="3"/>
      <c r="C196" s="5"/>
      <c r="D196" s="5"/>
      <c r="E196" s="5"/>
      <c r="F196" s="5"/>
      <c r="G196" s="5"/>
      <c r="H196" s="5"/>
      <c r="I196" s="5"/>
      <c r="J196" s="5"/>
      <c r="K196" s="5"/>
      <c r="L196" s="5"/>
      <c r="M196" s="5"/>
      <c r="N196" s="5"/>
      <c r="O196" s="5"/>
      <c r="P196" s="5"/>
      <c r="Q196" s="5"/>
      <c r="R196" s="5"/>
      <c r="S196" s="5"/>
      <c r="T196" s="5"/>
      <c r="U196" s="5"/>
      <c r="V196" s="5"/>
      <c r="W196" s="5"/>
    </row>
    <row r="197">
      <c r="A197" s="5"/>
      <c r="B197" s="3"/>
      <c r="C197" s="5"/>
      <c r="D197" s="5"/>
      <c r="E197" s="5"/>
      <c r="F197" s="5"/>
      <c r="G197" s="5"/>
      <c r="H197" s="5"/>
      <c r="I197" s="5"/>
      <c r="J197" s="5"/>
      <c r="K197" s="5"/>
      <c r="L197" s="5"/>
      <c r="M197" s="5"/>
      <c r="N197" s="5"/>
      <c r="O197" s="5"/>
      <c r="P197" s="5"/>
      <c r="Q197" s="5"/>
      <c r="R197" s="5"/>
      <c r="S197" s="5"/>
      <c r="T197" s="5"/>
      <c r="U197" s="5"/>
      <c r="V197" s="5"/>
      <c r="W197" s="5"/>
    </row>
    <row r="198">
      <c r="A198" s="5"/>
      <c r="B198" s="3"/>
      <c r="C198" s="5"/>
      <c r="D198" s="5"/>
      <c r="E198" s="5"/>
      <c r="F198" s="5"/>
      <c r="G198" s="5"/>
      <c r="H198" s="5"/>
      <c r="I198" s="5"/>
      <c r="J198" s="5"/>
      <c r="K198" s="5"/>
      <c r="L198" s="5"/>
      <c r="M198" s="5"/>
      <c r="N198" s="5"/>
      <c r="O198" s="5"/>
      <c r="P198" s="5"/>
      <c r="Q198" s="5"/>
      <c r="R198" s="5"/>
      <c r="S198" s="5"/>
      <c r="T198" s="5"/>
      <c r="U198" s="5"/>
      <c r="V198" s="5"/>
      <c r="W198" s="5"/>
    </row>
    <row r="199">
      <c r="A199" s="5"/>
      <c r="B199" s="3"/>
      <c r="C199" s="5"/>
      <c r="D199" s="5"/>
      <c r="E199" s="5"/>
      <c r="F199" s="5"/>
      <c r="G199" s="5"/>
      <c r="H199" s="5"/>
      <c r="I199" s="5"/>
      <c r="J199" s="5"/>
      <c r="K199" s="5"/>
      <c r="L199" s="5"/>
      <c r="M199" s="5"/>
      <c r="N199" s="5"/>
      <c r="O199" s="5"/>
      <c r="P199" s="5"/>
      <c r="Q199" s="5"/>
      <c r="R199" s="5"/>
      <c r="S199" s="5"/>
      <c r="T199" s="5"/>
      <c r="U199" s="5"/>
      <c r="V199" s="5"/>
      <c r="W199" s="5"/>
    </row>
    <row r="200">
      <c r="A200" s="5"/>
      <c r="B200" s="3"/>
      <c r="C200" s="5"/>
      <c r="D200" s="5"/>
      <c r="E200" s="5"/>
      <c r="F200" s="5"/>
      <c r="G200" s="5"/>
      <c r="H200" s="5"/>
      <c r="I200" s="5"/>
      <c r="J200" s="5"/>
      <c r="K200" s="5"/>
      <c r="L200" s="5"/>
      <c r="M200" s="5"/>
      <c r="N200" s="5"/>
      <c r="O200" s="5"/>
      <c r="P200" s="5"/>
      <c r="Q200" s="5"/>
      <c r="R200" s="5"/>
      <c r="S200" s="5"/>
      <c r="T200" s="5"/>
      <c r="U200" s="5"/>
      <c r="V200" s="5"/>
      <c r="W200" s="5"/>
    </row>
    <row r="201">
      <c r="A201" s="5"/>
      <c r="B201" s="3"/>
      <c r="C201" s="5"/>
      <c r="D201" s="5"/>
      <c r="E201" s="5"/>
      <c r="F201" s="5"/>
      <c r="G201" s="5"/>
      <c r="H201" s="5"/>
      <c r="I201" s="5"/>
      <c r="J201" s="5"/>
      <c r="K201" s="5"/>
      <c r="L201" s="5"/>
      <c r="M201" s="5"/>
      <c r="N201" s="5"/>
      <c r="O201" s="5"/>
      <c r="P201" s="5"/>
      <c r="Q201" s="5"/>
      <c r="R201" s="5"/>
      <c r="S201" s="5"/>
      <c r="T201" s="5"/>
      <c r="U201" s="5"/>
      <c r="V201" s="5"/>
      <c r="W201" s="5"/>
    </row>
    <row r="202">
      <c r="A202" s="5"/>
      <c r="B202" s="3"/>
      <c r="C202" s="5"/>
      <c r="D202" s="5"/>
      <c r="E202" s="5"/>
      <c r="F202" s="5"/>
      <c r="G202" s="5"/>
      <c r="H202" s="5"/>
      <c r="I202" s="5"/>
      <c r="J202" s="5"/>
      <c r="K202" s="5"/>
      <c r="L202" s="5"/>
      <c r="M202" s="5"/>
      <c r="N202" s="5"/>
      <c r="O202" s="5"/>
      <c r="P202" s="5"/>
      <c r="Q202" s="5"/>
      <c r="R202" s="5"/>
      <c r="S202" s="5"/>
      <c r="T202" s="5"/>
      <c r="U202" s="5"/>
      <c r="V202" s="5"/>
      <c r="W202" s="5"/>
    </row>
    <row r="203">
      <c r="A203" s="5"/>
      <c r="B203" s="3"/>
      <c r="C203" s="5"/>
      <c r="D203" s="5"/>
      <c r="E203" s="5"/>
      <c r="F203" s="5"/>
      <c r="G203" s="5"/>
      <c r="H203" s="5"/>
      <c r="I203" s="5"/>
      <c r="J203" s="5"/>
      <c r="K203" s="5"/>
      <c r="L203" s="5"/>
      <c r="M203" s="5"/>
      <c r="N203" s="5"/>
      <c r="O203" s="5"/>
      <c r="P203" s="5"/>
      <c r="Q203" s="5"/>
      <c r="R203" s="5"/>
      <c r="S203" s="5"/>
      <c r="T203" s="5"/>
      <c r="U203" s="5"/>
      <c r="V203" s="5"/>
      <c r="W203" s="5"/>
    </row>
    <row r="204">
      <c r="A204" s="5"/>
      <c r="B204" s="3"/>
      <c r="C204" s="5"/>
      <c r="D204" s="5"/>
      <c r="E204" s="5"/>
      <c r="F204" s="5"/>
      <c r="G204" s="5"/>
      <c r="H204" s="5"/>
      <c r="I204" s="5"/>
      <c r="J204" s="5"/>
      <c r="K204" s="5"/>
      <c r="L204" s="5"/>
      <c r="M204" s="5"/>
      <c r="N204" s="5"/>
      <c r="O204" s="5"/>
      <c r="P204" s="5"/>
      <c r="Q204" s="5"/>
      <c r="R204" s="5"/>
      <c r="S204" s="5"/>
      <c r="T204" s="5"/>
      <c r="U204" s="5"/>
      <c r="V204" s="5"/>
      <c r="W204" s="5"/>
    </row>
    <row r="205">
      <c r="A205" s="5"/>
      <c r="B205" s="3"/>
      <c r="C205" s="5"/>
      <c r="D205" s="5"/>
      <c r="E205" s="5"/>
      <c r="F205" s="5"/>
      <c r="G205" s="5"/>
      <c r="H205" s="5"/>
      <c r="I205" s="5"/>
      <c r="J205" s="5"/>
      <c r="K205" s="5"/>
      <c r="L205" s="5"/>
      <c r="M205" s="5"/>
      <c r="N205" s="5"/>
      <c r="O205" s="5"/>
      <c r="P205" s="5"/>
      <c r="Q205" s="5"/>
      <c r="R205" s="5"/>
      <c r="S205" s="5"/>
      <c r="T205" s="5"/>
      <c r="U205" s="5"/>
      <c r="V205" s="5"/>
      <c r="W205" s="5"/>
    </row>
    <row r="206">
      <c r="A206" s="5"/>
      <c r="B206" s="3"/>
      <c r="C206" s="5"/>
      <c r="D206" s="5"/>
      <c r="E206" s="5"/>
      <c r="F206" s="5"/>
      <c r="G206" s="5"/>
      <c r="H206" s="5"/>
      <c r="I206" s="5"/>
      <c r="J206" s="5"/>
      <c r="K206" s="5"/>
      <c r="L206" s="5"/>
      <c r="M206" s="5"/>
      <c r="N206" s="5"/>
      <c r="O206" s="5"/>
      <c r="P206" s="5"/>
      <c r="Q206" s="5"/>
      <c r="R206" s="5"/>
      <c r="S206" s="5"/>
      <c r="T206" s="5"/>
      <c r="U206" s="5"/>
      <c r="V206" s="5"/>
      <c r="W206" s="5"/>
    </row>
    <row r="207">
      <c r="A207" s="5"/>
      <c r="B207" s="3"/>
      <c r="C207" s="5"/>
      <c r="D207" s="5"/>
      <c r="E207" s="5"/>
      <c r="F207" s="5"/>
      <c r="G207" s="5"/>
      <c r="H207" s="5"/>
      <c r="I207" s="5"/>
      <c r="J207" s="5"/>
      <c r="K207" s="5"/>
      <c r="L207" s="5"/>
      <c r="M207" s="5"/>
      <c r="N207" s="5"/>
      <c r="O207" s="5"/>
      <c r="P207" s="5"/>
      <c r="Q207" s="5"/>
      <c r="R207" s="5"/>
      <c r="S207" s="5"/>
      <c r="T207" s="5"/>
      <c r="U207" s="5"/>
      <c r="V207" s="5"/>
      <c r="W207" s="5"/>
    </row>
    <row r="208">
      <c r="A208" s="5"/>
      <c r="B208" s="3"/>
      <c r="C208" s="5"/>
      <c r="D208" s="5"/>
      <c r="E208" s="5"/>
      <c r="F208" s="5"/>
      <c r="G208" s="5"/>
      <c r="H208" s="5"/>
      <c r="I208" s="5"/>
      <c r="J208" s="5"/>
      <c r="K208" s="5"/>
      <c r="L208" s="5"/>
      <c r="M208" s="5"/>
      <c r="N208" s="5"/>
      <c r="O208" s="5"/>
      <c r="P208" s="5"/>
      <c r="Q208" s="5"/>
      <c r="R208" s="5"/>
      <c r="S208" s="5"/>
      <c r="T208" s="5"/>
      <c r="U208" s="5"/>
      <c r="V208" s="5"/>
      <c r="W208" s="5"/>
    </row>
    <row r="209">
      <c r="A209" s="5"/>
      <c r="B209" s="3"/>
      <c r="C209" s="5"/>
      <c r="D209" s="5"/>
      <c r="E209" s="5"/>
      <c r="F209" s="5"/>
      <c r="G209" s="5"/>
      <c r="H209" s="5"/>
      <c r="I209" s="5"/>
      <c r="J209" s="5"/>
      <c r="K209" s="5"/>
      <c r="L209" s="5"/>
      <c r="M209" s="5"/>
      <c r="N209" s="5"/>
      <c r="O209" s="5"/>
      <c r="P209" s="5"/>
      <c r="Q209" s="5"/>
      <c r="R209" s="5"/>
      <c r="S209" s="5"/>
      <c r="T209" s="5"/>
      <c r="U209" s="5"/>
      <c r="V209" s="5"/>
      <c r="W209" s="5"/>
    </row>
    <row r="210">
      <c r="A210" s="5"/>
      <c r="B210" s="3"/>
      <c r="C210" s="5"/>
      <c r="D210" s="5"/>
      <c r="E210" s="5"/>
      <c r="F210" s="5"/>
      <c r="G210" s="5"/>
      <c r="H210" s="5"/>
      <c r="I210" s="5"/>
      <c r="J210" s="5"/>
      <c r="K210" s="5"/>
      <c r="L210" s="5"/>
      <c r="M210" s="5"/>
      <c r="N210" s="5"/>
      <c r="O210" s="5"/>
      <c r="P210" s="5"/>
      <c r="Q210" s="5"/>
      <c r="R210" s="5"/>
      <c r="S210" s="5"/>
      <c r="T210" s="5"/>
      <c r="U210" s="5"/>
      <c r="V210" s="5"/>
      <c r="W210" s="5"/>
    </row>
    <row r="211">
      <c r="A211" s="5"/>
      <c r="B211" s="3"/>
      <c r="C211" s="5"/>
      <c r="D211" s="5"/>
      <c r="E211" s="5"/>
      <c r="F211" s="5"/>
      <c r="G211" s="5"/>
      <c r="H211" s="5"/>
      <c r="I211" s="5"/>
      <c r="J211" s="5"/>
      <c r="K211" s="5"/>
      <c r="L211" s="5"/>
      <c r="M211" s="5"/>
      <c r="N211" s="5"/>
      <c r="O211" s="5"/>
      <c r="P211" s="5"/>
      <c r="Q211" s="5"/>
      <c r="R211" s="5"/>
      <c r="S211" s="5"/>
      <c r="T211" s="5"/>
      <c r="U211" s="5"/>
      <c r="V211" s="5"/>
      <c r="W211" s="5"/>
    </row>
    <row r="212">
      <c r="A212" s="5"/>
      <c r="B212" s="3"/>
      <c r="C212" s="5"/>
      <c r="D212" s="5"/>
      <c r="E212" s="5"/>
      <c r="F212" s="5"/>
      <c r="G212" s="5"/>
      <c r="H212" s="5"/>
      <c r="I212" s="5"/>
      <c r="J212" s="5"/>
      <c r="K212" s="5"/>
      <c r="L212" s="5"/>
      <c r="M212" s="5"/>
      <c r="N212" s="5"/>
      <c r="O212" s="5"/>
      <c r="P212" s="5"/>
      <c r="Q212" s="5"/>
      <c r="R212" s="5"/>
      <c r="S212" s="5"/>
      <c r="T212" s="5"/>
      <c r="U212" s="5"/>
      <c r="V212" s="5"/>
      <c r="W212" s="5"/>
    </row>
    <row r="213">
      <c r="A213" s="5"/>
      <c r="B213" s="3"/>
      <c r="C213" s="5"/>
      <c r="D213" s="5"/>
      <c r="E213" s="5"/>
      <c r="F213" s="5"/>
      <c r="G213" s="5"/>
      <c r="H213" s="5"/>
      <c r="I213" s="5"/>
      <c r="J213" s="5"/>
      <c r="K213" s="5"/>
      <c r="L213" s="5"/>
      <c r="M213" s="5"/>
      <c r="N213" s="5"/>
      <c r="O213" s="5"/>
      <c r="P213" s="5"/>
      <c r="Q213" s="5"/>
      <c r="R213" s="5"/>
      <c r="S213" s="5"/>
      <c r="T213" s="5"/>
      <c r="U213" s="5"/>
      <c r="V213" s="5"/>
      <c r="W213" s="5"/>
    </row>
    <row r="214">
      <c r="A214" s="5"/>
      <c r="B214" s="3"/>
      <c r="C214" s="5"/>
      <c r="D214" s="5"/>
      <c r="E214" s="5"/>
      <c r="F214" s="5"/>
      <c r="G214" s="5"/>
      <c r="H214" s="5"/>
      <c r="I214" s="5"/>
      <c r="J214" s="5"/>
      <c r="K214" s="5"/>
      <c r="L214" s="5"/>
      <c r="M214" s="5"/>
      <c r="N214" s="5"/>
      <c r="O214" s="5"/>
      <c r="P214" s="5"/>
      <c r="Q214" s="5"/>
      <c r="R214" s="5"/>
      <c r="S214" s="5"/>
      <c r="T214" s="5"/>
      <c r="U214" s="5"/>
      <c r="V214" s="5"/>
      <c r="W214" s="5"/>
    </row>
    <row r="215">
      <c r="A215" s="5"/>
      <c r="B215" s="3"/>
      <c r="C215" s="5"/>
      <c r="D215" s="5"/>
      <c r="E215" s="5"/>
      <c r="F215" s="5"/>
      <c r="G215" s="5"/>
      <c r="H215" s="5"/>
      <c r="I215" s="5"/>
      <c r="J215" s="5"/>
      <c r="K215" s="5"/>
      <c r="L215" s="5"/>
      <c r="M215" s="5"/>
      <c r="N215" s="5"/>
      <c r="O215" s="5"/>
      <c r="P215" s="5"/>
      <c r="Q215" s="5"/>
      <c r="R215" s="5"/>
      <c r="S215" s="5"/>
      <c r="T215" s="5"/>
      <c r="U215" s="5"/>
      <c r="V215" s="5"/>
      <c r="W215" s="5"/>
    </row>
    <row r="216">
      <c r="A216" s="5"/>
      <c r="B216" s="3"/>
      <c r="C216" s="5"/>
      <c r="D216" s="5"/>
      <c r="E216" s="5"/>
      <c r="F216" s="5"/>
      <c r="G216" s="5"/>
      <c r="H216" s="5"/>
      <c r="I216" s="5"/>
      <c r="J216" s="5"/>
      <c r="K216" s="5"/>
      <c r="L216" s="5"/>
      <c r="M216" s="5"/>
      <c r="N216" s="5"/>
      <c r="O216" s="5"/>
      <c r="P216" s="5"/>
      <c r="Q216" s="5"/>
      <c r="R216" s="5"/>
      <c r="S216" s="5"/>
      <c r="T216" s="5"/>
      <c r="U216" s="5"/>
      <c r="V216" s="5"/>
      <c r="W216" s="5"/>
    </row>
    <row r="217">
      <c r="A217" s="5"/>
      <c r="B217" s="3"/>
      <c r="C217" s="5"/>
      <c r="D217" s="5"/>
      <c r="E217" s="5"/>
      <c r="F217" s="5"/>
      <c r="G217" s="5"/>
      <c r="H217" s="5"/>
      <c r="I217" s="5"/>
      <c r="J217" s="5"/>
      <c r="K217" s="5"/>
      <c r="L217" s="5"/>
      <c r="M217" s="5"/>
      <c r="N217" s="5"/>
      <c r="O217" s="5"/>
      <c r="P217" s="5"/>
      <c r="Q217" s="5"/>
      <c r="R217" s="5"/>
      <c r="S217" s="5"/>
      <c r="T217" s="5"/>
      <c r="U217" s="5"/>
      <c r="V217" s="5"/>
      <c r="W217" s="5"/>
    </row>
    <row r="218">
      <c r="A218" s="5"/>
      <c r="B218" s="3"/>
      <c r="C218" s="5"/>
      <c r="D218" s="5"/>
      <c r="E218" s="5"/>
      <c r="F218" s="5"/>
      <c r="G218" s="5"/>
      <c r="H218" s="5"/>
      <c r="I218" s="5"/>
      <c r="J218" s="5"/>
      <c r="K218" s="5"/>
      <c r="L218" s="5"/>
      <c r="M218" s="5"/>
      <c r="N218" s="5"/>
      <c r="O218" s="5"/>
      <c r="P218" s="5"/>
      <c r="Q218" s="5"/>
      <c r="R218" s="5"/>
      <c r="S218" s="5"/>
      <c r="T218" s="5"/>
      <c r="U218" s="5"/>
      <c r="V218" s="5"/>
      <c r="W218" s="5"/>
    </row>
    <row r="219">
      <c r="A219" s="5"/>
      <c r="B219" s="3"/>
      <c r="C219" s="5"/>
      <c r="D219" s="5"/>
      <c r="E219" s="5"/>
      <c r="F219" s="5"/>
      <c r="G219" s="5"/>
      <c r="H219" s="5"/>
      <c r="I219" s="5"/>
      <c r="J219" s="5"/>
      <c r="K219" s="5"/>
      <c r="L219" s="5"/>
      <c r="M219" s="5"/>
      <c r="N219" s="5"/>
      <c r="O219" s="5"/>
      <c r="P219" s="5"/>
      <c r="Q219" s="5"/>
      <c r="R219" s="5"/>
      <c r="S219" s="5"/>
      <c r="T219" s="5"/>
      <c r="U219" s="5"/>
      <c r="V219" s="5"/>
      <c r="W219" s="5"/>
    </row>
    <row r="220">
      <c r="A220" s="5"/>
      <c r="B220" s="3"/>
      <c r="C220" s="5"/>
      <c r="D220" s="5"/>
      <c r="E220" s="5"/>
      <c r="F220" s="5"/>
      <c r="G220" s="5"/>
      <c r="H220" s="5"/>
      <c r="I220" s="5"/>
      <c r="J220" s="5"/>
      <c r="K220" s="5"/>
      <c r="L220" s="5"/>
      <c r="M220" s="5"/>
      <c r="N220" s="5"/>
      <c r="O220" s="5"/>
      <c r="P220" s="5"/>
      <c r="Q220" s="5"/>
      <c r="R220" s="5"/>
      <c r="S220" s="5"/>
      <c r="T220" s="5"/>
      <c r="U220" s="5"/>
      <c r="V220" s="5"/>
      <c r="W220" s="5"/>
    </row>
    <row r="221">
      <c r="A221" s="5"/>
      <c r="B221" s="3"/>
      <c r="C221" s="5"/>
      <c r="D221" s="5"/>
      <c r="E221" s="5"/>
      <c r="F221" s="5"/>
      <c r="G221" s="5"/>
      <c r="H221" s="5"/>
      <c r="I221" s="5"/>
      <c r="J221" s="5"/>
      <c r="K221" s="5"/>
      <c r="L221" s="5"/>
      <c r="M221" s="5"/>
      <c r="N221" s="5"/>
      <c r="O221" s="5"/>
      <c r="P221" s="5"/>
      <c r="Q221" s="5"/>
      <c r="R221" s="5"/>
      <c r="S221" s="5"/>
      <c r="T221" s="5"/>
      <c r="U221" s="5"/>
      <c r="V221" s="5"/>
      <c r="W221" s="5"/>
    </row>
    <row r="222">
      <c r="A222" s="5"/>
      <c r="B222" s="3"/>
      <c r="C222" s="5"/>
      <c r="D222" s="5"/>
      <c r="E222" s="5"/>
      <c r="F222" s="5"/>
      <c r="G222" s="5"/>
      <c r="H222" s="5"/>
      <c r="I222" s="5"/>
      <c r="J222" s="5"/>
      <c r="K222" s="5"/>
      <c r="L222" s="5"/>
      <c r="M222" s="5"/>
      <c r="N222" s="5"/>
      <c r="O222" s="5"/>
      <c r="P222" s="5"/>
      <c r="Q222" s="5"/>
      <c r="R222" s="5"/>
      <c r="S222" s="5"/>
      <c r="T222" s="5"/>
      <c r="U222" s="5"/>
      <c r="V222" s="5"/>
      <c r="W222" s="5"/>
    </row>
    <row r="223">
      <c r="A223" s="5"/>
      <c r="B223" s="3"/>
      <c r="C223" s="5"/>
      <c r="D223" s="5"/>
      <c r="E223" s="5"/>
      <c r="F223" s="5"/>
      <c r="G223" s="5"/>
      <c r="H223" s="5"/>
      <c r="I223" s="5"/>
      <c r="J223" s="5"/>
      <c r="K223" s="5"/>
      <c r="L223" s="5"/>
      <c r="M223" s="5"/>
      <c r="N223" s="5"/>
      <c r="O223" s="5"/>
      <c r="P223" s="5"/>
      <c r="Q223" s="5"/>
      <c r="R223" s="5"/>
      <c r="S223" s="5"/>
      <c r="T223" s="5"/>
      <c r="U223" s="5"/>
      <c r="V223" s="5"/>
      <c r="W223" s="5"/>
    </row>
    <row r="224">
      <c r="A224" s="5"/>
      <c r="B224" s="3"/>
      <c r="C224" s="5"/>
      <c r="D224" s="5"/>
      <c r="E224" s="5"/>
      <c r="F224" s="5"/>
      <c r="G224" s="5"/>
      <c r="H224" s="5"/>
      <c r="I224" s="5"/>
      <c r="J224" s="5"/>
      <c r="K224" s="5"/>
      <c r="L224" s="5"/>
      <c r="M224" s="5"/>
      <c r="N224" s="5"/>
      <c r="O224" s="5"/>
      <c r="P224" s="5"/>
      <c r="Q224" s="5"/>
      <c r="R224" s="5"/>
      <c r="S224" s="5"/>
      <c r="T224" s="5"/>
      <c r="U224" s="5"/>
      <c r="V224" s="5"/>
      <c r="W224" s="5"/>
    </row>
    <row r="225">
      <c r="A225" s="5"/>
      <c r="B225" s="3"/>
      <c r="C225" s="5"/>
      <c r="D225" s="5"/>
      <c r="E225" s="5"/>
      <c r="F225" s="5"/>
      <c r="G225" s="5"/>
      <c r="H225" s="5"/>
      <c r="I225" s="5"/>
      <c r="J225" s="5"/>
      <c r="K225" s="5"/>
      <c r="L225" s="5"/>
      <c r="M225" s="5"/>
      <c r="N225" s="5"/>
      <c r="O225" s="5"/>
      <c r="P225" s="5"/>
      <c r="Q225" s="5"/>
      <c r="R225" s="5"/>
      <c r="S225" s="5"/>
      <c r="T225" s="5"/>
      <c r="U225" s="5"/>
      <c r="V225" s="5"/>
      <c r="W225" s="5"/>
    </row>
    <row r="226">
      <c r="A226" s="5"/>
      <c r="B226" s="3"/>
      <c r="C226" s="5"/>
      <c r="D226" s="5"/>
      <c r="E226" s="5"/>
      <c r="F226" s="5"/>
      <c r="G226" s="5"/>
      <c r="H226" s="5"/>
      <c r="I226" s="5"/>
      <c r="J226" s="5"/>
      <c r="K226" s="5"/>
      <c r="L226" s="5"/>
      <c r="M226" s="5"/>
      <c r="N226" s="5"/>
      <c r="O226" s="5"/>
      <c r="P226" s="5"/>
      <c r="Q226" s="5"/>
      <c r="R226" s="5"/>
      <c r="S226" s="5"/>
      <c r="T226" s="5"/>
      <c r="U226" s="5"/>
      <c r="V226" s="5"/>
      <c r="W226" s="5"/>
    </row>
    <row r="227">
      <c r="A227" s="5"/>
      <c r="B227" s="3"/>
      <c r="C227" s="5"/>
      <c r="D227" s="5"/>
      <c r="E227" s="5"/>
      <c r="F227" s="5"/>
      <c r="G227" s="5"/>
      <c r="H227" s="5"/>
      <c r="I227" s="5"/>
      <c r="J227" s="5"/>
      <c r="K227" s="5"/>
      <c r="L227" s="5"/>
      <c r="M227" s="5"/>
      <c r="N227" s="5"/>
      <c r="O227" s="5"/>
      <c r="P227" s="5"/>
      <c r="Q227" s="5"/>
      <c r="R227" s="5"/>
      <c r="S227" s="5"/>
      <c r="T227" s="5"/>
      <c r="U227" s="5"/>
      <c r="V227" s="5"/>
      <c r="W227" s="5"/>
    </row>
    <row r="228">
      <c r="A228" s="5"/>
      <c r="B228" s="3"/>
      <c r="C228" s="5"/>
      <c r="D228" s="5"/>
      <c r="E228" s="5"/>
      <c r="F228" s="5"/>
      <c r="G228" s="5"/>
      <c r="H228" s="5"/>
      <c r="I228" s="5"/>
      <c r="J228" s="5"/>
      <c r="K228" s="5"/>
      <c r="L228" s="5"/>
      <c r="M228" s="5"/>
      <c r="N228" s="5"/>
      <c r="O228" s="5"/>
      <c r="P228" s="5"/>
      <c r="Q228" s="5"/>
      <c r="R228" s="5"/>
      <c r="S228" s="5"/>
      <c r="T228" s="5"/>
      <c r="U228" s="5"/>
      <c r="V228" s="5"/>
      <c r="W228" s="5"/>
    </row>
    <row r="229">
      <c r="A229" s="5"/>
      <c r="B229" s="3"/>
      <c r="C229" s="5"/>
      <c r="D229" s="5"/>
      <c r="E229" s="5"/>
      <c r="F229" s="5"/>
      <c r="G229" s="5"/>
      <c r="H229" s="5"/>
      <c r="I229" s="5"/>
      <c r="J229" s="5"/>
      <c r="K229" s="5"/>
      <c r="L229" s="5"/>
      <c r="M229" s="5"/>
      <c r="N229" s="5"/>
      <c r="O229" s="5"/>
      <c r="P229" s="5"/>
      <c r="Q229" s="5"/>
      <c r="R229" s="5"/>
      <c r="S229" s="5"/>
      <c r="T229" s="5"/>
      <c r="U229" s="5"/>
      <c r="V229" s="5"/>
      <c r="W229" s="5"/>
    </row>
    <row r="230">
      <c r="A230" s="5"/>
      <c r="B230" s="3"/>
      <c r="C230" s="5"/>
      <c r="D230" s="5"/>
      <c r="E230" s="5"/>
      <c r="F230" s="5"/>
      <c r="G230" s="5"/>
      <c r="H230" s="5"/>
      <c r="I230" s="5"/>
      <c r="J230" s="5"/>
      <c r="K230" s="5"/>
      <c r="L230" s="5"/>
      <c r="M230" s="5"/>
      <c r="N230" s="5"/>
      <c r="O230" s="5"/>
      <c r="P230" s="5"/>
      <c r="Q230" s="5"/>
      <c r="R230" s="5"/>
      <c r="S230" s="5"/>
      <c r="T230" s="5"/>
      <c r="U230" s="5"/>
      <c r="V230" s="5"/>
      <c r="W230" s="5"/>
    </row>
    <row r="231">
      <c r="A231" s="3"/>
      <c r="B231" s="3"/>
      <c r="C231" s="5"/>
      <c r="D231" s="3"/>
      <c r="E231" s="5"/>
      <c r="F231" s="5"/>
      <c r="G231" s="5"/>
      <c r="H231" s="5"/>
      <c r="I231" s="5"/>
      <c r="J231" s="5"/>
      <c r="K231" s="5"/>
      <c r="L231" s="5"/>
      <c r="M231" s="5"/>
      <c r="N231" s="5"/>
      <c r="O231" s="5"/>
      <c r="P231" s="5"/>
      <c r="Q231" s="5"/>
      <c r="R231" s="5"/>
      <c r="S231" s="5"/>
      <c r="T231" s="5"/>
      <c r="U231" s="5"/>
      <c r="V231" s="5"/>
      <c r="W231" s="5"/>
    </row>
    <row r="232">
      <c r="A232" s="5"/>
      <c r="B232" s="3"/>
      <c r="C232" s="5"/>
      <c r="D232" s="3"/>
      <c r="E232" s="5"/>
      <c r="F232" s="5"/>
      <c r="G232" s="5"/>
      <c r="H232" s="5"/>
      <c r="I232" s="5"/>
      <c r="J232" s="5"/>
      <c r="K232" s="5"/>
      <c r="L232" s="5"/>
      <c r="M232" s="5"/>
      <c r="N232" s="5"/>
      <c r="O232" s="5"/>
      <c r="P232" s="5"/>
      <c r="Q232" s="5"/>
      <c r="R232" s="5"/>
      <c r="S232" s="5"/>
      <c r="T232" s="5"/>
      <c r="U232" s="5"/>
      <c r="V232" s="5"/>
      <c r="W232" s="5"/>
    </row>
    <row r="233">
      <c r="A233" s="3"/>
      <c r="B233" s="3"/>
      <c r="C233" s="5"/>
      <c r="D233" s="3"/>
      <c r="E233" s="5"/>
      <c r="F233" s="5"/>
      <c r="G233" s="5"/>
      <c r="H233" s="5"/>
      <c r="I233" s="5"/>
      <c r="J233" s="5"/>
      <c r="K233" s="5"/>
      <c r="L233" s="5"/>
      <c r="M233" s="5"/>
      <c r="N233" s="5"/>
      <c r="O233" s="5"/>
      <c r="P233" s="5"/>
      <c r="Q233" s="5"/>
      <c r="R233" s="5"/>
      <c r="S233" s="5"/>
      <c r="T233" s="5"/>
      <c r="U233" s="5"/>
      <c r="V233" s="5"/>
      <c r="W233" s="5"/>
    </row>
    <row r="234">
      <c r="A234" s="5"/>
      <c r="B234" s="3"/>
      <c r="C234" s="5"/>
      <c r="D234" s="3"/>
      <c r="E234" s="5"/>
      <c r="F234" s="5"/>
      <c r="G234" s="5"/>
      <c r="H234" s="5"/>
      <c r="I234" s="5"/>
      <c r="J234" s="5"/>
      <c r="K234" s="5"/>
      <c r="L234" s="5"/>
      <c r="M234" s="5"/>
      <c r="N234" s="5"/>
      <c r="O234" s="5"/>
      <c r="P234" s="5"/>
      <c r="Q234" s="5"/>
      <c r="R234" s="5"/>
      <c r="S234" s="5"/>
      <c r="T234" s="5"/>
      <c r="U234" s="5"/>
      <c r="V234" s="5"/>
      <c r="W234" s="5"/>
    </row>
    <row r="235">
      <c r="A235" s="5"/>
      <c r="B235" s="3"/>
      <c r="C235" s="5"/>
      <c r="D235" s="3"/>
      <c r="E235" s="5"/>
      <c r="F235" s="5"/>
      <c r="G235" s="5"/>
      <c r="H235" s="5"/>
      <c r="I235" s="5"/>
      <c r="J235" s="5"/>
      <c r="K235" s="5"/>
      <c r="L235" s="5"/>
      <c r="M235" s="5"/>
      <c r="N235" s="5"/>
      <c r="O235" s="5"/>
      <c r="P235" s="5"/>
      <c r="Q235" s="5"/>
      <c r="R235" s="5"/>
      <c r="S235" s="5"/>
      <c r="T235" s="5"/>
      <c r="U235" s="5"/>
      <c r="V235" s="5"/>
      <c r="W235" s="5"/>
    </row>
    <row r="236">
      <c r="A236" s="3"/>
      <c r="B236" s="3"/>
      <c r="C236" s="5"/>
      <c r="D236" s="3"/>
      <c r="E236" s="5"/>
      <c r="F236" s="5"/>
      <c r="G236" s="5"/>
      <c r="H236" s="5"/>
      <c r="I236" s="5"/>
      <c r="J236" s="5"/>
      <c r="K236" s="5"/>
      <c r="L236" s="5"/>
      <c r="M236" s="5"/>
      <c r="N236" s="5"/>
      <c r="O236" s="5"/>
      <c r="P236" s="5"/>
      <c r="Q236" s="5"/>
      <c r="R236" s="5"/>
      <c r="S236" s="5"/>
      <c r="T236" s="5"/>
      <c r="U236" s="5"/>
      <c r="V236" s="5"/>
      <c r="W236" s="5"/>
    </row>
    <row r="237">
      <c r="A237" s="3"/>
      <c r="B237" s="3"/>
      <c r="C237" s="5"/>
      <c r="D237" s="3"/>
      <c r="E237" s="5"/>
      <c r="F237" s="5"/>
      <c r="G237" s="5"/>
      <c r="H237" s="5"/>
      <c r="I237" s="5"/>
      <c r="J237" s="5"/>
      <c r="K237" s="5"/>
      <c r="L237" s="5"/>
      <c r="M237" s="5"/>
      <c r="N237" s="5"/>
      <c r="O237" s="5"/>
      <c r="P237" s="5"/>
      <c r="Q237" s="5"/>
      <c r="R237" s="5"/>
      <c r="S237" s="5"/>
      <c r="T237" s="5"/>
      <c r="U237" s="5"/>
      <c r="V237" s="5"/>
      <c r="W237" s="5"/>
    </row>
    <row r="238">
      <c r="A238" s="3"/>
      <c r="B238" s="3"/>
      <c r="C238" s="5"/>
      <c r="D238" s="3"/>
      <c r="E238" s="5"/>
      <c r="F238" s="5"/>
      <c r="G238" s="5"/>
      <c r="H238" s="5"/>
      <c r="I238" s="5"/>
      <c r="J238" s="5"/>
      <c r="K238" s="5"/>
      <c r="L238" s="5"/>
      <c r="M238" s="5"/>
      <c r="N238" s="5"/>
      <c r="O238" s="5"/>
      <c r="P238" s="5"/>
      <c r="Q238" s="5"/>
      <c r="R238" s="5"/>
      <c r="S238" s="5"/>
      <c r="T238" s="5"/>
      <c r="U238" s="5"/>
      <c r="V238" s="5"/>
      <c r="W238" s="5"/>
    </row>
    <row r="239">
      <c r="A239" s="5"/>
      <c r="B239" s="3"/>
      <c r="C239" s="5"/>
      <c r="D239" s="5"/>
      <c r="E239" s="5"/>
      <c r="F239" s="5"/>
      <c r="G239" s="5"/>
      <c r="H239" s="5"/>
      <c r="I239" s="5"/>
      <c r="J239" s="5"/>
      <c r="K239" s="5"/>
      <c r="L239" s="5"/>
      <c r="M239" s="5"/>
      <c r="N239" s="5"/>
      <c r="O239" s="5"/>
      <c r="P239" s="5"/>
      <c r="Q239" s="5"/>
      <c r="R239" s="5"/>
      <c r="S239" s="5"/>
      <c r="T239" s="5"/>
      <c r="U239" s="5"/>
      <c r="V239" s="5"/>
      <c r="W239" s="5"/>
    </row>
    <row r="240">
      <c r="A240" s="3"/>
      <c r="B240" s="3"/>
      <c r="C240" s="5"/>
      <c r="D240" s="3"/>
      <c r="E240" s="5"/>
      <c r="F240" s="5"/>
      <c r="G240" s="5"/>
      <c r="H240" s="5"/>
      <c r="I240" s="5"/>
      <c r="J240" s="5"/>
      <c r="K240" s="5"/>
      <c r="L240" s="5"/>
      <c r="M240" s="5"/>
      <c r="N240" s="5"/>
      <c r="O240" s="5"/>
      <c r="P240" s="5"/>
      <c r="Q240" s="5"/>
      <c r="R240" s="5"/>
      <c r="S240" s="5"/>
      <c r="T240" s="5"/>
      <c r="U240" s="5"/>
      <c r="V240" s="5"/>
      <c r="W240" s="5"/>
    </row>
    <row r="241">
      <c r="A241" s="5"/>
      <c r="B241" s="3"/>
      <c r="C241" s="5"/>
      <c r="D241" s="3"/>
      <c r="E241" s="5"/>
      <c r="F241" s="5"/>
      <c r="G241" s="5"/>
      <c r="H241" s="5"/>
      <c r="I241" s="5"/>
      <c r="J241" s="5"/>
      <c r="K241" s="5"/>
      <c r="L241" s="5"/>
      <c r="M241" s="5"/>
      <c r="N241" s="5"/>
      <c r="O241" s="5"/>
      <c r="P241" s="5"/>
      <c r="Q241" s="5"/>
      <c r="R241" s="5"/>
      <c r="S241" s="5"/>
      <c r="T241" s="5"/>
      <c r="U241" s="5"/>
      <c r="V241" s="5"/>
      <c r="W241" s="5"/>
    </row>
    <row r="242">
      <c r="A242" s="5"/>
      <c r="B242" s="3"/>
      <c r="C242" s="5"/>
      <c r="D242" s="3"/>
      <c r="E242" s="5"/>
      <c r="F242" s="5"/>
      <c r="G242" s="5"/>
      <c r="H242" s="5"/>
      <c r="I242" s="5"/>
      <c r="J242" s="5"/>
      <c r="K242" s="5"/>
      <c r="L242" s="5"/>
      <c r="M242" s="5"/>
      <c r="N242" s="5"/>
      <c r="O242" s="5"/>
      <c r="P242" s="5"/>
      <c r="Q242" s="5"/>
      <c r="R242" s="5"/>
      <c r="S242" s="5"/>
      <c r="T242" s="5"/>
      <c r="U242" s="5"/>
      <c r="V242" s="5"/>
      <c r="W242" s="5"/>
    </row>
    <row r="243">
      <c r="A243" s="3"/>
      <c r="B243" s="3"/>
      <c r="C243" s="5"/>
      <c r="D243" s="3"/>
      <c r="E243" s="5"/>
      <c r="F243" s="5"/>
      <c r="G243" s="5"/>
      <c r="H243" s="5"/>
      <c r="I243" s="5"/>
      <c r="J243" s="5"/>
      <c r="K243" s="5"/>
      <c r="L243" s="5"/>
      <c r="M243" s="5"/>
      <c r="N243" s="5"/>
      <c r="O243" s="5"/>
      <c r="P243" s="5"/>
      <c r="Q243" s="5"/>
      <c r="R243" s="5"/>
      <c r="S243" s="5"/>
      <c r="T243" s="5"/>
      <c r="U243" s="5"/>
      <c r="V243" s="5"/>
      <c r="W243" s="5"/>
    </row>
    <row r="244">
      <c r="A244" s="5"/>
      <c r="B244" s="3"/>
      <c r="C244" s="5"/>
      <c r="D244" s="5"/>
      <c r="E244" s="5"/>
      <c r="F244" s="5"/>
      <c r="G244" s="5"/>
      <c r="H244" s="5"/>
      <c r="I244" s="5"/>
      <c r="J244" s="5"/>
      <c r="K244" s="5"/>
      <c r="L244" s="5"/>
      <c r="M244" s="5"/>
      <c r="N244" s="5"/>
      <c r="O244" s="5"/>
      <c r="P244" s="5"/>
      <c r="Q244" s="5"/>
      <c r="R244" s="5"/>
      <c r="S244" s="5"/>
      <c r="T244" s="5"/>
      <c r="U244" s="5"/>
      <c r="V244" s="5"/>
      <c r="W244" s="5"/>
    </row>
    <row r="245">
      <c r="A245" s="5"/>
      <c r="B245" s="3"/>
      <c r="C245" s="5"/>
      <c r="D245" s="5"/>
      <c r="E245" s="5"/>
      <c r="F245" s="5"/>
      <c r="G245" s="5"/>
      <c r="H245" s="5"/>
      <c r="I245" s="5"/>
      <c r="J245" s="5"/>
      <c r="K245" s="5"/>
      <c r="L245" s="5"/>
      <c r="M245" s="5"/>
      <c r="N245" s="5"/>
      <c r="O245" s="5"/>
      <c r="P245" s="5"/>
      <c r="Q245" s="5"/>
      <c r="R245" s="5"/>
      <c r="S245" s="5"/>
      <c r="T245" s="5"/>
      <c r="U245" s="5"/>
      <c r="V245" s="5"/>
      <c r="W245" s="5"/>
    </row>
    <row r="246">
      <c r="A246" s="5"/>
      <c r="B246" s="3"/>
      <c r="C246" s="5"/>
      <c r="D246" s="5"/>
      <c r="E246" s="5"/>
      <c r="F246" s="5"/>
      <c r="G246" s="5"/>
      <c r="H246" s="5"/>
      <c r="I246" s="5"/>
      <c r="J246" s="5"/>
      <c r="K246" s="5"/>
      <c r="L246" s="5"/>
      <c r="M246" s="5"/>
      <c r="N246" s="5"/>
      <c r="O246" s="5"/>
      <c r="P246" s="5"/>
      <c r="Q246" s="5"/>
      <c r="R246" s="5"/>
      <c r="S246" s="5"/>
      <c r="T246" s="5"/>
      <c r="U246" s="5"/>
      <c r="V246" s="5"/>
      <c r="W246" s="5"/>
    </row>
    <row r="247">
      <c r="A247" s="5"/>
      <c r="B247" s="3"/>
      <c r="C247" s="5"/>
      <c r="D247" s="5"/>
      <c r="E247" s="5"/>
      <c r="F247" s="5"/>
      <c r="G247" s="5"/>
      <c r="H247" s="5"/>
      <c r="I247" s="5"/>
      <c r="J247" s="5"/>
      <c r="K247" s="5"/>
      <c r="L247" s="5"/>
      <c r="M247" s="5"/>
      <c r="N247" s="5"/>
      <c r="O247" s="5"/>
      <c r="P247" s="5"/>
      <c r="Q247" s="5"/>
      <c r="R247" s="5"/>
      <c r="S247" s="5"/>
      <c r="T247" s="5"/>
      <c r="U247" s="5"/>
      <c r="V247" s="5"/>
      <c r="W247" s="5"/>
    </row>
    <row r="248">
      <c r="A248" s="5"/>
      <c r="B248" s="3"/>
      <c r="C248" s="5"/>
      <c r="D248" s="5"/>
      <c r="E248" s="5"/>
      <c r="F248" s="5"/>
      <c r="G248" s="5"/>
      <c r="H248" s="5"/>
      <c r="I248" s="5"/>
      <c r="J248" s="5"/>
      <c r="K248" s="5"/>
      <c r="L248" s="5"/>
      <c r="M248" s="5"/>
      <c r="N248" s="5"/>
      <c r="O248" s="5"/>
      <c r="P248" s="5"/>
      <c r="Q248" s="5"/>
      <c r="R248" s="5"/>
      <c r="S248" s="5"/>
      <c r="T248" s="5"/>
      <c r="U248" s="5"/>
      <c r="V248" s="5"/>
      <c r="W248" s="5"/>
    </row>
    <row r="249">
      <c r="A249" s="5"/>
      <c r="B249" s="3"/>
      <c r="C249" s="5"/>
      <c r="D249" s="5"/>
      <c r="E249" s="5"/>
      <c r="F249" s="5"/>
      <c r="G249" s="5"/>
      <c r="H249" s="5"/>
      <c r="I249" s="5"/>
      <c r="J249" s="5"/>
      <c r="K249" s="5"/>
      <c r="L249" s="5"/>
      <c r="M249" s="5"/>
      <c r="N249" s="5"/>
      <c r="O249" s="5"/>
      <c r="P249" s="5"/>
      <c r="Q249" s="5"/>
      <c r="R249" s="5"/>
      <c r="S249" s="5"/>
      <c r="T249" s="5"/>
      <c r="U249" s="5"/>
      <c r="V249" s="5"/>
      <c r="W249" s="5"/>
    </row>
    <row r="250">
      <c r="A250" s="5"/>
      <c r="B250" s="3"/>
      <c r="C250" s="5"/>
      <c r="D250" s="5"/>
      <c r="E250" s="5"/>
      <c r="F250" s="5"/>
      <c r="G250" s="5"/>
      <c r="H250" s="5"/>
      <c r="I250" s="5"/>
      <c r="J250" s="5"/>
      <c r="K250" s="5"/>
      <c r="L250" s="5"/>
      <c r="M250" s="5"/>
      <c r="N250" s="5"/>
      <c r="O250" s="5"/>
      <c r="P250" s="5"/>
      <c r="Q250" s="5"/>
      <c r="R250" s="5"/>
      <c r="S250" s="5"/>
      <c r="T250" s="5"/>
      <c r="U250" s="5"/>
      <c r="V250" s="5"/>
      <c r="W250" s="5"/>
    </row>
    <row r="251">
      <c r="A251" s="5"/>
      <c r="B251" s="3"/>
      <c r="C251" s="5"/>
      <c r="D251" s="5"/>
      <c r="E251" s="5"/>
      <c r="F251" s="5"/>
      <c r="G251" s="5"/>
      <c r="H251" s="5"/>
      <c r="I251" s="5"/>
      <c r="J251" s="5"/>
      <c r="K251" s="5"/>
      <c r="L251" s="5"/>
      <c r="M251" s="5"/>
      <c r="N251" s="5"/>
      <c r="O251" s="5"/>
      <c r="P251" s="5"/>
      <c r="Q251" s="5"/>
      <c r="R251" s="5"/>
      <c r="S251" s="5"/>
      <c r="T251" s="5"/>
      <c r="U251" s="5"/>
      <c r="V251" s="5"/>
      <c r="W251" s="5"/>
    </row>
    <row r="252">
      <c r="A252" s="5"/>
      <c r="B252" s="3"/>
      <c r="C252" s="5"/>
      <c r="D252" s="5"/>
      <c r="E252" s="5"/>
      <c r="F252" s="5"/>
      <c r="G252" s="5"/>
      <c r="H252" s="5"/>
      <c r="I252" s="5"/>
      <c r="J252" s="5"/>
      <c r="K252" s="5"/>
      <c r="L252" s="5"/>
      <c r="M252" s="5"/>
      <c r="N252" s="5"/>
      <c r="O252" s="5"/>
      <c r="P252" s="5"/>
      <c r="Q252" s="5"/>
      <c r="R252" s="5"/>
      <c r="S252" s="5"/>
      <c r="T252" s="5"/>
      <c r="U252" s="5"/>
      <c r="V252" s="5"/>
      <c r="W252" s="5"/>
    </row>
    <row r="253">
      <c r="A253" s="5"/>
      <c r="B253" s="3"/>
      <c r="C253" s="5"/>
      <c r="D253" s="5"/>
      <c r="E253" s="5"/>
      <c r="F253" s="5"/>
      <c r="G253" s="5"/>
      <c r="H253" s="5"/>
      <c r="I253" s="5"/>
      <c r="J253" s="5"/>
      <c r="K253" s="5"/>
      <c r="L253" s="5"/>
      <c r="M253" s="5"/>
      <c r="N253" s="5"/>
      <c r="O253" s="5"/>
      <c r="P253" s="5"/>
      <c r="Q253" s="5"/>
      <c r="R253" s="5"/>
      <c r="S253" s="5"/>
      <c r="T253" s="5"/>
      <c r="U253" s="5"/>
      <c r="V253" s="5"/>
      <c r="W253" s="5"/>
    </row>
    <row r="254">
      <c r="A254" s="5"/>
      <c r="B254" s="3"/>
      <c r="C254" s="5"/>
      <c r="D254" s="5"/>
      <c r="E254" s="5"/>
      <c r="F254" s="5"/>
      <c r="G254" s="5"/>
      <c r="H254" s="5"/>
      <c r="I254" s="5"/>
      <c r="J254" s="5"/>
      <c r="K254" s="5"/>
      <c r="L254" s="5"/>
      <c r="M254" s="5"/>
      <c r="N254" s="5"/>
      <c r="O254" s="5"/>
      <c r="P254" s="5"/>
      <c r="Q254" s="5"/>
      <c r="R254" s="5"/>
      <c r="S254" s="5"/>
      <c r="T254" s="5"/>
      <c r="U254" s="5"/>
      <c r="V254" s="5"/>
      <c r="W254" s="5"/>
    </row>
    <row r="255">
      <c r="A255" s="5"/>
      <c r="B255" s="3"/>
      <c r="C255" s="5"/>
      <c r="D255" s="5"/>
      <c r="E255" s="5"/>
      <c r="F255" s="5"/>
      <c r="G255" s="5"/>
      <c r="H255" s="5"/>
      <c r="I255" s="5"/>
      <c r="J255" s="5"/>
      <c r="K255" s="5"/>
      <c r="L255" s="5"/>
      <c r="M255" s="5"/>
      <c r="N255" s="5"/>
      <c r="O255" s="5"/>
      <c r="P255" s="5"/>
      <c r="Q255" s="5"/>
      <c r="R255" s="5"/>
      <c r="S255" s="5"/>
      <c r="T255" s="5"/>
      <c r="U255" s="5"/>
      <c r="V255" s="5"/>
      <c r="W255" s="5"/>
    </row>
    <row r="256">
      <c r="A256" s="5"/>
      <c r="B256" s="3"/>
      <c r="C256" s="5"/>
      <c r="D256" s="5"/>
      <c r="E256" s="5"/>
      <c r="F256" s="5"/>
      <c r="G256" s="5"/>
      <c r="H256" s="5"/>
      <c r="I256" s="5"/>
      <c r="J256" s="5"/>
      <c r="K256" s="5"/>
      <c r="L256" s="5"/>
      <c r="M256" s="5"/>
      <c r="N256" s="5"/>
      <c r="O256" s="5"/>
      <c r="P256" s="5"/>
      <c r="Q256" s="5"/>
      <c r="R256" s="5"/>
      <c r="S256" s="5"/>
      <c r="T256" s="5"/>
      <c r="U256" s="5"/>
      <c r="V256" s="5"/>
      <c r="W256" s="5"/>
    </row>
    <row r="257">
      <c r="A257" s="5"/>
      <c r="B257" s="3"/>
      <c r="C257" s="5"/>
      <c r="D257" s="5"/>
      <c r="E257" s="5"/>
      <c r="F257" s="5"/>
      <c r="G257" s="5"/>
      <c r="H257" s="5"/>
      <c r="I257" s="5"/>
      <c r="J257" s="5"/>
      <c r="K257" s="5"/>
      <c r="L257" s="5"/>
      <c r="M257" s="5"/>
      <c r="N257" s="5"/>
      <c r="O257" s="5"/>
      <c r="P257" s="5"/>
      <c r="Q257" s="5"/>
      <c r="R257" s="5"/>
      <c r="S257" s="5"/>
      <c r="T257" s="5"/>
      <c r="U257" s="5"/>
      <c r="V257" s="5"/>
      <c r="W257" s="5"/>
    </row>
    <row r="258">
      <c r="A258" s="5"/>
      <c r="B258" s="3"/>
      <c r="C258" s="5"/>
      <c r="D258" s="5"/>
      <c r="E258" s="5"/>
      <c r="F258" s="5"/>
      <c r="G258" s="5"/>
      <c r="H258" s="5"/>
      <c r="I258" s="5"/>
      <c r="J258" s="5"/>
      <c r="K258" s="5"/>
      <c r="L258" s="5"/>
      <c r="M258" s="5"/>
      <c r="N258" s="5"/>
      <c r="O258" s="5"/>
      <c r="P258" s="5"/>
      <c r="Q258" s="5"/>
      <c r="R258" s="5"/>
      <c r="S258" s="5"/>
      <c r="T258" s="5"/>
      <c r="U258" s="5"/>
      <c r="V258" s="5"/>
      <c r="W258" s="5"/>
    </row>
    <row r="259">
      <c r="A259" s="5"/>
      <c r="B259" s="3"/>
      <c r="C259" s="5"/>
      <c r="D259" s="5"/>
      <c r="E259" s="5"/>
      <c r="F259" s="5"/>
      <c r="G259" s="5"/>
      <c r="H259" s="5"/>
      <c r="I259" s="5"/>
      <c r="J259" s="5"/>
      <c r="K259" s="5"/>
      <c r="L259" s="5"/>
      <c r="M259" s="5"/>
      <c r="N259" s="5"/>
      <c r="O259" s="5"/>
      <c r="P259" s="5"/>
      <c r="Q259" s="5"/>
      <c r="R259" s="5"/>
      <c r="S259" s="5"/>
      <c r="T259" s="5"/>
      <c r="U259" s="5"/>
      <c r="V259" s="5"/>
      <c r="W259" s="5"/>
    </row>
    <row r="260">
      <c r="A260" s="5"/>
      <c r="B260" s="3"/>
      <c r="C260" s="5"/>
      <c r="D260" s="5"/>
      <c r="E260" s="5"/>
      <c r="F260" s="5"/>
      <c r="G260" s="5"/>
      <c r="H260" s="5"/>
      <c r="I260" s="5"/>
      <c r="J260" s="5"/>
      <c r="K260" s="5"/>
      <c r="L260" s="5"/>
      <c r="M260" s="5"/>
      <c r="N260" s="5"/>
      <c r="O260" s="5"/>
      <c r="P260" s="5"/>
      <c r="Q260" s="5"/>
      <c r="R260" s="5"/>
      <c r="S260" s="5"/>
      <c r="T260" s="5"/>
      <c r="U260" s="5"/>
      <c r="V260" s="5"/>
      <c r="W260" s="5"/>
    </row>
    <row r="261">
      <c r="A261" s="5"/>
      <c r="B261" s="3"/>
      <c r="C261" s="5"/>
      <c r="D261" s="5"/>
      <c r="E261" s="5"/>
      <c r="F261" s="5"/>
      <c r="G261" s="5"/>
      <c r="H261" s="5"/>
      <c r="I261" s="5"/>
      <c r="J261" s="5"/>
      <c r="K261" s="5"/>
      <c r="L261" s="5"/>
      <c r="M261" s="5"/>
      <c r="N261" s="5"/>
      <c r="O261" s="5"/>
      <c r="P261" s="5"/>
      <c r="Q261" s="5"/>
      <c r="R261" s="5"/>
      <c r="S261" s="5"/>
      <c r="T261" s="5"/>
      <c r="U261" s="5"/>
      <c r="V261" s="5"/>
      <c r="W261" s="5"/>
    </row>
    <row r="262">
      <c r="A262" s="5"/>
      <c r="B262" s="3"/>
      <c r="C262" s="5"/>
      <c r="D262" s="5"/>
      <c r="E262" s="5"/>
      <c r="F262" s="5"/>
      <c r="G262" s="5"/>
      <c r="H262" s="5"/>
      <c r="I262" s="5"/>
      <c r="J262" s="5"/>
      <c r="K262" s="5"/>
      <c r="L262" s="5"/>
      <c r="M262" s="5"/>
      <c r="N262" s="5"/>
      <c r="O262" s="5"/>
      <c r="P262" s="5"/>
      <c r="Q262" s="5"/>
      <c r="R262" s="5"/>
      <c r="S262" s="5"/>
      <c r="T262" s="5"/>
      <c r="U262" s="5"/>
      <c r="V262" s="5"/>
      <c r="W262" s="5"/>
    </row>
    <row r="263">
      <c r="A263" s="5"/>
      <c r="B263" s="3"/>
      <c r="C263" s="5"/>
      <c r="D263" s="5"/>
      <c r="E263" s="5"/>
      <c r="F263" s="5"/>
      <c r="G263" s="5"/>
      <c r="H263" s="5"/>
      <c r="I263" s="5"/>
      <c r="J263" s="5"/>
      <c r="K263" s="5"/>
      <c r="L263" s="5"/>
      <c r="M263" s="5"/>
      <c r="N263" s="5"/>
      <c r="O263" s="5"/>
      <c r="P263" s="5"/>
      <c r="Q263" s="5"/>
      <c r="R263" s="5"/>
      <c r="S263" s="5"/>
      <c r="T263" s="5"/>
      <c r="U263" s="5"/>
      <c r="V263" s="5"/>
      <c r="W263" s="5"/>
    </row>
    <row r="264">
      <c r="A264" s="5"/>
      <c r="B264" s="3"/>
      <c r="C264" s="5"/>
      <c r="D264" s="5"/>
      <c r="E264" s="5"/>
      <c r="F264" s="5"/>
      <c r="G264" s="5"/>
      <c r="H264" s="5"/>
      <c r="I264" s="5"/>
      <c r="J264" s="5"/>
      <c r="K264" s="5"/>
      <c r="L264" s="5"/>
      <c r="M264" s="5"/>
      <c r="N264" s="5"/>
      <c r="O264" s="5"/>
      <c r="P264" s="5"/>
      <c r="Q264" s="5"/>
      <c r="R264" s="5"/>
      <c r="S264" s="5"/>
      <c r="T264" s="5"/>
      <c r="U264" s="5"/>
      <c r="V264" s="5"/>
      <c r="W264" s="5"/>
    </row>
    <row r="265">
      <c r="A265" s="5"/>
      <c r="B265" s="3"/>
      <c r="C265" s="5"/>
      <c r="D265" s="5"/>
      <c r="E265" s="5"/>
      <c r="F265" s="5"/>
      <c r="G265" s="5"/>
      <c r="H265" s="5"/>
      <c r="I265" s="5"/>
      <c r="J265" s="5"/>
      <c r="K265" s="5"/>
      <c r="L265" s="5"/>
      <c r="M265" s="5"/>
      <c r="N265" s="5"/>
      <c r="O265" s="5"/>
      <c r="P265" s="5"/>
      <c r="Q265" s="5"/>
      <c r="R265" s="5"/>
      <c r="S265" s="5"/>
      <c r="T265" s="5"/>
      <c r="U265" s="5"/>
      <c r="V265" s="5"/>
      <c r="W265" s="5"/>
    </row>
    <row r="266">
      <c r="A266" s="5"/>
      <c r="B266" s="3"/>
      <c r="C266" s="5"/>
      <c r="D266" s="5"/>
      <c r="E266" s="5"/>
      <c r="F266" s="5"/>
      <c r="G266" s="5"/>
      <c r="H266" s="5"/>
      <c r="I266" s="5"/>
      <c r="J266" s="5"/>
      <c r="K266" s="5"/>
      <c r="L266" s="5"/>
      <c r="M266" s="5"/>
      <c r="N266" s="5"/>
      <c r="O266" s="5"/>
      <c r="P266" s="5"/>
      <c r="Q266" s="5"/>
      <c r="R266" s="5"/>
      <c r="S266" s="5"/>
      <c r="T266" s="5"/>
      <c r="U266" s="5"/>
      <c r="V266" s="5"/>
      <c r="W266" s="5"/>
    </row>
    <row r="267">
      <c r="A267" s="5"/>
      <c r="B267" s="3"/>
      <c r="C267" s="5"/>
      <c r="D267" s="5"/>
      <c r="E267" s="5"/>
      <c r="F267" s="5"/>
      <c r="G267" s="5"/>
      <c r="H267" s="5"/>
      <c r="I267" s="5"/>
      <c r="J267" s="5"/>
      <c r="K267" s="5"/>
      <c r="L267" s="5"/>
      <c r="M267" s="5"/>
      <c r="N267" s="5"/>
      <c r="O267" s="5"/>
      <c r="P267" s="5"/>
      <c r="Q267" s="5"/>
      <c r="R267" s="5"/>
      <c r="S267" s="5"/>
      <c r="T267" s="5"/>
      <c r="U267" s="5"/>
      <c r="V267" s="5"/>
      <c r="W267" s="5"/>
    </row>
    <row r="268">
      <c r="A268" s="5"/>
      <c r="B268" s="3"/>
      <c r="C268" s="5"/>
      <c r="D268" s="5"/>
      <c r="E268" s="5"/>
      <c r="F268" s="5"/>
      <c r="G268" s="5"/>
      <c r="H268" s="5"/>
      <c r="I268" s="5"/>
      <c r="J268" s="5"/>
      <c r="K268" s="5"/>
      <c r="L268" s="5"/>
      <c r="M268" s="5"/>
      <c r="N268" s="5"/>
      <c r="O268" s="5"/>
      <c r="P268" s="5"/>
      <c r="Q268" s="5"/>
      <c r="R268" s="5"/>
      <c r="S268" s="5"/>
      <c r="T268" s="5"/>
      <c r="U268" s="5"/>
      <c r="V268" s="5"/>
      <c r="W268" s="5"/>
    </row>
    <row r="269">
      <c r="A269" s="5"/>
      <c r="B269" s="3"/>
      <c r="C269" s="5"/>
      <c r="D269" s="5"/>
      <c r="E269" s="5"/>
      <c r="F269" s="5"/>
      <c r="G269" s="5"/>
      <c r="H269" s="5"/>
      <c r="I269" s="5"/>
      <c r="J269" s="5"/>
      <c r="K269" s="5"/>
      <c r="L269" s="5"/>
      <c r="M269" s="5"/>
      <c r="N269" s="5"/>
      <c r="O269" s="5"/>
      <c r="P269" s="5"/>
      <c r="Q269" s="5"/>
      <c r="R269" s="5"/>
      <c r="S269" s="5"/>
      <c r="T269" s="5"/>
      <c r="U269" s="5"/>
      <c r="V269" s="5"/>
      <c r="W269" s="5"/>
    </row>
    <row r="270">
      <c r="A270" s="5"/>
      <c r="B270" s="3"/>
      <c r="C270" s="5"/>
      <c r="D270" s="5"/>
      <c r="E270" s="5"/>
      <c r="F270" s="5"/>
      <c r="G270" s="5"/>
      <c r="H270" s="5"/>
      <c r="I270" s="5"/>
      <c r="J270" s="5"/>
      <c r="K270" s="5"/>
      <c r="L270" s="5"/>
      <c r="M270" s="5"/>
      <c r="N270" s="5"/>
      <c r="O270" s="5"/>
      <c r="P270" s="5"/>
      <c r="Q270" s="5"/>
      <c r="R270" s="5"/>
      <c r="S270" s="5"/>
      <c r="T270" s="5"/>
      <c r="U270" s="5"/>
      <c r="V270" s="5"/>
      <c r="W270" s="5"/>
    </row>
    <row r="271">
      <c r="A271" s="5"/>
      <c r="B271" s="3"/>
      <c r="C271" s="5"/>
      <c r="D271" s="5"/>
      <c r="E271" s="5"/>
      <c r="F271" s="5"/>
      <c r="G271" s="5"/>
      <c r="H271" s="5"/>
      <c r="I271" s="5"/>
      <c r="J271" s="5"/>
      <c r="K271" s="5"/>
      <c r="L271" s="5"/>
      <c r="M271" s="5"/>
      <c r="N271" s="5"/>
      <c r="O271" s="5"/>
      <c r="P271" s="5"/>
      <c r="Q271" s="5"/>
      <c r="R271" s="5"/>
      <c r="S271" s="5"/>
      <c r="T271" s="5"/>
      <c r="U271" s="5"/>
      <c r="V271" s="5"/>
      <c r="W271" s="5"/>
    </row>
    <row r="272">
      <c r="A272" s="5"/>
      <c r="B272" s="3"/>
      <c r="C272" s="5"/>
      <c r="D272" s="5"/>
      <c r="E272" s="5"/>
      <c r="F272" s="5"/>
      <c r="G272" s="5"/>
      <c r="H272" s="5"/>
      <c r="I272" s="5"/>
      <c r="J272" s="5"/>
      <c r="K272" s="5"/>
      <c r="L272" s="5"/>
      <c r="M272" s="5"/>
      <c r="N272" s="5"/>
      <c r="O272" s="5"/>
      <c r="P272" s="5"/>
      <c r="Q272" s="5"/>
      <c r="R272" s="5"/>
      <c r="S272" s="5"/>
      <c r="T272" s="5"/>
      <c r="U272" s="5"/>
      <c r="V272" s="5"/>
      <c r="W272" s="5"/>
    </row>
    <row r="273">
      <c r="A273" s="5"/>
      <c r="B273" s="3"/>
      <c r="C273" s="5"/>
      <c r="D273" s="5"/>
      <c r="E273" s="5"/>
      <c r="F273" s="5"/>
      <c r="G273" s="5"/>
      <c r="H273" s="5"/>
      <c r="I273" s="5"/>
      <c r="J273" s="5"/>
      <c r="K273" s="5"/>
      <c r="L273" s="5"/>
      <c r="M273" s="5"/>
      <c r="N273" s="5"/>
      <c r="O273" s="5"/>
      <c r="P273" s="5"/>
      <c r="Q273" s="5"/>
      <c r="R273" s="5"/>
      <c r="S273" s="5"/>
      <c r="T273" s="5"/>
      <c r="U273" s="5"/>
      <c r="V273" s="5"/>
      <c r="W273" s="5"/>
    </row>
    <row r="274">
      <c r="A274" s="5"/>
      <c r="B274" s="3"/>
      <c r="C274" s="5"/>
      <c r="D274" s="5"/>
      <c r="E274" s="5"/>
      <c r="F274" s="5"/>
      <c r="G274" s="5"/>
      <c r="H274" s="5"/>
      <c r="I274" s="5"/>
      <c r="J274" s="5"/>
      <c r="K274" s="5"/>
      <c r="L274" s="5"/>
      <c r="M274" s="5"/>
      <c r="N274" s="5"/>
      <c r="O274" s="5"/>
      <c r="P274" s="5"/>
      <c r="Q274" s="5"/>
      <c r="R274" s="5"/>
      <c r="S274" s="5"/>
      <c r="T274" s="5"/>
      <c r="U274" s="5"/>
      <c r="V274" s="5"/>
      <c r="W274" s="5"/>
    </row>
    <row r="275">
      <c r="A275" s="5"/>
      <c r="B275" s="3"/>
      <c r="C275" s="5"/>
      <c r="D275" s="5"/>
      <c r="E275" s="5"/>
      <c r="F275" s="5"/>
      <c r="G275" s="5"/>
      <c r="H275" s="5"/>
      <c r="I275" s="5"/>
      <c r="J275" s="5"/>
      <c r="K275" s="5"/>
      <c r="L275" s="5"/>
      <c r="M275" s="5"/>
      <c r="N275" s="5"/>
      <c r="O275" s="5"/>
      <c r="P275" s="5"/>
      <c r="Q275" s="5"/>
      <c r="R275" s="5"/>
      <c r="S275" s="5"/>
      <c r="T275" s="5"/>
      <c r="U275" s="5"/>
      <c r="V275" s="5"/>
      <c r="W275" s="5"/>
    </row>
    <row r="276">
      <c r="A276" s="5"/>
      <c r="B276" s="3"/>
      <c r="C276" s="5"/>
      <c r="D276" s="5"/>
      <c r="E276" s="5"/>
      <c r="F276" s="5"/>
      <c r="G276" s="5"/>
      <c r="H276" s="5"/>
      <c r="I276" s="5"/>
      <c r="J276" s="5"/>
      <c r="K276" s="5"/>
      <c r="L276" s="5"/>
      <c r="M276" s="5"/>
      <c r="N276" s="5"/>
      <c r="O276" s="5"/>
      <c r="P276" s="5"/>
      <c r="Q276" s="5"/>
      <c r="R276" s="5"/>
      <c r="S276" s="5"/>
      <c r="T276" s="5"/>
      <c r="U276" s="5"/>
      <c r="V276" s="5"/>
      <c r="W276" s="5"/>
    </row>
    <row r="277">
      <c r="A277" s="5"/>
      <c r="B277" s="3"/>
      <c r="C277" s="5"/>
      <c r="D277" s="5"/>
      <c r="E277" s="5"/>
      <c r="F277" s="5"/>
      <c r="G277" s="5"/>
      <c r="H277" s="5"/>
      <c r="I277" s="5"/>
      <c r="J277" s="5"/>
      <c r="K277" s="5"/>
      <c r="L277" s="5"/>
      <c r="M277" s="5"/>
      <c r="N277" s="5"/>
      <c r="O277" s="5"/>
      <c r="P277" s="5"/>
      <c r="Q277" s="5"/>
      <c r="R277" s="5"/>
      <c r="S277" s="5"/>
      <c r="T277" s="5"/>
      <c r="U277" s="5"/>
      <c r="V277" s="5"/>
      <c r="W277" s="5"/>
    </row>
    <row r="278">
      <c r="A278" s="5"/>
      <c r="B278" s="3"/>
      <c r="C278" s="5"/>
      <c r="D278" s="5"/>
      <c r="E278" s="5"/>
      <c r="F278" s="5"/>
      <c r="G278" s="5"/>
      <c r="H278" s="5"/>
      <c r="I278" s="5"/>
      <c r="J278" s="5"/>
      <c r="K278" s="5"/>
      <c r="L278" s="5"/>
      <c r="M278" s="5"/>
      <c r="N278" s="5"/>
      <c r="O278" s="5"/>
      <c r="P278" s="5"/>
      <c r="Q278" s="5"/>
      <c r="R278" s="5"/>
      <c r="S278" s="5"/>
      <c r="T278" s="5"/>
      <c r="U278" s="5"/>
      <c r="V278" s="5"/>
      <c r="W278" s="5"/>
    </row>
    <row r="279">
      <c r="A279" s="5"/>
      <c r="B279" s="3"/>
      <c r="C279" s="5"/>
      <c r="D279" s="5"/>
      <c r="E279" s="5"/>
      <c r="F279" s="5"/>
      <c r="G279" s="5"/>
      <c r="H279" s="5"/>
      <c r="I279" s="5"/>
      <c r="J279" s="5"/>
      <c r="K279" s="5"/>
      <c r="L279" s="5"/>
      <c r="M279" s="5"/>
      <c r="N279" s="5"/>
      <c r="O279" s="5"/>
      <c r="P279" s="5"/>
      <c r="Q279" s="5"/>
      <c r="R279" s="5"/>
      <c r="S279" s="5"/>
      <c r="T279" s="5"/>
      <c r="U279" s="5"/>
      <c r="V279" s="5"/>
      <c r="W279" s="5"/>
    </row>
    <row r="280">
      <c r="A280" s="5"/>
      <c r="B280" s="3"/>
      <c r="C280" s="5"/>
      <c r="D280" s="5"/>
      <c r="E280" s="5"/>
      <c r="F280" s="5"/>
      <c r="G280" s="5"/>
      <c r="H280" s="5"/>
      <c r="I280" s="5"/>
      <c r="J280" s="5"/>
      <c r="K280" s="5"/>
      <c r="L280" s="5"/>
      <c r="M280" s="5"/>
      <c r="N280" s="5"/>
      <c r="O280" s="5"/>
      <c r="P280" s="5"/>
      <c r="Q280" s="5"/>
      <c r="R280" s="5"/>
      <c r="S280" s="5"/>
      <c r="T280" s="5"/>
      <c r="U280" s="5"/>
      <c r="V280" s="5"/>
      <c r="W280" s="5"/>
    </row>
    <row r="281">
      <c r="A281" s="5"/>
      <c r="B281" s="3"/>
      <c r="C281" s="5"/>
      <c r="D281" s="5"/>
      <c r="E281" s="5"/>
      <c r="F281" s="5"/>
      <c r="G281" s="5"/>
      <c r="H281" s="5"/>
      <c r="I281" s="5"/>
      <c r="J281" s="5"/>
      <c r="K281" s="5"/>
      <c r="L281" s="5"/>
      <c r="M281" s="5"/>
      <c r="N281" s="5"/>
      <c r="O281" s="5"/>
      <c r="P281" s="5"/>
      <c r="Q281" s="5"/>
      <c r="R281" s="5"/>
      <c r="S281" s="5"/>
      <c r="T281" s="5"/>
      <c r="U281" s="5"/>
      <c r="V281" s="5"/>
      <c r="W281" s="5"/>
    </row>
    <row r="282">
      <c r="A282" s="5"/>
      <c r="B282" s="3"/>
      <c r="C282" s="5"/>
      <c r="D282" s="5"/>
      <c r="E282" s="5"/>
      <c r="F282" s="5"/>
      <c r="G282" s="5"/>
      <c r="H282" s="5"/>
      <c r="I282" s="5"/>
      <c r="J282" s="5"/>
      <c r="K282" s="5"/>
      <c r="L282" s="5"/>
      <c r="M282" s="5"/>
      <c r="N282" s="5"/>
      <c r="O282" s="5"/>
      <c r="P282" s="5"/>
      <c r="Q282" s="5"/>
      <c r="R282" s="5"/>
      <c r="S282" s="5"/>
      <c r="T282" s="5"/>
      <c r="U282" s="5"/>
      <c r="V282" s="5"/>
      <c r="W282" s="5"/>
    </row>
    <row r="283">
      <c r="A283" s="5"/>
      <c r="B283" s="3"/>
      <c r="C283" s="5"/>
      <c r="D283" s="5"/>
      <c r="E283" s="5"/>
      <c r="F283" s="5"/>
      <c r="G283" s="5"/>
      <c r="H283" s="5"/>
      <c r="I283" s="5"/>
      <c r="J283" s="5"/>
      <c r="K283" s="5"/>
      <c r="L283" s="5"/>
      <c r="M283" s="5"/>
      <c r="N283" s="5"/>
      <c r="O283" s="5"/>
      <c r="P283" s="5"/>
      <c r="Q283" s="5"/>
      <c r="R283" s="5"/>
      <c r="S283" s="5"/>
      <c r="T283" s="5"/>
      <c r="U283" s="5"/>
      <c r="V283" s="5"/>
      <c r="W283" s="5"/>
    </row>
    <row r="284">
      <c r="A284" s="5"/>
      <c r="B284" s="3"/>
      <c r="C284" s="5"/>
      <c r="D284" s="5"/>
      <c r="E284" s="5"/>
      <c r="F284" s="5"/>
      <c r="G284" s="5"/>
      <c r="H284" s="5"/>
      <c r="I284" s="5"/>
      <c r="J284" s="5"/>
      <c r="K284" s="5"/>
      <c r="L284" s="5"/>
      <c r="M284" s="5"/>
      <c r="N284" s="5"/>
      <c r="O284" s="5"/>
      <c r="P284" s="5"/>
      <c r="Q284" s="5"/>
      <c r="R284" s="5"/>
      <c r="S284" s="5"/>
      <c r="T284" s="5"/>
      <c r="U284" s="5"/>
      <c r="V284" s="5"/>
      <c r="W284" s="5"/>
    </row>
    <row r="285">
      <c r="A285" s="5"/>
      <c r="B285" s="3"/>
      <c r="C285" s="5"/>
      <c r="D285" s="5"/>
      <c r="E285" s="5"/>
      <c r="F285" s="5"/>
      <c r="G285" s="5"/>
      <c r="H285" s="5"/>
      <c r="I285" s="5"/>
      <c r="J285" s="5"/>
      <c r="K285" s="5"/>
      <c r="L285" s="5"/>
      <c r="M285" s="5"/>
      <c r="N285" s="5"/>
      <c r="O285" s="5"/>
      <c r="P285" s="5"/>
      <c r="Q285" s="5"/>
      <c r="R285" s="5"/>
      <c r="S285" s="5"/>
      <c r="T285" s="5"/>
      <c r="U285" s="5"/>
      <c r="V285" s="5"/>
      <c r="W285" s="5"/>
    </row>
    <row r="286">
      <c r="A286" s="5"/>
      <c r="B286" s="3"/>
      <c r="C286" s="5"/>
      <c r="D286" s="5"/>
      <c r="E286" s="5"/>
      <c r="F286" s="5"/>
      <c r="G286" s="5"/>
      <c r="H286" s="5"/>
      <c r="I286" s="5"/>
      <c r="J286" s="5"/>
      <c r="K286" s="5"/>
      <c r="L286" s="5"/>
      <c r="M286" s="5"/>
      <c r="N286" s="5"/>
      <c r="O286" s="5"/>
      <c r="P286" s="5"/>
      <c r="Q286" s="5"/>
      <c r="R286" s="5"/>
      <c r="S286" s="5"/>
      <c r="T286" s="5"/>
      <c r="U286" s="5"/>
      <c r="V286" s="5"/>
      <c r="W286" s="5"/>
    </row>
    <row r="287">
      <c r="A287" s="5"/>
      <c r="B287" s="3"/>
      <c r="C287" s="5"/>
      <c r="D287" s="5"/>
      <c r="E287" s="5"/>
      <c r="F287" s="5"/>
      <c r="G287" s="5"/>
      <c r="H287" s="5"/>
      <c r="I287" s="5"/>
      <c r="J287" s="5"/>
      <c r="K287" s="5"/>
      <c r="L287" s="5"/>
      <c r="M287" s="5"/>
      <c r="N287" s="5"/>
      <c r="O287" s="5"/>
      <c r="P287" s="5"/>
      <c r="Q287" s="5"/>
      <c r="R287" s="5"/>
      <c r="S287" s="5"/>
      <c r="T287" s="5"/>
      <c r="U287" s="5"/>
      <c r="V287" s="5"/>
      <c r="W287" s="5"/>
    </row>
    <row r="288">
      <c r="A288" s="5"/>
      <c r="B288" s="3"/>
      <c r="C288" s="5"/>
      <c r="D288" s="5"/>
      <c r="E288" s="5"/>
      <c r="F288" s="5"/>
      <c r="G288" s="5"/>
      <c r="H288" s="5"/>
      <c r="I288" s="5"/>
      <c r="J288" s="5"/>
      <c r="K288" s="5"/>
      <c r="L288" s="5"/>
      <c r="M288" s="5"/>
      <c r="N288" s="5"/>
      <c r="O288" s="5"/>
      <c r="P288" s="5"/>
      <c r="Q288" s="5"/>
      <c r="R288" s="5"/>
      <c r="S288" s="5"/>
      <c r="T288" s="5"/>
      <c r="U288" s="5"/>
      <c r="V288" s="5"/>
      <c r="W288" s="5"/>
    </row>
    <row r="289">
      <c r="A289" s="5"/>
      <c r="B289" s="3"/>
      <c r="C289" s="5"/>
      <c r="D289" s="5"/>
      <c r="E289" s="5"/>
      <c r="F289" s="5"/>
      <c r="G289" s="5"/>
      <c r="H289" s="5"/>
      <c r="I289" s="5"/>
      <c r="J289" s="5"/>
      <c r="K289" s="5"/>
      <c r="L289" s="5"/>
      <c r="M289" s="5"/>
      <c r="N289" s="5"/>
      <c r="O289" s="5"/>
      <c r="P289" s="5"/>
      <c r="Q289" s="5"/>
      <c r="R289" s="5"/>
      <c r="S289" s="5"/>
      <c r="T289" s="5"/>
      <c r="U289" s="5"/>
      <c r="V289" s="5"/>
      <c r="W289" s="5"/>
    </row>
    <row r="290">
      <c r="A290" s="5"/>
      <c r="B290" s="3"/>
      <c r="C290" s="5"/>
      <c r="D290" s="5"/>
      <c r="E290" s="5"/>
      <c r="F290" s="5"/>
      <c r="G290" s="5"/>
      <c r="H290" s="5"/>
      <c r="I290" s="5"/>
      <c r="J290" s="5"/>
      <c r="K290" s="5"/>
      <c r="L290" s="5"/>
      <c r="M290" s="5"/>
      <c r="N290" s="5"/>
      <c r="O290" s="5"/>
      <c r="P290" s="5"/>
      <c r="Q290" s="5"/>
      <c r="R290" s="5"/>
      <c r="S290" s="5"/>
      <c r="T290" s="5"/>
      <c r="U290" s="5"/>
      <c r="V290" s="5"/>
      <c r="W290" s="5"/>
    </row>
    <row r="291">
      <c r="A291" s="5"/>
      <c r="B291" s="3"/>
      <c r="C291" s="5"/>
      <c r="D291" s="5"/>
      <c r="E291" s="5"/>
      <c r="F291" s="5"/>
      <c r="G291" s="5"/>
      <c r="H291" s="5"/>
      <c r="I291" s="5"/>
      <c r="J291" s="5"/>
      <c r="K291" s="5"/>
      <c r="L291" s="5"/>
      <c r="M291" s="5"/>
      <c r="N291" s="5"/>
      <c r="O291" s="5"/>
      <c r="P291" s="5"/>
      <c r="Q291" s="5"/>
      <c r="R291" s="5"/>
      <c r="S291" s="5"/>
      <c r="T291" s="5"/>
      <c r="U291" s="5"/>
      <c r="V291" s="5"/>
      <c r="W291" s="5"/>
    </row>
    <row r="292">
      <c r="A292" s="5"/>
      <c r="B292" s="3"/>
      <c r="C292" s="5"/>
      <c r="D292" s="5"/>
      <c r="E292" s="5"/>
      <c r="F292" s="5"/>
      <c r="G292" s="5"/>
      <c r="H292" s="5"/>
      <c r="I292" s="5"/>
      <c r="J292" s="5"/>
      <c r="K292" s="5"/>
      <c r="L292" s="5"/>
      <c r="M292" s="5"/>
      <c r="N292" s="5"/>
      <c r="O292" s="5"/>
      <c r="P292" s="5"/>
      <c r="Q292" s="5"/>
      <c r="R292" s="5"/>
      <c r="S292" s="5"/>
      <c r="T292" s="5"/>
      <c r="U292" s="5"/>
      <c r="V292" s="5"/>
      <c r="W292" s="5"/>
    </row>
    <row r="293">
      <c r="A293" s="5"/>
      <c r="B293" s="3"/>
      <c r="C293" s="5"/>
      <c r="D293" s="5"/>
      <c r="E293" s="5"/>
      <c r="F293" s="5"/>
      <c r="G293" s="5"/>
      <c r="H293" s="5"/>
      <c r="I293" s="5"/>
      <c r="J293" s="5"/>
      <c r="K293" s="5"/>
      <c r="L293" s="5"/>
      <c r="M293" s="5"/>
      <c r="N293" s="5"/>
      <c r="O293" s="5"/>
      <c r="P293" s="5"/>
      <c r="Q293" s="5"/>
      <c r="R293" s="5"/>
      <c r="S293" s="5"/>
      <c r="T293" s="5"/>
      <c r="U293" s="5"/>
      <c r="V293" s="5"/>
      <c r="W293" s="5"/>
    </row>
    <row r="294">
      <c r="A294" s="5"/>
      <c r="B294" s="3"/>
      <c r="C294" s="5"/>
      <c r="D294" s="5"/>
      <c r="E294" s="5"/>
      <c r="F294" s="5"/>
      <c r="G294" s="5"/>
      <c r="H294" s="5"/>
      <c r="I294" s="5"/>
      <c r="J294" s="5"/>
      <c r="K294" s="5"/>
      <c r="L294" s="5"/>
      <c r="M294" s="5"/>
      <c r="N294" s="5"/>
      <c r="O294" s="5"/>
      <c r="P294" s="5"/>
      <c r="Q294" s="5"/>
      <c r="R294" s="5"/>
      <c r="S294" s="5"/>
      <c r="T294" s="5"/>
      <c r="U294" s="5"/>
      <c r="V294" s="5"/>
      <c r="W294" s="5"/>
    </row>
    <row r="295">
      <c r="A295" s="5"/>
      <c r="B295" s="3"/>
      <c r="C295" s="5"/>
      <c r="D295" s="5"/>
      <c r="E295" s="5"/>
      <c r="F295" s="5"/>
      <c r="G295" s="5"/>
      <c r="H295" s="5"/>
      <c r="I295" s="5"/>
      <c r="J295" s="5"/>
      <c r="K295" s="5"/>
      <c r="L295" s="5"/>
      <c r="M295" s="5"/>
      <c r="N295" s="5"/>
      <c r="O295" s="5"/>
      <c r="P295" s="5"/>
      <c r="Q295" s="5"/>
      <c r="R295" s="5"/>
      <c r="S295" s="5"/>
      <c r="T295" s="5"/>
      <c r="U295" s="5"/>
      <c r="V295" s="5"/>
      <c r="W295" s="5"/>
    </row>
    <row r="296">
      <c r="A296" s="5"/>
      <c r="B296" s="3"/>
      <c r="C296" s="5"/>
      <c r="D296" s="5"/>
      <c r="E296" s="5"/>
      <c r="F296" s="5"/>
      <c r="G296" s="5"/>
      <c r="H296" s="5"/>
      <c r="I296" s="5"/>
      <c r="J296" s="5"/>
      <c r="K296" s="5"/>
      <c r="L296" s="5"/>
      <c r="M296" s="5"/>
      <c r="N296" s="5"/>
      <c r="O296" s="5"/>
      <c r="P296" s="5"/>
      <c r="Q296" s="5"/>
      <c r="R296" s="5"/>
      <c r="S296" s="5"/>
      <c r="T296" s="5"/>
      <c r="U296" s="5"/>
      <c r="V296" s="5"/>
      <c r="W296" s="5"/>
    </row>
    <row r="297">
      <c r="A297" s="5"/>
      <c r="B297" s="3"/>
      <c r="C297" s="5"/>
      <c r="D297" s="5"/>
      <c r="E297" s="5"/>
      <c r="F297" s="5"/>
      <c r="G297" s="5"/>
      <c r="H297" s="5"/>
      <c r="I297" s="5"/>
      <c r="J297" s="5"/>
      <c r="K297" s="5"/>
      <c r="L297" s="5"/>
      <c r="M297" s="5"/>
      <c r="N297" s="5"/>
      <c r="O297" s="5"/>
      <c r="P297" s="5"/>
      <c r="Q297" s="5"/>
      <c r="R297" s="5"/>
      <c r="S297" s="5"/>
      <c r="T297" s="5"/>
      <c r="U297" s="5"/>
      <c r="V297" s="5"/>
      <c r="W297" s="5"/>
    </row>
    <row r="298">
      <c r="A298" s="5"/>
      <c r="B298" s="3"/>
      <c r="C298" s="5"/>
      <c r="D298" s="5"/>
      <c r="E298" s="5"/>
      <c r="F298" s="5"/>
      <c r="G298" s="5"/>
      <c r="H298" s="5"/>
      <c r="I298" s="5"/>
      <c r="J298" s="5"/>
      <c r="K298" s="5"/>
      <c r="L298" s="5"/>
      <c r="M298" s="5"/>
      <c r="N298" s="5"/>
      <c r="O298" s="5"/>
      <c r="P298" s="5"/>
      <c r="Q298" s="5"/>
      <c r="R298" s="5"/>
      <c r="S298" s="5"/>
      <c r="T298" s="5"/>
      <c r="U298" s="5"/>
      <c r="V298" s="5"/>
      <c r="W298" s="5"/>
    </row>
    <row r="299">
      <c r="A299" s="3"/>
      <c r="B299" s="3"/>
      <c r="C299" s="5"/>
      <c r="D299" s="3"/>
      <c r="E299" s="5"/>
      <c r="F299" s="5"/>
      <c r="G299" s="5"/>
      <c r="H299" s="5"/>
      <c r="I299" s="5"/>
      <c r="J299" s="5"/>
      <c r="K299" s="5"/>
      <c r="L299" s="5"/>
      <c r="M299" s="5"/>
      <c r="N299" s="5"/>
      <c r="O299" s="5"/>
      <c r="P299" s="5"/>
      <c r="Q299" s="5"/>
      <c r="R299" s="5"/>
      <c r="S299" s="5"/>
      <c r="T299" s="5"/>
      <c r="U299" s="5"/>
      <c r="V299" s="5"/>
      <c r="W299" s="5"/>
    </row>
    <row r="300">
      <c r="A300" s="3"/>
      <c r="B300" s="3"/>
      <c r="C300" s="5"/>
      <c r="D300" s="3"/>
      <c r="E300" s="5"/>
      <c r="F300" s="5"/>
      <c r="G300" s="5"/>
      <c r="H300" s="5"/>
      <c r="I300" s="5"/>
      <c r="J300" s="5"/>
      <c r="K300" s="5"/>
      <c r="L300" s="5"/>
      <c r="M300" s="5"/>
      <c r="N300" s="5"/>
      <c r="O300" s="5"/>
      <c r="P300" s="5"/>
      <c r="Q300" s="5"/>
      <c r="R300" s="5"/>
      <c r="S300" s="5"/>
      <c r="T300" s="5"/>
      <c r="U300" s="5"/>
      <c r="V300" s="5"/>
      <c r="W300" s="5"/>
    </row>
    <row r="301">
      <c r="A301" s="3"/>
      <c r="B301" s="3"/>
      <c r="C301" s="5"/>
      <c r="D301" s="3"/>
      <c r="E301" s="5"/>
      <c r="F301" s="5"/>
      <c r="G301" s="5"/>
      <c r="H301" s="5"/>
      <c r="I301" s="5"/>
      <c r="J301" s="5"/>
      <c r="K301" s="5"/>
      <c r="L301" s="5"/>
      <c r="M301" s="5"/>
      <c r="N301" s="5"/>
      <c r="O301" s="5"/>
      <c r="P301" s="5"/>
      <c r="Q301" s="5"/>
      <c r="R301" s="5"/>
      <c r="S301" s="5"/>
      <c r="T301" s="5"/>
      <c r="U301" s="5"/>
      <c r="V301" s="5"/>
      <c r="W301" s="5"/>
    </row>
    <row r="302">
      <c r="A302" s="3"/>
      <c r="B302" s="3"/>
      <c r="C302" s="5"/>
      <c r="D302" s="3"/>
      <c r="E302" s="5"/>
      <c r="F302" s="5"/>
      <c r="G302" s="5"/>
      <c r="H302" s="5"/>
      <c r="I302" s="5"/>
      <c r="J302" s="5"/>
      <c r="K302" s="5"/>
      <c r="L302" s="5"/>
      <c r="M302" s="5"/>
      <c r="N302" s="5"/>
      <c r="O302" s="5"/>
      <c r="P302" s="5"/>
      <c r="Q302" s="5"/>
      <c r="R302" s="5"/>
      <c r="S302" s="5"/>
      <c r="T302" s="5"/>
      <c r="U302" s="5"/>
      <c r="V302" s="5"/>
      <c r="W302" s="5"/>
    </row>
    <row r="303">
      <c r="A303" s="3"/>
      <c r="B303" s="3"/>
      <c r="C303" s="5"/>
      <c r="D303" s="3"/>
      <c r="E303" s="5"/>
      <c r="F303" s="5"/>
      <c r="G303" s="5"/>
      <c r="H303" s="5"/>
      <c r="I303" s="5"/>
      <c r="J303" s="5"/>
      <c r="K303" s="5"/>
      <c r="L303" s="5"/>
      <c r="M303" s="5"/>
      <c r="N303" s="5"/>
      <c r="O303" s="5"/>
      <c r="P303" s="5"/>
      <c r="Q303" s="5"/>
      <c r="R303" s="5"/>
      <c r="S303" s="5"/>
      <c r="T303" s="5"/>
      <c r="U303" s="5"/>
      <c r="V303" s="5"/>
      <c r="W303" s="5"/>
    </row>
    <row r="304">
      <c r="A304" s="3"/>
      <c r="B304" s="3"/>
      <c r="C304" s="5"/>
      <c r="D304" s="3"/>
      <c r="E304" s="5"/>
      <c r="F304" s="5"/>
      <c r="G304" s="5"/>
      <c r="H304" s="5"/>
      <c r="I304" s="5"/>
      <c r="J304" s="5"/>
      <c r="K304" s="5"/>
      <c r="L304" s="5"/>
      <c r="M304" s="5"/>
      <c r="N304" s="5"/>
      <c r="O304" s="5"/>
      <c r="P304" s="5"/>
      <c r="Q304" s="5"/>
      <c r="R304" s="5"/>
      <c r="S304" s="5"/>
      <c r="T304" s="5"/>
      <c r="U304" s="5"/>
      <c r="V304" s="5"/>
      <c r="W304" s="5"/>
    </row>
    <row r="305">
      <c r="A305" s="3"/>
      <c r="B305" s="3"/>
      <c r="C305" s="5"/>
      <c r="D305" s="3"/>
      <c r="E305" s="5"/>
      <c r="F305" s="5"/>
      <c r="G305" s="5"/>
      <c r="H305" s="5"/>
      <c r="I305" s="5"/>
      <c r="J305" s="5"/>
      <c r="K305" s="5"/>
      <c r="L305" s="5"/>
      <c r="M305" s="5"/>
      <c r="N305" s="5"/>
      <c r="O305" s="5"/>
      <c r="P305" s="5"/>
      <c r="Q305" s="5"/>
      <c r="R305" s="5"/>
      <c r="S305" s="5"/>
      <c r="T305" s="5"/>
      <c r="U305" s="5"/>
      <c r="V305" s="5"/>
      <c r="W305" s="5"/>
    </row>
    <row r="306">
      <c r="A306" s="3"/>
      <c r="B306" s="3"/>
      <c r="C306" s="5"/>
      <c r="D306" s="3"/>
      <c r="E306" s="5"/>
      <c r="F306" s="5"/>
      <c r="G306" s="5"/>
      <c r="H306" s="5"/>
      <c r="I306" s="5"/>
      <c r="J306" s="5"/>
      <c r="K306" s="5"/>
      <c r="L306" s="5"/>
      <c r="M306" s="5"/>
      <c r="N306" s="5"/>
      <c r="O306" s="5"/>
      <c r="P306" s="5"/>
      <c r="Q306" s="5"/>
      <c r="R306" s="5"/>
      <c r="S306" s="5"/>
      <c r="T306" s="5"/>
      <c r="U306" s="5"/>
      <c r="V306" s="5"/>
      <c r="W306" s="5"/>
    </row>
    <row r="307">
      <c r="A307" s="3"/>
      <c r="B307" s="3"/>
      <c r="C307" s="5"/>
      <c r="D307" s="3"/>
      <c r="E307" s="5"/>
      <c r="F307" s="5"/>
      <c r="G307" s="5"/>
      <c r="H307" s="5"/>
      <c r="I307" s="5"/>
      <c r="J307" s="5"/>
      <c r="K307" s="5"/>
      <c r="L307" s="5"/>
      <c r="M307" s="5"/>
      <c r="N307" s="5"/>
      <c r="O307" s="5"/>
      <c r="P307" s="5"/>
      <c r="Q307" s="5"/>
      <c r="R307" s="5"/>
      <c r="S307" s="5"/>
      <c r="T307" s="5"/>
      <c r="U307" s="5"/>
      <c r="V307" s="5"/>
      <c r="W307" s="5"/>
    </row>
    <row r="308">
      <c r="A308" s="3"/>
      <c r="B308" s="3"/>
      <c r="C308" s="5"/>
      <c r="D308" s="3"/>
      <c r="E308" s="5"/>
      <c r="F308" s="5"/>
      <c r="G308" s="5"/>
      <c r="H308" s="5"/>
      <c r="I308" s="5"/>
      <c r="J308" s="5"/>
      <c r="K308" s="5"/>
      <c r="L308" s="5"/>
      <c r="M308" s="5"/>
      <c r="N308" s="5"/>
      <c r="O308" s="5"/>
      <c r="P308" s="5"/>
      <c r="Q308" s="5"/>
      <c r="R308" s="5"/>
      <c r="S308" s="5"/>
      <c r="T308" s="5"/>
      <c r="U308" s="5"/>
      <c r="V308" s="5"/>
      <c r="W308" s="5"/>
    </row>
    <row r="309">
      <c r="A309" s="3"/>
      <c r="B309" s="3"/>
      <c r="C309" s="5"/>
      <c r="D309" s="3"/>
      <c r="E309" s="5"/>
      <c r="F309" s="5"/>
      <c r="G309" s="5"/>
      <c r="H309" s="5"/>
      <c r="I309" s="5"/>
      <c r="J309" s="5"/>
      <c r="K309" s="5"/>
      <c r="L309" s="5"/>
      <c r="M309" s="5"/>
      <c r="N309" s="5"/>
      <c r="O309" s="5"/>
      <c r="P309" s="5"/>
      <c r="Q309" s="5"/>
      <c r="R309" s="5"/>
      <c r="S309" s="5"/>
      <c r="T309" s="5"/>
      <c r="U309" s="5"/>
      <c r="V309" s="5"/>
      <c r="W309" s="5"/>
    </row>
    <row r="310">
      <c r="A310" s="3"/>
      <c r="B310" s="3"/>
      <c r="C310" s="5"/>
      <c r="D310" s="3"/>
      <c r="E310" s="5"/>
      <c r="F310" s="5"/>
      <c r="G310" s="5"/>
      <c r="H310" s="5"/>
      <c r="I310" s="5"/>
      <c r="J310" s="5"/>
      <c r="K310" s="5"/>
      <c r="L310" s="5"/>
      <c r="M310" s="5"/>
      <c r="N310" s="5"/>
      <c r="O310" s="5"/>
      <c r="P310" s="5"/>
      <c r="Q310" s="5"/>
      <c r="R310" s="5"/>
      <c r="S310" s="5"/>
      <c r="T310" s="5"/>
      <c r="U310" s="5"/>
      <c r="V310" s="5"/>
      <c r="W310" s="5"/>
    </row>
    <row r="311">
      <c r="A311" s="3"/>
      <c r="B311" s="3"/>
      <c r="C311" s="5"/>
      <c r="D311" s="3"/>
      <c r="E311" s="5"/>
      <c r="F311" s="5"/>
      <c r="G311" s="5"/>
      <c r="H311" s="5"/>
      <c r="I311" s="5"/>
      <c r="J311" s="5"/>
      <c r="K311" s="5"/>
      <c r="L311" s="5"/>
      <c r="M311" s="5"/>
      <c r="N311" s="5"/>
      <c r="O311" s="5"/>
      <c r="P311" s="5"/>
      <c r="Q311" s="5"/>
      <c r="R311" s="5"/>
      <c r="S311" s="5"/>
      <c r="T311" s="5"/>
      <c r="U311" s="5"/>
      <c r="V311" s="5"/>
      <c r="W311" s="5"/>
    </row>
    <row r="312">
      <c r="A312" s="3"/>
      <c r="B312" s="3"/>
      <c r="C312" s="5"/>
      <c r="D312" s="3"/>
      <c r="E312" s="5"/>
      <c r="F312" s="5"/>
      <c r="G312" s="5"/>
      <c r="H312" s="5"/>
      <c r="I312" s="5"/>
      <c r="J312" s="5"/>
      <c r="K312" s="5"/>
      <c r="L312" s="5"/>
      <c r="M312" s="5"/>
      <c r="N312" s="5"/>
      <c r="O312" s="5"/>
      <c r="P312" s="5"/>
      <c r="Q312" s="5"/>
      <c r="R312" s="5"/>
      <c r="S312" s="5"/>
      <c r="T312" s="5"/>
      <c r="U312" s="5"/>
      <c r="V312" s="5"/>
      <c r="W312" s="5"/>
    </row>
    <row r="313">
      <c r="A313" s="3"/>
      <c r="B313" s="3"/>
      <c r="C313" s="5"/>
      <c r="D313" s="3"/>
      <c r="E313" s="5"/>
      <c r="F313" s="5"/>
      <c r="G313" s="5"/>
      <c r="H313" s="5"/>
      <c r="I313" s="5"/>
      <c r="J313" s="5"/>
      <c r="K313" s="5"/>
      <c r="L313" s="5"/>
      <c r="M313" s="5"/>
      <c r="N313" s="5"/>
      <c r="O313" s="5"/>
      <c r="P313" s="5"/>
      <c r="Q313" s="5"/>
      <c r="R313" s="5"/>
      <c r="S313" s="5"/>
      <c r="T313" s="5"/>
      <c r="U313" s="5"/>
      <c r="V313" s="5"/>
      <c r="W313" s="5"/>
    </row>
    <row r="314">
      <c r="A314" s="5"/>
      <c r="B314" s="3"/>
      <c r="C314" s="5"/>
      <c r="D314" s="5"/>
      <c r="E314" s="5"/>
      <c r="F314" s="5"/>
      <c r="G314" s="5"/>
      <c r="H314" s="5"/>
      <c r="I314" s="5"/>
      <c r="J314" s="5"/>
      <c r="K314" s="5"/>
      <c r="L314" s="5"/>
      <c r="M314" s="5"/>
      <c r="N314" s="5"/>
      <c r="O314" s="5"/>
      <c r="P314" s="5"/>
      <c r="Q314" s="5"/>
      <c r="R314" s="5"/>
      <c r="S314" s="5"/>
      <c r="T314" s="5"/>
      <c r="U314" s="5"/>
      <c r="V314" s="5"/>
      <c r="W314" s="5"/>
    </row>
    <row r="315">
      <c r="A315" s="5"/>
      <c r="B315" s="3"/>
      <c r="C315" s="5"/>
      <c r="D315" s="5"/>
      <c r="E315" s="5"/>
      <c r="F315" s="5"/>
      <c r="G315" s="5"/>
      <c r="H315" s="5"/>
      <c r="I315" s="5"/>
      <c r="J315" s="5"/>
      <c r="K315" s="5"/>
      <c r="L315" s="5"/>
      <c r="M315" s="5"/>
      <c r="N315" s="5"/>
      <c r="O315" s="5"/>
      <c r="P315" s="5"/>
      <c r="Q315" s="5"/>
      <c r="R315" s="5"/>
      <c r="S315" s="5"/>
      <c r="T315" s="5"/>
      <c r="U315" s="5"/>
      <c r="V315" s="5"/>
      <c r="W315" s="5"/>
    </row>
    <row r="316">
      <c r="A316" s="5"/>
      <c r="B316" s="3"/>
      <c r="C316" s="5"/>
      <c r="D316" s="5"/>
      <c r="E316" s="5"/>
      <c r="F316" s="5"/>
      <c r="G316" s="5"/>
      <c r="H316" s="5"/>
      <c r="I316" s="5"/>
      <c r="J316" s="5"/>
      <c r="K316" s="5"/>
      <c r="L316" s="5"/>
      <c r="M316" s="5"/>
      <c r="N316" s="5"/>
      <c r="O316" s="5"/>
      <c r="P316" s="5"/>
      <c r="Q316" s="5"/>
      <c r="R316" s="5"/>
      <c r="S316" s="5"/>
      <c r="T316" s="5"/>
      <c r="U316" s="5"/>
      <c r="V316" s="5"/>
      <c r="W316" s="5"/>
    </row>
    <row r="317">
      <c r="A317" s="5"/>
      <c r="B317" s="3"/>
      <c r="C317" s="5"/>
      <c r="D317" s="5"/>
      <c r="E317" s="5"/>
      <c r="F317" s="5"/>
      <c r="G317" s="5"/>
      <c r="H317" s="5"/>
      <c r="I317" s="5"/>
      <c r="J317" s="5"/>
      <c r="K317" s="5"/>
      <c r="L317" s="5"/>
      <c r="M317" s="5"/>
      <c r="N317" s="5"/>
      <c r="O317" s="5"/>
      <c r="P317" s="5"/>
      <c r="Q317" s="5"/>
      <c r="R317" s="5"/>
      <c r="S317" s="5"/>
      <c r="T317" s="5"/>
      <c r="U317" s="5"/>
      <c r="V317" s="5"/>
      <c r="W317" s="5"/>
    </row>
    <row r="318">
      <c r="A318" s="5"/>
      <c r="B318" s="3"/>
      <c r="C318" s="5"/>
      <c r="D318" s="5"/>
      <c r="E318" s="5"/>
      <c r="F318" s="5"/>
      <c r="G318" s="5"/>
      <c r="H318" s="5"/>
      <c r="I318" s="5"/>
      <c r="J318" s="5"/>
      <c r="K318" s="5"/>
      <c r="L318" s="5"/>
      <c r="M318" s="5"/>
      <c r="N318" s="5"/>
      <c r="O318" s="5"/>
      <c r="P318" s="5"/>
      <c r="Q318" s="5"/>
      <c r="R318" s="5"/>
      <c r="S318" s="5"/>
      <c r="T318" s="5"/>
      <c r="U318" s="5"/>
      <c r="V318" s="5"/>
      <c r="W318" s="5"/>
    </row>
    <row r="319">
      <c r="A319" s="5"/>
      <c r="B319" s="3"/>
      <c r="C319" s="5"/>
      <c r="D319" s="5"/>
      <c r="E319" s="5"/>
      <c r="F319" s="5"/>
      <c r="G319" s="5"/>
      <c r="H319" s="5"/>
      <c r="I319" s="5"/>
      <c r="J319" s="5"/>
      <c r="K319" s="5"/>
      <c r="L319" s="5"/>
      <c r="M319" s="5"/>
      <c r="N319" s="5"/>
      <c r="O319" s="5"/>
      <c r="P319" s="5"/>
      <c r="Q319" s="5"/>
      <c r="R319" s="5"/>
      <c r="S319" s="5"/>
      <c r="T319" s="5"/>
      <c r="U319" s="5"/>
      <c r="V319" s="5"/>
      <c r="W319" s="5"/>
    </row>
    <row r="320">
      <c r="A320" s="5"/>
      <c r="B320" s="3"/>
      <c r="C320" s="5"/>
      <c r="D320" s="5"/>
      <c r="E320" s="5"/>
      <c r="F320" s="5"/>
      <c r="G320" s="5"/>
      <c r="H320" s="5"/>
      <c r="I320" s="5"/>
      <c r="J320" s="5"/>
      <c r="K320" s="5"/>
      <c r="L320" s="5"/>
      <c r="M320" s="5"/>
      <c r="N320" s="5"/>
      <c r="O320" s="5"/>
      <c r="P320" s="5"/>
      <c r="Q320" s="5"/>
      <c r="R320" s="5"/>
      <c r="S320" s="5"/>
      <c r="T320" s="5"/>
      <c r="U320" s="5"/>
      <c r="V320" s="5"/>
      <c r="W320" s="5"/>
    </row>
    <row r="321">
      <c r="A321" s="5"/>
      <c r="B321" s="3"/>
      <c r="C321" s="5"/>
      <c r="D321" s="5"/>
      <c r="E321" s="5"/>
      <c r="F321" s="5"/>
      <c r="G321" s="5"/>
      <c r="H321" s="5"/>
      <c r="I321" s="5"/>
      <c r="J321" s="5"/>
      <c r="K321" s="5"/>
      <c r="L321" s="5"/>
      <c r="M321" s="5"/>
      <c r="N321" s="5"/>
      <c r="O321" s="5"/>
      <c r="P321" s="5"/>
      <c r="Q321" s="5"/>
      <c r="R321" s="5"/>
      <c r="S321" s="5"/>
      <c r="T321" s="5"/>
      <c r="U321" s="5"/>
      <c r="V321" s="5"/>
      <c r="W321" s="5"/>
    </row>
    <row r="322">
      <c r="A322" s="5"/>
      <c r="B322" s="3"/>
      <c r="C322" s="5"/>
      <c r="D322" s="5"/>
      <c r="E322" s="5"/>
      <c r="F322" s="5"/>
      <c r="G322" s="5"/>
      <c r="H322" s="5"/>
      <c r="I322" s="5"/>
      <c r="J322" s="5"/>
      <c r="K322" s="5"/>
      <c r="L322" s="5"/>
      <c r="M322" s="5"/>
      <c r="N322" s="5"/>
      <c r="O322" s="5"/>
      <c r="P322" s="5"/>
      <c r="Q322" s="5"/>
      <c r="R322" s="5"/>
      <c r="S322" s="5"/>
      <c r="T322" s="5"/>
      <c r="U322" s="5"/>
      <c r="V322" s="5"/>
      <c r="W322" s="5"/>
    </row>
    <row r="323">
      <c r="A323" s="5"/>
      <c r="B323" s="3"/>
      <c r="C323" s="5"/>
      <c r="D323" s="5"/>
      <c r="E323" s="5"/>
      <c r="F323" s="5"/>
      <c r="G323" s="5"/>
      <c r="H323" s="5"/>
      <c r="I323" s="5"/>
      <c r="J323" s="5"/>
      <c r="K323" s="5"/>
      <c r="L323" s="5"/>
      <c r="M323" s="5"/>
      <c r="N323" s="5"/>
      <c r="O323" s="5"/>
      <c r="P323" s="5"/>
      <c r="Q323" s="5"/>
      <c r="R323" s="5"/>
      <c r="S323" s="5"/>
      <c r="T323" s="5"/>
      <c r="U323" s="5"/>
      <c r="V323" s="5"/>
      <c r="W323" s="5"/>
    </row>
    <row r="324">
      <c r="A324" s="5"/>
      <c r="B324" s="3"/>
      <c r="C324" s="5"/>
      <c r="D324" s="5"/>
      <c r="E324" s="5"/>
      <c r="F324" s="5"/>
      <c r="G324" s="5"/>
      <c r="H324" s="5"/>
      <c r="I324" s="5"/>
      <c r="J324" s="5"/>
      <c r="K324" s="5"/>
      <c r="L324" s="5"/>
      <c r="M324" s="5"/>
      <c r="N324" s="5"/>
      <c r="O324" s="5"/>
      <c r="P324" s="5"/>
      <c r="Q324" s="5"/>
      <c r="R324" s="5"/>
      <c r="S324" s="5"/>
      <c r="T324" s="5"/>
      <c r="U324" s="5"/>
      <c r="V324" s="5"/>
      <c r="W324" s="5"/>
    </row>
    <row r="325">
      <c r="A325" s="5"/>
      <c r="B325" s="3"/>
      <c r="C325" s="5"/>
      <c r="D325" s="5"/>
      <c r="E325" s="5"/>
      <c r="F325" s="5"/>
      <c r="G325" s="5"/>
      <c r="H325" s="5"/>
      <c r="I325" s="5"/>
      <c r="J325" s="5"/>
      <c r="K325" s="5"/>
      <c r="L325" s="5"/>
      <c r="M325" s="5"/>
      <c r="N325" s="5"/>
      <c r="O325" s="5"/>
      <c r="P325" s="5"/>
      <c r="Q325" s="5"/>
      <c r="R325" s="5"/>
      <c r="S325" s="5"/>
      <c r="T325" s="5"/>
      <c r="U325" s="5"/>
      <c r="V325" s="5"/>
      <c r="W325" s="5"/>
    </row>
    <row r="326">
      <c r="A326" s="5"/>
      <c r="B326" s="3"/>
      <c r="C326" s="5"/>
      <c r="D326" s="5"/>
      <c r="E326" s="5"/>
      <c r="F326" s="5"/>
      <c r="G326" s="5"/>
      <c r="H326" s="5"/>
      <c r="I326" s="5"/>
      <c r="J326" s="5"/>
      <c r="K326" s="5"/>
      <c r="L326" s="5"/>
      <c r="M326" s="5"/>
      <c r="N326" s="5"/>
      <c r="O326" s="5"/>
      <c r="P326" s="5"/>
      <c r="Q326" s="5"/>
      <c r="R326" s="5"/>
      <c r="S326" s="5"/>
      <c r="T326" s="5"/>
      <c r="U326" s="5"/>
      <c r="V326" s="5"/>
      <c r="W326" s="5"/>
    </row>
    <row r="327">
      <c r="A327" s="5"/>
      <c r="B327" s="3"/>
      <c r="C327" s="5"/>
      <c r="D327" s="5"/>
      <c r="E327" s="5"/>
      <c r="F327" s="5"/>
      <c r="G327" s="5"/>
      <c r="H327" s="5"/>
      <c r="I327" s="5"/>
      <c r="J327" s="5"/>
      <c r="K327" s="5"/>
      <c r="L327" s="5"/>
      <c r="M327" s="5"/>
      <c r="N327" s="5"/>
      <c r="O327" s="5"/>
      <c r="P327" s="5"/>
      <c r="Q327" s="5"/>
      <c r="R327" s="5"/>
      <c r="S327" s="5"/>
      <c r="T327" s="5"/>
      <c r="U327" s="5"/>
      <c r="V327" s="5"/>
      <c r="W327" s="5"/>
    </row>
    <row r="328">
      <c r="A328" s="5"/>
      <c r="B328" s="3"/>
      <c r="C328" s="5"/>
      <c r="D328" s="5"/>
      <c r="E328" s="5"/>
      <c r="F328" s="5"/>
      <c r="G328" s="5"/>
      <c r="H328" s="5"/>
      <c r="I328" s="5"/>
      <c r="J328" s="5"/>
      <c r="K328" s="5"/>
      <c r="L328" s="5"/>
      <c r="M328" s="5"/>
      <c r="N328" s="5"/>
      <c r="O328" s="5"/>
      <c r="P328" s="5"/>
      <c r="Q328" s="5"/>
      <c r="R328" s="5"/>
      <c r="S328" s="5"/>
      <c r="T328" s="5"/>
      <c r="U328" s="5"/>
      <c r="V328" s="5"/>
      <c r="W328" s="5"/>
    </row>
    <row r="329">
      <c r="A329" s="5"/>
      <c r="B329" s="3"/>
      <c r="C329" s="5"/>
      <c r="D329" s="5"/>
      <c r="E329" s="5"/>
      <c r="F329" s="5"/>
      <c r="G329" s="5"/>
      <c r="H329" s="5"/>
      <c r="I329" s="5"/>
      <c r="J329" s="5"/>
      <c r="K329" s="5"/>
      <c r="L329" s="5"/>
      <c r="M329" s="5"/>
      <c r="N329" s="5"/>
      <c r="O329" s="5"/>
      <c r="P329" s="5"/>
      <c r="Q329" s="5"/>
      <c r="R329" s="5"/>
      <c r="S329" s="5"/>
      <c r="T329" s="5"/>
      <c r="U329" s="5"/>
      <c r="V329" s="5"/>
      <c r="W329" s="5"/>
    </row>
    <row r="330">
      <c r="A330" s="5"/>
      <c r="B330" s="3"/>
      <c r="C330" s="5"/>
      <c r="D330" s="5"/>
      <c r="E330" s="5"/>
      <c r="F330" s="5"/>
      <c r="G330" s="5"/>
      <c r="H330" s="5"/>
      <c r="I330" s="5"/>
      <c r="J330" s="5"/>
      <c r="K330" s="5"/>
      <c r="L330" s="5"/>
      <c r="M330" s="5"/>
      <c r="N330" s="5"/>
      <c r="O330" s="5"/>
      <c r="P330" s="5"/>
      <c r="Q330" s="5"/>
      <c r="R330" s="5"/>
      <c r="S330" s="5"/>
      <c r="T330" s="5"/>
      <c r="U330" s="5"/>
      <c r="V330" s="5"/>
      <c r="W330" s="5"/>
    </row>
    <row r="331">
      <c r="A331" s="5"/>
      <c r="B331" s="3"/>
      <c r="C331" s="5"/>
      <c r="D331" s="5"/>
      <c r="E331" s="5"/>
      <c r="F331" s="5"/>
      <c r="G331" s="5"/>
      <c r="H331" s="5"/>
      <c r="I331" s="5"/>
      <c r="J331" s="5"/>
      <c r="K331" s="5"/>
      <c r="L331" s="5"/>
      <c r="M331" s="5"/>
      <c r="N331" s="5"/>
      <c r="O331" s="5"/>
      <c r="P331" s="5"/>
      <c r="Q331" s="5"/>
      <c r="R331" s="5"/>
      <c r="S331" s="5"/>
      <c r="T331" s="5"/>
      <c r="U331" s="5"/>
      <c r="V331" s="5"/>
      <c r="W331" s="5"/>
    </row>
    <row r="332">
      <c r="A332" s="5"/>
      <c r="B332" s="3"/>
      <c r="C332" s="5"/>
      <c r="D332" s="5"/>
      <c r="E332" s="5"/>
      <c r="F332" s="5"/>
      <c r="G332" s="5"/>
      <c r="H332" s="5"/>
      <c r="I332" s="5"/>
      <c r="J332" s="5"/>
      <c r="K332" s="5"/>
      <c r="L332" s="5"/>
      <c r="M332" s="5"/>
      <c r="N332" s="5"/>
      <c r="O332" s="5"/>
      <c r="P332" s="5"/>
      <c r="Q332" s="5"/>
      <c r="R332" s="5"/>
      <c r="S332" s="5"/>
      <c r="T332" s="5"/>
      <c r="U332" s="5"/>
      <c r="V332" s="5"/>
      <c r="W332" s="5"/>
    </row>
    <row r="333">
      <c r="A333" s="5"/>
      <c r="B333" s="3"/>
      <c r="C333" s="5"/>
      <c r="D333" s="5"/>
      <c r="E333" s="5"/>
      <c r="F333" s="5"/>
      <c r="G333" s="5"/>
      <c r="H333" s="5"/>
      <c r="I333" s="5"/>
      <c r="J333" s="5"/>
      <c r="K333" s="5"/>
      <c r="L333" s="5"/>
      <c r="M333" s="5"/>
      <c r="N333" s="5"/>
      <c r="O333" s="5"/>
      <c r="P333" s="5"/>
      <c r="Q333" s="5"/>
      <c r="R333" s="5"/>
      <c r="S333" s="5"/>
      <c r="T333" s="5"/>
      <c r="U333" s="5"/>
      <c r="V333" s="5"/>
      <c r="W333" s="5"/>
    </row>
    <row r="334">
      <c r="A334" s="5"/>
      <c r="B334" s="3"/>
      <c r="C334" s="5"/>
      <c r="D334" s="5"/>
      <c r="E334" s="5"/>
      <c r="F334" s="5"/>
      <c r="G334" s="5"/>
      <c r="H334" s="5"/>
      <c r="I334" s="5"/>
      <c r="J334" s="5"/>
      <c r="K334" s="5"/>
      <c r="L334" s="5"/>
      <c r="M334" s="5"/>
      <c r="N334" s="5"/>
      <c r="O334" s="5"/>
      <c r="P334" s="5"/>
      <c r="Q334" s="5"/>
      <c r="R334" s="5"/>
      <c r="S334" s="5"/>
      <c r="T334" s="5"/>
      <c r="U334" s="5"/>
      <c r="V334" s="5"/>
      <c r="W334" s="5"/>
    </row>
    <row r="335">
      <c r="A335" s="5"/>
      <c r="B335" s="3"/>
      <c r="C335" s="5"/>
      <c r="D335" s="5"/>
      <c r="E335" s="5"/>
      <c r="F335" s="5"/>
      <c r="G335" s="5"/>
      <c r="H335" s="5"/>
      <c r="I335" s="5"/>
      <c r="J335" s="5"/>
      <c r="K335" s="5"/>
      <c r="L335" s="5"/>
      <c r="M335" s="5"/>
      <c r="N335" s="5"/>
      <c r="O335" s="5"/>
      <c r="P335" s="5"/>
      <c r="Q335" s="5"/>
      <c r="R335" s="5"/>
      <c r="S335" s="5"/>
      <c r="T335" s="5"/>
      <c r="U335" s="5"/>
      <c r="V335" s="5"/>
      <c r="W335" s="5"/>
    </row>
    <row r="336">
      <c r="A336" s="5"/>
      <c r="B336" s="3"/>
      <c r="C336" s="5"/>
      <c r="D336" s="5"/>
      <c r="E336" s="5"/>
      <c r="F336" s="5"/>
      <c r="G336" s="5"/>
      <c r="H336" s="5"/>
      <c r="I336" s="5"/>
      <c r="J336" s="5"/>
      <c r="K336" s="5"/>
      <c r="L336" s="5"/>
      <c r="M336" s="5"/>
      <c r="N336" s="5"/>
      <c r="O336" s="5"/>
      <c r="P336" s="5"/>
      <c r="Q336" s="5"/>
      <c r="R336" s="5"/>
      <c r="S336" s="5"/>
      <c r="T336" s="5"/>
      <c r="U336" s="5"/>
      <c r="V336" s="5"/>
      <c r="W336" s="5"/>
    </row>
    <row r="337">
      <c r="A337" s="5"/>
      <c r="B337" s="3"/>
      <c r="C337" s="5"/>
      <c r="D337" s="5"/>
      <c r="E337" s="5"/>
      <c r="F337" s="5"/>
      <c r="G337" s="5"/>
      <c r="H337" s="5"/>
      <c r="I337" s="5"/>
      <c r="J337" s="5"/>
      <c r="K337" s="5"/>
      <c r="L337" s="5"/>
      <c r="M337" s="5"/>
      <c r="N337" s="5"/>
      <c r="O337" s="5"/>
      <c r="P337" s="5"/>
      <c r="Q337" s="5"/>
      <c r="R337" s="5"/>
      <c r="S337" s="5"/>
      <c r="T337" s="5"/>
      <c r="U337" s="5"/>
      <c r="V337" s="5"/>
      <c r="W337" s="5"/>
    </row>
    <row r="338">
      <c r="A338" s="5"/>
      <c r="B338" s="3"/>
      <c r="C338" s="5"/>
      <c r="D338" s="5"/>
      <c r="E338" s="5"/>
      <c r="F338" s="5"/>
      <c r="G338" s="5"/>
      <c r="H338" s="5"/>
      <c r="I338" s="5"/>
      <c r="J338" s="5"/>
      <c r="K338" s="5"/>
      <c r="L338" s="5"/>
      <c r="M338" s="5"/>
      <c r="N338" s="5"/>
      <c r="O338" s="5"/>
      <c r="P338" s="5"/>
      <c r="Q338" s="5"/>
      <c r="R338" s="5"/>
      <c r="S338" s="5"/>
      <c r="T338" s="5"/>
      <c r="U338" s="5"/>
      <c r="V338" s="5"/>
      <c r="W338" s="5"/>
    </row>
    <row r="339">
      <c r="A339" s="5"/>
      <c r="B339" s="3"/>
      <c r="C339" s="5"/>
      <c r="D339" s="5"/>
      <c r="E339" s="5"/>
      <c r="F339" s="5"/>
      <c r="G339" s="5"/>
      <c r="H339" s="5"/>
      <c r="I339" s="5"/>
      <c r="J339" s="5"/>
      <c r="K339" s="5"/>
      <c r="L339" s="5"/>
      <c r="M339" s="5"/>
      <c r="N339" s="5"/>
      <c r="O339" s="5"/>
      <c r="P339" s="5"/>
      <c r="Q339" s="5"/>
      <c r="R339" s="5"/>
      <c r="S339" s="5"/>
      <c r="T339" s="5"/>
      <c r="U339" s="5"/>
      <c r="V339" s="5"/>
      <c r="W339" s="5"/>
    </row>
    <row r="340">
      <c r="A340" s="5"/>
      <c r="B340" s="3"/>
      <c r="C340" s="5"/>
      <c r="D340" s="5"/>
      <c r="E340" s="5"/>
      <c r="F340" s="5"/>
      <c r="G340" s="5"/>
      <c r="H340" s="5"/>
      <c r="I340" s="5"/>
      <c r="J340" s="5"/>
      <c r="K340" s="5"/>
      <c r="L340" s="5"/>
      <c r="M340" s="5"/>
      <c r="N340" s="5"/>
      <c r="O340" s="5"/>
      <c r="P340" s="5"/>
      <c r="Q340" s="5"/>
      <c r="R340" s="5"/>
      <c r="S340" s="5"/>
      <c r="T340" s="5"/>
      <c r="U340" s="5"/>
      <c r="V340" s="5"/>
      <c r="W340" s="5"/>
    </row>
    <row r="341">
      <c r="A341" s="5"/>
      <c r="B341" s="3"/>
      <c r="C341" s="5"/>
      <c r="D341" s="5"/>
      <c r="E341" s="5"/>
      <c r="F341" s="5"/>
      <c r="G341" s="5"/>
      <c r="H341" s="5"/>
      <c r="I341" s="5"/>
      <c r="J341" s="5"/>
      <c r="K341" s="5"/>
      <c r="L341" s="5"/>
      <c r="M341" s="5"/>
      <c r="N341" s="5"/>
      <c r="O341" s="5"/>
      <c r="P341" s="5"/>
      <c r="Q341" s="5"/>
      <c r="R341" s="5"/>
      <c r="S341" s="5"/>
      <c r="T341" s="5"/>
      <c r="U341" s="5"/>
      <c r="V341" s="5"/>
      <c r="W341" s="5"/>
    </row>
    <row r="342">
      <c r="A342" s="5"/>
      <c r="B342" s="3"/>
      <c r="C342" s="5"/>
      <c r="D342" s="5"/>
      <c r="E342" s="5"/>
      <c r="F342" s="5"/>
      <c r="G342" s="5"/>
      <c r="H342" s="5"/>
      <c r="I342" s="5"/>
      <c r="J342" s="5"/>
      <c r="K342" s="5"/>
      <c r="L342" s="5"/>
      <c r="M342" s="5"/>
      <c r="N342" s="5"/>
      <c r="O342" s="5"/>
      <c r="P342" s="5"/>
      <c r="Q342" s="5"/>
      <c r="R342" s="5"/>
      <c r="S342" s="5"/>
      <c r="T342" s="5"/>
      <c r="U342" s="5"/>
      <c r="V342" s="5"/>
      <c r="W342" s="5"/>
    </row>
    <row r="343">
      <c r="A343" s="5"/>
      <c r="B343" s="3"/>
      <c r="C343" s="5"/>
      <c r="D343" s="5"/>
      <c r="E343" s="5"/>
      <c r="F343" s="5"/>
      <c r="G343" s="5"/>
      <c r="H343" s="5"/>
      <c r="I343" s="5"/>
      <c r="J343" s="5"/>
      <c r="K343" s="5"/>
      <c r="L343" s="5"/>
      <c r="M343" s="5"/>
      <c r="N343" s="5"/>
      <c r="O343" s="5"/>
      <c r="P343" s="5"/>
      <c r="Q343" s="5"/>
      <c r="R343" s="5"/>
      <c r="S343" s="5"/>
      <c r="T343" s="5"/>
      <c r="U343" s="5"/>
      <c r="V343" s="5"/>
      <c r="W343" s="5"/>
    </row>
    <row r="344">
      <c r="A344" s="5"/>
      <c r="B344" s="3"/>
      <c r="C344" s="5"/>
      <c r="D344" s="5"/>
      <c r="E344" s="5"/>
      <c r="F344" s="5"/>
      <c r="G344" s="5"/>
      <c r="H344" s="5"/>
      <c r="I344" s="5"/>
      <c r="J344" s="5"/>
      <c r="K344" s="5"/>
      <c r="L344" s="5"/>
      <c r="M344" s="5"/>
      <c r="N344" s="5"/>
      <c r="O344" s="5"/>
      <c r="P344" s="5"/>
      <c r="Q344" s="5"/>
      <c r="R344" s="5"/>
      <c r="S344" s="5"/>
      <c r="T344" s="5"/>
      <c r="U344" s="5"/>
      <c r="V344" s="5"/>
      <c r="W344" s="5"/>
    </row>
    <row r="345">
      <c r="A345" s="5"/>
      <c r="B345" s="3"/>
      <c r="C345" s="5"/>
      <c r="D345" s="5"/>
      <c r="E345" s="5"/>
      <c r="F345" s="5"/>
      <c r="G345" s="5"/>
      <c r="H345" s="5"/>
      <c r="I345" s="5"/>
      <c r="J345" s="5"/>
      <c r="K345" s="5"/>
      <c r="L345" s="5"/>
      <c r="M345" s="5"/>
      <c r="N345" s="5"/>
      <c r="O345" s="5"/>
      <c r="P345" s="5"/>
      <c r="Q345" s="5"/>
      <c r="R345" s="5"/>
      <c r="S345" s="5"/>
      <c r="T345" s="5"/>
      <c r="U345" s="5"/>
      <c r="V345" s="5"/>
      <c r="W345" s="5"/>
    </row>
    <row r="346">
      <c r="A346" s="5"/>
      <c r="B346" s="3"/>
      <c r="C346" s="5"/>
      <c r="D346" s="5"/>
      <c r="E346" s="5"/>
      <c r="F346" s="5"/>
      <c r="G346" s="5"/>
      <c r="H346" s="5"/>
      <c r="I346" s="5"/>
      <c r="J346" s="5"/>
      <c r="K346" s="5"/>
      <c r="L346" s="5"/>
      <c r="M346" s="5"/>
      <c r="N346" s="5"/>
      <c r="O346" s="5"/>
      <c r="P346" s="5"/>
      <c r="Q346" s="5"/>
      <c r="R346" s="5"/>
      <c r="S346" s="5"/>
      <c r="T346" s="5"/>
      <c r="U346" s="5"/>
      <c r="V346" s="5"/>
      <c r="W346" s="5"/>
    </row>
    <row r="347">
      <c r="A347" s="5"/>
      <c r="B347" s="3"/>
      <c r="C347" s="5"/>
      <c r="D347" s="5"/>
      <c r="E347" s="5"/>
      <c r="F347" s="5"/>
      <c r="G347" s="5"/>
      <c r="H347" s="5"/>
      <c r="I347" s="5"/>
      <c r="J347" s="5"/>
      <c r="K347" s="5"/>
      <c r="L347" s="5"/>
      <c r="M347" s="5"/>
      <c r="N347" s="5"/>
      <c r="O347" s="5"/>
      <c r="P347" s="5"/>
      <c r="Q347" s="5"/>
      <c r="R347" s="5"/>
      <c r="S347" s="5"/>
      <c r="T347" s="5"/>
      <c r="U347" s="5"/>
      <c r="V347" s="5"/>
      <c r="W347" s="5"/>
    </row>
    <row r="348">
      <c r="A348" s="5"/>
      <c r="B348" s="3"/>
      <c r="C348" s="5"/>
      <c r="D348" s="5"/>
      <c r="E348" s="5"/>
      <c r="F348" s="5"/>
      <c r="G348" s="5"/>
      <c r="H348" s="5"/>
      <c r="I348" s="5"/>
      <c r="J348" s="5"/>
      <c r="K348" s="5"/>
      <c r="L348" s="5"/>
      <c r="M348" s="5"/>
      <c r="N348" s="5"/>
      <c r="O348" s="5"/>
      <c r="P348" s="5"/>
      <c r="Q348" s="5"/>
      <c r="R348" s="5"/>
      <c r="S348" s="5"/>
      <c r="T348" s="5"/>
      <c r="U348" s="5"/>
      <c r="V348" s="5"/>
      <c r="W348" s="5"/>
    </row>
    <row r="349">
      <c r="A349" s="5"/>
      <c r="B349" s="3"/>
      <c r="C349" s="5"/>
      <c r="D349" s="5"/>
      <c r="E349" s="5"/>
      <c r="F349" s="5"/>
      <c r="G349" s="5"/>
      <c r="H349" s="5"/>
      <c r="I349" s="5"/>
      <c r="J349" s="5"/>
      <c r="K349" s="5"/>
      <c r="L349" s="5"/>
      <c r="M349" s="5"/>
      <c r="N349" s="5"/>
      <c r="O349" s="5"/>
      <c r="P349" s="5"/>
      <c r="Q349" s="5"/>
      <c r="R349" s="5"/>
      <c r="S349" s="5"/>
      <c r="T349" s="5"/>
      <c r="U349" s="5"/>
      <c r="V349" s="5"/>
      <c r="W349" s="5"/>
    </row>
    <row r="350">
      <c r="A350" s="5"/>
      <c r="B350" s="3"/>
      <c r="C350" s="5"/>
      <c r="D350" s="5"/>
      <c r="E350" s="5"/>
      <c r="F350" s="5"/>
      <c r="G350" s="5"/>
      <c r="H350" s="5"/>
      <c r="I350" s="5"/>
      <c r="J350" s="5"/>
      <c r="K350" s="5"/>
      <c r="L350" s="5"/>
      <c r="M350" s="5"/>
      <c r="N350" s="5"/>
      <c r="O350" s="5"/>
      <c r="P350" s="5"/>
      <c r="Q350" s="5"/>
      <c r="R350" s="5"/>
      <c r="S350" s="5"/>
      <c r="T350" s="5"/>
      <c r="U350" s="5"/>
      <c r="V350" s="5"/>
      <c r="W350" s="5"/>
    </row>
    <row r="351">
      <c r="A351" s="5"/>
      <c r="B351" s="3"/>
      <c r="C351" s="5"/>
      <c r="D351" s="5"/>
      <c r="E351" s="5"/>
      <c r="F351" s="5"/>
      <c r="G351" s="5"/>
      <c r="H351" s="5"/>
      <c r="I351" s="5"/>
      <c r="J351" s="5"/>
      <c r="K351" s="5"/>
      <c r="L351" s="5"/>
      <c r="M351" s="5"/>
      <c r="N351" s="5"/>
      <c r="O351" s="5"/>
      <c r="P351" s="5"/>
      <c r="Q351" s="5"/>
      <c r="R351" s="5"/>
      <c r="S351" s="5"/>
      <c r="T351" s="5"/>
      <c r="U351" s="5"/>
      <c r="V351" s="5"/>
      <c r="W351" s="5"/>
    </row>
    <row r="352">
      <c r="A352" s="5"/>
      <c r="B352" s="3"/>
      <c r="C352" s="5"/>
      <c r="D352" s="5"/>
      <c r="E352" s="5"/>
      <c r="F352" s="5"/>
      <c r="G352" s="5"/>
      <c r="H352" s="5"/>
      <c r="I352" s="5"/>
      <c r="J352" s="5"/>
      <c r="K352" s="5"/>
      <c r="L352" s="5"/>
      <c r="M352" s="5"/>
      <c r="N352" s="5"/>
      <c r="O352" s="5"/>
      <c r="P352" s="5"/>
      <c r="Q352" s="5"/>
      <c r="R352" s="5"/>
      <c r="S352" s="5"/>
      <c r="T352" s="5"/>
      <c r="U352" s="5"/>
      <c r="V352" s="5"/>
      <c r="W352" s="5"/>
    </row>
    <row r="353">
      <c r="A353" s="5"/>
      <c r="B353" s="3"/>
      <c r="C353" s="5"/>
      <c r="D353" s="5"/>
      <c r="E353" s="5"/>
      <c r="F353" s="5"/>
      <c r="G353" s="5"/>
      <c r="H353" s="5"/>
      <c r="I353" s="5"/>
      <c r="J353" s="5"/>
      <c r="K353" s="5"/>
      <c r="L353" s="5"/>
      <c r="M353" s="5"/>
      <c r="N353" s="5"/>
      <c r="O353" s="5"/>
      <c r="P353" s="5"/>
      <c r="Q353" s="5"/>
      <c r="R353" s="5"/>
      <c r="S353" s="5"/>
      <c r="T353" s="5"/>
      <c r="U353" s="5"/>
      <c r="V353" s="5"/>
      <c r="W353" s="5"/>
    </row>
    <row r="354">
      <c r="A354" s="5"/>
      <c r="B354" s="3"/>
      <c r="C354" s="5"/>
      <c r="D354" s="5"/>
      <c r="E354" s="5"/>
      <c r="F354" s="5"/>
      <c r="G354" s="5"/>
      <c r="H354" s="5"/>
      <c r="I354" s="5"/>
      <c r="J354" s="5"/>
      <c r="K354" s="5"/>
      <c r="L354" s="5"/>
      <c r="M354" s="5"/>
      <c r="N354" s="5"/>
      <c r="O354" s="5"/>
      <c r="P354" s="5"/>
      <c r="Q354" s="5"/>
      <c r="R354" s="5"/>
      <c r="S354" s="5"/>
      <c r="T354" s="5"/>
      <c r="U354" s="5"/>
      <c r="V354" s="5"/>
      <c r="W354" s="5"/>
    </row>
    <row r="355">
      <c r="A355" s="5"/>
      <c r="B355" s="3"/>
      <c r="C355" s="5"/>
      <c r="D355" s="5"/>
      <c r="E355" s="5"/>
      <c r="F355" s="5"/>
      <c r="G355" s="5"/>
      <c r="H355" s="5"/>
      <c r="I355" s="5"/>
      <c r="J355" s="5"/>
      <c r="K355" s="5"/>
      <c r="L355" s="5"/>
      <c r="M355" s="5"/>
      <c r="N355" s="5"/>
      <c r="O355" s="5"/>
      <c r="P355" s="5"/>
      <c r="Q355" s="5"/>
      <c r="R355" s="5"/>
      <c r="S355" s="5"/>
      <c r="T355" s="5"/>
      <c r="U355" s="5"/>
      <c r="V355" s="5"/>
      <c r="W355" s="5"/>
    </row>
    <row r="356">
      <c r="A356" s="5"/>
      <c r="B356" s="3"/>
      <c r="C356" s="5"/>
      <c r="D356" s="5"/>
      <c r="E356" s="5"/>
      <c r="F356" s="5"/>
      <c r="G356" s="5"/>
      <c r="H356" s="5"/>
      <c r="I356" s="5"/>
      <c r="J356" s="5"/>
      <c r="K356" s="5"/>
      <c r="L356" s="5"/>
      <c r="M356" s="5"/>
      <c r="N356" s="5"/>
      <c r="O356" s="5"/>
      <c r="P356" s="5"/>
      <c r="Q356" s="5"/>
      <c r="R356" s="5"/>
      <c r="S356" s="5"/>
      <c r="T356" s="5"/>
      <c r="U356" s="5"/>
      <c r="V356" s="5"/>
      <c r="W356" s="5"/>
    </row>
    <row r="357">
      <c r="A357" s="5"/>
      <c r="B357" s="3"/>
      <c r="C357" s="5"/>
      <c r="D357" s="5"/>
      <c r="E357" s="5"/>
      <c r="F357" s="5"/>
      <c r="G357" s="5"/>
      <c r="H357" s="5"/>
      <c r="I357" s="5"/>
      <c r="J357" s="5"/>
      <c r="K357" s="5"/>
      <c r="L357" s="5"/>
      <c r="M357" s="5"/>
      <c r="N357" s="5"/>
      <c r="O357" s="5"/>
      <c r="P357" s="5"/>
      <c r="Q357" s="5"/>
      <c r="R357" s="5"/>
      <c r="S357" s="5"/>
      <c r="T357" s="5"/>
      <c r="U357" s="5"/>
      <c r="V357" s="5"/>
      <c r="W357" s="5"/>
    </row>
    <row r="358">
      <c r="A358" s="5"/>
      <c r="B358" s="3"/>
      <c r="C358" s="5"/>
      <c r="D358" s="5"/>
      <c r="E358" s="5"/>
      <c r="F358" s="5"/>
      <c r="G358" s="5"/>
      <c r="H358" s="5"/>
      <c r="I358" s="5"/>
      <c r="J358" s="5"/>
      <c r="K358" s="5"/>
      <c r="L358" s="5"/>
      <c r="M358" s="5"/>
      <c r="N358" s="5"/>
      <c r="O358" s="5"/>
      <c r="P358" s="5"/>
      <c r="Q358" s="5"/>
      <c r="R358" s="5"/>
      <c r="S358" s="5"/>
      <c r="T358" s="5"/>
      <c r="U358" s="5"/>
      <c r="V358" s="5"/>
      <c r="W358" s="5"/>
    </row>
    <row r="359">
      <c r="A359" s="5"/>
      <c r="B359" s="3"/>
      <c r="C359" s="5"/>
      <c r="D359" s="5"/>
      <c r="E359" s="5"/>
      <c r="F359" s="5"/>
      <c r="G359" s="5"/>
      <c r="H359" s="5"/>
      <c r="I359" s="5"/>
      <c r="J359" s="5"/>
      <c r="K359" s="5"/>
      <c r="L359" s="5"/>
      <c r="M359" s="5"/>
      <c r="N359" s="5"/>
      <c r="O359" s="5"/>
      <c r="P359" s="5"/>
      <c r="Q359" s="5"/>
      <c r="R359" s="5"/>
      <c r="S359" s="5"/>
      <c r="T359" s="5"/>
      <c r="U359" s="5"/>
      <c r="V359" s="5"/>
      <c r="W359" s="5"/>
    </row>
    <row r="360">
      <c r="A360" s="5"/>
      <c r="B360" s="3"/>
      <c r="C360" s="5"/>
      <c r="D360" s="5"/>
      <c r="E360" s="5"/>
      <c r="F360" s="5"/>
      <c r="G360" s="5"/>
      <c r="H360" s="5"/>
      <c r="I360" s="5"/>
      <c r="J360" s="5"/>
      <c r="K360" s="5"/>
      <c r="L360" s="5"/>
      <c r="M360" s="5"/>
      <c r="N360" s="5"/>
      <c r="O360" s="5"/>
      <c r="P360" s="5"/>
      <c r="Q360" s="5"/>
      <c r="R360" s="5"/>
      <c r="S360" s="5"/>
      <c r="T360" s="5"/>
      <c r="U360" s="5"/>
      <c r="V360" s="5"/>
      <c r="W360" s="5"/>
    </row>
    <row r="361">
      <c r="A361" s="5"/>
      <c r="B361" s="3"/>
      <c r="C361" s="5"/>
      <c r="D361" s="5"/>
      <c r="E361" s="5"/>
      <c r="F361" s="5"/>
      <c r="G361" s="5"/>
      <c r="H361" s="5"/>
      <c r="I361" s="5"/>
      <c r="J361" s="5"/>
      <c r="K361" s="5"/>
      <c r="L361" s="5"/>
      <c r="M361" s="5"/>
      <c r="N361" s="5"/>
      <c r="O361" s="5"/>
      <c r="P361" s="5"/>
      <c r="Q361" s="5"/>
      <c r="R361" s="5"/>
      <c r="S361" s="5"/>
      <c r="T361" s="5"/>
      <c r="U361" s="5"/>
      <c r="V361" s="5"/>
      <c r="W361" s="5"/>
    </row>
    <row r="362">
      <c r="A362" s="5"/>
      <c r="B362" s="3"/>
      <c r="C362" s="5"/>
      <c r="D362" s="5"/>
      <c r="E362" s="5"/>
      <c r="F362" s="5"/>
      <c r="G362" s="5"/>
      <c r="H362" s="5"/>
      <c r="I362" s="5"/>
      <c r="J362" s="5"/>
      <c r="K362" s="5"/>
      <c r="L362" s="5"/>
      <c r="M362" s="5"/>
      <c r="N362" s="5"/>
      <c r="O362" s="5"/>
      <c r="P362" s="5"/>
      <c r="Q362" s="5"/>
      <c r="R362" s="5"/>
      <c r="S362" s="5"/>
      <c r="T362" s="5"/>
      <c r="U362" s="5"/>
      <c r="V362" s="5"/>
      <c r="W362" s="5"/>
    </row>
    <row r="363">
      <c r="A363" s="5"/>
      <c r="B363" s="3"/>
      <c r="C363" s="5"/>
      <c r="D363" s="5"/>
      <c r="E363" s="5"/>
      <c r="F363" s="5"/>
      <c r="G363" s="5"/>
      <c r="H363" s="5"/>
      <c r="I363" s="5"/>
      <c r="J363" s="5"/>
      <c r="K363" s="5"/>
      <c r="L363" s="5"/>
      <c r="M363" s="5"/>
      <c r="N363" s="5"/>
      <c r="O363" s="5"/>
      <c r="P363" s="5"/>
      <c r="Q363" s="5"/>
      <c r="R363" s="5"/>
      <c r="S363" s="5"/>
      <c r="T363" s="5"/>
      <c r="U363" s="5"/>
      <c r="V363" s="5"/>
      <c r="W363" s="5"/>
    </row>
    <row r="364">
      <c r="A364" s="5"/>
      <c r="B364" s="3"/>
      <c r="C364" s="5"/>
      <c r="D364" s="5"/>
      <c r="E364" s="5"/>
      <c r="F364" s="5"/>
      <c r="G364" s="5"/>
      <c r="H364" s="5"/>
      <c r="I364" s="5"/>
      <c r="J364" s="5"/>
      <c r="K364" s="5"/>
      <c r="L364" s="5"/>
      <c r="M364" s="5"/>
      <c r="N364" s="5"/>
      <c r="O364" s="5"/>
      <c r="P364" s="5"/>
      <c r="Q364" s="5"/>
      <c r="R364" s="5"/>
      <c r="S364" s="5"/>
      <c r="T364" s="5"/>
      <c r="U364" s="5"/>
      <c r="V364" s="5"/>
      <c r="W364" s="5"/>
    </row>
    <row r="365">
      <c r="A365" s="5"/>
      <c r="B365" s="3"/>
      <c r="C365" s="5"/>
      <c r="D365" s="5"/>
      <c r="E365" s="5"/>
      <c r="F365" s="5"/>
      <c r="G365" s="5"/>
      <c r="H365" s="5"/>
      <c r="I365" s="5"/>
      <c r="J365" s="5"/>
      <c r="K365" s="5"/>
      <c r="L365" s="5"/>
      <c r="M365" s="5"/>
      <c r="N365" s="5"/>
      <c r="O365" s="5"/>
      <c r="P365" s="5"/>
      <c r="Q365" s="5"/>
      <c r="R365" s="5"/>
      <c r="S365" s="5"/>
      <c r="T365" s="5"/>
      <c r="U365" s="5"/>
      <c r="V365" s="5"/>
      <c r="W365" s="5"/>
    </row>
    <row r="366">
      <c r="A366" s="5"/>
      <c r="B366" s="3"/>
      <c r="C366" s="5"/>
      <c r="D366" s="5"/>
      <c r="E366" s="5"/>
      <c r="F366" s="5"/>
      <c r="G366" s="5"/>
      <c r="H366" s="5"/>
      <c r="I366" s="5"/>
      <c r="J366" s="5"/>
      <c r="K366" s="5"/>
      <c r="L366" s="5"/>
      <c r="M366" s="5"/>
      <c r="N366" s="5"/>
      <c r="O366" s="5"/>
      <c r="P366" s="5"/>
      <c r="Q366" s="5"/>
      <c r="R366" s="5"/>
      <c r="S366" s="5"/>
      <c r="T366" s="5"/>
      <c r="U366" s="5"/>
      <c r="V366" s="5"/>
      <c r="W366" s="5"/>
    </row>
    <row r="367">
      <c r="A367" s="5"/>
      <c r="B367" s="3"/>
      <c r="C367" s="5"/>
      <c r="D367" s="5"/>
      <c r="E367" s="5"/>
      <c r="F367" s="5"/>
      <c r="G367" s="5"/>
      <c r="H367" s="5"/>
      <c r="I367" s="5"/>
      <c r="J367" s="5"/>
      <c r="K367" s="5"/>
      <c r="L367" s="5"/>
      <c r="M367" s="5"/>
      <c r="N367" s="5"/>
      <c r="O367" s="5"/>
      <c r="P367" s="5"/>
      <c r="Q367" s="5"/>
      <c r="R367" s="5"/>
      <c r="S367" s="5"/>
      <c r="T367" s="5"/>
      <c r="U367" s="5"/>
      <c r="V367" s="5"/>
      <c r="W367" s="5"/>
    </row>
    <row r="368">
      <c r="A368" s="5"/>
      <c r="B368" s="3"/>
      <c r="C368" s="5"/>
      <c r="D368" s="5"/>
      <c r="E368" s="5"/>
      <c r="F368" s="5"/>
      <c r="G368" s="5"/>
      <c r="H368" s="5"/>
      <c r="I368" s="5"/>
      <c r="J368" s="5"/>
      <c r="K368" s="5"/>
      <c r="L368" s="5"/>
      <c r="M368" s="5"/>
      <c r="N368" s="5"/>
      <c r="O368" s="5"/>
      <c r="P368" s="5"/>
      <c r="Q368" s="5"/>
      <c r="R368" s="5"/>
      <c r="S368" s="5"/>
      <c r="T368" s="5"/>
      <c r="U368" s="5"/>
      <c r="V368" s="5"/>
      <c r="W368" s="5"/>
    </row>
    <row r="369">
      <c r="A369" s="5"/>
      <c r="B369" s="3"/>
      <c r="C369" s="5"/>
      <c r="D369" s="5"/>
      <c r="E369" s="5"/>
      <c r="F369" s="5"/>
      <c r="G369" s="5"/>
      <c r="H369" s="5"/>
      <c r="I369" s="5"/>
      <c r="J369" s="5"/>
      <c r="K369" s="5"/>
      <c r="L369" s="5"/>
      <c r="M369" s="5"/>
      <c r="N369" s="5"/>
      <c r="O369" s="5"/>
      <c r="P369" s="5"/>
      <c r="Q369" s="5"/>
      <c r="R369" s="5"/>
      <c r="S369" s="5"/>
      <c r="T369" s="5"/>
      <c r="U369" s="5"/>
      <c r="V369" s="5"/>
      <c r="W369" s="5"/>
    </row>
    <row r="370">
      <c r="A370" s="5"/>
      <c r="B370" s="3"/>
      <c r="C370" s="5"/>
      <c r="D370" s="5"/>
      <c r="E370" s="5"/>
      <c r="F370" s="5"/>
      <c r="G370" s="5"/>
      <c r="H370" s="5"/>
      <c r="I370" s="5"/>
      <c r="J370" s="5"/>
      <c r="K370" s="5"/>
      <c r="L370" s="5"/>
      <c r="M370" s="5"/>
      <c r="N370" s="5"/>
      <c r="O370" s="5"/>
      <c r="P370" s="5"/>
      <c r="Q370" s="5"/>
      <c r="R370" s="5"/>
      <c r="S370" s="5"/>
      <c r="T370" s="5"/>
      <c r="U370" s="5"/>
      <c r="V370" s="5"/>
      <c r="W370" s="5"/>
    </row>
    <row r="371">
      <c r="A371" s="5"/>
      <c r="B371" s="3"/>
      <c r="C371" s="5"/>
      <c r="D371" s="5"/>
      <c r="E371" s="5"/>
      <c r="F371" s="5"/>
      <c r="G371" s="5"/>
      <c r="H371" s="5"/>
      <c r="I371" s="5"/>
      <c r="J371" s="5"/>
      <c r="K371" s="5"/>
      <c r="L371" s="5"/>
      <c r="M371" s="5"/>
      <c r="N371" s="5"/>
      <c r="O371" s="5"/>
      <c r="P371" s="5"/>
      <c r="Q371" s="5"/>
      <c r="R371" s="5"/>
      <c r="S371" s="5"/>
      <c r="T371" s="5"/>
      <c r="U371" s="5"/>
      <c r="V371" s="5"/>
      <c r="W371" s="5"/>
    </row>
    <row r="372">
      <c r="A372" s="5"/>
      <c r="B372" s="3"/>
      <c r="C372" s="5"/>
      <c r="D372" s="5"/>
      <c r="E372" s="5"/>
      <c r="F372" s="5"/>
      <c r="G372" s="5"/>
      <c r="H372" s="5"/>
      <c r="I372" s="5"/>
      <c r="J372" s="5"/>
      <c r="K372" s="5"/>
      <c r="L372" s="5"/>
      <c r="M372" s="5"/>
      <c r="N372" s="5"/>
      <c r="O372" s="5"/>
      <c r="P372" s="5"/>
      <c r="Q372" s="5"/>
      <c r="R372" s="5"/>
      <c r="S372" s="5"/>
      <c r="T372" s="5"/>
      <c r="U372" s="5"/>
      <c r="V372" s="5"/>
      <c r="W372" s="5"/>
    </row>
    <row r="373">
      <c r="A373" s="5"/>
      <c r="B373" s="3"/>
      <c r="C373" s="5"/>
      <c r="D373" s="5"/>
      <c r="E373" s="5"/>
      <c r="F373" s="5"/>
      <c r="G373" s="5"/>
      <c r="H373" s="5"/>
      <c r="I373" s="5"/>
      <c r="J373" s="5"/>
      <c r="K373" s="5"/>
      <c r="L373" s="5"/>
      <c r="M373" s="5"/>
      <c r="N373" s="5"/>
      <c r="O373" s="5"/>
      <c r="P373" s="5"/>
      <c r="Q373" s="5"/>
      <c r="R373" s="5"/>
      <c r="S373" s="5"/>
      <c r="T373" s="5"/>
      <c r="U373" s="5"/>
      <c r="V373" s="5"/>
      <c r="W373" s="5"/>
    </row>
    <row r="374">
      <c r="A374" s="5"/>
      <c r="B374" s="3"/>
      <c r="C374" s="5"/>
      <c r="D374" s="5"/>
      <c r="E374" s="5"/>
      <c r="F374" s="5"/>
      <c r="G374" s="5"/>
      <c r="H374" s="5"/>
      <c r="I374" s="5"/>
      <c r="J374" s="5"/>
      <c r="K374" s="5"/>
      <c r="L374" s="5"/>
      <c r="M374" s="5"/>
      <c r="N374" s="5"/>
      <c r="O374" s="5"/>
      <c r="P374" s="5"/>
      <c r="Q374" s="5"/>
      <c r="R374" s="5"/>
      <c r="S374" s="5"/>
      <c r="T374" s="5"/>
      <c r="U374" s="5"/>
      <c r="V374" s="5"/>
      <c r="W374" s="5"/>
    </row>
    <row r="375">
      <c r="A375" s="5"/>
      <c r="B375" s="3"/>
      <c r="C375" s="5"/>
      <c r="D375" s="5"/>
      <c r="E375" s="5"/>
      <c r="F375" s="5"/>
      <c r="G375" s="5"/>
      <c r="H375" s="5"/>
      <c r="I375" s="5"/>
      <c r="J375" s="5"/>
      <c r="K375" s="5"/>
      <c r="L375" s="5"/>
      <c r="M375" s="5"/>
      <c r="N375" s="5"/>
      <c r="O375" s="5"/>
      <c r="P375" s="5"/>
      <c r="Q375" s="5"/>
      <c r="R375" s="5"/>
      <c r="S375" s="5"/>
      <c r="T375" s="5"/>
      <c r="U375" s="5"/>
      <c r="V375" s="5"/>
      <c r="W375" s="5"/>
    </row>
    <row r="376">
      <c r="A376" s="5"/>
      <c r="B376" s="3"/>
      <c r="C376" s="5"/>
      <c r="D376" s="5"/>
      <c r="E376" s="5"/>
      <c r="F376" s="5"/>
      <c r="G376" s="5"/>
      <c r="H376" s="5"/>
      <c r="I376" s="5"/>
      <c r="J376" s="5"/>
      <c r="K376" s="5"/>
      <c r="L376" s="5"/>
      <c r="M376" s="5"/>
      <c r="N376" s="5"/>
      <c r="O376" s="5"/>
      <c r="P376" s="5"/>
      <c r="Q376" s="5"/>
      <c r="R376" s="5"/>
      <c r="S376" s="5"/>
      <c r="T376" s="5"/>
      <c r="U376" s="5"/>
      <c r="V376" s="5"/>
      <c r="W376" s="5"/>
    </row>
    <row r="377">
      <c r="A377" s="5"/>
      <c r="B377" s="3"/>
      <c r="C377" s="5"/>
      <c r="D377" s="5"/>
      <c r="E377" s="5"/>
      <c r="F377" s="5"/>
      <c r="G377" s="5"/>
      <c r="H377" s="5"/>
      <c r="I377" s="5"/>
      <c r="J377" s="5"/>
      <c r="K377" s="5"/>
      <c r="L377" s="5"/>
      <c r="M377" s="5"/>
      <c r="N377" s="5"/>
      <c r="O377" s="5"/>
      <c r="P377" s="5"/>
      <c r="Q377" s="5"/>
      <c r="R377" s="5"/>
      <c r="S377" s="5"/>
      <c r="T377" s="5"/>
      <c r="U377" s="5"/>
      <c r="V377" s="5"/>
      <c r="W377" s="5"/>
    </row>
    <row r="378">
      <c r="A378" s="5"/>
      <c r="B378" s="3"/>
      <c r="C378" s="5"/>
      <c r="D378" s="5"/>
      <c r="E378" s="5"/>
      <c r="F378" s="5"/>
      <c r="G378" s="5"/>
      <c r="H378" s="5"/>
      <c r="I378" s="5"/>
      <c r="J378" s="5"/>
      <c r="K378" s="5"/>
      <c r="L378" s="5"/>
      <c r="M378" s="5"/>
      <c r="N378" s="5"/>
      <c r="O378" s="5"/>
      <c r="P378" s="5"/>
      <c r="Q378" s="5"/>
      <c r="R378" s="5"/>
      <c r="S378" s="5"/>
      <c r="T378" s="5"/>
      <c r="U378" s="5"/>
      <c r="V378" s="5"/>
      <c r="W378" s="5"/>
    </row>
    <row r="379">
      <c r="A379" s="5"/>
      <c r="B379" s="3"/>
      <c r="C379" s="5"/>
      <c r="D379" s="5"/>
      <c r="E379" s="5"/>
      <c r="F379" s="5"/>
      <c r="G379" s="5"/>
      <c r="H379" s="5"/>
      <c r="I379" s="5"/>
      <c r="J379" s="5"/>
      <c r="K379" s="5"/>
      <c r="L379" s="5"/>
      <c r="M379" s="5"/>
      <c r="N379" s="5"/>
      <c r="O379" s="5"/>
      <c r="P379" s="5"/>
      <c r="Q379" s="5"/>
      <c r="R379" s="5"/>
      <c r="S379" s="5"/>
      <c r="T379" s="5"/>
      <c r="U379" s="5"/>
      <c r="V379" s="5"/>
      <c r="W379" s="5"/>
    </row>
    <row r="380">
      <c r="A380" s="5"/>
      <c r="B380" s="3"/>
      <c r="C380" s="5"/>
      <c r="D380" s="5"/>
      <c r="E380" s="5"/>
      <c r="F380" s="5"/>
      <c r="G380" s="5"/>
      <c r="H380" s="5"/>
      <c r="I380" s="5"/>
      <c r="J380" s="5"/>
      <c r="K380" s="5"/>
      <c r="L380" s="5"/>
      <c r="M380" s="5"/>
      <c r="N380" s="5"/>
      <c r="O380" s="5"/>
      <c r="P380" s="5"/>
      <c r="Q380" s="5"/>
      <c r="R380" s="5"/>
      <c r="S380" s="5"/>
      <c r="T380" s="5"/>
      <c r="U380" s="5"/>
      <c r="V380" s="5"/>
      <c r="W380" s="5"/>
    </row>
    <row r="381">
      <c r="A381" s="5"/>
      <c r="B381" s="3"/>
      <c r="C381" s="5"/>
      <c r="D381" s="5"/>
      <c r="E381" s="5"/>
      <c r="F381" s="5"/>
      <c r="G381" s="5"/>
      <c r="H381" s="5"/>
      <c r="I381" s="5"/>
      <c r="J381" s="5"/>
      <c r="K381" s="5"/>
      <c r="L381" s="5"/>
      <c r="M381" s="5"/>
      <c r="N381" s="5"/>
      <c r="O381" s="5"/>
      <c r="P381" s="5"/>
      <c r="Q381" s="5"/>
      <c r="R381" s="5"/>
      <c r="S381" s="5"/>
      <c r="T381" s="5"/>
      <c r="U381" s="5"/>
      <c r="V381" s="5"/>
      <c r="W381" s="5"/>
    </row>
    <row r="382">
      <c r="A382" s="5"/>
      <c r="B382" s="3"/>
      <c r="C382" s="5"/>
      <c r="D382" s="5"/>
      <c r="E382" s="5"/>
      <c r="F382" s="5"/>
      <c r="G382" s="5"/>
      <c r="H382" s="5"/>
      <c r="I382" s="5"/>
      <c r="J382" s="5"/>
      <c r="K382" s="5"/>
      <c r="L382" s="5"/>
      <c r="M382" s="5"/>
      <c r="N382" s="5"/>
      <c r="O382" s="5"/>
      <c r="P382" s="5"/>
      <c r="Q382" s="5"/>
      <c r="R382" s="5"/>
      <c r="S382" s="5"/>
      <c r="T382" s="5"/>
      <c r="U382" s="5"/>
      <c r="V382" s="5"/>
      <c r="W382" s="5"/>
    </row>
    <row r="383">
      <c r="A383" s="5"/>
      <c r="B383" s="3"/>
      <c r="C383" s="5"/>
      <c r="D383" s="5"/>
      <c r="E383" s="5"/>
      <c r="F383" s="5"/>
      <c r="G383" s="5"/>
      <c r="H383" s="5"/>
      <c r="I383" s="5"/>
      <c r="J383" s="5"/>
      <c r="K383" s="5"/>
      <c r="L383" s="5"/>
      <c r="M383" s="5"/>
      <c r="N383" s="5"/>
      <c r="O383" s="5"/>
      <c r="P383" s="5"/>
      <c r="Q383" s="5"/>
      <c r="R383" s="5"/>
      <c r="S383" s="5"/>
      <c r="T383" s="5"/>
      <c r="U383" s="5"/>
      <c r="V383" s="5"/>
      <c r="W383" s="5"/>
    </row>
    <row r="384">
      <c r="A384" s="5"/>
      <c r="B384" s="3"/>
      <c r="C384" s="5"/>
      <c r="D384" s="5"/>
      <c r="E384" s="5"/>
      <c r="F384" s="5"/>
      <c r="G384" s="5"/>
      <c r="H384" s="5"/>
      <c r="I384" s="5"/>
      <c r="J384" s="5"/>
      <c r="K384" s="5"/>
      <c r="L384" s="5"/>
      <c r="M384" s="5"/>
      <c r="N384" s="5"/>
      <c r="O384" s="5"/>
      <c r="P384" s="5"/>
      <c r="Q384" s="5"/>
      <c r="R384" s="5"/>
      <c r="S384" s="5"/>
      <c r="T384" s="5"/>
      <c r="U384" s="5"/>
      <c r="V384" s="5"/>
      <c r="W384" s="5"/>
    </row>
    <row r="385">
      <c r="A385" s="5"/>
      <c r="B385" s="3"/>
      <c r="C385" s="5"/>
      <c r="D385" s="5"/>
      <c r="E385" s="5"/>
      <c r="F385" s="5"/>
      <c r="G385" s="5"/>
      <c r="H385" s="5"/>
      <c r="I385" s="5"/>
      <c r="J385" s="5"/>
      <c r="K385" s="5"/>
      <c r="L385" s="5"/>
      <c r="M385" s="5"/>
      <c r="N385" s="5"/>
      <c r="O385" s="5"/>
      <c r="P385" s="5"/>
      <c r="Q385" s="5"/>
      <c r="R385" s="5"/>
      <c r="S385" s="5"/>
      <c r="T385" s="5"/>
      <c r="U385" s="5"/>
      <c r="V385" s="5"/>
      <c r="W385" s="5"/>
    </row>
    <row r="386">
      <c r="A386" s="5"/>
      <c r="B386" s="3"/>
      <c r="C386" s="5"/>
      <c r="D386" s="5"/>
      <c r="E386" s="5"/>
      <c r="F386" s="5"/>
      <c r="G386" s="5"/>
      <c r="H386" s="5"/>
      <c r="I386" s="5"/>
      <c r="J386" s="5"/>
      <c r="K386" s="5"/>
      <c r="L386" s="5"/>
      <c r="M386" s="5"/>
      <c r="N386" s="5"/>
      <c r="O386" s="5"/>
      <c r="P386" s="5"/>
      <c r="Q386" s="5"/>
      <c r="R386" s="5"/>
      <c r="S386" s="5"/>
      <c r="T386" s="5"/>
      <c r="U386" s="5"/>
      <c r="V386" s="5"/>
      <c r="W386" s="5"/>
    </row>
    <row r="387">
      <c r="A387" s="5"/>
      <c r="B387" s="3"/>
      <c r="C387" s="5"/>
      <c r="D387" s="5"/>
      <c r="E387" s="5"/>
      <c r="F387" s="5"/>
      <c r="G387" s="5"/>
      <c r="H387" s="5"/>
      <c r="I387" s="5"/>
      <c r="J387" s="5"/>
      <c r="K387" s="5"/>
      <c r="L387" s="5"/>
      <c r="M387" s="5"/>
      <c r="N387" s="5"/>
      <c r="O387" s="5"/>
      <c r="P387" s="5"/>
      <c r="Q387" s="5"/>
      <c r="R387" s="5"/>
      <c r="S387" s="5"/>
      <c r="T387" s="5"/>
      <c r="U387" s="5"/>
      <c r="V387" s="5"/>
      <c r="W387" s="5"/>
    </row>
    <row r="388">
      <c r="A388" s="5"/>
      <c r="B388" s="3"/>
      <c r="C388" s="5"/>
      <c r="D388" s="5"/>
      <c r="E388" s="5"/>
      <c r="F388" s="5"/>
      <c r="G388" s="5"/>
      <c r="H388" s="5"/>
      <c r="I388" s="5"/>
      <c r="J388" s="5"/>
      <c r="K388" s="5"/>
      <c r="L388" s="5"/>
      <c r="M388" s="5"/>
      <c r="N388" s="5"/>
      <c r="O388" s="5"/>
      <c r="P388" s="5"/>
      <c r="Q388" s="5"/>
      <c r="R388" s="5"/>
      <c r="S388" s="5"/>
      <c r="T388" s="5"/>
      <c r="U388" s="5"/>
      <c r="V388" s="5"/>
      <c r="W388" s="5"/>
    </row>
    <row r="389">
      <c r="A389" s="5"/>
      <c r="B389" s="3"/>
      <c r="C389" s="5"/>
      <c r="D389" s="5"/>
      <c r="E389" s="5"/>
      <c r="F389" s="5"/>
      <c r="G389" s="5"/>
      <c r="H389" s="5"/>
      <c r="I389" s="5"/>
      <c r="J389" s="5"/>
      <c r="K389" s="5"/>
      <c r="L389" s="5"/>
      <c r="M389" s="5"/>
      <c r="N389" s="5"/>
      <c r="O389" s="5"/>
      <c r="P389" s="5"/>
      <c r="Q389" s="5"/>
      <c r="R389" s="5"/>
      <c r="S389" s="5"/>
      <c r="T389" s="5"/>
      <c r="U389" s="5"/>
      <c r="V389" s="5"/>
      <c r="W389" s="5"/>
    </row>
    <row r="390">
      <c r="A390" s="5"/>
      <c r="B390" s="3"/>
      <c r="C390" s="5"/>
      <c r="D390" s="5"/>
      <c r="E390" s="5"/>
      <c r="F390" s="5"/>
      <c r="G390" s="5"/>
      <c r="H390" s="5"/>
      <c r="I390" s="5"/>
      <c r="J390" s="5"/>
      <c r="K390" s="5"/>
      <c r="L390" s="5"/>
      <c r="M390" s="5"/>
      <c r="N390" s="5"/>
      <c r="O390" s="5"/>
      <c r="P390" s="5"/>
      <c r="Q390" s="5"/>
      <c r="R390" s="5"/>
      <c r="S390" s="5"/>
      <c r="T390" s="5"/>
      <c r="U390" s="5"/>
      <c r="V390" s="5"/>
      <c r="W390" s="5"/>
    </row>
    <row r="391">
      <c r="A391" s="5"/>
      <c r="B391" s="3"/>
      <c r="C391" s="5"/>
      <c r="D391" s="5"/>
      <c r="E391" s="5"/>
      <c r="F391" s="5"/>
      <c r="G391" s="5"/>
      <c r="H391" s="5"/>
      <c r="I391" s="5"/>
      <c r="J391" s="5"/>
      <c r="K391" s="5"/>
      <c r="L391" s="5"/>
      <c r="M391" s="5"/>
      <c r="N391" s="5"/>
      <c r="O391" s="5"/>
      <c r="P391" s="5"/>
      <c r="Q391" s="5"/>
      <c r="R391" s="5"/>
      <c r="S391" s="5"/>
      <c r="T391" s="5"/>
      <c r="U391" s="5"/>
      <c r="V391" s="5"/>
      <c r="W391" s="5"/>
    </row>
    <row r="392">
      <c r="A392" s="5"/>
      <c r="B392" s="3"/>
      <c r="C392" s="5"/>
      <c r="D392" s="5"/>
      <c r="E392" s="5"/>
      <c r="F392" s="5"/>
      <c r="G392" s="5"/>
      <c r="H392" s="5"/>
      <c r="I392" s="5"/>
      <c r="J392" s="5"/>
      <c r="K392" s="5"/>
      <c r="L392" s="5"/>
      <c r="M392" s="5"/>
      <c r="N392" s="5"/>
      <c r="O392" s="5"/>
      <c r="P392" s="5"/>
      <c r="Q392" s="5"/>
      <c r="R392" s="5"/>
      <c r="S392" s="5"/>
      <c r="T392" s="5"/>
      <c r="U392" s="5"/>
      <c r="V392" s="5"/>
      <c r="W392" s="5"/>
    </row>
    <row r="393">
      <c r="A393" s="5"/>
      <c r="B393" s="3"/>
      <c r="C393" s="5"/>
      <c r="D393" s="5"/>
      <c r="E393" s="5"/>
      <c r="F393" s="5"/>
      <c r="G393" s="5"/>
      <c r="H393" s="5"/>
      <c r="I393" s="5"/>
      <c r="J393" s="5"/>
      <c r="K393" s="5"/>
      <c r="L393" s="5"/>
      <c r="M393" s="5"/>
      <c r="N393" s="5"/>
      <c r="O393" s="5"/>
      <c r="P393" s="5"/>
      <c r="Q393" s="5"/>
      <c r="R393" s="5"/>
      <c r="S393" s="5"/>
      <c r="T393" s="5"/>
      <c r="U393" s="5"/>
      <c r="V393" s="5"/>
      <c r="W393" s="5"/>
    </row>
    <row r="394">
      <c r="A394" s="5"/>
      <c r="B394" s="3"/>
      <c r="C394" s="5"/>
      <c r="D394" s="5"/>
      <c r="E394" s="5"/>
      <c r="F394" s="5"/>
      <c r="G394" s="5"/>
      <c r="H394" s="5"/>
      <c r="I394" s="5"/>
      <c r="J394" s="5"/>
      <c r="K394" s="5"/>
      <c r="L394" s="5"/>
      <c r="M394" s="5"/>
      <c r="N394" s="5"/>
      <c r="O394" s="5"/>
      <c r="P394" s="5"/>
      <c r="Q394" s="5"/>
      <c r="R394" s="5"/>
      <c r="S394" s="5"/>
      <c r="T394" s="5"/>
      <c r="U394" s="5"/>
      <c r="V394" s="5"/>
      <c r="W394" s="5"/>
    </row>
    <row r="395">
      <c r="A395" s="5"/>
      <c r="B395" s="3"/>
      <c r="C395" s="5"/>
      <c r="D395" s="5"/>
      <c r="E395" s="5"/>
      <c r="F395" s="5"/>
      <c r="G395" s="5"/>
      <c r="H395" s="5"/>
      <c r="I395" s="5"/>
      <c r="J395" s="5"/>
      <c r="K395" s="5"/>
      <c r="L395" s="5"/>
      <c r="M395" s="5"/>
      <c r="N395" s="5"/>
      <c r="O395" s="5"/>
      <c r="P395" s="5"/>
      <c r="Q395" s="5"/>
      <c r="R395" s="5"/>
      <c r="S395" s="5"/>
      <c r="T395" s="5"/>
      <c r="U395" s="5"/>
      <c r="V395" s="5"/>
      <c r="W395" s="5"/>
    </row>
    <row r="396">
      <c r="A396" s="5"/>
      <c r="B396" s="3"/>
      <c r="C396" s="5"/>
      <c r="D396" s="5"/>
      <c r="E396" s="5"/>
      <c r="F396" s="5"/>
      <c r="G396" s="5"/>
      <c r="H396" s="5"/>
      <c r="I396" s="5"/>
      <c r="J396" s="5"/>
      <c r="K396" s="5"/>
      <c r="L396" s="5"/>
      <c r="M396" s="5"/>
      <c r="N396" s="5"/>
      <c r="O396" s="5"/>
      <c r="P396" s="5"/>
      <c r="Q396" s="5"/>
      <c r="R396" s="5"/>
      <c r="S396" s="5"/>
      <c r="T396" s="5"/>
      <c r="U396" s="5"/>
      <c r="V396" s="5"/>
      <c r="W396" s="5"/>
    </row>
    <row r="397">
      <c r="A397" s="5"/>
      <c r="B397" s="3"/>
      <c r="C397" s="5"/>
      <c r="D397" s="5"/>
      <c r="E397" s="5"/>
      <c r="F397" s="5"/>
      <c r="G397" s="5"/>
      <c r="H397" s="5"/>
      <c r="I397" s="5"/>
      <c r="J397" s="5"/>
      <c r="K397" s="5"/>
      <c r="L397" s="5"/>
      <c r="M397" s="5"/>
      <c r="N397" s="5"/>
      <c r="O397" s="5"/>
      <c r="P397" s="5"/>
      <c r="Q397" s="5"/>
      <c r="R397" s="5"/>
      <c r="S397" s="5"/>
      <c r="T397" s="5"/>
      <c r="U397" s="5"/>
      <c r="V397" s="5"/>
      <c r="W397" s="5"/>
    </row>
    <row r="398">
      <c r="A398" s="5"/>
      <c r="B398" s="3"/>
      <c r="C398" s="5"/>
      <c r="D398" s="5"/>
      <c r="E398" s="5"/>
      <c r="F398" s="5"/>
      <c r="G398" s="5"/>
      <c r="H398" s="5"/>
      <c r="I398" s="5"/>
      <c r="J398" s="5"/>
      <c r="K398" s="5"/>
      <c r="L398" s="5"/>
      <c r="M398" s="5"/>
      <c r="N398" s="5"/>
      <c r="O398" s="5"/>
      <c r="P398" s="5"/>
      <c r="Q398" s="5"/>
      <c r="R398" s="5"/>
      <c r="S398" s="5"/>
      <c r="T398" s="5"/>
      <c r="U398" s="5"/>
      <c r="V398" s="5"/>
      <c r="W398" s="5"/>
    </row>
    <row r="399">
      <c r="A399" s="5"/>
      <c r="B399" s="3"/>
      <c r="C399" s="5"/>
      <c r="D399" s="5"/>
      <c r="E399" s="5"/>
      <c r="F399" s="5"/>
      <c r="G399" s="5"/>
      <c r="H399" s="5"/>
      <c r="I399" s="5"/>
      <c r="J399" s="5"/>
      <c r="K399" s="5"/>
      <c r="L399" s="5"/>
      <c r="M399" s="5"/>
      <c r="N399" s="5"/>
      <c r="O399" s="5"/>
      <c r="P399" s="5"/>
      <c r="Q399" s="5"/>
      <c r="R399" s="5"/>
      <c r="S399" s="5"/>
      <c r="T399" s="5"/>
      <c r="U399" s="5"/>
      <c r="V399" s="5"/>
      <c r="W399" s="5"/>
    </row>
    <row r="400">
      <c r="A400" s="5"/>
      <c r="B400" s="3"/>
      <c r="C400" s="5"/>
      <c r="D400" s="5"/>
      <c r="E400" s="5"/>
      <c r="F400" s="5"/>
      <c r="G400" s="5"/>
      <c r="H400" s="5"/>
      <c r="I400" s="5"/>
      <c r="J400" s="5"/>
      <c r="K400" s="5"/>
      <c r="L400" s="5"/>
      <c r="M400" s="5"/>
      <c r="N400" s="5"/>
      <c r="O400" s="5"/>
      <c r="P400" s="5"/>
      <c r="Q400" s="5"/>
      <c r="R400" s="5"/>
      <c r="S400" s="5"/>
      <c r="T400" s="5"/>
      <c r="U400" s="5"/>
      <c r="V400" s="5"/>
      <c r="W400" s="5"/>
    </row>
    <row r="401">
      <c r="A401" s="5"/>
      <c r="B401" s="3"/>
      <c r="C401" s="5"/>
      <c r="D401" s="5"/>
      <c r="E401" s="5"/>
      <c r="F401" s="5"/>
      <c r="G401" s="5"/>
      <c r="H401" s="5"/>
      <c r="I401" s="5"/>
      <c r="J401" s="5"/>
      <c r="K401" s="5"/>
      <c r="L401" s="5"/>
      <c r="M401" s="5"/>
      <c r="N401" s="5"/>
      <c r="O401" s="5"/>
      <c r="P401" s="5"/>
      <c r="Q401" s="5"/>
      <c r="R401" s="5"/>
      <c r="S401" s="5"/>
      <c r="T401" s="5"/>
      <c r="U401" s="5"/>
      <c r="V401" s="5"/>
      <c r="W401" s="5"/>
    </row>
    <row r="402">
      <c r="A402" s="5"/>
      <c r="B402" s="3"/>
      <c r="C402" s="5"/>
      <c r="D402" s="5"/>
      <c r="E402" s="5"/>
      <c r="F402" s="5"/>
      <c r="G402" s="5"/>
      <c r="H402" s="5"/>
      <c r="I402" s="5"/>
      <c r="J402" s="5"/>
      <c r="K402" s="5"/>
      <c r="L402" s="5"/>
      <c r="M402" s="5"/>
      <c r="N402" s="5"/>
      <c r="O402" s="5"/>
      <c r="P402" s="5"/>
      <c r="Q402" s="5"/>
      <c r="R402" s="5"/>
      <c r="S402" s="5"/>
      <c r="T402" s="5"/>
      <c r="U402" s="5"/>
      <c r="V402" s="5"/>
      <c r="W402" s="5"/>
    </row>
    <row r="403">
      <c r="A403" s="5"/>
      <c r="B403" s="3"/>
      <c r="C403" s="5"/>
      <c r="D403" s="5"/>
      <c r="E403" s="5"/>
      <c r="F403" s="5"/>
      <c r="G403" s="5"/>
      <c r="H403" s="5"/>
      <c r="I403" s="5"/>
      <c r="J403" s="5"/>
      <c r="K403" s="5"/>
      <c r="L403" s="5"/>
      <c r="M403" s="5"/>
      <c r="N403" s="5"/>
      <c r="O403" s="5"/>
      <c r="P403" s="5"/>
      <c r="Q403" s="5"/>
      <c r="R403" s="5"/>
      <c r="S403" s="5"/>
      <c r="T403" s="5"/>
      <c r="U403" s="5"/>
      <c r="V403" s="5"/>
      <c r="W403" s="5"/>
    </row>
    <row r="404">
      <c r="A404" s="5"/>
      <c r="B404" s="3"/>
      <c r="C404" s="5"/>
      <c r="D404" s="5"/>
      <c r="E404" s="5"/>
      <c r="F404" s="5"/>
      <c r="G404" s="5"/>
      <c r="H404" s="5"/>
      <c r="I404" s="5"/>
      <c r="J404" s="5"/>
      <c r="K404" s="5"/>
      <c r="L404" s="5"/>
      <c r="M404" s="5"/>
      <c r="N404" s="5"/>
      <c r="O404" s="5"/>
      <c r="P404" s="5"/>
      <c r="Q404" s="5"/>
      <c r="R404" s="5"/>
      <c r="S404" s="5"/>
      <c r="T404" s="5"/>
      <c r="U404" s="5"/>
      <c r="V404" s="5"/>
      <c r="W404" s="5"/>
    </row>
    <row r="405">
      <c r="A405" s="5"/>
      <c r="B405" s="3"/>
      <c r="C405" s="5"/>
      <c r="D405" s="5"/>
      <c r="E405" s="5"/>
      <c r="F405" s="5"/>
      <c r="G405" s="5"/>
      <c r="H405" s="5"/>
      <c r="I405" s="5"/>
      <c r="J405" s="5"/>
      <c r="K405" s="5"/>
      <c r="L405" s="5"/>
      <c r="M405" s="5"/>
      <c r="N405" s="5"/>
      <c r="O405" s="5"/>
      <c r="P405" s="5"/>
      <c r="Q405" s="5"/>
      <c r="R405" s="5"/>
      <c r="S405" s="5"/>
      <c r="T405" s="5"/>
      <c r="U405" s="5"/>
      <c r="V405" s="5"/>
      <c r="W405" s="5"/>
    </row>
    <row r="406">
      <c r="A406" s="5"/>
      <c r="B406" s="3"/>
      <c r="C406" s="5"/>
      <c r="D406" s="5"/>
      <c r="E406" s="5"/>
      <c r="F406" s="5"/>
      <c r="G406" s="5"/>
      <c r="H406" s="5"/>
      <c r="I406" s="5"/>
      <c r="J406" s="5"/>
      <c r="K406" s="5"/>
      <c r="L406" s="5"/>
      <c r="M406" s="5"/>
      <c r="N406" s="5"/>
      <c r="O406" s="5"/>
      <c r="P406" s="5"/>
      <c r="Q406" s="5"/>
      <c r="R406" s="5"/>
      <c r="S406" s="5"/>
      <c r="T406" s="5"/>
      <c r="U406" s="5"/>
      <c r="V406" s="5"/>
      <c r="W406" s="5"/>
    </row>
    <row r="407">
      <c r="A407" s="5"/>
      <c r="B407" s="3"/>
      <c r="C407" s="5"/>
      <c r="D407" s="5"/>
      <c r="E407" s="5"/>
      <c r="F407" s="5"/>
      <c r="G407" s="5"/>
      <c r="H407" s="5"/>
      <c r="I407" s="5"/>
      <c r="J407" s="5"/>
      <c r="K407" s="5"/>
      <c r="L407" s="5"/>
      <c r="M407" s="5"/>
      <c r="N407" s="5"/>
      <c r="O407" s="5"/>
      <c r="P407" s="5"/>
      <c r="Q407" s="5"/>
      <c r="R407" s="5"/>
      <c r="S407" s="5"/>
      <c r="T407" s="5"/>
      <c r="U407" s="5"/>
      <c r="V407" s="5"/>
      <c r="W407" s="5"/>
    </row>
    <row r="408">
      <c r="A408" s="5"/>
      <c r="B408" s="3"/>
      <c r="C408" s="5"/>
      <c r="D408" s="5"/>
      <c r="E408" s="5"/>
      <c r="F408" s="5"/>
      <c r="G408" s="5"/>
      <c r="H408" s="5"/>
      <c r="I408" s="5"/>
      <c r="J408" s="5"/>
      <c r="K408" s="5"/>
      <c r="L408" s="5"/>
      <c r="M408" s="5"/>
      <c r="N408" s="5"/>
      <c r="O408" s="5"/>
      <c r="P408" s="5"/>
      <c r="Q408" s="5"/>
      <c r="R408" s="5"/>
      <c r="S408" s="5"/>
      <c r="T408" s="5"/>
      <c r="U408" s="5"/>
      <c r="V408" s="5"/>
      <c r="W408" s="5"/>
    </row>
    <row r="409">
      <c r="A409" s="5"/>
      <c r="B409" s="3"/>
      <c r="C409" s="5"/>
      <c r="D409" s="5"/>
      <c r="E409" s="5"/>
      <c r="F409" s="5"/>
      <c r="G409" s="5"/>
      <c r="H409" s="5"/>
      <c r="I409" s="5"/>
      <c r="J409" s="5"/>
      <c r="K409" s="5"/>
      <c r="L409" s="5"/>
      <c r="M409" s="5"/>
      <c r="N409" s="5"/>
      <c r="O409" s="5"/>
      <c r="P409" s="5"/>
      <c r="Q409" s="5"/>
      <c r="R409" s="5"/>
      <c r="S409" s="5"/>
      <c r="T409" s="5"/>
      <c r="U409" s="5"/>
      <c r="V409" s="5"/>
      <c r="W409" s="5"/>
    </row>
    <row r="410">
      <c r="A410" s="5"/>
      <c r="B410" s="3"/>
      <c r="C410" s="5"/>
      <c r="D410" s="5"/>
      <c r="E410" s="5"/>
      <c r="F410" s="5"/>
      <c r="G410" s="5"/>
      <c r="H410" s="5"/>
      <c r="I410" s="5"/>
      <c r="J410" s="5"/>
      <c r="K410" s="5"/>
      <c r="L410" s="5"/>
      <c r="M410" s="5"/>
      <c r="N410" s="5"/>
      <c r="O410" s="5"/>
      <c r="P410" s="5"/>
      <c r="Q410" s="5"/>
      <c r="R410" s="5"/>
      <c r="S410" s="5"/>
      <c r="T410" s="5"/>
      <c r="U410" s="5"/>
      <c r="V410" s="5"/>
      <c r="W410" s="5"/>
    </row>
    <row r="411">
      <c r="A411" s="5"/>
      <c r="B411" s="3"/>
      <c r="C411" s="5"/>
      <c r="D411" s="5"/>
      <c r="E411" s="5"/>
      <c r="F411" s="5"/>
      <c r="G411" s="5"/>
      <c r="H411" s="5"/>
      <c r="I411" s="5"/>
      <c r="J411" s="5"/>
      <c r="K411" s="5"/>
      <c r="L411" s="5"/>
      <c r="M411" s="5"/>
      <c r="N411" s="5"/>
      <c r="O411" s="5"/>
      <c r="P411" s="5"/>
      <c r="Q411" s="5"/>
      <c r="R411" s="5"/>
      <c r="S411" s="5"/>
      <c r="T411" s="5"/>
      <c r="U411" s="5"/>
      <c r="V411" s="5"/>
      <c r="W411" s="5"/>
    </row>
    <row r="412">
      <c r="A412" s="5"/>
      <c r="B412" s="3"/>
      <c r="C412" s="5"/>
      <c r="D412" s="5"/>
      <c r="E412" s="5"/>
      <c r="F412" s="5"/>
      <c r="G412" s="5"/>
      <c r="H412" s="5"/>
      <c r="I412" s="5"/>
      <c r="J412" s="5"/>
      <c r="K412" s="5"/>
      <c r="L412" s="5"/>
      <c r="M412" s="5"/>
      <c r="N412" s="5"/>
      <c r="O412" s="5"/>
      <c r="P412" s="5"/>
      <c r="Q412" s="5"/>
      <c r="R412" s="5"/>
      <c r="S412" s="5"/>
      <c r="T412" s="5"/>
      <c r="U412" s="5"/>
      <c r="V412" s="5"/>
      <c r="W412" s="5"/>
    </row>
    <row r="413">
      <c r="A413" s="5"/>
      <c r="B413" s="3"/>
      <c r="C413" s="5"/>
      <c r="D413" s="5"/>
      <c r="E413" s="5"/>
      <c r="F413" s="5"/>
      <c r="G413" s="5"/>
      <c r="H413" s="5"/>
      <c r="I413" s="5"/>
      <c r="J413" s="5"/>
      <c r="K413" s="5"/>
      <c r="L413" s="5"/>
      <c r="M413" s="5"/>
      <c r="N413" s="5"/>
      <c r="O413" s="5"/>
      <c r="P413" s="5"/>
      <c r="Q413" s="5"/>
      <c r="R413" s="5"/>
      <c r="S413" s="5"/>
      <c r="T413" s="5"/>
      <c r="U413" s="5"/>
      <c r="V413" s="5"/>
      <c r="W413" s="5"/>
    </row>
    <row r="414">
      <c r="A414" s="5"/>
      <c r="B414" s="3"/>
      <c r="C414" s="5"/>
      <c r="D414" s="5"/>
      <c r="E414" s="5"/>
      <c r="F414" s="5"/>
      <c r="G414" s="5"/>
      <c r="H414" s="5"/>
      <c r="I414" s="5"/>
      <c r="J414" s="5"/>
      <c r="K414" s="5"/>
      <c r="L414" s="5"/>
      <c r="M414" s="5"/>
      <c r="N414" s="5"/>
      <c r="O414" s="5"/>
      <c r="P414" s="5"/>
      <c r="Q414" s="5"/>
      <c r="R414" s="5"/>
      <c r="S414" s="5"/>
      <c r="T414" s="5"/>
      <c r="U414" s="5"/>
      <c r="V414" s="5"/>
      <c r="W414" s="5"/>
    </row>
    <row r="415">
      <c r="A415" s="5"/>
      <c r="B415" s="3"/>
      <c r="C415" s="5"/>
      <c r="D415" s="5"/>
      <c r="E415" s="5"/>
      <c r="F415" s="5"/>
      <c r="G415" s="5"/>
      <c r="H415" s="5"/>
      <c r="I415" s="5"/>
      <c r="J415" s="5"/>
      <c r="K415" s="5"/>
      <c r="L415" s="5"/>
      <c r="M415" s="5"/>
      <c r="N415" s="5"/>
      <c r="O415" s="5"/>
      <c r="P415" s="5"/>
      <c r="Q415" s="5"/>
      <c r="R415" s="5"/>
      <c r="S415" s="5"/>
      <c r="T415" s="5"/>
      <c r="U415" s="5"/>
      <c r="V415" s="5"/>
      <c r="W415" s="5"/>
    </row>
    <row r="416">
      <c r="A416" s="5"/>
      <c r="B416" s="3"/>
      <c r="C416" s="5"/>
      <c r="D416" s="5"/>
      <c r="E416" s="5"/>
      <c r="F416" s="5"/>
      <c r="G416" s="5"/>
      <c r="H416" s="5"/>
      <c r="I416" s="5"/>
      <c r="J416" s="5"/>
      <c r="K416" s="5"/>
      <c r="L416" s="5"/>
      <c r="M416" s="5"/>
      <c r="N416" s="5"/>
      <c r="O416" s="5"/>
      <c r="P416" s="5"/>
      <c r="Q416" s="5"/>
      <c r="R416" s="5"/>
      <c r="S416" s="5"/>
      <c r="T416" s="5"/>
      <c r="U416" s="5"/>
      <c r="V416" s="5"/>
      <c r="W416" s="5"/>
    </row>
    <row r="417">
      <c r="A417" s="5"/>
      <c r="B417" s="3"/>
      <c r="C417" s="5"/>
      <c r="D417" s="5"/>
      <c r="E417" s="5"/>
      <c r="F417" s="5"/>
      <c r="G417" s="5"/>
      <c r="H417" s="5"/>
      <c r="I417" s="5"/>
      <c r="J417" s="5"/>
      <c r="K417" s="5"/>
      <c r="L417" s="5"/>
      <c r="M417" s="5"/>
      <c r="N417" s="5"/>
      <c r="O417" s="5"/>
      <c r="P417" s="5"/>
      <c r="Q417" s="5"/>
      <c r="R417" s="5"/>
      <c r="S417" s="5"/>
      <c r="T417" s="5"/>
      <c r="U417" s="5"/>
      <c r="V417" s="5"/>
      <c r="W417" s="5"/>
    </row>
    <row r="418">
      <c r="A418" s="5"/>
      <c r="B418" s="3"/>
      <c r="C418" s="5"/>
      <c r="D418" s="5"/>
      <c r="E418" s="5"/>
      <c r="F418" s="5"/>
      <c r="G418" s="5"/>
      <c r="H418" s="5"/>
      <c r="I418" s="5"/>
      <c r="J418" s="5"/>
      <c r="K418" s="5"/>
      <c r="L418" s="5"/>
      <c r="M418" s="5"/>
      <c r="N418" s="5"/>
      <c r="O418" s="5"/>
      <c r="P418" s="5"/>
      <c r="Q418" s="5"/>
      <c r="R418" s="5"/>
      <c r="S418" s="5"/>
      <c r="T418" s="5"/>
      <c r="U418" s="5"/>
      <c r="V418" s="5"/>
      <c r="W418" s="5"/>
    </row>
    <row r="419">
      <c r="A419" s="5"/>
      <c r="B419" s="3"/>
      <c r="C419" s="5"/>
      <c r="D419" s="5"/>
      <c r="E419" s="5"/>
      <c r="F419" s="5"/>
      <c r="G419" s="5"/>
      <c r="H419" s="5"/>
      <c r="I419" s="5"/>
      <c r="J419" s="5"/>
      <c r="K419" s="5"/>
      <c r="L419" s="5"/>
      <c r="M419" s="5"/>
      <c r="N419" s="5"/>
      <c r="O419" s="5"/>
      <c r="P419" s="5"/>
      <c r="Q419" s="5"/>
      <c r="R419" s="5"/>
      <c r="S419" s="5"/>
      <c r="T419" s="5"/>
      <c r="U419" s="5"/>
      <c r="V419" s="5"/>
      <c r="W419" s="5"/>
    </row>
    <row r="420">
      <c r="A420" s="5"/>
      <c r="B420" s="3"/>
      <c r="C420" s="5"/>
      <c r="D420" s="5"/>
      <c r="E420" s="5"/>
      <c r="F420" s="5"/>
      <c r="G420" s="5"/>
      <c r="H420" s="5"/>
      <c r="I420" s="5"/>
      <c r="J420" s="5"/>
      <c r="K420" s="5"/>
      <c r="L420" s="5"/>
      <c r="M420" s="5"/>
      <c r="N420" s="5"/>
      <c r="O420" s="5"/>
      <c r="P420" s="5"/>
      <c r="Q420" s="5"/>
      <c r="R420" s="5"/>
      <c r="S420" s="5"/>
      <c r="T420" s="5"/>
      <c r="U420" s="5"/>
      <c r="V420" s="5"/>
      <c r="W420" s="5"/>
    </row>
    <row r="421">
      <c r="A421" s="5"/>
      <c r="B421" s="3"/>
      <c r="C421" s="5"/>
      <c r="D421" s="5"/>
      <c r="E421" s="5"/>
      <c r="F421" s="5"/>
      <c r="G421" s="5"/>
      <c r="H421" s="5"/>
      <c r="I421" s="5"/>
      <c r="J421" s="5"/>
      <c r="K421" s="5"/>
      <c r="L421" s="5"/>
      <c r="M421" s="5"/>
      <c r="N421" s="5"/>
      <c r="O421" s="5"/>
      <c r="P421" s="5"/>
      <c r="Q421" s="5"/>
      <c r="R421" s="5"/>
      <c r="S421" s="5"/>
      <c r="T421" s="5"/>
      <c r="U421" s="5"/>
      <c r="V421" s="5"/>
      <c r="W421" s="5"/>
    </row>
    <row r="422">
      <c r="A422" s="5"/>
      <c r="B422" s="3"/>
      <c r="C422" s="5"/>
      <c r="D422" s="5"/>
      <c r="E422" s="5"/>
      <c r="F422" s="5"/>
      <c r="G422" s="5"/>
      <c r="H422" s="5"/>
      <c r="I422" s="5"/>
      <c r="J422" s="5"/>
      <c r="K422" s="5"/>
      <c r="L422" s="5"/>
      <c r="M422" s="5"/>
      <c r="N422" s="5"/>
      <c r="O422" s="5"/>
      <c r="P422" s="5"/>
      <c r="Q422" s="5"/>
      <c r="R422" s="5"/>
      <c r="S422" s="5"/>
      <c r="T422" s="5"/>
      <c r="U422" s="5"/>
      <c r="V422" s="5"/>
      <c r="W422" s="5"/>
    </row>
    <row r="423">
      <c r="A423" s="5"/>
      <c r="B423" s="3"/>
      <c r="C423" s="5"/>
      <c r="D423" s="5"/>
      <c r="E423" s="5"/>
      <c r="F423" s="5"/>
      <c r="G423" s="5"/>
      <c r="H423" s="5"/>
      <c r="I423" s="5"/>
      <c r="J423" s="5"/>
      <c r="K423" s="5"/>
      <c r="L423" s="5"/>
      <c r="M423" s="5"/>
      <c r="N423" s="5"/>
      <c r="O423" s="5"/>
      <c r="P423" s="5"/>
      <c r="Q423" s="5"/>
      <c r="R423" s="5"/>
      <c r="S423" s="5"/>
      <c r="T423" s="5"/>
      <c r="U423" s="5"/>
      <c r="V423" s="5"/>
      <c r="W423" s="5"/>
    </row>
    <row r="424">
      <c r="A424" s="5"/>
      <c r="B424" s="3"/>
      <c r="C424" s="5"/>
      <c r="D424" s="5"/>
      <c r="E424" s="5"/>
      <c r="F424" s="5"/>
      <c r="G424" s="5"/>
      <c r="H424" s="5"/>
      <c r="I424" s="5"/>
      <c r="J424" s="5"/>
      <c r="K424" s="5"/>
      <c r="L424" s="5"/>
      <c r="M424" s="5"/>
      <c r="N424" s="5"/>
      <c r="O424" s="5"/>
      <c r="P424" s="5"/>
      <c r="Q424" s="5"/>
      <c r="R424" s="5"/>
      <c r="S424" s="5"/>
      <c r="T424" s="5"/>
      <c r="U424" s="5"/>
      <c r="V424" s="5"/>
      <c r="W424" s="5"/>
    </row>
    <row r="425">
      <c r="A425" s="5"/>
      <c r="B425" s="3"/>
      <c r="C425" s="5"/>
      <c r="D425" s="5"/>
      <c r="E425" s="5"/>
      <c r="F425" s="5"/>
      <c r="G425" s="5"/>
      <c r="H425" s="5"/>
      <c r="I425" s="5"/>
      <c r="J425" s="5"/>
      <c r="K425" s="5"/>
      <c r="L425" s="5"/>
      <c r="M425" s="5"/>
      <c r="N425" s="5"/>
      <c r="O425" s="5"/>
      <c r="P425" s="5"/>
      <c r="Q425" s="5"/>
      <c r="R425" s="5"/>
      <c r="S425" s="5"/>
      <c r="T425" s="5"/>
      <c r="U425" s="5"/>
      <c r="V425" s="5"/>
      <c r="W425" s="5"/>
    </row>
    <row r="426">
      <c r="A426" s="5"/>
      <c r="B426" s="3"/>
      <c r="C426" s="5"/>
      <c r="D426" s="5"/>
      <c r="E426" s="5"/>
      <c r="F426" s="5"/>
      <c r="G426" s="5"/>
      <c r="H426" s="5"/>
      <c r="I426" s="5"/>
      <c r="J426" s="5"/>
      <c r="K426" s="5"/>
      <c r="L426" s="5"/>
      <c r="M426" s="5"/>
      <c r="N426" s="5"/>
      <c r="O426" s="5"/>
      <c r="P426" s="5"/>
      <c r="Q426" s="5"/>
      <c r="R426" s="5"/>
      <c r="S426" s="5"/>
      <c r="T426" s="5"/>
      <c r="U426" s="5"/>
      <c r="V426" s="5"/>
      <c r="W426" s="5"/>
    </row>
    <row r="427">
      <c r="A427" s="5"/>
      <c r="B427" s="3"/>
      <c r="C427" s="5"/>
      <c r="D427" s="5"/>
      <c r="E427" s="5"/>
      <c r="F427" s="5"/>
      <c r="G427" s="5"/>
      <c r="H427" s="5"/>
      <c r="I427" s="5"/>
      <c r="J427" s="5"/>
      <c r="K427" s="5"/>
      <c r="L427" s="5"/>
      <c r="M427" s="5"/>
      <c r="N427" s="5"/>
      <c r="O427" s="5"/>
      <c r="P427" s="5"/>
      <c r="Q427" s="5"/>
      <c r="R427" s="5"/>
      <c r="S427" s="5"/>
      <c r="T427" s="5"/>
      <c r="U427" s="5"/>
      <c r="V427" s="5"/>
      <c r="W427" s="5"/>
    </row>
    <row r="428">
      <c r="A428" s="5"/>
      <c r="B428" s="3"/>
      <c r="C428" s="5"/>
      <c r="D428" s="5"/>
      <c r="E428" s="5"/>
      <c r="F428" s="5"/>
      <c r="G428" s="5"/>
      <c r="H428" s="5"/>
      <c r="I428" s="5"/>
      <c r="J428" s="5"/>
      <c r="K428" s="5"/>
      <c r="L428" s="5"/>
      <c r="M428" s="5"/>
      <c r="N428" s="5"/>
      <c r="O428" s="5"/>
      <c r="P428" s="5"/>
      <c r="Q428" s="5"/>
      <c r="R428" s="5"/>
      <c r="S428" s="5"/>
      <c r="T428" s="5"/>
      <c r="U428" s="5"/>
      <c r="V428" s="5"/>
      <c r="W428" s="5"/>
    </row>
    <row r="429">
      <c r="A429" s="5"/>
      <c r="B429" s="3"/>
      <c r="C429" s="5"/>
      <c r="D429" s="5"/>
      <c r="E429" s="5"/>
      <c r="F429" s="5"/>
      <c r="G429" s="5"/>
      <c r="H429" s="5"/>
      <c r="I429" s="5"/>
      <c r="J429" s="5"/>
      <c r="K429" s="5"/>
      <c r="L429" s="5"/>
      <c r="M429" s="5"/>
      <c r="N429" s="5"/>
      <c r="O429" s="5"/>
      <c r="P429" s="5"/>
      <c r="Q429" s="5"/>
      <c r="R429" s="5"/>
      <c r="S429" s="5"/>
      <c r="T429" s="5"/>
      <c r="U429" s="5"/>
      <c r="V429" s="5"/>
      <c r="W429" s="5"/>
    </row>
    <row r="430">
      <c r="A430" s="5"/>
      <c r="B430" s="3"/>
      <c r="C430" s="5"/>
      <c r="D430" s="5"/>
      <c r="E430" s="5"/>
      <c r="F430" s="5"/>
      <c r="G430" s="5"/>
      <c r="H430" s="5"/>
      <c r="I430" s="5"/>
      <c r="J430" s="5"/>
      <c r="K430" s="5"/>
      <c r="L430" s="5"/>
      <c r="M430" s="5"/>
      <c r="N430" s="5"/>
      <c r="O430" s="5"/>
      <c r="P430" s="5"/>
      <c r="Q430" s="5"/>
      <c r="R430" s="5"/>
      <c r="S430" s="5"/>
      <c r="T430" s="5"/>
      <c r="U430" s="5"/>
      <c r="V430" s="5"/>
      <c r="W430" s="5"/>
    </row>
    <row r="431">
      <c r="A431" s="5"/>
      <c r="B431" s="3"/>
      <c r="C431" s="5"/>
      <c r="D431" s="5"/>
      <c r="E431" s="5"/>
      <c r="F431" s="5"/>
      <c r="G431" s="5"/>
      <c r="H431" s="5"/>
      <c r="I431" s="5"/>
      <c r="J431" s="5"/>
      <c r="K431" s="5"/>
      <c r="L431" s="5"/>
      <c r="M431" s="5"/>
      <c r="N431" s="5"/>
      <c r="O431" s="5"/>
      <c r="P431" s="5"/>
      <c r="Q431" s="5"/>
      <c r="R431" s="5"/>
      <c r="S431" s="5"/>
      <c r="T431" s="5"/>
      <c r="U431" s="5"/>
      <c r="V431" s="5"/>
      <c r="W431" s="5"/>
    </row>
    <row r="432">
      <c r="A432" s="5"/>
      <c r="B432" s="3"/>
      <c r="C432" s="5"/>
      <c r="D432" s="5"/>
      <c r="E432" s="5"/>
      <c r="F432" s="5"/>
      <c r="G432" s="5"/>
      <c r="H432" s="5"/>
      <c r="I432" s="5"/>
      <c r="J432" s="5"/>
      <c r="K432" s="5"/>
      <c r="L432" s="5"/>
      <c r="M432" s="5"/>
      <c r="N432" s="5"/>
      <c r="O432" s="5"/>
      <c r="P432" s="5"/>
      <c r="Q432" s="5"/>
      <c r="R432" s="5"/>
      <c r="S432" s="5"/>
      <c r="T432" s="5"/>
      <c r="U432" s="5"/>
      <c r="V432" s="5"/>
      <c r="W432" s="5"/>
    </row>
    <row r="433">
      <c r="A433" s="5"/>
      <c r="B433" s="3"/>
      <c r="C433" s="5"/>
      <c r="D433" s="5"/>
      <c r="E433" s="5"/>
      <c r="F433" s="5"/>
      <c r="G433" s="5"/>
      <c r="H433" s="5"/>
      <c r="I433" s="5"/>
      <c r="J433" s="5"/>
      <c r="K433" s="5"/>
      <c r="L433" s="5"/>
      <c r="M433" s="5"/>
      <c r="N433" s="5"/>
      <c r="O433" s="5"/>
      <c r="P433" s="5"/>
      <c r="Q433" s="5"/>
      <c r="R433" s="5"/>
      <c r="S433" s="5"/>
      <c r="T433" s="5"/>
      <c r="U433" s="5"/>
      <c r="V433" s="5"/>
      <c r="W433" s="5"/>
    </row>
    <row r="434">
      <c r="A434" s="5"/>
      <c r="B434" s="3"/>
      <c r="C434" s="5"/>
      <c r="D434" s="5"/>
      <c r="E434" s="5"/>
      <c r="F434" s="5"/>
      <c r="G434" s="5"/>
      <c r="H434" s="5"/>
      <c r="I434" s="5"/>
      <c r="J434" s="5"/>
      <c r="K434" s="5"/>
      <c r="L434" s="5"/>
      <c r="M434" s="5"/>
      <c r="N434" s="5"/>
      <c r="O434" s="5"/>
      <c r="P434" s="5"/>
      <c r="Q434" s="5"/>
      <c r="R434" s="5"/>
      <c r="S434" s="5"/>
      <c r="T434" s="5"/>
      <c r="U434" s="5"/>
      <c r="V434" s="5"/>
      <c r="W434" s="5"/>
    </row>
    <row r="435">
      <c r="A435" s="5"/>
      <c r="B435" s="3"/>
      <c r="C435" s="5"/>
      <c r="D435" s="5"/>
      <c r="E435" s="5"/>
      <c r="F435" s="5"/>
      <c r="G435" s="5"/>
      <c r="H435" s="5"/>
      <c r="I435" s="5"/>
      <c r="J435" s="5"/>
      <c r="K435" s="5"/>
      <c r="L435" s="5"/>
      <c r="M435" s="5"/>
      <c r="N435" s="5"/>
      <c r="O435" s="5"/>
      <c r="P435" s="5"/>
      <c r="Q435" s="5"/>
      <c r="R435" s="5"/>
      <c r="S435" s="5"/>
      <c r="T435" s="5"/>
      <c r="U435" s="5"/>
      <c r="V435" s="5"/>
      <c r="W435" s="5"/>
    </row>
    <row r="436">
      <c r="A436" s="5"/>
      <c r="B436" s="3"/>
      <c r="C436" s="5"/>
      <c r="D436" s="5"/>
      <c r="E436" s="5"/>
      <c r="F436" s="5"/>
      <c r="G436" s="5"/>
      <c r="H436" s="5"/>
      <c r="I436" s="5"/>
      <c r="J436" s="5"/>
      <c r="K436" s="5"/>
      <c r="L436" s="5"/>
      <c r="M436" s="5"/>
      <c r="N436" s="5"/>
      <c r="O436" s="5"/>
      <c r="P436" s="5"/>
      <c r="Q436" s="5"/>
      <c r="R436" s="5"/>
      <c r="S436" s="5"/>
      <c r="T436" s="5"/>
      <c r="U436" s="5"/>
      <c r="V436" s="5"/>
      <c r="W436" s="5"/>
    </row>
    <row r="437">
      <c r="A437" s="5"/>
      <c r="B437" s="3"/>
      <c r="C437" s="5"/>
      <c r="D437" s="5"/>
      <c r="E437" s="5"/>
      <c r="F437" s="5"/>
      <c r="G437" s="5"/>
      <c r="H437" s="5"/>
      <c r="I437" s="5"/>
      <c r="J437" s="5"/>
      <c r="K437" s="5"/>
      <c r="L437" s="5"/>
      <c r="M437" s="5"/>
      <c r="N437" s="5"/>
      <c r="O437" s="5"/>
      <c r="P437" s="5"/>
      <c r="Q437" s="5"/>
      <c r="R437" s="5"/>
      <c r="S437" s="5"/>
      <c r="T437" s="5"/>
      <c r="U437" s="5"/>
      <c r="V437" s="5"/>
      <c r="W437" s="5"/>
    </row>
    <row r="438">
      <c r="A438" s="5"/>
      <c r="B438" s="3"/>
      <c r="C438" s="5"/>
      <c r="D438" s="5"/>
      <c r="E438" s="5"/>
      <c r="F438" s="5"/>
      <c r="G438" s="5"/>
      <c r="H438" s="5"/>
      <c r="I438" s="5"/>
      <c r="J438" s="5"/>
      <c r="K438" s="5"/>
      <c r="L438" s="5"/>
      <c r="M438" s="5"/>
      <c r="N438" s="5"/>
      <c r="O438" s="5"/>
      <c r="P438" s="5"/>
      <c r="Q438" s="5"/>
      <c r="R438" s="5"/>
      <c r="S438" s="5"/>
      <c r="T438" s="5"/>
      <c r="U438" s="5"/>
      <c r="V438" s="5"/>
      <c r="W438" s="5"/>
    </row>
    <row r="439">
      <c r="A439" s="5"/>
      <c r="B439" s="3"/>
      <c r="C439" s="5"/>
      <c r="D439" s="5"/>
      <c r="E439" s="5"/>
      <c r="F439" s="5"/>
      <c r="G439" s="5"/>
      <c r="H439" s="5"/>
      <c r="I439" s="5"/>
      <c r="J439" s="5"/>
      <c r="K439" s="5"/>
      <c r="L439" s="5"/>
      <c r="M439" s="5"/>
      <c r="N439" s="5"/>
      <c r="O439" s="5"/>
      <c r="P439" s="5"/>
      <c r="Q439" s="5"/>
      <c r="R439" s="5"/>
      <c r="S439" s="5"/>
      <c r="T439" s="5"/>
      <c r="U439" s="5"/>
      <c r="V439" s="5"/>
      <c r="W439" s="5"/>
    </row>
    <row r="440">
      <c r="A440" s="5"/>
      <c r="B440" s="3"/>
      <c r="C440" s="5"/>
      <c r="D440" s="5"/>
      <c r="E440" s="5"/>
      <c r="F440" s="5"/>
      <c r="G440" s="5"/>
      <c r="H440" s="5"/>
      <c r="I440" s="5"/>
      <c r="J440" s="5"/>
      <c r="K440" s="5"/>
      <c r="L440" s="5"/>
      <c r="M440" s="5"/>
      <c r="N440" s="5"/>
      <c r="O440" s="5"/>
      <c r="P440" s="5"/>
      <c r="Q440" s="5"/>
      <c r="R440" s="5"/>
      <c r="S440" s="5"/>
      <c r="T440" s="5"/>
      <c r="U440" s="5"/>
      <c r="V440" s="5"/>
      <c r="W440" s="5"/>
    </row>
    <row r="441">
      <c r="A441" s="5"/>
      <c r="B441" s="3"/>
      <c r="C441" s="5"/>
      <c r="D441" s="5"/>
      <c r="E441" s="5"/>
      <c r="F441" s="5"/>
      <c r="G441" s="5"/>
      <c r="H441" s="5"/>
      <c r="I441" s="5"/>
      <c r="J441" s="5"/>
      <c r="K441" s="5"/>
      <c r="L441" s="5"/>
      <c r="M441" s="5"/>
      <c r="N441" s="5"/>
      <c r="O441" s="5"/>
      <c r="P441" s="5"/>
      <c r="Q441" s="5"/>
      <c r="R441" s="5"/>
      <c r="S441" s="5"/>
      <c r="T441" s="5"/>
      <c r="U441" s="5"/>
      <c r="V441" s="5"/>
      <c r="W441" s="5"/>
    </row>
    <row r="442">
      <c r="A442" s="5"/>
      <c r="B442" s="3"/>
      <c r="C442" s="5"/>
      <c r="D442" s="5"/>
      <c r="E442" s="5"/>
      <c r="F442" s="5"/>
      <c r="G442" s="5"/>
      <c r="H442" s="5"/>
      <c r="I442" s="5"/>
      <c r="J442" s="5"/>
      <c r="K442" s="5"/>
      <c r="L442" s="5"/>
      <c r="M442" s="5"/>
      <c r="N442" s="5"/>
      <c r="O442" s="5"/>
      <c r="P442" s="5"/>
      <c r="Q442" s="5"/>
      <c r="R442" s="5"/>
      <c r="S442" s="5"/>
      <c r="T442" s="5"/>
      <c r="U442" s="5"/>
      <c r="V442" s="5"/>
      <c r="W442" s="5"/>
    </row>
    <row r="443">
      <c r="A443" s="5"/>
      <c r="B443" s="3"/>
      <c r="C443" s="5"/>
      <c r="D443" s="5"/>
      <c r="E443" s="5"/>
      <c r="F443" s="5"/>
      <c r="G443" s="5"/>
      <c r="H443" s="5"/>
      <c r="I443" s="5"/>
      <c r="J443" s="5"/>
      <c r="K443" s="5"/>
      <c r="L443" s="5"/>
      <c r="M443" s="5"/>
      <c r="N443" s="5"/>
      <c r="O443" s="5"/>
      <c r="P443" s="5"/>
      <c r="Q443" s="5"/>
      <c r="R443" s="5"/>
      <c r="S443" s="5"/>
      <c r="T443" s="5"/>
      <c r="U443" s="5"/>
      <c r="V443" s="5"/>
      <c r="W443" s="5"/>
    </row>
    <row r="444">
      <c r="A444" s="5"/>
      <c r="B444" s="3"/>
      <c r="C444" s="5"/>
      <c r="D444" s="5"/>
      <c r="E444" s="5"/>
      <c r="F444" s="5"/>
      <c r="G444" s="5"/>
      <c r="H444" s="5"/>
      <c r="I444" s="5"/>
      <c r="J444" s="5"/>
      <c r="K444" s="5"/>
      <c r="L444" s="5"/>
      <c r="M444" s="5"/>
      <c r="N444" s="5"/>
      <c r="O444" s="5"/>
      <c r="P444" s="5"/>
      <c r="Q444" s="5"/>
      <c r="R444" s="5"/>
      <c r="S444" s="5"/>
      <c r="T444" s="5"/>
      <c r="U444" s="5"/>
      <c r="V444" s="5"/>
      <c r="W444" s="5"/>
    </row>
    <row r="445">
      <c r="A445" s="5"/>
      <c r="B445" s="3"/>
      <c r="C445" s="5"/>
      <c r="D445" s="5"/>
      <c r="E445" s="5"/>
      <c r="F445" s="5"/>
      <c r="G445" s="5"/>
      <c r="H445" s="5"/>
      <c r="I445" s="5"/>
      <c r="J445" s="5"/>
      <c r="K445" s="5"/>
      <c r="L445" s="5"/>
      <c r="M445" s="5"/>
      <c r="N445" s="5"/>
      <c r="O445" s="5"/>
      <c r="P445" s="5"/>
      <c r="Q445" s="5"/>
      <c r="R445" s="5"/>
      <c r="S445" s="5"/>
      <c r="T445" s="5"/>
      <c r="U445" s="5"/>
      <c r="V445" s="5"/>
      <c r="W445" s="5"/>
    </row>
    <row r="446">
      <c r="A446" s="5"/>
      <c r="B446" s="3"/>
      <c r="C446" s="5"/>
      <c r="D446" s="5"/>
      <c r="E446" s="5"/>
      <c r="F446" s="5"/>
      <c r="G446" s="5"/>
      <c r="H446" s="5"/>
      <c r="I446" s="5"/>
      <c r="J446" s="5"/>
      <c r="K446" s="5"/>
      <c r="L446" s="5"/>
      <c r="M446" s="5"/>
      <c r="N446" s="5"/>
      <c r="O446" s="5"/>
      <c r="P446" s="5"/>
      <c r="Q446" s="5"/>
      <c r="R446" s="5"/>
      <c r="S446" s="5"/>
      <c r="T446" s="5"/>
      <c r="U446" s="5"/>
      <c r="V446" s="5"/>
      <c r="W446" s="5"/>
    </row>
    <row r="447">
      <c r="A447" s="5"/>
      <c r="B447" s="3"/>
      <c r="C447" s="5"/>
      <c r="D447" s="5"/>
      <c r="E447" s="5"/>
      <c r="F447" s="5"/>
      <c r="G447" s="5"/>
      <c r="H447" s="5"/>
      <c r="I447" s="5"/>
      <c r="J447" s="5"/>
      <c r="K447" s="5"/>
      <c r="L447" s="5"/>
      <c r="M447" s="5"/>
      <c r="N447" s="5"/>
      <c r="O447" s="5"/>
      <c r="P447" s="5"/>
      <c r="Q447" s="5"/>
      <c r="R447" s="5"/>
      <c r="S447" s="5"/>
      <c r="T447" s="5"/>
      <c r="U447" s="5"/>
      <c r="V447" s="5"/>
      <c r="W447" s="5"/>
    </row>
    <row r="448">
      <c r="A448" s="5"/>
      <c r="B448" s="3"/>
      <c r="C448" s="5"/>
      <c r="D448" s="5"/>
      <c r="E448" s="5"/>
      <c r="F448" s="5"/>
      <c r="G448" s="5"/>
      <c r="H448" s="5"/>
      <c r="I448" s="5"/>
      <c r="J448" s="5"/>
      <c r="K448" s="5"/>
      <c r="L448" s="5"/>
      <c r="M448" s="5"/>
      <c r="N448" s="5"/>
      <c r="O448" s="5"/>
      <c r="P448" s="5"/>
      <c r="Q448" s="5"/>
      <c r="R448" s="5"/>
      <c r="S448" s="5"/>
      <c r="T448" s="5"/>
      <c r="U448" s="5"/>
      <c r="V448" s="5"/>
      <c r="W448" s="5"/>
    </row>
    <row r="449">
      <c r="A449" s="5"/>
      <c r="B449" s="3"/>
      <c r="C449" s="5"/>
      <c r="D449" s="5"/>
      <c r="E449" s="5"/>
      <c r="F449" s="5"/>
      <c r="G449" s="5"/>
      <c r="H449" s="5"/>
      <c r="I449" s="5"/>
      <c r="J449" s="5"/>
      <c r="K449" s="5"/>
      <c r="L449" s="5"/>
      <c r="M449" s="5"/>
      <c r="N449" s="5"/>
      <c r="O449" s="5"/>
      <c r="P449" s="5"/>
      <c r="Q449" s="5"/>
      <c r="R449" s="5"/>
      <c r="S449" s="5"/>
      <c r="T449" s="5"/>
      <c r="U449" s="5"/>
      <c r="V449" s="5"/>
      <c r="W449" s="5"/>
    </row>
    <row r="450">
      <c r="A450" s="5"/>
      <c r="B450" s="3"/>
      <c r="C450" s="5"/>
      <c r="D450" s="5"/>
      <c r="E450" s="5"/>
      <c r="F450" s="5"/>
      <c r="G450" s="5"/>
      <c r="H450" s="5"/>
      <c r="I450" s="5"/>
      <c r="J450" s="5"/>
      <c r="K450" s="5"/>
      <c r="L450" s="5"/>
      <c r="M450" s="5"/>
      <c r="N450" s="5"/>
      <c r="O450" s="5"/>
      <c r="P450" s="5"/>
      <c r="Q450" s="5"/>
      <c r="R450" s="5"/>
      <c r="S450" s="5"/>
      <c r="T450" s="5"/>
      <c r="U450" s="5"/>
      <c r="V450" s="5"/>
      <c r="W450" s="5"/>
    </row>
    <row r="451">
      <c r="A451" s="5"/>
      <c r="B451" s="3"/>
      <c r="C451" s="5"/>
      <c r="D451" s="5"/>
      <c r="E451" s="5"/>
      <c r="F451" s="5"/>
      <c r="G451" s="5"/>
      <c r="H451" s="5"/>
      <c r="I451" s="5"/>
      <c r="J451" s="5"/>
      <c r="K451" s="5"/>
      <c r="L451" s="5"/>
      <c r="M451" s="5"/>
      <c r="N451" s="5"/>
      <c r="O451" s="5"/>
      <c r="P451" s="5"/>
      <c r="Q451" s="5"/>
      <c r="R451" s="5"/>
      <c r="S451" s="5"/>
      <c r="T451" s="5"/>
      <c r="U451" s="5"/>
      <c r="V451" s="5"/>
      <c r="W451" s="5"/>
    </row>
    <row r="452">
      <c r="A452" s="5"/>
      <c r="B452" s="3"/>
      <c r="C452" s="5"/>
      <c r="D452" s="5"/>
      <c r="E452" s="5"/>
      <c r="F452" s="5"/>
      <c r="G452" s="5"/>
      <c r="H452" s="5"/>
      <c r="I452" s="5"/>
      <c r="J452" s="5"/>
      <c r="K452" s="5"/>
      <c r="L452" s="5"/>
      <c r="M452" s="5"/>
      <c r="N452" s="5"/>
      <c r="O452" s="5"/>
      <c r="P452" s="5"/>
      <c r="Q452" s="5"/>
      <c r="R452" s="5"/>
      <c r="S452" s="5"/>
      <c r="T452" s="5"/>
      <c r="U452" s="5"/>
      <c r="V452" s="5"/>
      <c r="W452" s="5"/>
    </row>
    <row r="453">
      <c r="A453" s="5"/>
      <c r="B453" s="3"/>
      <c r="C453" s="5"/>
      <c r="D453" s="5"/>
      <c r="E453" s="5"/>
      <c r="F453" s="5"/>
      <c r="G453" s="5"/>
      <c r="H453" s="5"/>
      <c r="I453" s="5"/>
      <c r="J453" s="5"/>
      <c r="K453" s="5"/>
      <c r="L453" s="5"/>
      <c r="M453" s="5"/>
      <c r="N453" s="5"/>
      <c r="O453" s="5"/>
      <c r="P453" s="5"/>
      <c r="Q453" s="5"/>
      <c r="R453" s="5"/>
      <c r="S453" s="5"/>
      <c r="T453" s="5"/>
      <c r="U453" s="5"/>
      <c r="V453" s="5"/>
      <c r="W453" s="5"/>
    </row>
    <row r="454">
      <c r="A454" s="5"/>
      <c r="B454" s="3"/>
      <c r="C454" s="5"/>
      <c r="D454" s="5"/>
      <c r="E454" s="5"/>
      <c r="F454" s="5"/>
      <c r="G454" s="5"/>
      <c r="H454" s="5"/>
      <c r="I454" s="5"/>
      <c r="J454" s="5"/>
      <c r="K454" s="5"/>
      <c r="L454" s="5"/>
      <c r="M454" s="5"/>
      <c r="N454" s="5"/>
      <c r="O454" s="5"/>
      <c r="P454" s="5"/>
      <c r="Q454" s="5"/>
      <c r="R454" s="5"/>
      <c r="S454" s="5"/>
      <c r="T454" s="5"/>
      <c r="U454" s="5"/>
      <c r="V454" s="5"/>
      <c r="W454" s="5"/>
    </row>
    <row r="455">
      <c r="A455" s="5"/>
      <c r="B455" s="3"/>
      <c r="C455" s="5"/>
      <c r="D455" s="5"/>
      <c r="E455" s="5"/>
      <c r="F455" s="5"/>
      <c r="G455" s="5"/>
      <c r="H455" s="5"/>
      <c r="I455" s="5"/>
      <c r="J455" s="5"/>
      <c r="K455" s="5"/>
      <c r="L455" s="5"/>
      <c r="M455" s="5"/>
      <c r="N455" s="5"/>
      <c r="O455" s="5"/>
      <c r="P455" s="5"/>
      <c r="Q455" s="5"/>
      <c r="R455" s="5"/>
      <c r="S455" s="5"/>
      <c r="T455" s="5"/>
      <c r="U455" s="5"/>
      <c r="V455" s="5"/>
      <c r="W455" s="5"/>
    </row>
    <row r="456">
      <c r="A456" s="5"/>
      <c r="B456" s="3"/>
      <c r="C456" s="5"/>
      <c r="D456" s="5"/>
      <c r="E456" s="5"/>
      <c r="F456" s="5"/>
      <c r="G456" s="5"/>
      <c r="H456" s="5"/>
      <c r="I456" s="5"/>
      <c r="J456" s="5"/>
      <c r="K456" s="5"/>
      <c r="L456" s="5"/>
      <c r="M456" s="5"/>
      <c r="N456" s="5"/>
      <c r="O456" s="5"/>
      <c r="P456" s="5"/>
      <c r="Q456" s="5"/>
      <c r="R456" s="5"/>
      <c r="S456" s="5"/>
      <c r="T456" s="5"/>
      <c r="U456" s="5"/>
      <c r="V456" s="5"/>
      <c r="W456" s="5"/>
    </row>
    <row r="457">
      <c r="A457" s="5"/>
      <c r="B457" s="3"/>
      <c r="C457" s="5"/>
      <c r="D457" s="5"/>
      <c r="E457" s="5"/>
      <c r="F457" s="5"/>
      <c r="G457" s="5"/>
      <c r="H457" s="5"/>
      <c r="I457" s="5"/>
      <c r="J457" s="5"/>
      <c r="K457" s="5"/>
      <c r="L457" s="5"/>
      <c r="M457" s="5"/>
      <c r="N457" s="5"/>
      <c r="O457" s="5"/>
      <c r="P457" s="5"/>
      <c r="Q457" s="5"/>
      <c r="R457" s="5"/>
      <c r="S457" s="5"/>
      <c r="T457" s="5"/>
      <c r="U457" s="5"/>
      <c r="V457" s="5"/>
      <c r="W457" s="5"/>
    </row>
    <row r="458">
      <c r="A458" s="5"/>
      <c r="B458" s="3"/>
      <c r="C458" s="5"/>
      <c r="D458" s="5"/>
      <c r="E458" s="5"/>
      <c r="F458" s="5"/>
      <c r="G458" s="5"/>
      <c r="H458" s="5"/>
      <c r="I458" s="5"/>
      <c r="J458" s="5"/>
      <c r="K458" s="5"/>
      <c r="L458" s="5"/>
      <c r="M458" s="5"/>
      <c r="N458" s="5"/>
      <c r="O458" s="5"/>
      <c r="P458" s="5"/>
      <c r="Q458" s="5"/>
      <c r="R458" s="5"/>
      <c r="S458" s="5"/>
      <c r="T458" s="5"/>
      <c r="U458" s="5"/>
      <c r="V458" s="5"/>
      <c r="W458" s="5"/>
    </row>
    <row r="459">
      <c r="A459" s="5"/>
      <c r="B459" s="3"/>
      <c r="C459" s="5"/>
      <c r="D459" s="5"/>
      <c r="E459" s="5"/>
      <c r="F459" s="5"/>
      <c r="G459" s="5"/>
      <c r="H459" s="5"/>
      <c r="I459" s="5"/>
      <c r="J459" s="5"/>
      <c r="K459" s="5"/>
      <c r="L459" s="5"/>
      <c r="M459" s="5"/>
      <c r="N459" s="5"/>
      <c r="O459" s="5"/>
      <c r="P459" s="5"/>
      <c r="Q459" s="5"/>
      <c r="R459" s="5"/>
      <c r="S459" s="5"/>
      <c r="T459" s="5"/>
      <c r="U459" s="5"/>
      <c r="V459" s="5"/>
      <c r="W459" s="5"/>
    </row>
    <row r="460">
      <c r="A460" s="5"/>
      <c r="B460" s="3"/>
      <c r="C460" s="5"/>
      <c r="D460" s="5"/>
      <c r="E460" s="5"/>
      <c r="F460" s="5"/>
      <c r="G460" s="5"/>
      <c r="H460" s="5"/>
      <c r="I460" s="5"/>
      <c r="J460" s="5"/>
      <c r="K460" s="5"/>
      <c r="L460" s="5"/>
      <c r="M460" s="5"/>
      <c r="N460" s="5"/>
      <c r="O460" s="5"/>
      <c r="P460" s="5"/>
      <c r="Q460" s="5"/>
      <c r="R460" s="5"/>
      <c r="S460" s="5"/>
      <c r="T460" s="5"/>
      <c r="U460" s="5"/>
      <c r="V460" s="5"/>
      <c r="W460" s="5"/>
    </row>
    <row r="461">
      <c r="A461" s="5"/>
      <c r="B461" s="3"/>
      <c r="C461" s="5"/>
      <c r="D461" s="5"/>
      <c r="E461" s="5"/>
      <c r="F461" s="5"/>
      <c r="G461" s="5"/>
      <c r="H461" s="5"/>
      <c r="I461" s="5"/>
      <c r="J461" s="5"/>
      <c r="K461" s="5"/>
      <c r="L461" s="5"/>
      <c r="M461" s="5"/>
      <c r="N461" s="5"/>
      <c r="O461" s="5"/>
      <c r="P461" s="5"/>
      <c r="Q461" s="5"/>
      <c r="R461" s="5"/>
      <c r="S461" s="5"/>
      <c r="T461" s="5"/>
      <c r="U461" s="5"/>
      <c r="V461" s="5"/>
      <c r="W461" s="5"/>
    </row>
    <row r="462">
      <c r="A462" s="5"/>
      <c r="B462" s="3"/>
      <c r="C462" s="5"/>
      <c r="D462" s="5"/>
      <c r="E462" s="5"/>
      <c r="F462" s="5"/>
      <c r="G462" s="5"/>
      <c r="H462" s="5"/>
      <c r="I462" s="5"/>
      <c r="J462" s="5"/>
      <c r="K462" s="5"/>
      <c r="L462" s="5"/>
      <c r="M462" s="5"/>
      <c r="N462" s="5"/>
      <c r="O462" s="5"/>
      <c r="P462" s="5"/>
      <c r="Q462" s="5"/>
      <c r="R462" s="5"/>
      <c r="S462" s="5"/>
      <c r="T462" s="5"/>
      <c r="U462" s="5"/>
      <c r="V462" s="5"/>
      <c r="W462" s="5"/>
    </row>
    <row r="463">
      <c r="A463" s="5"/>
      <c r="B463" s="3"/>
      <c r="C463" s="5"/>
      <c r="D463" s="5"/>
      <c r="E463" s="5"/>
      <c r="F463" s="5"/>
      <c r="G463" s="5"/>
      <c r="H463" s="5"/>
      <c r="I463" s="5"/>
      <c r="J463" s="5"/>
      <c r="K463" s="5"/>
      <c r="L463" s="5"/>
      <c r="M463" s="5"/>
      <c r="N463" s="5"/>
      <c r="O463" s="5"/>
      <c r="P463" s="5"/>
      <c r="Q463" s="5"/>
      <c r="R463" s="5"/>
      <c r="S463" s="5"/>
      <c r="T463" s="5"/>
      <c r="U463" s="5"/>
      <c r="V463" s="5"/>
      <c r="W463" s="5"/>
    </row>
    <row r="464">
      <c r="A464" s="5"/>
      <c r="B464" s="3"/>
      <c r="C464" s="5"/>
      <c r="D464" s="5"/>
      <c r="E464" s="5"/>
      <c r="F464" s="5"/>
      <c r="G464" s="5"/>
      <c r="H464" s="5"/>
      <c r="I464" s="5"/>
      <c r="J464" s="5"/>
      <c r="K464" s="5"/>
      <c r="L464" s="5"/>
      <c r="M464" s="5"/>
      <c r="N464" s="5"/>
      <c r="O464" s="5"/>
      <c r="P464" s="5"/>
      <c r="Q464" s="5"/>
      <c r="R464" s="5"/>
      <c r="S464" s="5"/>
      <c r="T464" s="5"/>
      <c r="U464" s="5"/>
      <c r="V464" s="5"/>
      <c r="W464" s="5"/>
    </row>
    <row r="465">
      <c r="A465" s="5"/>
      <c r="B465" s="3"/>
      <c r="C465" s="5"/>
      <c r="D465" s="5"/>
      <c r="E465" s="5"/>
      <c r="F465" s="5"/>
      <c r="G465" s="5"/>
      <c r="H465" s="5"/>
      <c r="I465" s="5"/>
      <c r="J465" s="5"/>
      <c r="K465" s="5"/>
      <c r="L465" s="5"/>
      <c r="M465" s="5"/>
      <c r="N465" s="5"/>
      <c r="O465" s="5"/>
      <c r="P465" s="5"/>
      <c r="Q465" s="5"/>
      <c r="R465" s="5"/>
      <c r="S465" s="5"/>
      <c r="T465" s="5"/>
      <c r="U465" s="5"/>
      <c r="V465" s="5"/>
      <c r="W465" s="5"/>
    </row>
    <row r="466">
      <c r="A466" s="5"/>
      <c r="B466" s="3"/>
      <c r="C466" s="5"/>
      <c r="D466" s="5"/>
      <c r="E466" s="5"/>
      <c r="F466" s="5"/>
      <c r="G466" s="5"/>
      <c r="H466" s="5"/>
      <c r="I466" s="5"/>
      <c r="J466" s="5"/>
      <c r="K466" s="5"/>
      <c r="L466" s="5"/>
      <c r="M466" s="5"/>
      <c r="N466" s="5"/>
      <c r="O466" s="5"/>
      <c r="P466" s="5"/>
      <c r="Q466" s="5"/>
      <c r="R466" s="5"/>
      <c r="S466" s="5"/>
      <c r="T466" s="5"/>
      <c r="U466" s="5"/>
      <c r="V466" s="5"/>
      <c r="W466" s="5"/>
    </row>
    <row r="467">
      <c r="A467" s="5"/>
      <c r="B467" s="3"/>
      <c r="C467" s="5"/>
      <c r="D467" s="5"/>
      <c r="E467" s="5"/>
      <c r="F467" s="5"/>
      <c r="G467" s="5"/>
      <c r="H467" s="5"/>
      <c r="I467" s="5"/>
      <c r="J467" s="5"/>
      <c r="K467" s="5"/>
      <c r="L467" s="5"/>
      <c r="M467" s="5"/>
      <c r="N467" s="5"/>
      <c r="O467" s="5"/>
      <c r="P467" s="5"/>
      <c r="Q467" s="5"/>
      <c r="R467" s="5"/>
      <c r="S467" s="5"/>
      <c r="T467" s="5"/>
      <c r="U467" s="5"/>
      <c r="V467" s="5"/>
      <c r="W467" s="5"/>
    </row>
    <row r="468">
      <c r="A468" s="5"/>
      <c r="B468" s="3"/>
      <c r="C468" s="5"/>
      <c r="D468" s="5"/>
      <c r="E468" s="5"/>
      <c r="F468" s="5"/>
      <c r="G468" s="5"/>
      <c r="H468" s="5"/>
      <c r="I468" s="5"/>
      <c r="J468" s="5"/>
      <c r="K468" s="5"/>
      <c r="L468" s="5"/>
      <c r="M468" s="5"/>
      <c r="N468" s="5"/>
      <c r="O468" s="5"/>
      <c r="P468" s="5"/>
      <c r="Q468" s="5"/>
      <c r="R468" s="5"/>
      <c r="S468" s="5"/>
      <c r="T468" s="5"/>
      <c r="U468" s="5"/>
      <c r="V468" s="5"/>
      <c r="W468" s="5"/>
    </row>
    <row r="469">
      <c r="A469" s="5"/>
      <c r="B469" s="3"/>
      <c r="C469" s="5"/>
      <c r="D469" s="5"/>
      <c r="E469" s="5"/>
      <c r="F469" s="5"/>
      <c r="G469" s="5"/>
      <c r="H469" s="5"/>
      <c r="I469" s="5"/>
      <c r="J469" s="5"/>
      <c r="K469" s="5"/>
      <c r="L469" s="5"/>
      <c r="M469" s="5"/>
      <c r="N469" s="5"/>
      <c r="O469" s="5"/>
      <c r="P469" s="5"/>
      <c r="Q469" s="5"/>
      <c r="R469" s="5"/>
      <c r="S469" s="5"/>
      <c r="T469" s="5"/>
      <c r="U469" s="5"/>
      <c r="V469" s="5"/>
      <c r="W469" s="5"/>
    </row>
    <row r="470">
      <c r="A470" s="5"/>
      <c r="B470" s="3"/>
      <c r="C470" s="5"/>
      <c r="D470" s="5"/>
      <c r="E470" s="5"/>
      <c r="F470" s="5"/>
      <c r="G470" s="5"/>
      <c r="H470" s="5"/>
      <c r="I470" s="5"/>
      <c r="J470" s="5"/>
      <c r="K470" s="5"/>
      <c r="L470" s="5"/>
      <c r="M470" s="5"/>
      <c r="N470" s="5"/>
      <c r="O470" s="5"/>
      <c r="P470" s="5"/>
      <c r="Q470" s="5"/>
      <c r="R470" s="5"/>
      <c r="S470" s="5"/>
      <c r="T470" s="5"/>
      <c r="U470" s="5"/>
      <c r="V470" s="5"/>
      <c r="W470" s="5"/>
    </row>
    <row r="471">
      <c r="A471" s="5"/>
      <c r="B471" s="3"/>
      <c r="C471" s="5"/>
      <c r="D471" s="5"/>
      <c r="E471" s="5"/>
      <c r="F471" s="5"/>
      <c r="G471" s="5"/>
      <c r="H471" s="5"/>
      <c r="I471" s="5"/>
      <c r="J471" s="5"/>
      <c r="K471" s="5"/>
      <c r="L471" s="5"/>
      <c r="M471" s="5"/>
      <c r="N471" s="5"/>
      <c r="O471" s="5"/>
      <c r="P471" s="5"/>
      <c r="Q471" s="5"/>
      <c r="R471" s="5"/>
      <c r="S471" s="5"/>
      <c r="T471" s="5"/>
      <c r="U471" s="5"/>
      <c r="V471" s="5"/>
      <c r="W471" s="5"/>
    </row>
    <row r="472">
      <c r="A472" s="5"/>
      <c r="B472" s="3"/>
      <c r="C472" s="5"/>
      <c r="D472" s="3"/>
      <c r="E472" s="5"/>
      <c r="F472" s="5"/>
      <c r="G472" s="5"/>
      <c r="H472" s="5"/>
      <c r="I472" s="5"/>
      <c r="J472" s="5"/>
      <c r="K472" s="5"/>
      <c r="L472" s="5"/>
      <c r="M472" s="5"/>
      <c r="N472" s="5"/>
      <c r="O472" s="5"/>
      <c r="P472" s="5"/>
      <c r="Q472" s="5"/>
      <c r="R472" s="5"/>
      <c r="S472" s="5"/>
      <c r="T472" s="5"/>
      <c r="U472" s="5"/>
      <c r="V472" s="5"/>
      <c r="W472" s="5"/>
    </row>
    <row r="473">
      <c r="A473" s="5"/>
      <c r="B473" s="3"/>
      <c r="C473" s="5"/>
      <c r="D473" s="3"/>
      <c r="E473" s="5"/>
      <c r="F473" s="5"/>
      <c r="G473" s="5"/>
      <c r="H473" s="5"/>
      <c r="I473" s="5"/>
      <c r="J473" s="5"/>
      <c r="K473" s="5"/>
      <c r="L473" s="5"/>
      <c r="M473" s="5"/>
      <c r="N473" s="5"/>
      <c r="O473" s="5"/>
      <c r="P473" s="5"/>
      <c r="Q473" s="5"/>
      <c r="R473" s="5"/>
      <c r="S473" s="5"/>
      <c r="T473" s="5"/>
      <c r="U473" s="5"/>
      <c r="V473" s="5"/>
      <c r="W473" s="5"/>
    </row>
    <row r="474">
      <c r="A474" s="5"/>
      <c r="B474" s="3"/>
      <c r="C474" s="5"/>
      <c r="D474" s="3"/>
      <c r="E474" s="5"/>
      <c r="F474" s="5"/>
      <c r="G474" s="5"/>
      <c r="H474" s="5"/>
      <c r="I474" s="5"/>
      <c r="J474" s="5"/>
      <c r="K474" s="5"/>
      <c r="L474" s="5"/>
      <c r="M474" s="5"/>
      <c r="N474" s="5"/>
      <c r="O474" s="5"/>
      <c r="P474" s="5"/>
      <c r="Q474" s="5"/>
      <c r="R474" s="5"/>
      <c r="S474" s="5"/>
      <c r="T474" s="5"/>
      <c r="U474" s="5"/>
      <c r="V474" s="5"/>
      <c r="W474" s="5"/>
    </row>
    <row r="475">
      <c r="A475" s="5"/>
      <c r="B475" s="3"/>
      <c r="C475" s="5"/>
      <c r="D475" s="3"/>
      <c r="E475" s="5"/>
      <c r="F475" s="5"/>
      <c r="G475" s="5"/>
      <c r="H475" s="5"/>
      <c r="I475" s="5"/>
      <c r="J475" s="5"/>
      <c r="K475" s="5"/>
      <c r="L475" s="5"/>
      <c r="M475" s="5"/>
      <c r="N475" s="5"/>
      <c r="O475" s="5"/>
      <c r="P475" s="5"/>
      <c r="Q475" s="5"/>
      <c r="R475" s="5"/>
      <c r="S475" s="5"/>
      <c r="T475" s="5"/>
      <c r="U475" s="5"/>
      <c r="V475" s="5"/>
      <c r="W475" s="5"/>
    </row>
    <row r="476">
      <c r="A476" s="5"/>
      <c r="B476" s="3"/>
      <c r="C476" s="5"/>
      <c r="D476" s="3"/>
      <c r="E476" s="5"/>
      <c r="F476" s="5"/>
      <c r="G476" s="5"/>
      <c r="H476" s="5"/>
      <c r="I476" s="5"/>
      <c r="J476" s="5"/>
      <c r="K476" s="5"/>
      <c r="L476" s="5"/>
      <c r="M476" s="5"/>
      <c r="N476" s="5"/>
      <c r="O476" s="5"/>
      <c r="P476" s="5"/>
      <c r="Q476" s="5"/>
      <c r="R476" s="5"/>
      <c r="S476" s="5"/>
      <c r="T476" s="5"/>
      <c r="U476" s="5"/>
      <c r="V476" s="5"/>
      <c r="W476" s="5"/>
    </row>
    <row r="477">
      <c r="A477" s="5"/>
      <c r="B477" s="3"/>
      <c r="C477" s="5"/>
      <c r="D477" s="3"/>
      <c r="E477" s="5"/>
      <c r="F477" s="5"/>
      <c r="G477" s="5"/>
      <c r="H477" s="5"/>
      <c r="I477" s="5"/>
      <c r="J477" s="5"/>
      <c r="K477" s="5"/>
      <c r="L477" s="5"/>
      <c r="M477" s="5"/>
      <c r="N477" s="5"/>
      <c r="O477" s="5"/>
      <c r="P477" s="5"/>
      <c r="Q477" s="5"/>
      <c r="R477" s="5"/>
      <c r="S477" s="5"/>
      <c r="T477" s="5"/>
      <c r="U477" s="5"/>
      <c r="V477" s="5"/>
      <c r="W477" s="5"/>
    </row>
    <row r="478">
      <c r="A478" s="5"/>
      <c r="B478" s="3"/>
      <c r="C478" s="5"/>
      <c r="D478" s="3"/>
      <c r="E478" s="5"/>
      <c r="F478" s="5"/>
      <c r="G478" s="5"/>
      <c r="H478" s="5"/>
      <c r="I478" s="5"/>
      <c r="J478" s="5"/>
      <c r="K478" s="5"/>
      <c r="L478" s="5"/>
      <c r="M478" s="5"/>
      <c r="N478" s="5"/>
      <c r="O478" s="5"/>
      <c r="P478" s="5"/>
      <c r="Q478" s="5"/>
      <c r="R478" s="5"/>
      <c r="S478" s="5"/>
      <c r="T478" s="5"/>
      <c r="U478" s="5"/>
      <c r="V478" s="5"/>
      <c r="W478" s="5"/>
    </row>
    <row r="479">
      <c r="A479" s="5"/>
      <c r="B479" s="3"/>
      <c r="C479" s="5"/>
      <c r="D479" s="3"/>
      <c r="E479" s="5"/>
      <c r="F479" s="5"/>
      <c r="G479" s="5"/>
      <c r="H479" s="5"/>
      <c r="I479" s="5"/>
      <c r="J479" s="5"/>
      <c r="K479" s="5"/>
      <c r="L479" s="5"/>
      <c r="M479" s="5"/>
      <c r="N479" s="5"/>
      <c r="O479" s="5"/>
      <c r="P479" s="5"/>
      <c r="Q479" s="5"/>
      <c r="R479" s="5"/>
      <c r="S479" s="5"/>
      <c r="T479" s="5"/>
      <c r="U479" s="5"/>
      <c r="V479" s="5"/>
      <c r="W479" s="5"/>
    </row>
    <row r="480">
      <c r="A480" s="5"/>
      <c r="B480" s="3"/>
      <c r="C480" s="5"/>
      <c r="D480" s="3"/>
      <c r="E480" s="5"/>
      <c r="F480" s="5"/>
      <c r="G480" s="5"/>
      <c r="H480" s="5"/>
      <c r="I480" s="5"/>
      <c r="J480" s="5"/>
      <c r="K480" s="5"/>
      <c r="L480" s="5"/>
      <c r="M480" s="5"/>
      <c r="N480" s="5"/>
      <c r="O480" s="5"/>
      <c r="P480" s="5"/>
      <c r="Q480" s="5"/>
      <c r="R480" s="5"/>
      <c r="S480" s="5"/>
      <c r="T480" s="5"/>
      <c r="U480" s="5"/>
      <c r="V480" s="5"/>
      <c r="W480" s="5"/>
    </row>
    <row r="481">
      <c r="A481" s="5"/>
      <c r="B481" s="3"/>
      <c r="C481" s="5"/>
      <c r="D481" s="5"/>
      <c r="E481" s="5"/>
      <c r="F481" s="5"/>
      <c r="G481" s="5"/>
      <c r="H481" s="5"/>
      <c r="I481" s="5"/>
      <c r="J481" s="5"/>
      <c r="K481" s="5"/>
      <c r="L481" s="5"/>
      <c r="M481" s="5"/>
      <c r="N481" s="5"/>
      <c r="O481" s="5"/>
      <c r="P481" s="5"/>
      <c r="Q481" s="5"/>
      <c r="R481" s="5"/>
      <c r="S481" s="5"/>
      <c r="T481" s="5"/>
      <c r="U481" s="5"/>
      <c r="V481" s="5"/>
      <c r="W481" s="5"/>
    </row>
    <row r="482">
      <c r="A482" s="5"/>
      <c r="B482" s="3"/>
      <c r="C482" s="5"/>
      <c r="D482" s="5"/>
      <c r="E482" s="5"/>
      <c r="F482" s="5"/>
      <c r="G482" s="5"/>
      <c r="H482" s="5"/>
      <c r="I482" s="5"/>
      <c r="J482" s="5"/>
      <c r="K482" s="5"/>
      <c r="L482" s="5"/>
      <c r="M482" s="5"/>
      <c r="N482" s="5"/>
      <c r="O482" s="5"/>
      <c r="P482" s="5"/>
      <c r="Q482" s="5"/>
      <c r="R482" s="5"/>
      <c r="S482" s="5"/>
      <c r="T482" s="5"/>
      <c r="U482" s="5"/>
      <c r="V482" s="5"/>
      <c r="W482" s="5"/>
    </row>
    <row r="483">
      <c r="A483" s="5"/>
      <c r="B483" s="3"/>
      <c r="C483" s="5"/>
      <c r="D483" s="5"/>
      <c r="E483" s="5"/>
      <c r="F483" s="5"/>
      <c r="G483" s="5"/>
      <c r="H483" s="5"/>
      <c r="I483" s="5"/>
      <c r="J483" s="5"/>
      <c r="K483" s="5"/>
      <c r="L483" s="5"/>
      <c r="M483" s="5"/>
      <c r="N483" s="5"/>
      <c r="O483" s="5"/>
      <c r="P483" s="5"/>
      <c r="Q483" s="5"/>
      <c r="R483" s="5"/>
      <c r="S483" s="5"/>
      <c r="T483" s="5"/>
      <c r="U483" s="5"/>
      <c r="V483" s="5"/>
      <c r="W483" s="5"/>
    </row>
    <row r="484">
      <c r="A484" s="5"/>
      <c r="B484" s="3"/>
      <c r="C484" s="5"/>
      <c r="D484" s="5"/>
      <c r="E484" s="5"/>
      <c r="F484" s="5"/>
      <c r="G484" s="5"/>
      <c r="H484" s="5"/>
      <c r="I484" s="5"/>
      <c r="J484" s="5"/>
      <c r="K484" s="5"/>
      <c r="L484" s="5"/>
      <c r="M484" s="5"/>
      <c r="N484" s="5"/>
      <c r="O484" s="5"/>
      <c r="P484" s="5"/>
      <c r="Q484" s="5"/>
      <c r="R484" s="5"/>
      <c r="S484" s="5"/>
      <c r="T484" s="5"/>
      <c r="U484" s="5"/>
      <c r="V484" s="5"/>
      <c r="W484" s="5"/>
    </row>
    <row r="485">
      <c r="A485" s="5"/>
      <c r="B485" s="3"/>
      <c r="C485" s="5"/>
      <c r="D485" s="5"/>
      <c r="E485" s="5"/>
      <c r="F485" s="5"/>
      <c r="G485" s="5"/>
      <c r="H485" s="5"/>
      <c r="I485" s="5"/>
      <c r="J485" s="5"/>
      <c r="K485" s="5"/>
      <c r="L485" s="5"/>
      <c r="M485" s="5"/>
      <c r="N485" s="5"/>
      <c r="O485" s="5"/>
      <c r="P485" s="5"/>
      <c r="Q485" s="5"/>
      <c r="R485" s="5"/>
      <c r="S485" s="5"/>
      <c r="T485" s="5"/>
      <c r="U485" s="5"/>
      <c r="V485" s="5"/>
      <c r="W485" s="5"/>
    </row>
    <row r="486">
      <c r="A486" s="5"/>
      <c r="B486" s="3"/>
      <c r="C486" s="5"/>
      <c r="D486" s="5"/>
      <c r="E486" s="5"/>
      <c r="F486" s="5"/>
      <c r="G486" s="5"/>
      <c r="H486" s="5"/>
      <c r="I486" s="5"/>
      <c r="J486" s="5"/>
      <c r="K486" s="5"/>
      <c r="L486" s="5"/>
      <c r="M486" s="5"/>
      <c r="N486" s="5"/>
      <c r="O486" s="5"/>
      <c r="P486" s="5"/>
      <c r="Q486" s="5"/>
      <c r="R486" s="5"/>
      <c r="S486" s="5"/>
      <c r="T486" s="5"/>
      <c r="U486" s="5"/>
      <c r="V486" s="5"/>
      <c r="W486" s="5"/>
    </row>
    <row r="487">
      <c r="A487" s="5"/>
      <c r="B487" s="3"/>
      <c r="C487" s="5"/>
      <c r="D487" s="5"/>
      <c r="E487" s="5"/>
      <c r="F487" s="5"/>
      <c r="G487" s="5"/>
      <c r="H487" s="5"/>
      <c r="I487" s="5"/>
      <c r="J487" s="5"/>
      <c r="K487" s="5"/>
      <c r="L487" s="5"/>
      <c r="M487" s="5"/>
      <c r="N487" s="5"/>
      <c r="O487" s="5"/>
      <c r="P487" s="5"/>
      <c r="Q487" s="5"/>
      <c r="R487" s="5"/>
      <c r="S487" s="5"/>
      <c r="T487" s="5"/>
      <c r="U487" s="5"/>
      <c r="V487" s="5"/>
      <c r="W487" s="5"/>
    </row>
    <row r="488">
      <c r="A488" s="5"/>
      <c r="B488" s="3"/>
      <c r="C488" s="5"/>
      <c r="D488" s="5"/>
      <c r="E488" s="5"/>
      <c r="F488" s="5"/>
      <c r="G488" s="5"/>
      <c r="H488" s="5"/>
      <c r="I488" s="5"/>
      <c r="J488" s="5"/>
      <c r="K488" s="5"/>
      <c r="L488" s="5"/>
      <c r="M488" s="5"/>
      <c r="N488" s="5"/>
      <c r="O488" s="5"/>
      <c r="P488" s="5"/>
      <c r="Q488" s="5"/>
      <c r="R488" s="5"/>
      <c r="S488" s="5"/>
      <c r="T488" s="5"/>
      <c r="U488" s="5"/>
      <c r="V488" s="5"/>
      <c r="W488" s="5"/>
    </row>
    <row r="489">
      <c r="A489" s="5"/>
      <c r="B489" s="3"/>
      <c r="C489" s="5"/>
      <c r="D489" s="5"/>
      <c r="E489" s="5"/>
      <c r="F489" s="5"/>
      <c r="G489" s="5"/>
      <c r="H489" s="5"/>
      <c r="I489" s="5"/>
      <c r="J489" s="5"/>
      <c r="K489" s="5"/>
      <c r="L489" s="5"/>
      <c r="M489" s="5"/>
      <c r="N489" s="5"/>
      <c r="O489" s="5"/>
      <c r="P489" s="5"/>
      <c r="Q489" s="5"/>
      <c r="R489" s="5"/>
      <c r="S489" s="5"/>
      <c r="T489" s="5"/>
      <c r="U489" s="5"/>
      <c r="V489" s="5"/>
      <c r="W489" s="5"/>
    </row>
    <row r="490">
      <c r="A490" s="5"/>
      <c r="B490" s="3"/>
      <c r="C490" s="5"/>
      <c r="D490" s="3"/>
      <c r="E490" s="5"/>
      <c r="F490" s="5"/>
      <c r="G490" s="5"/>
      <c r="H490" s="5"/>
      <c r="I490" s="5"/>
      <c r="J490" s="5"/>
      <c r="K490" s="5"/>
      <c r="L490" s="5"/>
      <c r="M490" s="5"/>
      <c r="N490" s="5"/>
      <c r="O490" s="5"/>
      <c r="P490" s="5"/>
      <c r="Q490" s="5"/>
      <c r="R490" s="5"/>
      <c r="S490" s="5"/>
      <c r="T490" s="5"/>
      <c r="U490" s="5"/>
      <c r="V490" s="5"/>
      <c r="W490" s="5"/>
    </row>
    <row r="491">
      <c r="A491" s="5"/>
      <c r="B491" s="3"/>
      <c r="C491" s="5"/>
      <c r="D491" s="3"/>
      <c r="E491" s="5"/>
      <c r="F491" s="5"/>
      <c r="G491" s="5"/>
      <c r="H491" s="5"/>
      <c r="I491" s="5"/>
      <c r="J491" s="5"/>
      <c r="K491" s="5"/>
      <c r="L491" s="5"/>
      <c r="M491" s="5"/>
      <c r="N491" s="5"/>
      <c r="O491" s="5"/>
      <c r="P491" s="5"/>
      <c r="Q491" s="5"/>
      <c r="R491" s="5"/>
      <c r="S491" s="5"/>
      <c r="T491" s="5"/>
      <c r="U491" s="5"/>
      <c r="V491" s="5"/>
      <c r="W491" s="5"/>
    </row>
    <row r="492">
      <c r="A492" s="5"/>
      <c r="B492" s="3"/>
      <c r="C492" s="5"/>
      <c r="D492" s="3"/>
      <c r="E492" s="5"/>
      <c r="F492" s="5"/>
      <c r="G492" s="5"/>
      <c r="H492" s="5"/>
      <c r="I492" s="5"/>
      <c r="J492" s="5"/>
      <c r="K492" s="5"/>
      <c r="L492" s="5"/>
      <c r="M492" s="5"/>
      <c r="N492" s="5"/>
      <c r="O492" s="5"/>
      <c r="P492" s="5"/>
      <c r="Q492" s="5"/>
      <c r="R492" s="5"/>
      <c r="S492" s="5"/>
      <c r="T492" s="5"/>
      <c r="U492" s="5"/>
      <c r="V492" s="5"/>
      <c r="W492" s="5"/>
    </row>
    <row r="493">
      <c r="A493" s="5"/>
      <c r="B493" s="3"/>
      <c r="C493" s="5"/>
      <c r="D493" s="3"/>
      <c r="E493" s="5"/>
      <c r="F493" s="5"/>
      <c r="G493" s="5"/>
      <c r="H493" s="5"/>
      <c r="I493" s="5"/>
      <c r="J493" s="5"/>
      <c r="K493" s="5"/>
      <c r="L493" s="5"/>
      <c r="M493" s="5"/>
      <c r="N493" s="5"/>
      <c r="O493" s="5"/>
      <c r="P493" s="5"/>
      <c r="Q493" s="5"/>
      <c r="R493" s="5"/>
      <c r="S493" s="5"/>
      <c r="T493" s="5"/>
      <c r="U493" s="5"/>
      <c r="V493" s="5"/>
      <c r="W493" s="5"/>
    </row>
    <row r="494">
      <c r="A494" s="5"/>
      <c r="B494" s="3"/>
      <c r="C494" s="5"/>
      <c r="D494" s="3"/>
      <c r="E494" s="5"/>
      <c r="F494" s="5"/>
      <c r="G494" s="5"/>
      <c r="H494" s="5"/>
      <c r="I494" s="5"/>
      <c r="J494" s="5"/>
      <c r="K494" s="5"/>
      <c r="L494" s="5"/>
      <c r="M494" s="5"/>
      <c r="N494" s="5"/>
      <c r="O494" s="5"/>
      <c r="P494" s="5"/>
      <c r="Q494" s="5"/>
      <c r="R494" s="5"/>
      <c r="S494" s="5"/>
      <c r="T494" s="5"/>
      <c r="U494" s="5"/>
      <c r="V494" s="5"/>
      <c r="W494" s="5"/>
    </row>
    <row r="495">
      <c r="A495" s="5"/>
      <c r="B495" s="3"/>
      <c r="C495" s="5"/>
      <c r="D495" s="3"/>
      <c r="E495" s="5"/>
      <c r="F495" s="5"/>
      <c r="G495" s="5"/>
      <c r="H495" s="5"/>
      <c r="I495" s="5"/>
      <c r="J495" s="5"/>
      <c r="K495" s="5"/>
      <c r="L495" s="5"/>
      <c r="M495" s="5"/>
      <c r="N495" s="5"/>
      <c r="O495" s="5"/>
      <c r="P495" s="5"/>
      <c r="Q495" s="5"/>
      <c r="R495" s="5"/>
      <c r="S495" s="5"/>
      <c r="T495" s="5"/>
      <c r="U495" s="5"/>
      <c r="V495" s="5"/>
      <c r="W495" s="5"/>
    </row>
    <row r="496">
      <c r="A496" s="5"/>
      <c r="B496" s="3"/>
      <c r="C496" s="5"/>
      <c r="D496" s="3"/>
      <c r="E496" s="5"/>
      <c r="F496" s="5"/>
      <c r="G496" s="5"/>
      <c r="H496" s="5"/>
      <c r="I496" s="5"/>
      <c r="J496" s="5"/>
      <c r="K496" s="5"/>
      <c r="L496" s="5"/>
      <c r="M496" s="5"/>
      <c r="N496" s="5"/>
      <c r="O496" s="5"/>
      <c r="P496" s="5"/>
      <c r="Q496" s="5"/>
      <c r="R496" s="5"/>
      <c r="S496" s="5"/>
      <c r="T496" s="5"/>
      <c r="U496" s="5"/>
      <c r="V496" s="5"/>
      <c r="W496" s="5"/>
    </row>
    <row r="497">
      <c r="A497" s="5"/>
      <c r="B497" s="3"/>
      <c r="C497" s="5"/>
      <c r="D497" s="3"/>
      <c r="E497" s="5"/>
      <c r="F497" s="5"/>
      <c r="G497" s="5"/>
      <c r="H497" s="5"/>
      <c r="I497" s="5"/>
      <c r="J497" s="5"/>
      <c r="K497" s="5"/>
      <c r="L497" s="5"/>
      <c r="M497" s="5"/>
      <c r="N497" s="5"/>
      <c r="O497" s="5"/>
      <c r="P497" s="5"/>
      <c r="Q497" s="5"/>
      <c r="R497" s="5"/>
      <c r="S497" s="5"/>
      <c r="T497" s="5"/>
      <c r="U497" s="5"/>
      <c r="V497" s="5"/>
      <c r="W497" s="5"/>
    </row>
    <row r="498">
      <c r="A498" s="5"/>
      <c r="B498" s="3"/>
      <c r="C498" s="5"/>
      <c r="D498" s="3"/>
      <c r="E498" s="5"/>
      <c r="F498" s="5"/>
      <c r="G498" s="5"/>
      <c r="H498" s="5"/>
      <c r="I498" s="5"/>
      <c r="J498" s="5"/>
      <c r="K498" s="5"/>
      <c r="L498" s="5"/>
      <c r="M498" s="5"/>
      <c r="N498" s="5"/>
      <c r="O498" s="5"/>
      <c r="P498" s="5"/>
      <c r="Q498" s="5"/>
      <c r="R498" s="5"/>
      <c r="S498" s="5"/>
      <c r="T498" s="5"/>
      <c r="U498" s="5"/>
      <c r="V498" s="5"/>
      <c r="W498" s="5"/>
    </row>
    <row r="499">
      <c r="A499" s="5"/>
      <c r="B499" s="3"/>
      <c r="C499" s="5"/>
      <c r="D499" s="5"/>
      <c r="E499" s="5"/>
      <c r="F499" s="5"/>
      <c r="G499" s="5"/>
      <c r="H499" s="5"/>
      <c r="I499" s="5"/>
      <c r="J499" s="5"/>
      <c r="K499" s="5"/>
      <c r="L499" s="5"/>
      <c r="M499" s="5"/>
      <c r="N499" s="5"/>
      <c r="O499" s="5"/>
      <c r="P499" s="5"/>
      <c r="Q499" s="5"/>
      <c r="R499" s="5"/>
      <c r="S499" s="5"/>
      <c r="T499" s="5"/>
      <c r="U499" s="5"/>
      <c r="V499" s="5"/>
      <c r="W499" s="5"/>
    </row>
    <row r="500">
      <c r="A500" s="5"/>
      <c r="B500" s="3"/>
      <c r="C500" s="5"/>
      <c r="D500" s="5"/>
      <c r="E500" s="5"/>
      <c r="F500" s="5"/>
      <c r="G500" s="5"/>
      <c r="H500" s="5"/>
      <c r="I500" s="5"/>
      <c r="J500" s="5"/>
      <c r="K500" s="5"/>
      <c r="L500" s="5"/>
      <c r="M500" s="5"/>
      <c r="N500" s="5"/>
      <c r="O500" s="5"/>
      <c r="P500" s="5"/>
      <c r="Q500" s="5"/>
      <c r="R500" s="5"/>
      <c r="S500" s="5"/>
      <c r="T500" s="5"/>
      <c r="U500" s="5"/>
      <c r="V500" s="5"/>
      <c r="W500" s="5"/>
    </row>
    <row r="501">
      <c r="A501" s="5"/>
      <c r="B501" s="3"/>
      <c r="C501" s="5"/>
      <c r="D501" s="5"/>
      <c r="E501" s="5"/>
      <c r="F501" s="5"/>
      <c r="G501" s="5"/>
      <c r="H501" s="5"/>
      <c r="I501" s="5"/>
      <c r="J501" s="5"/>
      <c r="K501" s="5"/>
      <c r="L501" s="5"/>
      <c r="M501" s="5"/>
      <c r="N501" s="5"/>
      <c r="O501" s="5"/>
      <c r="P501" s="5"/>
      <c r="Q501" s="5"/>
      <c r="R501" s="5"/>
      <c r="S501" s="5"/>
      <c r="T501" s="5"/>
      <c r="U501" s="5"/>
      <c r="V501" s="5"/>
      <c r="W501" s="5"/>
    </row>
    <row r="502">
      <c r="A502" s="5"/>
      <c r="B502" s="3"/>
      <c r="C502" s="5"/>
      <c r="D502" s="5"/>
      <c r="E502" s="5"/>
      <c r="F502" s="5"/>
      <c r="G502" s="5"/>
      <c r="H502" s="5"/>
      <c r="I502" s="5"/>
      <c r="J502" s="5"/>
      <c r="K502" s="5"/>
      <c r="L502" s="5"/>
      <c r="M502" s="5"/>
      <c r="N502" s="5"/>
      <c r="O502" s="5"/>
      <c r="P502" s="5"/>
      <c r="Q502" s="5"/>
      <c r="R502" s="5"/>
      <c r="S502" s="5"/>
      <c r="T502" s="5"/>
      <c r="U502" s="5"/>
      <c r="V502" s="5"/>
      <c r="W502" s="5"/>
    </row>
    <row r="503">
      <c r="A503" s="5"/>
      <c r="B503" s="3"/>
      <c r="C503" s="5"/>
      <c r="D503" s="5"/>
      <c r="E503" s="5"/>
      <c r="F503" s="5"/>
      <c r="G503" s="5"/>
      <c r="H503" s="5"/>
      <c r="I503" s="5"/>
      <c r="J503" s="5"/>
      <c r="K503" s="5"/>
      <c r="L503" s="5"/>
      <c r="M503" s="5"/>
      <c r="N503" s="5"/>
      <c r="O503" s="5"/>
      <c r="P503" s="5"/>
      <c r="Q503" s="5"/>
      <c r="R503" s="5"/>
      <c r="S503" s="5"/>
      <c r="T503" s="5"/>
      <c r="U503" s="5"/>
      <c r="V503" s="5"/>
      <c r="W503" s="5"/>
    </row>
    <row r="504">
      <c r="A504" s="5"/>
      <c r="B504" s="3"/>
      <c r="C504" s="5"/>
      <c r="D504" s="5"/>
      <c r="E504" s="5"/>
      <c r="F504" s="5"/>
      <c r="G504" s="5"/>
      <c r="H504" s="5"/>
      <c r="I504" s="5"/>
      <c r="J504" s="5"/>
      <c r="K504" s="5"/>
      <c r="L504" s="5"/>
      <c r="M504" s="5"/>
      <c r="N504" s="5"/>
      <c r="O504" s="5"/>
      <c r="P504" s="5"/>
      <c r="Q504" s="5"/>
      <c r="R504" s="5"/>
      <c r="S504" s="5"/>
      <c r="T504" s="5"/>
      <c r="U504" s="5"/>
      <c r="V504" s="5"/>
      <c r="W504" s="5"/>
    </row>
    <row r="505">
      <c r="A505" s="5"/>
      <c r="B505" s="3"/>
      <c r="C505" s="5"/>
      <c r="D505" s="5"/>
      <c r="E505" s="5"/>
      <c r="F505" s="5"/>
      <c r="G505" s="5"/>
      <c r="H505" s="5"/>
      <c r="I505" s="5"/>
      <c r="J505" s="5"/>
      <c r="K505" s="5"/>
      <c r="L505" s="5"/>
      <c r="M505" s="5"/>
      <c r="N505" s="5"/>
      <c r="O505" s="5"/>
      <c r="P505" s="5"/>
      <c r="Q505" s="5"/>
      <c r="R505" s="5"/>
      <c r="S505" s="5"/>
      <c r="T505" s="5"/>
      <c r="U505" s="5"/>
      <c r="V505" s="5"/>
      <c r="W505" s="5"/>
    </row>
    <row r="506">
      <c r="A506" s="5"/>
      <c r="B506" s="3"/>
      <c r="C506" s="5"/>
      <c r="D506" s="5"/>
      <c r="E506" s="5"/>
      <c r="F506" s="5"/>
      <c r="G506" s="5"/>
      <c r="H506" s="5"/>
      <c r="I506" s="5"/>
      <c r="J506" s="5"/>
      <c r="K506" s="5"/>
      <c r="L506" s="5"/>
      <c r="M506" s="5"/>
      <c r="N506" s="5"/>
      <c r="O506" s="5"/>
      <c r="P506" s="5"/>
      <c r="Q506" s="5"/>
      <c r="R506" s="5"/>
      <c r="S506" s="5"/>
      <c r="T506" s="5"/>
      <c r="U506" s="5"/>
      <c r="V506" s="5"/>
      <c r="W506" s="5"/>
    </row>
    <row r="507">
      <c r="A507" s="5"/>
      <c r="B507" s="3"/>
      <c r="C507" s="5"/>
      <c r="D507" s="5"/>
      <c r="E507" s="5"/>
      <c r="F507" s="5"/>
      <c r="G507" s="5"/>
      <c r="H507" s="5"/>
      <c r="I507" s="5"/>
      <c r="J507" s="5"/>
      <c r="K507" s="5"/>
      <c r="L507" s="5"/>
      <c r="M507" s="5"/>
      <c r="N507" s="5"/>
      <c r="O507" s="5"/>
      <c r="P507" s="5"/>
      <c r="Q507" s="5"/>
      <c r="R507" s="5"/>
      <c r="S507" s="5"/>
      <c r="T507" s="5"/>
      <c r="U507" s="5"/>
      <c r="V507" s="5"/>
      <c r="W507" s="5"/>
    </row>
    <row r="508">
      <c r="A508" s="5"/>
      <c r="B508" s="3"/>
      <c r="C508" s="5"/>
      <c r="D508" s="5"/>
      <c r="E508" s="5"/>
      <c r="F508" s="5"/>
      <c r="G508" s="5"/>
      <c r="H508" s="5"/>
      <c r="I508" s="5"/>
      <c r="J508" s="5"/>
      <c r="K508" s="5"/>
      <c r="L508" s="5"/>
      <c r="M508" s="5"/>
      <c r="N508" s="5"/>
      <c r="O508" s="5"/>
      <c r="P508" s="5"/>
      <c r="Q508" s="5"/>
      <c r="R508" s="5"/>
      <c r="S508" s="5"/>
      <c r="T508" s="5"/>
      <c r="U508" s="5"/>
      <c r="V508" s="5"/>
      <c r="W508" s="5"/>
    </row>
    <row r="509">
      <c r="A509" s="5"/>
      <c r="B509" s="3"/>
      <c r="C509" s="5"/>
      <c r="D509" s="5"/>
      <c r="E509" s="5"/>
      <c r="F509" s="5"/>
      <c r="G509" s="5"/>
      <c r="H509" s="5"/>
      <c r="I509" s="5"/>
      <c r="J509" s="5"/>
      <c r="K509" s="5"/>
      <c r="L509" s="5"/>
      <c r="M509" s="5"/>
      <c r="N509" s="5"/>
      <c r="O509" s="5"/>
      <c r="P509" s="5"/>
      <c r="Q509" s="5"/>
      <c r="R509" s="5"/>
      <c r="S509" s="5"/>
      <c r="T509" s="5"/>
      <c r="U509" s="5"/>
      <c r="V509" s="5"/>
      <c r="W509" s="5"/>
    </row>
    <row r="510">
      <c r="A510" s="5"/>
      <c r="B510" s="3"/>
      <c r="C510" s="5"/>
      <c r="D510" s="5"/>
      <c r="E510" s="5"/>
      <c r="F510" s="5"/>
      <c r="G510" s="5"/>
      <c r="H510" s="5"/>
      <c r="I510" s="5"/>
      <c r="J510" s="5"/>
      <c r="K510" s="5"/>
      <c r="L510" s="5"/>
      <c r="M510" s="5"/>
      <c r="N510" s="5"/>
      <c r="O510" s="5"/>
      <c r="P510" s="5"/>
      <c r="Q510" s="5"/>
      <c r="R510" s="5"/>
      <c r="S510" s="5"/>
      <c r="T510" s="5"/>
      <c r="U510" s="5"/>
      <c r="V510" s="5"/>
      <c r="W510" s="5"/>
    </row>
    <row r="511">
      <c r="A511" s="5"/>
      <c r="B511" s="3"/>
      <c r="C511" s="5"/>
      <c r="D511" s="5"/>
      <c r="E511" s="5"/>
      <c r="F511" s="5"/>
      <c r="G511" s="5"/>
      <c r="H511" s="5"/>
      <c r="I511" s="5"/>
      <c r="J511" s="5"/>
      <c r="K511" s="5"/>
      <c r="L511" s="5"/>
      <c r="M511" s="5"/>
      <c r="N511" s="5"/>
      <c r="O511" s="5"/>
      <c r="P511" s="5"/>
      <c r="Q511" s="5"/>
      <c r="R511" s="5"/>
      <c r="S511" s="5"/>
      <c r="T511" s="5"/>
      <c r="U511" s="5"/>
      <c r="V511" s="5"/>
      <c r="W511" s="5"/>
    </row>
    <row r="512">
      <c r="A512" s="5"/>
      <c r="B512" s="3"/>
      <c r="C512" s="5"/>
      <c r="D512" s="5"/>
      <c r="E512" s="5"/>
      <c r="F512" s="5"/>
      <c r="G512" s="5"/>
      <c r="H512" s="5"/>
      <c r="I512" s="5"/>
      <c r="J512" s="5"/>
      <c r="K512" s="5"/>
      <c r="L512" s="5"/>
      <c r="M512" s="5"/>
      <c r="N512" s="5"/>
      <c r="O512" s="5"/>
      <c r="P512" s="5"/>
      <c r="Q512" s="5"/>
      <c r="R512" s="5"/>
      <c r="S512" s="5"/>
      <c r="T512" s="5"/>
      <c r="U512" s="5"/>
      <c r="V512" s="5"/>
      <c r="W512" s="5"/>
    </row>
    <row r="513">
      <c r="A513" s="5"/>
      <c r="B513" s="3"/>
      <c r="C513" s="5"/>
      <c r="D513" s="5"/>
      <c r="E513" s="5"/>
      <c r="F513" s="5"/>
      <c r="G513" s="5"/>
      <c r="H513" s="5"/>
      <c r="I513" s="5"/>
      <c r="J513" s="5"/>
      <c r="K513" s="5"/>
      <c r="L513" s="5"/>
      <c r="M513" s="5"/>
      <c r="N513" s="5"/>
      <c r="O513" s="5"/>
      <c r="P513" s="5"/>
      <c r="Q513" s="5"/>
      <c r="R513" s="5"/>
      <c r="S513" s="5"/>
      <c r="T513" s="5"/>
      <c r="U513" s="5"/>
      <c r="V513" s="5"/>
      <c r="W513" s="5"/>
    </row>
    <row r="514">
      <c r="A514" s="5"/>
      <c r="B514" s="3"/>
      <c r="C514" s="5"/>
      <c r="D514" s="5"/>
      <c r="E514" s="5"/>
      <c r="F514" s="5"/>
      <c r="G514" s="5"/>
      <c r="H514" s="5"/>
      <c r="I514" s="5"/>
      <c r="J514" s="5"/>
      <c r="K514" s="5"/>
      <c r="L514" s="5"/>
      <c r="M514" s="5"/>
      <c r="N514" s="5"/>
      <c r="O514" s="5"/>
      <c r="P514" s="5"/>
      <c r="Q514" s="5"/>
      <c r="R514" s="5"/>
      <c r="S514" s="5"/>
      <c r="T514" s="5"/>
      <c r="U514" s="5"/>
      <c r="V514" s="5"/>
      <c r="W514" s="5"/>
    </row>
    <row r="515">
      <c r="A515" s="5"/>
      <c r="B515" s="3"/>
      <c r="C515" s="5"/>
      <c r="D515" s="5"/>
      <c r="E515" s="5"/>
      <c r="F515" s="5"/>
      <c r="G515" s="5"/>
      <c r="H515" s="5"/>
      <c r="I515" s="5"/>
      <c r="J515" s="5"/>
      <c r="K515" s="5"/>
      <c r="L515" s="5"/>
      <c r="M515" s="5"/>
      <c r="N515" s="5"/>
      <c r="O515" s="5"/>
      <c r="P515" s="5"/>
      <c r="Q515" s="5"/>
      <c r="R515" s="5"/>
      <c r="S515" s="5"/>
      <c r="T515" s="5"/>
      <c r="U515" s="5"/>
      <c r="V515" s="5"/>
      <c r="W515" s="5"/>
    </row>
    <row r="516">
      <c r="A516" s="5"/>
      <c r="B516" s="3"/>
      <c r="C516" s="5"/>
      <c r="D516" s="5"/>
      <c r="E516" s="5"/>
      <c r="F516" s="5"/>
      <c r="G516" s="5"/>
      <c r="H516" s="5"/>
      <c r="I516" s="5"/>
      <c r="J516" s="5"/>
      <c r="K516" s="5"/>
      <c r="L516" s="5"/>
      <c r="M516" s="5"/>
      <c r="N516" s="5"/>
      <c r="O516" s="5"/>
      <c r="P516" s="5"/>
      <c r="Q516" s="5"/>
      <c r="R516" s="5"/>
      <c r="S516" s="5"/>
      <c r="T516" s="5"/>
      <c r="U516" s="5"/>
      <c r="V516" s="5"/>
      <c r="W516" s="5"/>
    </row>
    <row r="517">
      <c r="A517" s="5"/>
      <c r="B517" s="3"/>
      <c r="C517" s="5"/>
      <c r="D517" s="5"/>
      <c r="E517" s="5"/>
      <c r="F517" s="5"/>
      <c r="G517" s="5"/>
      <c r="H517" s="5"/>
      <c r="I517" s="5"/>
      <c r="J517" s="5"/>
      <c r="K517" s="5"/>
      <c r="L517" s="5"/>
      <c r="M517" s="5"/>
      <c r="N517" s="5"/>
      <c r="O517" s="5"/>
      <c r="P517" s="5"/>
      <c r="Q517" s="5"/>
      <c r="R517" s="5"/>
      <c r="S517" s="5"/>
      <c r="T517" s="5"/>
      <c r="U517" s="5"/>
      <c r="V517" s="5"/>
      <c r="W517" s="5"/>
    </row>
    <row r="518">
      <c r="A518" s="5"/>
      <c r="B518" s="3"/>
      <c r="C518" s="5"/>
      <c r="D518" s="5"/>
      <c r="E518" s="5"/>
      <c r="F518" s="5"/>
      <c r="G518" s="5"/>
      <c r="H518" s="5"/>
      <c r="I518" s="5"/>
      <c r="J518" s="5"/>
      <c r="K518" s="5"/>
      <c r="L518" s="5"/>
      <c r="M518" s="5"/>
      <c r="N518" s="5"/>
      <c r="O518" s="5"/>
      <c r="P518" s="5"/>
      <c r="Q518" s="5"/>
      <c r="R518" s="5"/>
      <c r="S518" s="5"/>
      <c r="T518" s="5"/>
      <c r="U518" s="5"/>
      <c r="V518" s="5"/>
      <c r="W518" s="5"/>
    </row>
    <row r="519">
      <c r="A519" s="5"/>
      <c r="B519" s="3"/>
      <c r="C519" s="5"/>
      <c r="D519" s="5"/>
      <c r="E519" s="5"/>
      <c r="F519" s="5"/>
      <c r="G519" s="5"/>
      <c r="H519" s="5"/>
      <c r="I519" s="5"/>
      <c r="J519" s="5"/>
      <c r="K519" s="5"/>
      <c r="L519" s="5"/>
      <c r="M519" s="5"/>
      <c r="N519" s="5"/>
      <c r="O519" s="5"/>
      <c r="P519" s="5"/>
      <c r="Q519" s="5"/>
      <c r="R519" s="5"/>
      <c r="S519" s="5"/>
      <c r="T519" s="5"/>
      <c r="U519" s="5"/>
      <c r="V519" s="5"/>
      <c r="W519" s="5"/>
    </row>
    <row r="520">
      <c r="A520" s="5"/>
      <c r="B520" s="3"/>
      <c r="C520" s="5"/>
      <c r="D520" s="5"/>
      <c r="E520" s="5"/>
      <c r="F520" s="5"/>
      <c r="G520" s="5"/>
      <c r="H520" s="5"/>
      <c r="I520" s="5"/>
      <c r="J520" s="5"/>
      <c r="K520" s="5"/>
      <c r="L520" s="5"/>
      <c r="M520" s="5"/>
      <c r="N520" s="5"/>
      <c r="O520" s="5"/>
      <c r="P520" s="5"/>
      <c r="Q520" s="5"/>
      <c r="R520" s="5"/>
      <c r="S520" s="5"/>
      <c r="T520" s="5"/>
      <c r="U520" s="5"/>
      <c r="V520" s="5"/>
      <c r="W520" s="5"/>
    </row>
    <row r="521">
      <c r="A521" s="5"/>
      <c r="B521" s="3"/>
      <c r="C521" s="5"/>
      <c r="D521" s="5"/>
      <c r="E521" s="5"/>
      <c r="F521" s="5"/>
      <c r="G521" s="5"/>
      <c r="H521" s="5"/>
      <c r="I521" s="5"/>
      <c r="J521" s="5"/>
      <c r="K521" s="5"/>
      <c r="L521" s="5"/>
      <c r="M521" s="5"/>
      <c r="N521" s="5"/>
      <c r="O521" s="5"/>
      <c r="P521" s="5"/>
      <c r="Q521" s="5"/>
      <c r="R521" s="5"/>
      <c r="S521" s="5"/>
      <c r="T521" s="5"/>
      <c r="U521" s="5"/>
      <c r="V521" s="5"/>
      <c r="W521" s="5"/>
    </row>
    <row r="522">
      <c r="A522" s="5"/>
      <c r="B522" s="3"/>
      <c r="C522" s="5"/>
      <c r="D522" s="5"/>
      <c r="E522" s="5"/>
      <c r="F522" s="5"/>
      <c r="G522" s="5"/>
      <c r="H522" s="5"/>
      <c r="I522" s="5"/>
      <c r="J522" s="5"/>
      <c r="K522" s="5"/>
      <c r="L522" s="5"/>
      <c r="M522" s="5"/>
      <c r="N522" s="5"/>
      <c r="O522" s="5"/>
      <c r="P522" s="5"/>
      <c r="Q522" s="5"/>
      <c r="R522" s="5"/>
      <c r="S522" s="5"/>
      <c r="T522" s="5"/>
      <c r="U522" s="5"/>
      <c r="V522" s="5"/>
      <c r="W522" s="5"/>
    </row>
    <row r="523">
      <c r="A523" s="5"/>
      <c r="B523" s="3"/>
      <c r="C523" s="5"/>
      <c r="D523" s="5"/>
      <c r="E523" s="5"/>
      <c r="F523" s="5"/>
      <c r="G523" s="5"/>
      <c r="H523" s="5"/>
      <c r="I523" s="5"/>
      <c r="J523" s="5"/>
      <c r="K523" s="5"/>
      <c r="L523" s="5"/>
      <c r="M523" s="5"/>
      <c r="N523" s="5"/>
      <c r="O523" s="5"/>
      <c r="P523" s="5"/>
      <c r="Q523" s="5"/>
      <c r="R523" s="5"/>
      <c r="S523" s="5"/>
      <c r="T523" s="5"/>
      <c r="U523" s="5"/>
      <c r="V523" s="5"/>
      <c r="W523" s="5"/>
    </row>
    <row r="524">
      <c r="A524" s="5"/>
      <c r="B524" s="3"/>
      <c r="C524" s="5"/>
      <c r="D524" s="5"/>
      <c r="E524" s="5"/>
      <c r="F524" s="5"/>
      <c r="G524" s="5"/>
      <c r="H524" s="5"/>
      <c r="I524" s="5"/>
      <c r="J524" s="5"/>
      <c r="K524" s="5"/>
      <c r="L524" s="5"/>
      <c r="M524" s="5"/>
      <c r="N524" s="5"/>
      <c r="O524" s="5"/>
      <c r="P524" s="5"/>
      <c r="Q524" s="5"/>
      <c r="R524" s="5"/>
      <c r="S524" s="5"/>
      <c r="T524" s="5"/>
      <c r="U524" s="5"/>
      <c r="V524" s="5"/>
      <c r="W524" s="5"/>
    </row>
    <row r="525">
      <c r="A525" s="5"/>
      <c r="B525" s="3"/>
      <c r="C525" s="5"/>
      <c r="D525" s="5"/>
      <c r="E525" s="5"/>
      <c r="F525" s="5"/>
      <c r="G525" s="5"/>
      <c r="H525" s="5"/>
      <c r="I525" s="5"/>
      <c r="J525" s="5"/>
      <c r="K525" s="5"/>
      <c r="L525" s="5"/>
      <c r="M525" s="5"/>
      <c r="N525" s="5"/>
      <c r="O525" s="5"/>
      <c r="P525" s="5"/>
      <c r="Q525" s="5"/>
      <c r="R525" s="5"/>
      <c r="S525" s="5"/>
      <c r="T525" s="5"/>
      <c r="U525" s="5"/>
      <c r="V525" s="5"/>
      <c r="W525" s="5"/>
    </row>
    <row r="526">
      <c r="A526" s="5"/>
      <c r="B526" s="3"/>
      <c r="C526" s="5"/>
      <c r="D526" s="5"/>
      <c r="E526" s="5"/>
      <c r="F526" s="5"/>
      <c r="G526" s="5"/>
      <c r="H526" s="5"/>
      <c r="I526" s="5"/>
      <c r="J526" s="5"/>
      <c r="K526" s="5"/>
      <c r="L526" s="5"/>
      <c r="M526" s="5"/>
      <c r="N526" s="5"/>
      <c r="O526" s="5"/>
      <c r="P526" s="5"/>
      <c r="Q526" s="5"/>
      <c r="R526" s="5"/>
      <c r="S526" s="5"/>
      <c r="T526" s="5"/>
      <c r="U526" s="5"/>
      <c r="V526" s="5"/>
      <c r="W526" s="5"/>
    </row>
    <row r="527">
      <c r="A527" s="5"/>
      <c r="B527" s="3"/>
      <c r="C527" s="5"/>
      <c r="D527" s="5"/>
      <c r="E527" s="5"/>
      <c r="F527" s="5"/>
      <c r="G527" s="5"/>
      <c r="H527" s="5"/>
      <c r="I527" s="5"/>
      <c r="J527" s="5"/>
      <c r="K527" s="5"/>
      <c r="L527" s="5"/>
      <c r="M527" s="5"/>
      <c r="N527" s="5"/>
      <c r="O527" s="5"/>
      <c r="P527" s="5"/>
      <c r="Q527" s="5"/>
      <c r="R527" s="5"/>
      <c r="S527" s="5"/>
      <c r="T527" s="5"/>
      <c r="U527" s="5"/>
      <c r="V527" s="5"/>
      <c r="W527" s="5"/>
    </row>
    <row r="528">
      <c r="A528" s="5"/>
      <c r="B528" s="3"/>
      <c r="C528" s="5"/>
      <c r="D528" s="5"/>
      <c r="E528" s="5"/>
      <c r="F528" s="5"/>
      <c r="G528" s="5"/>
      <c r="H528" s="5"/>
      <c r="I528" s="5"/>
      <c r="J528" s="5"/>
      <c r="K528" s="5"/>
      <c r="L528" s="5"/>
      <c r="M528" s="5"/>
      <c r="N528" s="5"/>
      <c r="O528" s="5"/>
      <c r="P528" s="5"/>
      <c r="Q528" s="5"/>
      <c r="R528" s="5"/>
      <c r="S528" s="5"/>
      <c r="T528" s="5"/>
      <c r="U528" s="5"/>
      <c r="V528" s="5"/>
      <c r="W528" s="5"/>
    </row>
    <row r="529">
      <c r="A529" s="5"/>
      <c r="B529" s="3"/>
      <c r="C529" s="5"/>
      <c r="D529" s="5"/>
      <c r="E529" s="5"/>
      <c r="F529" s="5"/>
      <c r="G529" s="5"/>
      <c r="H529" s="5"/>
      <c r="I529" s="5"/>
      <c r="J529" s="5"/>
      <c r="K529" s="5"/>
      <c r="L529" s="5"/>
      <c r="M529" s="5"/>
      <c r="N529" s="5"/>
      <c r="O529" s="5"/>
      <c r="P529" s="5"/>
      <c r="Q529" s="5"/>
      <c r="R529" s="5"/>
      <c r="S529" s="5"/>
      <c r="T529" s="5"/>
      <c r="U529" s="5"/>
      <c r="V529" s="5"/>
      <c r="W529" s="5"/>
    </row>
    <row r="530">
      <c r="A530" s="5"/>
      <c r="B530" s="3"/>
      <c r="C530" s="5"/>
      <c r="D530" s="5"/>
      <c r="E530" s="5"/>
      <c r="F530" s="5"/>
      <c r="G530" s="5"/>
      <c r="H530" s="5"/>
      <c r="I530" s="5"/>
      <c r="J530" s="5"/>
      <c r="K530" s="5"/>
      <c r="L530" s="5"/>
      <c r="M530" s="5"/>
      <c r="N530" s="5"/>
      <c r="O530" s="5"/>
      <c r="P530" s="5"/>
      <c r="Q530" s="5"/>
      <c r="R530" s="5"/>
      <c r="S530" s="5"/>
      <c r="T530" s="5"/>
      <c r="U530" s="5"/>
      <c r="V530" s="5"/>
      <c r="W530" s="5"/>
    </row>
    <row r="531">
      <c r="A531" s="5"/>
      <c r="B531" s="3"/>
      <c r="C531" s="5"/>
      <c r="D531" s="5"/>
      <c r="E531" s="5"/>
      <c r="F531" s="5"/>
      <c r="G531" s="5"/>
      <c r="H531" s="5"/>
      <c r="I531" s="5"/>
      <c r="J531" s="5"/>
      <c r="K531" s="5"/>
      <c r="L531" s="5"/>
      <c r="M531" s="5"/>
      <c r="N531" s="5"/>
      <c r="O531" s="5"/>
      <c r="P531" s="5"/>
      <c r="Q531" s="5"/>
      <c r="R531" s="5"/>
      <c r="S531" s="5"/>
      <c r="T531" s="5"/>
      <c r="U531" s="5"/>
      <c r="V531" s="5"/>
      <c r="W531" s="5"/>
    </row>
    <row r="532">
      <c r="A532" s="5"/>
      <c r="B532" s="3"/>
      <c r="C532" s="5"/>
      <c r="D532" s="5"/>
      <c r="E532" s="5"/>
      <c r="F532" s="5"/>
      <c r="G532" s="5"/>
      <c r="H532" s="5"/>
      <c r="I532" s="5"/>
      <c r="J532" s="5"/>
      <c r="K532" s="5"/>
      <c r="L532" s="5"/>
      <c r="M532" s="5"/>
      <c r="N532" s="5"/>
      <c r="O532" s="5"/>
      <c r="P532" s="5"/>
      <c r="Q532" s="5"/>
      <c r="R532" s="5"/>
      <c r="S532" s="5"/>
      <c r="T532" s="5"/>
      <c r="U532" s="5"/>
      <c r="V532" s="5"/>
      <c r="W532" s="5"/>
    </row>
    <row r="533">
      <c r="A533" s="5"/>
      <c r="B533" s="3"/>
      <c r="C533" s="5"/>
      <c r="D533" s="5"/>
      <c r="E533" s="5"/>
      <c r="F533" s="5"/>
      <c r="G533" s="5"/>
      <c r="H533" s="5"/>
      <c r="I533" s="5"/>
      <c r="J533" s="5"/>
      <c r="K533" s="5"/>
      <c r="L533" s="5"/>
      <c r="M533" s="5"/>
      <c r="N533" s="5"/>
      <c r="O533" s="5"/>
      <c r="P533" s="5"/>
      <c r="Q533" s="5"/>
      <c r="R533" s="5"/>
      <c r="S533" s="5"/>
      <c r="T533" s="5"/>
      <c r="U533" s="5"/>
      <c r="V533" s="5"/>
      <c r="W533" s="5"/>
    </row>
    <row r="534">
      <c r="A534" s="5"/>
      <c r="B534" s="3"/>
      <c r="C534" s="5"/>
      <c r="D534" s="5"/>
      <c r="E534" s="5"/>
      <c r="F534" s="5"/>
      <c r="G534" s="5"/>
      <c r="H534" s="5"/>
      <c r="I534" s="5"/>
      <c r="J534" s="5"/>
      <c r="K534" s="5"/>
      <c r="L534" s="5"/>
      <c r="M534" s="5"/>
      <c r="N534" s="5"/>
      <c r="O534" s="5"/>
      <c r="P534" s="5"/>
      <c r="Q534" s="5"/>
      <c r="R534" s="5"/>
      <c r="S534" s="5"/>
      <c r="T534" s="5"/>
      <c r="U534" s="5"/>
      <c r="V534" s="5"/>
      <c r="W534" s="5"/>
    </row>
    <row r="535">
      <c r="A535" s="5"/>
      <c r="B535" s="3"/>
      <c r="C535" s="5"/>
      <c r="D535" s="5"/>
      <c r="E535" s="5"/>
      <c r="F535" s="5"/>
      <c r="G535" s="5"/>
      <c r="H535" s="5"/>
      <c r="I535" s="5"/>
      <c r="J535" s="5"/>
      <c r="K535" s="5"/>
      <c r="L535" s="5"/>
      <c r="M535" s="5"/>
      <c r="N535" s="5"/>
      <c r="O535" s="5"/>
      <c r="P535" s="5"/>
      <c r="Q535" s="5"/>
      <c r="R535" s="5"/>
      <c r="S535" s="5"/>
      <c r="T535" s="5"/>
      <c r="U535" s="5"/>
      <c r="V535" s="5"/>
      <c r="W535" s="5"/>
    </row>
    <row r="536">
      <c r="A536" s="5"/>
      <c r="B536" s="3"/>
      <c r="C536" s="5"/>
      <c r="D536" s="5"/>
      <c r="E536" s="5"/>
      <c r="F536" s="5"/>
      <c r="G536" s="5"/>
      <c r="H536" s="5"/>
      <c r="I536" s="5"/>
      <c r="J536" s="5"/>
      <c r="K536" s="5"/>
      <c r="L536" s="5"/>
      <c r="M536" s="5"/>
      <c r="N536" s="5"/>
      <c r="O536" s="5"/>
      <c r="P536" s="5"/>
      <c r="Q536" s="5"/>
      <c r="R536" s="5"/>
      <c r="S536" s="5"/>
      <c r="T536" s="5"/>
      <c r="U536" s="5"/>
      <c r="V536" s="5"/>
      <c r="W536" s="5"/>
    </row>
    <row r="537">
      <c r="A537" s="5"/>
      <c r="B537" s="3"/>
      <c r="C537" s="5"/>
      <c r="D537" s="5"/>
      <c r="E537" s="5"/>
      <c r="F537" s="5"/>
      <c r="G537" s="5"/>
      <c r="H537" s="5"/>
      <c r="I537" s="5"/>
      <c r="J537" s="5"/>
      <c r="K537" s="5"/>
      <c r="L537" s="5"/>
      <c r="M537" s="5"/>
      <c r="N537" s="5"/>
      <c r="O537" s="5"/>
      <c r="P537" s="5"/>
      <c r="Q537" s="5"/>
      <c r="R537" s="5"/>
      <c r="S537" s="5"/>
      <c r="T537" s="5"/>
      <c r="U537" s="5"/>
      <c r="V537" s="5"/>
      <c r="W537" s="5"/>
    </row>
    <row r="538">
      <c r="A538" s="5"/>
      <c r="B538" s="3"/>
      <c r="C538" s="5"/>
      <c r="D538" s="5"/>
      <c r="E538" s="5"/>
      <c r="F538" s="5"/>
      <c r="G538" s="5"/>
      <c r="H538" s="5"/>
      <c r="I538" s="5"/>
      <c r="J538" s="5"/>
      <c r="K538" s="5"/>
      <c r="L538" s="5"/>
      <c r="M538" s="5"/>
      <c r="N538" s="5"/>
      <c r="O538" s="5"/>
      <c r="P538" s="5"/>
      <c r="Q538" s="5"/>
      <c r="R538" s="5"/>
      <c r="S538" s="5"/>
      <c r="T538" s="5"/>
      <c r="U538" s="5"/>
      <c r="V538" s="5"/>
      <c r="W538" s="5"/>
    </row>
    <row r="539">
      <c r="A539" s="5"/>
      <c r="B539" s="3"/>
      <c r="C539" s="5"/>
      <c r="D539" s="5"/>
      <c r="E539" s="5"/>
      <c r="F539" s="5"/>
      <c r="G539" s="5"/>
      <c r="H539" s="5"/>
      <c r="I539" s="5"/>
      <c r="J539" s="5"/>
      <c r="K539" s="5"/>
      <c r="L539" s="5"/>
      <c r="M539" s="5"/>
      <c r="N539" s="5"/>
      <c r="O539" s="5"/>
      <c r="P539" s="5"/>
      <c r="Q539" s="5"/>
      <c r="R539" s="5"/>
      <c r="S539" s="5"/>
      <c r="T539" s="5"/>
      <c r="U539" s="5"/>
      <c r="V539" s="5"/>
      <c r="W539" s="5"/>
    </row>
    <row r="540">
      <c r="A540" s="5"/>
      <c r="B540" s="3"/>
      <c r="C540" s="5"/>
      <c r="D540" s="5"/>
      <c r="E540" s="5"/>
      <c r="F540" s="5"/>
      <c r="G540" s="5"/>
      <c r="H540" s="5"/>
      <c r="I540" s="5"/>
      <c r="J540" s="5"/>
      <c r="K540" s="5"/>
      <c r="L540" s="5"/>
      <c r="M540" s="5"/>
      <c r="N540" s="5"/>
      <c r="O540" s="5"/>
      <c r="P540" s="5"/>
      <c r="Q540" s="5"/>
      <c r="R540" s="5"/>
      <c r="S540" s="5"/>
      <c r="T540" s="5"/>
      <c r="U540" s="5"/>
      <c r="V540" s="5"/>
      <c r="W540" s="5"/>
    </row>
    <row r="541">
      <c r="A541" s="5"/>
      <c r="B541" s="3"/>
      <c r="C541" s="5"/>
      <c r="D541" s="5"/>
      <c r="E541" s="5"/>
      <c r="F541" s="5"/>
      <c r="G541" s="5"/>
      <c r="H541" s="5"/>
      <c r="I541" s="5"/>
      <c r="J541" s="5"/>
      <c r="K541" s="5"/>
      <c r="L541" s="5"/>
      <c r="M541" s="5"/>
      <c r="N541" s="5"/>
      <c r="O541" s="5"/>
      <c r="P541" s="5"/>
      <c r="Q541" s="5"/>
      <c r="R541" s="5"/>
      <c r="S541" s="5"/>
      <c r="T541" s="5"/>
      <c r="U541" s="5"/>
      <c r="V541" s="5"/>
      <c r="W541" s="5"/>
    </row>
    <row r="542">
      <c r="A542" s="5"/>
      <c r="B542" s="3"/>
      <c r="C542" s="5"/>
      <c r="D542" s="5"/>
      <c r="E542" s="5"/>
      <c r="F542" s="5"/>
      <c r="G542" s="5"/>
      <c r="H542" s="5"/>
      <c r="I542" s="5"/>
      <c r="J542" s="5"/>
      <c r="K542" s="5"/>
      <c r="L542" s="5"/>
      <c r="M542" s="5"/>
      <c r="N542" s="5"/>
      <c r="O542" s="5"/>
      <c r="P542" s="5"/>
      <c r="Q542" s="5"/>
      <c r="R542" s="5"/>
      <c r="S542" s="5"/>
      <c r="T542" s="5"/>
      <c r="U542" s="5"/>
      <c r="V542" s="5"/>
      <c r="W542" s="5"/>
    </row>
    <row r="543">
      <c r="A543" s="5"/>
      <c r="B543" s="3"/>
      <c r="C543" s="5"/>
      <c r="D543" s="5"/>
      <c r="E543" s="5"/>
      <c r="F543" s="5"/>
      <c r="G543" s="5"/>
      <c r="H543" s="5"/>
      <c r="I543" s="5"/>
      <c r="J543" s="5"/>
      <c r="K543" s="5"/>
      <c r="L543" s="5"/>
      <c r="M543" s="5"/>
      <c r="N543" s="5"/>
      <c r="O543" s="5"/>
      <c r="P543" s="5"/>
      <c r="Q543" s="5"/>
      <c r="R543" s="5"/>
      <c r="S543" s="5"/>
      <c r="T543" s="5"/>
      <c r="U543" s="5"/>
      <c r="V543" s="5"/>
      <c r="W543" s="5"/>
    </row>
    <row r="544">
      <c r="A544" s="5"/>
      <c r="B544" s="3"/>
      <c r="C544" s="5"/>
      <c r="D544" s="5"/>
      <c r="E544" s="5"/>
      <c r="F544" s="5"/>
      <c r="G544" s="5"/>
      <c r="H544" s="5"/>
      <c r="I544" s="5"/>
      <c r="J544" s="5"/>
      <c r="K544" s="5"/>
      <c r="L544" s="5"/>
      <c r="M544" s="5"/>
      <c r="N544" s="5"/>
      <c r="O544" s="5"/>
      <c r="P544" s="5"/>
      <c r="Q544" s="5"/>
      <c r="R544" s="5"/>
      <c r="S544" s="5"/>
      <c r="T544" s="5"/>
      <c r="U544" s="5"/>
      <c r="V544" s="5"/>
      <c r="W544" s="5"/>
    </row>
    <row r="545">
      <c r="A545" s="5"/>
      <c r="B545" s="3"/>
      <c r="C545" s="5"/>
      <c r="D545" s="5"/>
      <c r="E545" s="5"/>
      <c r="F545" s="5"/>
      <c r="G545" s="5"/>
      <c r="H545" s="5"/>
      <c r="I545" s="5"/>
      <c r="J545" s="5"/>
      <c r="K545" s="5"/>
      <c r="L545" s="5"/>
      <c r="M545" s="5"/>
      <c r="N545" s="5"/>
      <c r="O545" s="5"/>
      <c r="P545" s="5"/>
      <c r="Q545" s="5"/>
      <c r="R545" s="5"/>
      <c r="S545" s="5"/>
      <c r="T545" s="5"/>
      <c r="U545" s="5"/>
      <c r="V545" s="5"/>
      <c r="W545" s="5"/>
    </row>
    <row r="546">
      <c r="A546" s="5"/>
      <c r="B546" s="3"/>
      <c r="C546" s="5"/>
      <c r="D546" s="5"/>
      <c r="E546" s="5"/>
      <c r="F546" s="5"/>
      <c r="G546" s="5"/>
      <c r="H546" s="5"/>
      <c r="I546" s="5"/>
      <c r="J546" s="5"/>
      <c r="K546" s="5"/>
      <c r="L546" s="5"/>
      <c r="M546" s="5"/>
      <c r="N546" s="5"/>
      <c r="O546" s="5"/>
      <c r="P546" s="5"/>
      <c r="Q546" s="5"/>
      <c r="R546" s="5"/>
      <c r="S546" s="5"/>
      <c r="T546" s="5"/>
      <c r="U546" s="5"/>
      <c r="V546" s="5"/>
      <c r="W546" s="5"/>
    </row>
    <row r="547">
      <c r="A547" s="5"/>
      <c r="B547" s="3"/>
      <c r="C547" s="5"/>
      <c r="D547" s="5"/>
      <c r="E547" s="5"/>
      <c r="F547" s="5"/>
      <c r="G547" s="5"/>
      <c r="H547" s="5"/>
      <c r="I547" s="5"/>
      <c r="J547" s="5"/>
      <c r="K547" s="5"/>
      <c r="L547" s="5"/>
      <c r="M547" s="5"/>
      <c r="N547" s="5"/>
      <c r="O547" s="5"/>
      <c r="P547" s="5"/>
      <c r="Q547" s="5"/>
      <c r="R547" s="5"/>
      <c r="S547" s="5"/>
      <c r="T547" s="5"/>
      <c r="U547" s="5"/>
      <c r="V547" s="5"/>
      <c r="W547" s="5"/>
    </row>
    <row r="548">
      <c r="A548" s="5"/>
      <c r="B548" s="3"/>
      <c r="C548" s="5"/>
      <c r="D548" s="5"/>
      <c r="E548" s="5"/>
      <c r="F548" s="5"/>
      <c r="G548" s="5"/>
      <c r="H548" s="5"/>
      <c r="I548" s="5"/>
      <c r="J548" s="5"/>
      <c r="K548" s="5"/>
      <c r="L548" s="5"/>
      <c r="M548" s="5"/>
      <c r="N548" s="5"/>
      <c r="O548" s="5"/>
      <c r="P548" s="5"/>
      <c r="Q548" s="5"/>
      <c r="R548" s="5"/>
      <c r="S548" s="5"/>
      <c r="T548" s="5"/>
      <c r="U548" s="5"/>
      <c r="V548" s="5"/>
      <c r="W548" s="5"/>
    </row>
    <row r="549">
      <c r="A549" s="5"/>
      <c r="B549" s="3"/>
      <c r="C549" s="5"/>
      <c r="D549" s="5"/>
      <c r="E549" s="5"/>
      <c r="F549" s="5"/>
      <c r="G549" s="5"/>
      <c r="H549" s="5"/>
      <c r="I549" s="5"/>
      <c r="J549" s="5"/>
      <c r="K549" s="5"/>
      <c r="L549" s="5"/>
      <c r="M549" s="5"/>
      <c r="N549" s="5"/>
      <c r="O549" s="5"/>
      <c r="P549" s="5"/>
      <c r="Q549" s="5"/>
      <c r="R549" s="5"/>
      <c r="S549" s="5"/>
      <c r="T549" s="5"/>
      <c r="U549" s="5"/>
      <c r="V549" s="5"/>
      <c r="W549" s="5"/>
    </row>
    <row r="550">
      <c r="A550" s="5"/>
      <c r="B550" s="3"/>
      <c r="C550" s="5"/>
      <c r="D550" s="5"/>
      <c r="E550" s="5"/>
      <c r="F550" s="5"/>
      <c r="G550" s="5"/>
      <c r="H550" s="5"/>
      <c r="I550" s="5"/>
      <c r="J550" s="5"/>
      <c r="K550" s="5"/>
      <c r="L550" s="5"/>
      <c r="M550" s="5"/>
      <c r="N550" s="5"/>
      <c r="O550" s="5"/>
      <c r="P550" s="5"/>
      <c r="Q550" s="5"/>
      <c r="R550" s="5"/>
      <c r="S550" s="5"/>
      <c r="T550" s="5"/>
      <c r="U550" s="5"/>
      <c r="V550" s="5"/>
      <c r="W550" s="5"/>
    </row>
    <row r="551">
      <c r="A551" s="5"/>
      <c r="B551" s="3"/>
      <c r="C551" s="5"/>
      <c r="D551" s="5"/>
      <c r="E551" s="5"/>
      <c r="F551" s="5"/>
      <c r="G551" s="5"/>
      <c r="H551" s="5"/>
      <c r="I551" s="5"/>
      <c r="J551" s="5"/>
      <c r="K551" s="5"/>
      <c r="L551" s="5"/>
      <c r="M551" s="5"/>
      <c r="N551" s="5"/>
      <c r="O551" s="5"/>
      <c r="P551" s="5"/>
      <c r="Q551" s="5"/>
      <c r="R551" s="5"/>
      <c r="S551" s="5"/>
      <c r="T551" s="5"/>
      <c r="U551" s="5"/>
      <c r="V551" s="5"/>
      <c r="W551" s="5"/>
    </row>
    <row r="552">
      <c r="A552" s="5"/>
      <c r="B552" s="3"/>
      <c r="C552" s="5"/>
      <c r="D552" s="5"/>
      <c r="E552" s="5"/>
      <c r="F552" s="5"/>
      <c r="G552" s="5"/>
      <c r="H552" s="5"/>
      <c r="I552" s="5"/>
      <c r="J552" s="5"/>
      <c r="K552" s="5"/>
      <c r="L552" s="5"/>
      <c r="M552" s="5"/>
      <c r="N552" s="5"/>
      <c r="O552" s="5"/>
      <c r="P552" s="5"/>
      <c r="Q552" s="5"/>
      <c r="R552" s="5"/>
      <c r="S552" s="5"/>
      <c r="T552" s="5"/>
      <c r="U552" s="5"/>
      <c r="V552" s="5"/>
      <c r="W552" s="5"/>
    </row>
    <row r="553">
      <c r="A553" s="5"/>
      <c r="B553" s="3"/>
      <c r="C553" s="5"/>
      <c r="D553" s="5"/>
      <c r="E553" s="5"/>
      <c r="F553" s="5"/>
      <c r="G553" s="5"/>
      <c r="H553" s="5"/>
      <c r="I553" s="5"/>
      <c r="J553" s="5"/>
      <c r="K553" s="5"/>
      <c r="L553" s="5"/>
      <c r="M553" s="5"/>
      <c r="N553" s="5"/>
      <c r="O553" s="5"/>
      <c r="P553" s="5"/>
      <c r="Q553" s="5"/>
      <c r="R553" s="5"/>
      <c r="S553" s="5"/>
      <c r="T553" s="5"/>
      <c r="U553" s="5"/>
      <c r="V553" s="5"/>
      <c r="W553" s="5"/>
    </row>
    <row r="554">
      <c r="A554" s="5"/>
      <c r="B554" s="3"/>
      <c r="C554" s="5"/>
      <c r="D554" s="5"/>
      <c r="E554" s="5"/>
      <c r="F554" s="5"/>
      <c r="G554" s="5"/>
      <c r="H554" s="5"/>
      <c r="I554" s="5"/>
      <c r="J554" s="5"/>
      <c r="K554" s="5"/>
      <c r="L554" s="5"/>
      <c r="M554" s="5"/>
      <c r="N554" s="5"/>
      <c r="O554" s="5"/>
      <c r="P554" s="5"/>
      <c r="Q554" s="5"/>
      <c r="R554" s="5"/>
      <c r="S554" s="5"/>
      <c r="T554" s="5"/>
      <c r="U554" s="5"/>
      <c r="V554" s="5"/>
      <c r="W554" s="5"/>
    </row>
    <row r="555">
      <c r="A555" s="5"/>
      <c r="B555" s="3"/>
      <c r="C555" s="5"/>
      <c r="D555" s="5"/>
      <c r="E555" s="5"/>
      <c r="F555" s="5"/>
      <c r="G555" s="5"/>
      <c r="H555" s="5"/>
      <c r="I555" s="5"/>
      <c r="J555" s="5"/>
      <c r="K555" s="5"/>
      <c r="L555" s="5"/>
      <c r="M555" s="5"/>
      <c r="N555" s="5"/>
      <c r="O555" s="5"/>
      <c r="P555" s="5"/>
      <c r="Q555" s="5"/>
      <c r="R555" s="5"/>
      <c r="S555" s="5"/>
      <c r="T555" s="5"/>
      <c r="U555" s="5"/>
      <c r="V555" s="5"/>
      <c r="W555" s="5"/>
    </row>
    <row r="556">
      <c r="A556" s="5"/>
      <c r="B556" s="3"/>
      <c r="C556" s="5"/>
      <c r="D556" s="5"/>
      <c r="E556" s="5"/>
      <c r="F556" s="5"/>
      <c r="G556" s="5"/>
      <c r="H556" s="5"/>
      <c r="I556" s="5"/>
      <c r="J556" s="5"/>
      <c r="K556" s="5"/>
      <c r="L556" s="5"/>
      <c r="M556" s="5"/>
      <c r="N556" s="5"/>
      <c r="O556" s="5"/>
      <c r="P556" s="5"/>
      <c r="Q556" s="5"/>
      <c r="R556" s="5"/>
      <c r="S556" s="5"/>
      <c r="T556" s="5"/>
      <c r="U556" s="5"/>
      <c r="V556" s="5"/>
      <c r="W556" s="5"/>
    </row>
    <row r="557">
      <c r="A557" s="5"/>
      <c r="B557" s="3"/>
      <c r="C557" s="5"/>
      <c r="D557" s="5"/>
      <c r="E557" s="5"/>
      <c r="F557" s="5"/>
      <c r="G557" s="5"/>
      <c r="H557" s="5"/>
      <c r="I557" s="5"/>
      <c r="J557" s="5"/>
      <c r="K557" s="5"/>
      <c r="L557" s="5"/>
      <c r="M557" s="5"/>
      <c r="N557" s="5"/>
      <c r="O557" s="5"/>
      <c r="P557" s="5"/>
      <c r="Q557" s="5"/>
      <c r="R557" s="5"/>
      <c r="S557" s="5"/>
      <c r="T557" s="5"/>
      <c r="U557" s="5"/>
      <c r="V557" s="5"/>
      <c r="W557" s="5"/>
    </row>
    <row r="558">
      <c r="A558" s="5"/>
      <c r="B558" s="3"/>
      <c r="C558" s="5"/>
      <c r="D558" s="5"/>
      <c r="E558" s="5"/>
      <c r="F558" s="5"/>
      <c r="G558" s="5"/>
      <c r="H558" s="5"/>
      <c r="I558" s="5"/>
      <c r="J558" s="5"/>
      <c r="K558" s="5"/>
      <c r="L558" s="5"/>
      <c r="M558" s="5"/>
      <c r="N558" s="5"/>
      <c r="O558" s="5"/>
      <c r="P558" s="5"/>
      <c r="Q558" s="5"/>
      <c r="R558" s="5"/>
      <c r="S558" s="5"/>
      <c r="T558" s="5"/>
      <c r="U558" s="5"/>
      <c r="V558" s="5"/>
      <c r="W558" s="5"/>
    </row>
    <row r="559">
      <c r="A559" s="5"/>
      <c r="B559" s="3"/>
      <c r="C559" s="5"/>
      <c r="D559" s="5"/>
      <c r="E559" s="5"/>
      <c r="F559" s="5"/>
      <c r="G559" s="5"/>
      <c r="H559" s="5"/>
      <c r="I559" s="5"/>
      <c r="J559" s="5"/>
      <c r="K559" s="5"/>
      <c r="L559" s="5"/>
      <c r="M559" s="5"/>
      <c r="N559" s="5"/>
      <c r="O559" s="5"/>
      <c r="P559" s="5"/>
      <c r="Q559" s="5"/>
      <c r="R559" s="5"/>
      <c r="S559" s="5"/>
      <c r="T559" s="5"/>
      <c r="U559" s="5"/>
      <c r="V559" s="5"/>
      <c r="W559" s="5"/>
    </row>
    <row r="560">
      <c r="A560" s="5"/>
      <c r="B560" s="3"/>
      <c r="C560" s="5"/>
      <c r="D560" s="5"/>
      <c r="E560" s="5"/>
      <c r="F560" s="5"/>
      <c r="G560" s="5"/>
      <c r="H560" s="5"/>
      <c r="I560" s="5"/>
      <c r="J560" s="5"/>
      <c r="K560" s="5"/>
      <c r="L560" s="5"/>
      <c r="M560" s="5"/>
      <c r="N560" s="5"/>
      <c r="O560" s="5"/>
      <c r="P560" s="5"/>
      <c r="Q560" s="5"/>
      <c r="R560" s="5"/>
      <c r="S560" s="5"/>
      <c r="T560" s="5"/>
      <c r="U560" s="5"/>
      <c r="V560" s="5"/>
      <c r="W560" s="5"/>
    </row>
    <row r="561">
      <c r="A561" s="5"/>
      <c r="B561" s="3"/>
      <c r="C561" s="5"/>
      <c r="D561" s="5"/>
      <c r="E561" s="5"/>
      <c r="F561" s="5"/>
      <c r="G561" s="5"/>
      <c r="H561" s="5"/>
      <c r="I561" s="5"/>
      <c r="J561" s="5"/>
      <c r="K561" s="5"/>
      <c r="L561" s="5"/>
      <c r="M561" s="5"/>
      <c r="N561" s="5"/>
      <c r="O561" s="5"/>
      <c r="P561" s="5"/>
      <c r="Q561" s="5"/>
      <c r="R561" s="5"/>
      <c r="S561" s="5"/>
      <c r="T561" s="5"/>
      <c r="U561" s="5"/>
      <c r="V561" s="5"/>
      <c r="W561" s="5"/>
    </row>
    <row r="562">
      <c r="A562" s="5"/>
      <c r="B562" s="3"/>
      <c r="C562" s="5"/>
      <c r="D562" s="5"/>
      <c r="E562" s="5"/>
      <c r="F562" s="5"/>
      <c r="G562" s="5"/>
      <c r="H562" s="5"/>
      <c r="I562" s="5"/>
      <c r="J562" s="5"/>
      <c r="K562" s="5"/>
      <c r="L562" s="5"/>
      <c r="M562" s="5"/>
      <c r="N562" s="5"/>
      <c r="O562" s="5"/>
      <c r="P562" s="5"/>
      <c r="Q562" s="5"/>
      <c r="R562" s="5"/>
      <c r="S562" s="5"/>
      <c r="T562" s="5"/>
      <c r="U562" s="5"/>
      <c r="V562" s="5"/>
      <c r="W562" s="5"/>
    </row>
    <row r="563">
      <c r="A563" s="5"/>
      <c r="B563" s="3"/>
      <c r="C563" s="5"/>
      <c r="D563" s="5"/>
      <c r="E563" s="5"/>
      <c r="F563" s="5"/>
      <c r="G563" s="5"/>
      <c r="H563" s="5"/>
      <c r="I563" s="5"/>
      <c r="J563" s="5"/>
      <c r="K563" s="5"/>
      <c r="L563" s="5"/>
      <c r="M563" s="5"/>
      <c r="N563" s="5"/>
      <c r="O563" s="5"/>
      <c r="P563" s="5"/>
      <c r="Q563" s="5"/>
      <c r="R563" s="5"/>
      <c r="S563" s="5"/>
      <c r="T563" s="5"/>
      <c r="U563" s="5"/>
      <c r="V563" s="5"/>
      <c r="W563" s="5"/>
    </row>
    <row r="564">
      <c r="A564" s="5"/>
      <c r="B564" s="3"/>
      <c r="C564" s="5"/>
      <c r="D564" s="5"/>
      <c r="E564" s="5"/>
      <c r="F564" s="5"/>
      <c r="G564" s="5"/>
      <c r="H564" s="5"/>
      <c r="I564" s="5"/>
      <c r="J564" s="5"/>
      <c r="K564" s="5"/>
      <c r="L564" s="5"/>
      <c r="M564" s="5"/>
      <c r="N564" s="5"/>
      <c r="O564" s="5"/>
      <c r="P564" s="5"/>
      <c r="Q564" s="5"/>
      <c r="R564" s="5"/>
      <c r="S564" s="5"/>
      <c r="T564" s="5"/>
      <c r="U564" s="5"/>
      <c r="V564" s="5"/>
      <c r="W564" s="5"/>
    </row>
    <row r="565">
      <c r="A565" s="5"/>
      <c r="B565" s="3"/>
      <c r="C565" s="5"/>
      <c r="D565" s="5"/>
      <c r="E565" s="5"/>
      <c r="F565" s="5"/>
      <c r="G565" s="5"/>
      <c r="H565" s="5"/>
      <c r="I565" s="5"/>
      <c r="J565" s="5"/>
      <c r="K565" s="5"/>
      <c r="L565" s="5"/>
      <c r="M565" s="5"/>
      <c r="N565" s="5"/>
      <c r="O565" s="5"/>
      <c r="P565" s="5"/>
      <c r="Q565" s="5"/>
      <c r="R565" s="5"/>
      <c r="S565" s="5"/>
      <c r="T565" s="5"/>
      <c r="U565" s="5"/>
      <c r="V565" s="5"/>
      <c r="W565" s="5"/>
    </row>
    <row r="566">
      <c r="A566" s="5"/>
      <c r="B566" s="3"/>
      <c r="C566" s="5"/>
      <c r="D566" s="5"/>
      <c r="E566" s="5"/>
      <c r="F566" s="5"/>
      <c r="G566" s="5"/>
      <c r="H566" s="5"/>
      <c r="I566" s="5"/>
      <c r="J566" s="5"/>
      <c r="K566" s="5"/>
      <c r="L566" s="5"/>
      <c r="M566" s="5"/>
      <c r="N566" s="5"/>
      <c r="O566" s="5"/>
      <c r="P566" s="5"/>
      <c r="Q566" s="5"/>
      <c r="R566" s="5"/>
      <c r="S566" s="5"/>
      <c r="T566" s="5"/>
      <c r="U566" s="5"/>
      <c r="V566" s="5"/>
      <c r="W566" s="5"/>
    </row>
    <row r="567">
      <c r="A567" s="5"/>
      <c r="B567" s="3"/>
      <c r="C567" s="5"/>
      <c r="D567" s="5"/>
      <c r="E567" s="5"/>
      <c r="F567" s="5"/>
      <c r="G567" s="5"/>
      <c r="H567" s="5"/>
      <c r="I567" s="5"/>
      <c r="J567" s="5"/>
      <c r="K567" s="5"/>
      <c r="L567" s="5"/>
      <c r="M567" s="5"/>
      <c r="N567" s="5"/>
      <c r="O567" s="5"/>
      <c r="P567" s="5"/>
      <c r="Q567" s="5"/>
      <c r="R567" s="5"/>
      <c r="S567" s="5"/>
      <c r="T567" s="5"/>
      <c r="U567" s="5"/>
      <c r="V567" s="5"/>
      <c r="W567" s="5"/>
    </row>
    <row r="568">
      <c r="A568" s="5"/>
      <c r="B568" s="3"/>
      <c r="C568" s="5"/>
      <c r="D568" s="5"/>
      <c r="E568" s="5"/>
      <c r="F568" s="5"/>
      <c r="G568" s="5"/>
      <c r="H568" s="5"/>
      <c r="I568" s="5"/>
      <c r="J568" s="5"/>
      <c r="K568" s="5"/>
      <c r="L568" s="5"/>
      <c r="M568" s="5"/>
      <c r="N568" s="5"/>
      <c r="O568" s="5"/>
      <c r="P568" s="5"/>
      <c r="Q568" s="5"/>
      <c r="R568" s="5"/>
      <c r="S568" s="5"/>
      <c r="T568" s="5"/>
      <c r="U568" s="5"/>
      <c r="V568" s="5"/>
      <c r="W568" s="5"/>
    </row>
    <row r="569">
      <c r="A569" s="5"/>
      <c r="B569" s="3"/>
      <c r="C569" s="5"/>
      <c r="D569" s="5"/>
      <c r="E569" s="5"/>
      <c r="F569" s="5"/>
      <c r="G569" s="5"/>
      <c r="H569" s="5"/>
      <c r="I569" s="5"/>
      <c r="J569" s="5"/>
      <c r="K569" s="5"/>
      <c r="L569" s="5"/>
      <c r="M569" s="5"/>
      <c r="N569" s="5"/>
      <c r="O569" s="5"/>
      <c r="P569" s="5"/>
      <c r="Q569" s="5"/>
      <c r="R569" s="5"/>
      <c r="S569" s="5"/>
      <c r="T569" s="5"/>
      <c r="U569" s="5"/>
      <c r="V569" s="5"/>
      <c r="W569" s="5"/>
    </row>
    <row r="570">
      <c r="A570" s="5"/>
      <c r="B570" s="3"/>
      <c r="C570" s="5"/>
      <c r="D570" s="5"/>
      <c r="E570" s="5"/>
      <c r="F570" s="5"/>
      <c r="G570" s="5"/>
      <c r="H570" s="5"/>
      <c r="I570" s="5"/>
      <c r="J570" s="5"/>
      <c r="K570" s="5"/>
      <c r="L570" s="5"/>
      <c r="M570" s="5"/>
      <c r="N570" s="5"/>
      <c r="O570" s="5"/>
      <c r="P570" s="5"/>
      <c r="Q570" s="5"/>
      <c r="R570" s="5"/>
      <c r="S570" s="5"/>
      <c r="T570" s="5"/>
      <c r="U570" s="5"/>
      <c r="V570" s="5"/>
      <c r="W570" s="5"/>
    </row>
    <row r="571">
      <c r="A571" s="5"/>
      <c r="B571" s="3"/>
      <c r="C571" s="5"/>
      <c r="D571" s="5"/>
      <c r="E571" s="5"/>
      <c r="F571" s="5"/>
      <c r="G571" s="5"/>
      <c r="H571" s="5"/>
      <c r="I571" s="5"/>
      <c r="J571" s="5"/>
      <c r="K571" s="5"/>
      <c r="L571" s="5"/>
      <c r="M571" s="5"/>
      <c r="N571" s="5"/>
      <c r="O571" s="5"/>
      <c r="P571" s="5"/>
      <c r="Q571" s="5"/>
      <c r="R571" s="5"/>
      <c r="S571" s="5"/>
      <c r="T571" s="5"/>
      <c r="U571" s="5"/>
      <c r="V571" s="5"/>
      <c r="W571" s="5"/>
    </row>
    <row r="572">
      <c r="A572" s="5"/>
      <c r="B572" s="3"/>
      <c r="C572" s="5"/>
      <c r="D572" s="5"/>
      <c r="E572" s="5"/>
      <c r="F572" s="5"/>
      <c r="G572" s="5"/>
      <c r="H572" s="5"/>
      <c r="I572" s="5"/>
      <c r="J572" s="5"/>
      <c r="K572" s="5"/>
      <c r="L572" s="5"/>
      <c r="M572" s="5"/>
      <c r="N572" s="5"/>
      <c r="O572" s="5"/>
      <c r="P572" s="5"/>
      <c r="Q572" s="5"/>
      <c r="R572" s="5"/>
      <c r="S572" s="5"/>
      <c r="T572" s="5"/>
      <c r="U572" s="5"/>
      <c r="V572" s="5"/>
      <c r="W572" s="5"/>
    </row>
    <row r="573">
      <c r="A573" s="5"/>
      <c r="B573" s="3"/>
      <c r="C573" s="5"/>
      <c r="D573" s="5"/>
      <c r="E573" s="5"/>
      <c r="F573" s="5"/>
      <c r="G573" s="5"/>
      <c r="H573" s="5"/>
      <c r="I573" s="5"/>
      <c r="J573" s="5"/>
      <c r="K573" s="5"/>
      <c r="L573" s="5"/>
      <c r="M573" s="5"/>
      <c r="N573" s="5"/>
      <c r="O573" s="5"/>
      <c r="P573" s="5"/>
      <c r="Q573" s="5"/>
      <c r="R573" s="5"/>
      <c r="S573" s="5"/>
      <c r="T573" s="5"/>
      <c r="U573" s="5"/>
      <c r="V573" s="5"/>
      <c r="W573" s="5"/>
    </row>
    <row r="574">
      <c r="A574" s="5"/>
      <c r="B574" s="3"/>
      <c r="C574" s="5"/>
      <c r="D574" s="5"/>
      <c r="E574" s="5"/>
      <c r="F574" s="5"/>
      <c r="G574" s="5"/>
      <c r="H574" s="5"/>
      <c r="I574" s="5"/>
      <c r="J574" s="5"/>
      <c r="K574" s="5"/>
      <c r="L574" s="5"/>
      <c r="M574" s="5"/>
      <c r="N574" s="5"/>
      <c r="O574" s="5"/>
      <c r="P574" s="5"/>
      <c r="Q574" s="5"/>
      <c r="R574" s="5"/>
      <c r="S574" s="5"/>
      <c r="T574" s="5"/>
      <c r="U574" s="5"/>
      <c r="V574" s="5"/>
      <c r="W574" s="5"/>
    </row>
    <row r="575">
      <c r="A575" s="5"/>
      <c r="B575" s="3"/>
      <c r="C575" s="5"/>
      <c r="D575" s="5"/>
      <c r="E575" s="5"/>
      <c r="F575" s="5"/>
      <c r="G575" s="5"/>
      <c r="H575" s="5"/>
      <c r="I575" s="5"/>
      <c r="J575" s="5"/>
      <c r="K575" s="5"/>
      <c r="L575" s="5"/>
      <c r="M575" s="5"/>
      <c r="N575" s="5"/>
      <c r="O575" s="5"/>
      <c r="P575" s="5"/>
      <c r="Q575" s="5"/>
      <c r="R575" s="5"/>
      <c r="S575" s="5"/>
      <c r="T575" s="5"/>
      <c r="U575" s="5"/>
      <c r="V575" s="5"/>
      <c r="W575" s="5"/>
    </row>
    <row r="576">
      <c r="A576" s="5"/>
      <c r="B576" s="3"/>
      <c r="C576" s="5"/>
      <c r="D576" s="5"/>
      <c r="E576" s="5"/>
      <c r="F576" s="5"/>
      <c r="G576" s="5"/>
      <c r="H576" s="5"/>
      <c r="I576" s="5"/>
      <c r="J576" s="5"/>
      <c r="K576" s="5"/>
      <c r="L576" s="5"/>
      <c r="M576" s="5"/>
      <c r="N576" s="5"/>
      <c r="O576" s="5"/>
      <c r="P576" s="5"/>
      <c r="Q576" s="5"/>
      <c r="R576" s="5"/>
      <c r="S576" s="5"/>
      <c r="T576" s="5"/>
      <c r="U576" s="5"/>
      <c r="V576" s="5"/>
      <c r="W576" s="5"/>
    </row>
    <row r="577">
      <c r="A577" s="5"/>
      <c r="B577" s="3"/>
      <c r="C577" s="5"/>
      <c r="D577" s="5"/>
      <c r="E577" s="5"/>
      <c r="F577" s="5"/>
      <c r="G577" s="5"/>
      <c r="H577" s="5"/>
      <c r="I577" s="5"/>
      <c r="J577" s="5"/>
      <c r="K577" s="5"/>
      <c r="L577" s="5"/>
      <c r="M577" s="5"/>
      <c r="N577" s="5"/>
      <c r="O577" s="5"/>
      <c r="P577" s="5"/>
      <c r="Q577" s="5"/>
      <c r="R577" s="5"/>
      <c r="S577" s="5"/>
      <c r="T577" s="5"/>
      <c r="U577" s="5"/>
      <c r="V577" s="5"/>
      <c r="W577" s="5"/>
    </row>
    <row r="578">
      <c r="A578" s="5"/>
      <c r="B578" s="3"/>
      <c r="C578" s="5"/>
      <c r="D578" s="5"/>
      <c r="E578" s="5"/>
      <c r="F578" s="5"/>
      <c r="G578" s="5"/>
      <c r="H578" s="5"/>
      <c r="I578" s="5"/>
      <c r="J578" s="5"/>
      <c r="K578" s="5"/>
      <c r="L578" s="5"/>
      <c r="M578" s="5"/>
      <c r="N578" s="5"/>
      <c r="O578" s="5"/>
      <c r="P578" s="5"/>
      <c r="Q578" s="5"/>
      <c r="R578" s="5"/>
      <c r="S578" s="5"/>
      <c r="T578" s="5"/>
      <c r="U578" s="5"/>
      <c r="V578" s="5"/>
      <c r="W578" s="5"/>
    </row>
    <row r="579">
      <c r="A579" s="5"/>
      <c r="B579" s="3"/>
      <c r="C579" s="5"/>
      <c r="D579" s="5"/>
      <c r="E579" s="5"/>
      <c r="F579" s="5"/>
      <c r="G579" s="5"/>
      <c r="H579" s="5"/>
      <c r="I579" s="5"/>
      <c r="J579" s="5"/>
      <c r="K579" s="5"/>
      <c r="L579" s="5"/>
      <c r="M579" s="5"/>
      <c r="N579" s="5"/>
      <c r="O579" s="5"/>
      <c r="P579" s="5"/>
      <c r="Q579" s="5"/>
      <c r="R579" s="5"/>
      <c r="S579" s="5"/>
      <c r="T579" s="5"/>
      <c r="U579" s="5"/>
      <c r="V579" s="5"/>
      <c r="W579" s="5"/>
    </row>
    <row r="580">
      <c r="A580" s="5"/>
      <c r="B580" s="3"/>
      <c r="C580" s="5"/>
      <c r="D580" s="5"/>
      <c r="E580" s="5"/>
      <c r="F580" s="5"/>
      <c r="G580" s="5"/>
      <c r="H580" s="5"/>
      <c r="I580" s="5"/>
      <c r="J580" s="5"/>
      <c r="K580" s="5"/>
      <c r="L580" s="5"/>
      <c r="M580" s="5"/>
      <c r="N580" s="5"/>
      <c r="O580" s="5"/>
      <c r="P580" s="5"/>
      <c r="Q580" s="5"/>
      <c r="R580" s="5"/>
      <c r="S580" s="5"/>
      <c r="T580" s="5"/>
      <c r="U580" s="5"/>
      <c r="V580" s="5"/>
      <c r="W580" s="5"/>
    </row>
    <row r="581">
      <c r="A581" s="5"/>
      <c r="B581" s="3"/>
      <c r="C581" s="5"/>
      <c r="D581" s="5"/>
      <c r="E581" s="5"/>
      <c r="F581" s="5"/>
      <c r="G581" s="5"/>
      <c r="H581" s="5"/>
      <c r="I581" s="5"/>
      <c r="J581" s="5"/>
      <c r="K581" s="5"/>
      <c r="L581" s="5"/>
      <c r="M581" s="5"/>
      <c r="N581" s="5"/>
      <c r="O581" s="5"/>
      <c r="P581" s="5"/>
      <c r="Q581" s="5"/>
      <c r="R581" s="5"/>
      <c r="S581" s="5"/>
      <c r="T581" s="5"/>
      <c r="U581" s="5"/>
      <c r="V581" s="5"/>
      <c r="W581" s="5"/>
    </row>
    <row r="582">
      <c r="A582" s="5"/>
      <c r="B582" s="3"/>
      <c r="C582" s="5"/>
      <c r="D582" s="5"/>
      <c r="E582" s="5"/>
      <c r="F582" s="5"/>
      <c r="G582" s="5"/>
      <c r="H582" s="5"/>
      <c r="I582" s="5"/>
      <c r="J582" s="5"/>
      <c r="K582" s="5"/>
      <c r="L582" s="5"/>
      <c r="M582" s="5"/>
      <c r="N582" s="5"/>
      <c r="O582" s="5"/>
      <c r="P582" s="5"/>
      <c r="Q582" s="5"/>
      <c r="R582" s="5"/>
      <c r="S582" s="5"/>
      <c r="T582" s="5"/>
      <c r="U582" s="5"/>
      <c r="V582" s="5"/>
      <c r="W582" s="5"/>
    </row>
    <row r="583">
      <c r="A583" s="5"/>
      <c r="B583" s="3"/>
      <c r="C583" s="5"/>
      <c r="D583" s="5"/>
      <c r="E583" s="5"/>
      <c r="F583" s="5"/>
      <c r="G583" s="5"/>
      <c r="H583" s="5"/>
      <c r="I583" s="5"/>
      <c r="J583" s="5"/>
      <c r="K583" s="5"/>
      <c r="L583" s="5"/>
      <c r="M583" s="5"/>
      <c r="N583" s="5"/>
      <c r="O583" s="5"/>
      <c r="P583" s="5"/>
      <c r="Q583" s="5"/>
      <c r="R583" s="5"/>
      <c r="S583" s="5"/>
      <c r="T583" s="5"/>
      <c r="U583" s="5"/>
      <c r="V583" s="5"/>
      <c r="W583" s="5"/>
    </row>
    <row r="584">
      <c r="A584" s="5"/>
      <c r="B584" s="3"/>
      <c r="C584" s="5"/>
      <c r="D584" s="5"/>
      <c r="E584" s="5"/>
      <c r="F584" s="5"/>
      <c r="G584" s="5"/>
      <c r="H584" s="5"/>
      <c r="I584" s="5"/>
      <c r="J584" s="5"/>
      <c r="K584" s="5"/>
      <c r="L584" s="5"/>
      <c r="M584" s="5"/>
      <c r="N584" s="5"/>
      <c r="O584" s="5"/>
      <c r="P584" s="5"/>
      <c r="Q584" s="5"/>
      <c r="R584" s="5"/>
      <c r="S584" s="5"/>
      <c r="T584" s="5"/>
      <c r="U584" s="5"/>
      <c r="V584" s="5"/>
      <c r="W584" s="5"/>
    </row>
    <row r="585">
      <c r="A585" s="5"/>
      <c r="B585" s="3"/>
      <c r="C585" s="5"/>
      <c r="D585" s="5"/>
      <c r="E585" s="5"/>
      <c r="F585" s="5"/>
      <c r="G585" s="5"/>
      <c r="H585" s="5"/>
      <c r="I585" s="5"/>
      <c r="J585" s="5"/>
      <c r="K585" s="5"/>
      <c r="L585" s="5"/>
      <c r="M585" s="5"/>
      <c r="N585" s="5"/>
      <c r="O585" s="5"/>
      <c r="P585" s="5"/>
      <c r="Q585" s="5"/>
      <c r="R585" s="5"/>
      <c r="S585" s="5"/>
      <c r="T585" s="5"/>
      <c r="U585" s="5"/>
      <c r="V585" s="5"/>
      <c r="W585" s="5"/>
    </row>
    <row r="586">
      <c r="A586" s="5"/>
      <c r="B586" s="3"/>
      <c r="C586" s="5"/>
      <c r="D586" s="5"/>
      <c r="E586" s="5"/>
      <c r="F586" s="5"/>
      <c r="G586" s="5"/>
      <c r="H586" s="5"/>
      <c r="I586" s="5"/>
      <c r="J586" s="5"/>
      <c r="K586" s="5"/>
      <c r="L586" s="5"/>
      <c r="M586" s="5"/>
      <c r="N586" s="5"/>
      <c r="O586" s="5"/>
      <c r="P586" s="5"/>
      <c r="Q586" s="5"/>
      <c r="R586" s="5"/>
      <c r="S586" s="5"/>
      <c r="T586" s="5"/>
      <c r="U586" s="5"/>
      <c r="V586" s="5"/>
      <c r="W586" s="5"/>
    </row>
    <row r="587">
      <c r="A587" s="5"/>
      <c r="B587" s="3"/>
      <c r="C587" s="5"/>
      <c r="D587" s="5"/>
      <c r="E587" s="5"/>
      <c r="F587" s="5"/>
      <c r="G587" s="5"/>
      <c r="H587" s="5"/>
      <c r="I587" s="5"/>
      <c r="J587" s="5"/>
      <c r="K587" s="5"/>
      <c r="L587" s="5"/>
      <c r="M587" s="5"/>
      <c r="N587" s="5"/>
      <c r="O587" s="5"/>
      <c r="P587" s="5"/>
      <c r="Q587" s="5"/>
      <c r="R587" s="5"/>
      <c r="S587" s="5"/>
      <c r="T587" s="5"/>
      <c r="U587" s="5"/>
      <c r="V587" s="5"/>
      <c r="W587" s="5"/>
    </row>
    <row r="588">
      <c r="A588" s="5"/>
      <c r="B588" s="3"/>
      <c r="C588" s="5"/>
      <c r="D588" s="5"/>
      <c r="E588" s="5"/>
      <c r="F588" s="5"/>
      <c r="G588" s="5"/>
      <c r="H588" s="5"/>
      <c r="I588" s="5"/>
      <c r="J588" s="5"/>
      <c r="K588" s="5"/>
      <c r="L588" s="5"/>
      <c r="M588" s="5"/>
      <c r="N588" s="5"/>
      <c r="O588" s="5"/>
      <c r="P588" s="5"/>
      <c r="Q588" s="5"/>
      <c r="R588" s="5"/>
      <c r="S588" s="5"/>
      <c r="T588" s="5"/>
      <c r="U588" s="5"/>
      <c r="V588" s="5"/>
      <c r="W588" s="5"/>
    </row>
    <row r="589">
      <c r="A589" s="5"/>
      <c r="B589" s="3"/>
      <c r="C589" s="5"/>
      <c r="D589" s="5"/>
      <c r="E589" s="5"/>
      <c r="F589" s="5"/>
      <c r="G589" s="5"/>
      <c r="H589" s="5"/>
      <c r="I589" s="5"/>
      <c r="J589" s="5"/>
      <c r="K589" s="5"/>
      <c r="L589" s="5"/>
      <c r="M589" s="5"/>
      <c r="N589" s="5"/>
      <c r="O589" s="5"/>
      <c r="P589" s="5"/>
      <c r="Q589" s="5"/>
      <c r="R589" s="5"/>
      <c r="S589" s="5"/>
      <c r="T589" s="5"/>
      <c r="U589" s="5"/>
      <c r="V589" s="5"/>
      <c r="W589" s="5"/>
    </row>
    <row r="590">
      <c r="A590" s="5"/>
      <c r="B590" s="3"/>
      <c r="C590" s="5"/>
      <c r="D590" s="5"/>
      <c r="E590" s="5"/>
      <c r="F590" s="5"/>
      <c r="G590" s="5"/>
      <c r="H590" s="5"/>
      <c r="I590" s="5"/>
      <c r="J590" s="5"/>
      <c r="K590" s="5"/>
      <c r="L590" s="5"/>
      <c r="M590" s="5"/>
      <c r="N590" s="5"/>
      <c r="O590" s="5"/>
      <c r="P590" s="5"/>
      <c r="Q590" s="5"/>
      <c r="R590" s="5"/>
      <c r="S590" s="5"/>
      <c r="T590" s="5"/>
      <c r="U590" s="5"/>
      <c r="V590" s="5"/>
      <c r="W590" s="5"/>
    </row>
    <row r="591">
      <c r="A591" s="5"/>
      <c r="B591" s="3"/>
      <c r="C591" s="5"/>
      <c r="D591" s="5"/>
      <c r="E591" s="5"/>
      <c r="F591" s="5"/>
      <c r="G591" s="5"/>
      <c r="H591" s="5"/>
      <c r="I591" s="5"/>
      <c r="J591" s="5"/>
      <c r="K591" s="5"/>
      <c r="L591" s="5"/>
      <c r="M591" s="5"/>
      <c r="N591" s="5"/>
      <c r="O591" s="5"/>
      <c r="P591" s="5"/>
      <c r="Q591" s="5"/>
      <c r="R591" s="5"/>
      <c r="S591" s="5"/>
      <c r="T591" s="5"/>
      <c r="U591" s="5"/>
      <c r="V591" s="5"/>
      <c r="W591" s="5"/>
    </row>
    <row r="592">
      <c r="A592" s="5"/>
      <c r="B592" s="3"/>
      <c r="C592" s="5"/>
      <c r="D592" s="5"/>
      <c r="E592" s="5"/>
      <c r="F592" s="5"/>
      <c r="G592" s="5"/>
      <c r="H592" s="5"/>
      <c r="I592" s="5"/>
      <c r="J592" s="5"/>
      <c r="K592" s="5"/>
      <c r="L592" s="5"/>
      <c r="M592" s="5"/>
      <c r="N592" s="5"/>
      <c r="O592" s="5"/>
      <c r="P592" s="5"/>
      <c r="Q592" s="5"/>
      <c r="R592" s="5"/>
      <c r="S592" s="5"/>
      <c r="T592" s="5"/>
      <c r="U592" s="5"/>
      <c r="V592" s="5"/>
      <c r="W592" s="5"/>
    </row>
    <row r="593">
      <c r="A593" s="5"/>
      <c r="B593" s="3"/>
      <c r="C593" s="5"/>
      <c r="D593" s="5"/>
      <c r="E593" s="5"/>
      <c r="F593" s="5"/>
      <c r="G593" s="5"/>
      <c r="H593" s="5"/>
      <c r="I593" s="5"/>
      <c r="J593" s="5"/>
      <c r="K593" s="5"/>
      <c r="L593" s="5"/>
      <c r="M593" s="5"/>
      <c r="N593" s="5"/>
      <c r="O593" s="5"/>
      <c r="P593" s="5"/>
      <c r="Q593" s="5"/>
      <c r="R593" s="5"/>
      <c r="S593" s="5"/>
      <c r="T593" s="5"/>
      <c r="U593" s="5"/>
      <c r="V593" s="5"/>
      <c r="W593" s="5"/>
    </row>
    <row r="594">
      <c r="A594" s="5"/>
      <c r="B594" s="3"/>
      <c r="C594" s="5"/>
      <c r="D594" s="5"/>
      <c r="E594" s="5"/>
      <c r="F594" s="5"/>
      <c r="G594" s="5"/>
      <c r="H594" s="5"/>
      <c r="I594" s="5"/>
      <c r="J594" s="5"/>
      <c r="K594" s="5"/>
      <c r="L594" s="5"/>
      <c r="M594" s="5"/>
      <c r="N594" s="5"/>
      <c r="O594" s="5"/>
      <c r="P594" s="5"/>
      <c r="Q594" s="5"/>
      <c r="R594" s="5"/>
      <c r="S594" s="5"/>
      <c r="T594" s="5"/>
      <c r="U594" s="5"/>
      <c r="V594" s="5"/>
      <c r="W594" s="5"/>
    </row>
    <row r="595">
      <c r="A595" s="5"/>
      <c r="B595" s="3"/>
      <c r="C595" s="5"/>
      <c r="D595" s="5"/>
      <c r="E595" s="5"/>
      <c r="F595" s="5"/>
      <c r="G595" s="5"/>
      <c r="H595" s="5"/>
      <c r="I595" s="5"/>
      <c r="J595" s="5"/>
      <c r="K595" s="5"/>
      <c r="L595" s="5"/>
      <c r="M595" s="5"/>
      <c r="N595" s="5"/>
      <c r="O595" s="5"/>
      <c r="P595" s="5"/>
      <c r="Q595" s="5"/>
      <c r="R595" s="5"/>
      <c r="S595" s="5"/>
      <c r="T595" s="5"/>
      <c r="U595" s="5"/>
      <c r="V595" s="5"/>
      <c r="W595" s="5"/>
    </row>
    <row r="596">
      <c r="A596" s="5"/>
      <c r="B596" s="3"/>
      <c r="C596" s="5"/>
      <c r="D596" s="5"/>
      <c r="E596" s="5"/>
      <c r="F596" s="5"/>
      <c r="G596" s="5"/>
      <c r="H596" s="5"/>
      <c r="I596" s="5"/>
      <c r="J596" s="5"/>
      <c r="K596" s="5"/>
      <c r="L596" s="5"/>
      <c r="M596" s="5"/>
      <c r="N596" s="5"/>
      <c r="O596" s="5"/>
      <c r="P596" s="5"/>
      <c r="Q596" s="5"/>
      <c r="R596" s="5"/>
      <c r="S596" s="5"/>
      <c r="T596" s="5"/>
      <c r="U596" s="5"/>
      <c r="V596" s="5"/>
      <c r="W596" s="5"/>
    </row>
    <row r="597">
      <c r="A597" s="5"/>
      <c r="B597" s="3"/>
      <c r="C597" s="5"/>
      <c r="D597" s="5"/>
      <c r="E597" s="5"/>
      <c r="F597" s="5"/>
      <c r="G597" s="5"/>
      <c r="H597" s="5"/>
      <c r="I597" s="5"/>
      <c r="J597" s="5"/>
      <c r="K597" s="5"/>
      <c r="L597" s="5"/>
      <c r="M597" s="5"/>
      <c r="N597" s="5"/>
      <c r="O597" s="5"/>
      <c r="P597" s="5"/>
      <c r="Q597" s="5"/>
      <c r="R597" s="5"/>
      <c r="S597" s="5"/>
      <c r="T597" s="5"/>
      <c r="U597" s="5"/>
      <c r="V597" s="5"/>
      <c r="W597" s="5"/>
    </row>
    <row r="598">
      <c r="A598" s="5"/>
      <c r="B598" s="3"/>
      <c r="C598" s="5"/>
      <c r="D598" s="5"/>
      <c r="E598" s="5"/>
      <c r="F598" s="5"/>
      <c r="G598" s="5"/>
      <c r="H598" s="5"/>
      <c r="I598" s="5"/>
      <c r="J598" s="5"/>
      <c r="K598" s="5"/>
      <c r="L598" s="5"/>
      <c r="M598" s="5"/>
      <c r="N598" s="5"/>
      <c r="O598" s="5"/>
      <c r="P598" s="5"/>
      <c r="Q598" s="5"/>
      <c r="R598" s="5"/>
      <c r="S598" s="5"/>
      <c r="T598" s="5"/>
      <c r="U598" s="5"/>
      <c r="V598" s="5"/>
      <c r="W598" s="5"/>
    </row>
    <row r="599">
      <c r="A599" s="5"/>
      <c r="B599" s="3"/>
      <c r="C599" s="5"/>
      <c r="D599" s="5"/>
      <c r="E599" s="5"/>
      <c r="F599" s="5"/>
      <c r="G599" s="5"/>
      <c r="H599" s="5"/>
      <c r="I599" s="5"/>
      <c r="J599" s="5"/>
      <c r="K599" s="5"/>
      <c r="L599" s="5"/>
      <c r="M599" s="5"/>
      <c r="N599" s="5"/>
      <c r="O599" s="5"/>
      <c r="P599" s="5"/>
      <c r="Q599" s="5"/>
      <c r="R599" s="5"/>
      <c r="S599" s="5"/>
      <c r="T599" s="5"/>
      <c r="U599" s="5"/>
      <c r="V599" s="5"/>
      <c r="W599" s="5"/>
    </row>
    <row r="600">
      <c r="A600" s="5"/>
      <c r="B600" s="3"/>
      <c r="C600" s="5"/>
      <c r="D600" s="5"/>
      <c r="E600" s="5"/>
      <c r="F600" s="5"/>
      <c r="G600" s="5"/>
      <c r="H600" s="5"/>
      <c r="I600" s="5"/>
      <c r="J600" s="5"/>
      <c r="K600" s="5"/>
      <c r="L600" s="5"/>
      <c r="M600" s="5"/>
      <c r="N600" s="5"/>
      <c r="O600" s="5"/>
      <c r="P600" s="5"/>
      <c r="Q600" s="5"/>
      <c r="R600" s="5"/>
      <c r="S600" s="5"/>
      <c r="T600" s="5"/>
      <c r="U600" s="5"/>
      <c r="V600" s="5"/>
      <c r="W600" s="5"/>
    </row>
    <row r="601">
      <c r="A601" s="5"/>
      <c r="B601" s="3"/>
      <c r="C601" s="5"/>
      <c r="D601" s="5"/>
      <c r="E601" s="5"/>
      <c r="F601" s="5"/>
      <c r="G601" s="5"/>
      <c r="H601" s="5"/>
      <c r="I601" s="5"/>
      <c r="J601" s="5"/>
      <c r="K601" s="5"/>
      <c r="L601" s="5"/>
      <c r="M601" s="5"/>
      <c r="N601" s="5"/>
      <c r="O601" s="5"/>
      <c r="P601" s="5"/>
      <c r="Q601" s="5"/>
      <c r="R601" s="5"/>
      <c r="S601" s="5"/>
      <c r="T601" s="5"/>
      <c r="U601" s="5"/>
      <c r="V601" s="5"/>
      <c r="W601" s="5"/>
    </row>
    <row r="602">
      <c r="A602" s="5"/>
      <c r="B602" s="3"/>
      <c r="C602" s="5"/>
      <c r="D602" s="5"/>
      <c r="E602" s="5"/>
      <c r="F602" s="5"/>
      <c r="G602" s="5"/>
      <c r="H602" s="5"/>
      <c r="I602" s="5"/>
      <c r="J602" s="5"/>
      <c r="K602" s="5"/>
      <c r="L602" s="5"/>
      <c r="M602" s="5"/>
      <c r="N602" s="5"/>
      <c r="O602" s="5"/>
      <c r="P602" s="5"/>
      <c r="Q602" s="5"/>
      <c r="R602" s="5"/>
      <c r="S602" s="5"/>
      <c r="T602" s="5"/>
      <c r="U602" s="5"/>
      <c r="V602" s="5"/>
      <c r="W602" s="5"/>
    </row>
    <row r="603">
      <c r="A603" s="5"/>
      <c r="B603" s="3"/>
      <c r="C603" s="5"/>
      <c r="D603" s="5"/>
      <c r="E603" s="5"/>
      <c r="F603" s="5"/>
      <c r="G603" s="5"/>
      <c r="H603" s="5"/>
      <c r="I603" s="5"/>
      <c r="J603" s="5"/>
      <c r="K603" s="5"/>
      <c r="L603" s="5"/>
      <c r="M603" s="5"/>
      <c r="N603" s="5"/>
      <c r="O603" s="5"/>
      <c r="P603" s="5"/>
      <c r="Q603" s="5"/>
      <c r="R603" s="5"/>
      <c r="S603" s="5"/>
      <c r="T603" s="5"/>
      <c r="U603" s="5"/>
      <c r="V603" s="5"/>
      <c r="W603" s="5"/>
    </row>
    <row r="604">
      <c r="A604" s="5"/>
      <c r="B604" s="3"/>
      <c r="C604" s="5"/>
      <c r="D604" s="5"/>
      <c r="E604" s="5"/>
      <c r="F604" s="5"/>
      <c r="G604" s="5"/>
      <c r="H604" s="5"/>
      <c r="I604" s="5"/>
      <c r="J604" s="5"/>
      <c r="K604" s="5"/>
      <c r="L604" s="5"/>
      <c r="M604" s="5"/>
      <c r="N604" s="5"/>
      <c r="O604" s="5"/>
      <c r="P604" s="5"/>
      <c r="Q604" s="5"/>
      <c r="R604" s="5"/>
      <c r="S604" s="5"/>
      <c r="T604" s="5"/>
      <c r="U604" s="5"/>
      <c r="V604" s="5"/>
      <c r="W604" s="5"/>
    </row>
    <row r="605">
      <c r="A605" s="5"/>
      <c r="B605" s="3"/>
      <c r="C605" s="5"/>
      <c r="D605" s="5"/>
      <c r="E605" s="5"/>
      <c r="F605" s="5"/>
      <c r="G605" s="5"/>
      <c r="H605" s="5"/>
      <c r="I605" s="5"/>
      <c r="J605" s="5"/>
      <c r="K605" s="5"/>
      <c r="L605" s="5"/>
      <c r="M605" s="5"/>
      <c r="N605" s="5"/>
      <c r="O605" s="5"/>
      <c r="P605" s="5"/>
      <c r="Q605" s="5"/>
      <c r="R605" s="5"/>
      <c r="S605" s="5"/>
      <c r="T605" s="5"/>
      <c r="U605" s="5"/>
      <c r="V605" s="5"/>
      <c r="W605" s="5"/>
    </row>
    <row r="606">
      <c r="A606" s="5"/>
      <c r="B606" s="3"/>
      <c r="C606" s="5"/>
      <c r="D606" s="5"/>
      <c r="E606" s="5"/>
      <c r="F606" s="5"/>
      <c r="G606" s="5"/>
      <c r="H606" s="5"/>
      <c r="I606" s="5"/>
      <c r="J606" s="5"/>
      <c r="K606" s="5"/>
      <c r="L606" s="5"/>
      <c r="M606" s="5"/>
      <c r="N606" s="5"/>
      <c r="O606" s="5"/>
      <c r="P606" s="5"/>
      <c r="Q606" s="5"/>
      <c r="R606" s="5"/>
      <c r="S606" s="5"/>
      <c r="T606" s="5"/>
      <c r="U606" s="5"/>
      <c r="V606" s="5"/>
      <c r="W606" s="5"/>
    </row>
    <row r="607">
      <c r="A607" s="5"/>
      <c r="B607" s="3"/>
      <c r="C607" s="5"/>
      <c r="D607" s="5"/>
      <c r="E607" s="5"/>
      <c r="F607" s="5"/>
      <c r="G607" s="5"/>
      <c r="H607" s="5"/>
      <c r="I607" s="5"/>
      <c r="J607" s="5"/>
      <c r="K607" s="5"/>
      <c r="L607" s="5"/>
      <c r="M607" s="5"/>
      <c r="N607" s="5"/>
      <c r="O607" s="5"/>
      <c r="P607" s="5"/>
      <c r="Q607" s="5"/>
      <c r="R607" s="5"/>
      <c r="S607" s="5"/>
      <c r="T607" s="5"/>
      <c r="U607" s="5"/>
      <c r="V607" s="5"/>
      <c r="W607" s="5"/>
    </row>
    <row r="608">
      <c r="A608" s="5"/>
      <c r="B608" s="3"/>
      <c r="C608" s="5"/>
      <c r="D608" s="5"/>
      <c r="E608" s="5"/>
      <c r="F608" s="5"/>
      <c r="G608" s="5"/>
      <c r="H608" s="5"/>
      <c r="I608" s="5"/>
      <c r="J608" s="5"/>
      <c r="K608" s="5"/>
      <c r="L608" s="5"/>
      <c r="M608" s="5"/>
      <c r="N608" s="5"/>
      <c r="O608" s="5"/>
      <c r="P608" s="5"/>
      <c r="Q608" s="5"/>
      <c r="R608" s="5"/>
      <c r="S608" s="5"/>
      <c r="T608" s="5"/>
      <c r="U608" s="5"/>
      <c r="V608" s="5"/>
      <c r="W608" s="5"/>
    </row>
    <row r="609">
      <c r="A609" s="5"/>
      <c r="B609" s="3"/>
      <c r="C609" s="5"/>
      <c r="D609" s="5"/>
      <c r="E609" s="5"/>
      <c r="F609" s="5"/>
      <c r="G609" s="5"/>
      <c r="H609" s="5"/>
      <c r="I609" s="5"/>
      <c r="J609" s="5"/>
      <c r="K609" s="5"/>
      <c r="L609" s="5"/>
      <c r="M609" s="5"/>
      <c r="N609" s="5"/>
      <c r="O609" s="5"/>
      <c r="P609" s="5"/>
      <c r="Q609" s="5"/>
      <c r="R609" s="5"/>
      <c r="S609" s="5"/>
      <c r="T609" s="5"/>
      <c r="U609" s="5"/>
      <c r="V609" s="5"/>
      <c r="W609" s="5"/>
    </row>
    <row r="610">
      <c r="A610" s="5"/>
      <c r="B610" s="3"/>
      <c r="C610" s="5"/>
      <c r="D610" s="5"/>
      <c r="E610" s="5"/>
      <c r="F610" s="5"/>
      <c r="G610" s="5"/>
      <c r="H610" s="5"/>
      <c r="I610" s="5"/>
      <c r="J610" s="5"/>
      <c r="K610" s="5"/>
      <c r="L610" s="5"/>
      <c r="M610" s="5"/>
      <c r="N610" s="5"/>
      <c r="O610" s="5"/>
      <c r="P610" s="5"/>
      <c r="Q610" s="5"/>
      <c r="R610" s="5"/>
      <c r="S610" s="5"/>
      <c r="T610" s="5"/>
      <c r="U610" s="5"/>
      <c r="V610" s="5"/>
      <c r="W610" s="5"/>
    </row>
    <row r="611">
      <c r="A611" s="5"/>
      <c r="B611" s="3"/>
      <c r="C611" s="5"/>
      <c r="D611" s="5"/>
      <c r="E611" s="5"/>
      <c r="F611" s="5"/>
      <c r="G611" s="5"/>
      <c r="H611" s="5"/>
      <c r="I611" s="5"/>
      <c r="J611" s="5"/>
      <c r="K611" s="5"/>
      <c r="L611" s="5"/>
      <c r="M611" s="5"/>
      <c r="N611" s="5"/>
      <c r="O611" s="5"/>
      <c r="P611" s="5"/>
      <c r="Q611" s="5"/>
      <c r="R611" s="5"/>
      <c r="S611" s="5"/>
      <c r="T611" s="5"/>
      <c r="U611" s="5"/>
      <c r="V611" s="5"/>
      <c r="W611" s="5"/>
    </row>
    <row r="612">
      <c r="A612" s="5"/>
      <c r="B612" s="3"/>
      <c r="C612" s="5"/>
      <c r="D612" s="5"/>
      <c r="E612" s="5"/>
      <c r="F612" s="5"/>
      <c r="G612" s="5"/>
      <c r="H612" s="5"/>
      <c r="I612" s="5"/>
      <c r="J612" s="5"/>
      <c r="K612" s="5"/>
      <c r="L612" s="5"/>
      <c r="M612" s="5"/>
      <c r="N612" s="5"/>
      <c r="O612" s="5"/>
      <c r="P612" s="5"/>
      <c r="Q612" s="5"/>
      <c r="R612" s="5"/>
      <c r="S612" s="5"/>
      <c r="T612" s="5"/>
      <c r="U612" s="5"/>
      <c r="V612" s="5"/>
      <c r="W612" s="5"/>
    </row>
    <row r="613">
      <c r="A613" s="5"/>
      <c r="B613" s="3"/>
      <c r="C613" s="5"/>
      <c r="D613" s="5"/>
      <c r="E613" s="5"/>
      <c r="F613" s="5"/>
      <c r="G613" s="5"/>
      <c r="H613" s="5"/>
      <c r="I613" s="5"/>
      <c r="J613" s="5"/>
      <c r="K613" s="5"/>
      <c r="L613" s="5"/>
      <c r="M613" s="5"/>
      <c r="N613" s="5"/>
      <c r="O613" s="5"/>
      <c r="P613" s="5"/>
      <c r="Q613" s="5"/>
      <c r="R613" s="5"/>
      <c r="S613" s="5"/>
      <c r="T613" s="5"/>
      <c r="U613" s="5"/>
      <c r="V613" s="5"/>
      <c r="W613" s="5"/>
    </row>
    <row r="614">
      <c r="A614" s="5"/>
      <c r="B614" s="3"/>
      <c r="C614" s="5"/>
      <c r="D614" s="5"/>
      <c r="E614" s="5"/>
      <c r="F614" s="5"/>
      <c r="G614" s="5"/>
      <c r="H614" s="5"/>
      <c r="I614" s="5"/>
      <c r="J614" s="5"/>
      <c r="K614" s="5"/>
      <c r="L614" s="5"/>
      <c r="M614" s="5"/>
      <c r="N614" s="5"/>
      <c r="O614" s="5"/>
      <c r="P614" s="5"/>
      <c r="Q614" s="5"/>
      <c r="R614" s="5"/>
      <c r="S614" s="5"/>
      <c r="T614" s="5"/>
      <c r="U614" s="5"/>
      <c r="V614" s="5"/>
      <c r="W614" s="5"/>
    </row>
    <row r="615">
      <c r="A615" s="5"/>
      <c r="B615" s="3"/>
      <c r="C615" s="5"/>
      <c r="D615" s="5"/>
      <c r="E615" s="5"/>
      <c r="F615" s="5"/>
      <c r="G615" s="5"/>
      <c r="H615" s="5"/>
      <c r="I615" s="5"/>
      <c r="J615" s="5"/>
      <c r="K615" s="5"/>
      <c r="L615" s="5"/>
      <c r="M615" s="5"/>
      <c r="N615" s="5"/>
      <c r="O615" s="5"/>
      <c r="P615" s="5"/>
      <c r="Q615" s="5"/>
      <c r="R615" s="5"/>
      <c r="S615" s="5"/>
      <c r="T615" s="5"/>
      <c r="U615" s="5"/>
      <c r="V615" s="5"/>
      <c r="W615" s="5"/>
    </row>
    <row r="616">
      <c r="A616" s="5"/>
      <c r="B616" s="3"/>
      <c r="C616" s="5"/>
      <c r="D616" s="5"/>
      <c r="E616" s="5"/>
      <c r="F616" s="5"/>
      <c r="G616" s="5"/>
      <c r="H616" s="5"/>
      <c r="I616" s="5"/>
      <c r="J616" s="5"/>
      <c r="K616" s="5"/>
      <c r="L616" s="5"/>
      <c r="M616" s="5"/>
      <c r="N616" s="5"/>
      <c r="O616" s="5"/>
      <c r="P616" s="5"/>
      <c r="Q616" s="5"/>
      <c r="R616" s="5"/>
      <c r="S616" s="5"/>
      <c r="T616" s="5"/>
      <c r="U616" s="5"/>
      <c r="V616" s="5"/>
      <c r="W616" s="5"/>
    </row>
    <row r="617">
      <c r="A617" s="5"/>
      <c r="B617" s="3"/>
      <c r="C617" s="5"/>
      <c r="D617" s="5"/>
      <c r="E617" s="5"/>
      <c r="F617" s="5"/>
      <c r="G617" s="5"/>
      <c r="H617" s="5"/>
      <c r="I617" s="5"/>
      <c r="J617" s="5"/>
      <c r="K617" s="5"/>
      <c r="L617" s="5"/>
      <c r="M617" s="5"/>
      <c r="N617" s="5"/>
      <c r="O617" s="5"/>
      <c r="P617" s="5"/>
      <c r="Q617" s="5"/>
      <c r="R617" s="5"/>
      <c r="S617" s="5"/>
      <c r="T617" s="5"/>
      <c r="U617" s="5"/>
      <c r="V617" s="5"/>
      <c r="W617" s="5"/>
    </row>
    <row r="618">
      <c r="A618" s="5"/>
      <c r="B618" s="3"/>
      <c r="C618" s="5"/>
      <c r="D618" s="5"/>
      <c r="E618" s="5"/>
      <c r="F618" s="5"/>
      <c r="G618" s="5"/>
      <c r="H618" s="5"/>
      <c r="I618" s="5"/>
      <c r="J618" s="5"/>
      <c r="K618" s="5"/>
      <c r="L618" s="5"/>
      <c r="M618" s="5"/>
      <c r="N618" s="5"/>
      <c r="O618" s="5"/>
      <c r="P618" s="5"/>
      <c r="Q618" s="5"/>
      <c r="R618" s="5"/>
      <c r="S618" s="5"/>
      <c r="T618" s="5"/>
      <c r="U618" s="5"/>
      <c r="V618" s="5"/>
      <c r="W618" s="5"/>
    </row>
    <row r="619">
      <c r="A619" s="5"/>
      <c r="B619" s="3"/>
      <c r="C619" s="5"/>
      <c r="D619" s="5"/>
      <c r="E619" s="5"/>
      <c r="F619" s="5"/>
      <c r="G619" s="5"/>
      <c r="H619" s="5"/>
      <c r="I619" s="5"/>
      <c r="J619" s="5"/>
      <c r="K619" s="5"/>
      <c r="L619" s="5"/>
      <c r="M619" s="5"/>
      <c r="N619" s="5"/>
      <c r="O619" s="5"/>
      <c r="P619" s="5"/>
      <c r="Q619" s="5"/>
      <c r="R619" s="5"/>
      <c r="S619" s="5"/>
      <c r="T619" s="5"/>
      <c r="U619" s="5"/>
      <c r="V619" s="5"/>
      <c r="W619" s="5"/>
    </row>
    <row r="620">
      <c r="A620" s="5"/>
      <c r="B620" s="3"/>
      <c r="C620" s="5"/>
      <c r="D620" s="5"/>
      <c r="E620" s="5"/>
      <c r="F620" s="5"/>
      <c r="G620" s="5"/>
      <c r="H620" s="5"/>
      <c r="I620" s="5"/>
      <c r="J620" s="5"/>
      <c r="K620" s="5"/>
      <c r="L620" s="5"/>
      <c r="M620" s="5"/>
      <c r="N620" s="5"/>
      <c r="O620" s="5"/>
      <c r="P620" s="5"/>
      <c r="Q620" s="5"/>
      <c r="R620" s="5"/>
      <c r="S620" s="5"/>
      <c r="T620" s="5"/>
      <c r="U620" s="5"/>
      <c r="V620" s="5"/>
      <c r="W620" s="5"/>
    </row>
    <row r="621">
      <c r="A621" s="5"/>
      <c r="B621" s="3"/>
      <c r="C621" s="5"/>
      <c r="D621" s="5"/>
      <c r="E621" s="5"/>
      <c r="F621" s="5"/>
      <c r="G621" s="5"/>
      <c r="H621" s="5"/>
      <c r="I621" s="5"/>
      <c r="J621" s="5"/>
      <c r="K621" s="5"/>
      <c r="L621" s="5"/>
      <c r="M621" s="5"/>
      <c r="N621" s="5"/>
      <c r="O621" s="5"/>
      <c r="P621" s="5"/>
      <c r="Q621" s="5"/>
      <c r="R621" s="5"/>
      <c r="S621" s="5"/>
      <c r="T621" s="5"/>
      <c r="U621" s="5"/>
      <c r="V621" s="5"/>
      <c r="W621" s="5"/>
    </row>
    <row r="622">
      <c r="A622" s="5"/>
      <c r="B622" s="3"/>
      <c r="C622" s="5"/>
      <c r="D622" s="5"/>
      <c r="E622" s="5"/>
      <c r="F622" s="5"/>
      <c r="G622" s="5"/>
      <c r="H622" s="5"/>
      <c r="I622" s="5"/>
      <c r="J622" s="5"/>
      <c r="K622" s="5"/>
      <c r="L622" s="5"/>
      <c r="M622" s="5"/>
      <c r="N622" s="5"/>
      <c r="O622" s="5"/>
      <c r="P622" s="5"/>
      <c r="Q622" s="5"/>
      <c r="R622" s="5"/>
      <c r="S622" s="5"/>
      <c r="T622" s="5"/>
      <c r="U622" s="5"/>
      <c r="V622" s="5"/>
      <c r="W622" s="5"/>
    </row>
    <row r="623">
      <c r="A623" s="5"/>
      <c r="B623" s="3"/>
      <c r="C623" s="5"/>
      <c r="D623" s="5"/>
      <c r="E623" s="5"/>
      <c r="F623" s="5"/>
      <c r="G623" s="5"/>
      <c r="H623" s="5"/>
      <c r="I623" s="5"/>
      <c r="J623" s="5"/>
      <c r="K623" s="5"/>
      <c r="L623" s="5"/>
      <c r="M623" s="5"/>
      <c r="N623" s="5"/>
      <c r="O623" s="5"/>
      <c r="P623" s="5"/>
      <c r="Q623" s="5"/>
      <c r="R623" s="5"/>
      <c r="S623" s="5"/>
      <c r="T623" s="5"/>
      <c r="U623" s="5"/>
      <c r="V623" s="5"/>
      <c r="W623" s="5"/>
    </row>
    <row r="624">
      <c r="A624" s="5"/>
      <c r="B624" s="3"/>
      <c r="C624" s="5"/>
      <c r="D624" s="5"/>
      <c r="E624" s="5"/>
      <c r="F624" s="5"/>
      <c r="G624" s="5"/>
      <c r="H624" s="5"/>
      <c r="I624" s="5"/>
      <c r="J624" s="5"/>
      <c r="K624" s="5"/>
      <c r="L624" s="5"/>
      <c r="M624" s="5"/>
      <c r="N624" s="5"/>
      <c r="O624" s="5"/>
      <c r="P624" s="5"/>
      <c r="Q624" s="5"/>
      <c r="R624" s="5"/>
      <c r="S624" s="5"/>
      <c r="T624" s="5"/>
      <c r="U624" s="5"/>
      <c r="V624" s="5"/>
      <c r="W624" s="5"/>
    </row>
    <row r="625">
      <c r="A625" s="5"/>
      <c r="B625" s="3"/>
      <c r="C625" s="5"/>
      <c r="D625" s="5"/>
      <c r="E625" s="5"/>
      <c r="F625" s="5"/>
      <c r="G625" s="5"/>
      <c r="H625" s="5"/>
      <c r="I625" s="5"/>
      <c r="J625" s="5"/>
      <c r="K625" s="5"/>
      <c r="L625" s="5"/>
      <c r="M625" s="5"/>
      <c r="N625" s="5"/>
      <c r="O625" s="5"/>
      <c r="P625" s="5"/>
      <c r="Q625" s="5"/>
      <c r="R625" s="5"/>
      <c r="S625" s="5"/>
      <c r="T625" s="5"/>
      <c r="U625" s="5"/>
      <c r="V625" s="5"/>
      <c r="W625" s="5"/>
    </row>
    <row r="626">
      <c r="A626" s="5"/>
      <c r="B626" s="3"/>
      <c r="C626" s="5"/>
      <c r="D626" s="5"/>
      <c r="E626" s="5"/>
      <c r="F626" s="5"/>
      <c r="G626" s="5"/>
      <c r="H626" s="5"/>
      <c r="I626" s="5"/>
      <c r="J626" s="5"/>
      <c r="K626" s="5"/>
      <c r="L626" s="5"/>
      <c r="M626" s="5"/>
      <c r="N626" s="5"/>
      <c r="O626" s="5"/>
      <c r="P626" s="5"/>
      <c r="Q626" s="5"/>
      <c r="R626" s="5"/>
      <c r="S626" s="5"/>
      <c r="T626" s="5"/>
      <c r="U626" s="5"/>
      <c r="V626" s="5"/>
      <c r="W626" s="5"/>
    </row>
    <row r="627">
      <c r="A627" s="5"/>
      <c r="B627" s="3"/>
      <c r="C627" s="5"/>
      <c r="D627" s="5"/>
      <c r="E627" s="5"/>
      <c r="F627" s="5"/>
      <c r="G627" s="5"/>
      <c r="H627" s="5"/>
      <c r="I627" s="5"/>
      <c r="J627" s="5"/>
      <c r="K627" s="5"/>
      <c r="L627" s="5"/>
      <c r="M627" s="5"/>
      <c r="N627" s="5"/>
      <c r="O627" s="5"/>
      <c r="P627" s="5"/>
      <c r="Q627" s="5"/>
      <c r="R627" s="5"/>
      <c r="S627" s="5"/>
      <c r="T627" s="5"/>
      <c r="U627" s="5"/>
      <c r="V627" s="5"/>
      <c r="W627" s="5"/>
    </row>
    <row r="628">
      <c r="A628" s="5"/>
      <c r="B628" s="3"/>
      <c r="C628" s="5"/>
      <c r="D628" s="5"/>
      <c r="E628" s="5"/>
      <c r="F628" s="5"/>
      <c r="G628" s="5"/>
      <c r="H628" s="5"/>
      <c r="I628" s="5"/>
      <c r="J628" s="5"/>
      <c r="K628" s="5"/>
      <c r="L628" s="5"/>
      <c r="M628" s="5"/>
      <c r="N628" s="5"/>
      <c r="O628" s="5"/>
      <c r="P628" s="5"/>
      <c r="Q628" s="5"/>
      <c r="R628" s="5"/>
      <c r="S628" s="5"/>
      <c r="T628" s="5"/>
      <c r="U628" s="5"/>
      <c r="V628" s="5"/>
      <c r="W628" s="5"/>
    </row>
    <row r="629">
      <c r="A629" s="5"/>
      <c r="B629" s="3"/>
      <c r="C629" s="5"/>
      <c r="D629" s="5"/>
      <c r="E629" s="5"/>
      <c r="F629" s="5"/>
      <c r="G629" s="5"/>
      <c r="H629" s="5"/>
      <c r="I629" s="5"/>
      <c r="J629" s="5"/>
      <c r="K629" s="5"/>
      <c r="L629" s="5"/>
      <c r="M629" s="5"/>
      <c r="N629" s="5"/>
      <c r="O629" s="5"/>
      <c r="P629" s="5"/>
      <c r="Q629" s="5"/>
      <c r="R629" s="5"/>
      <c r="S629" s="5"/>
      <c r="T629" s="5"/>
      <c r="U629" s="5"/>
      <c r="V629" s="5"/>
      <c r="W629" s="5"/>
    </row>
    <row r="630">
      <c r="A630" s="5"/>
      <c r="B630" s="3"/>
      <c r="C630" s="5"/>
      <c r="D630" s="5"/>
      <c r="E630" s="5"/>
      <c r="F630" s="5"/>
      <c r="G630" s="5"/>
      <c r="H630" s="5"/>
      <c r="I630" s="5"/>
      <c r="J630" s="5"/>
      <c r="K630" s="5"/>
      <c r="L630" s="5"/>
      <c r="M630" s="5"/>
      <c r="N630" s="5"/>
      <c r="O630" s="5"/>
      <c r="P630" s="5"/>
      <c r="Q630" s="5"/>
      <c r="R630" s="5"/>
      <c r="S630" s="5"/>
      <c r="T630" s="5"/>
      <c r="U630" s="5"/>
      <c r="V630" s="5"/>
      <c r="W630" s="5"/>
    </row>
    <row r="631">
      <c r="A631" s="5"/>
      <c r="B631" s="3"/>
      <c r="C631" s="5"/>
      <c r="D631" s="5"/>
      <c r="E631" s="5"/>
      <c r="F631" s="5"/>
      <c r="G631" s="5"/>
      <c r="H631" s="5"/>
      <c r="I631" s="5"/>
      <c r="J631" s="5"/>
      <c r="K631" s="5"/>
      <c r="L631" s="5"/>
      <c r="M631" s="5"/>
      <c r="N631" s="5"/>
      <c r="O631" s="5"/>
      <c r="P631" s="5"/>
      <c r="Q631" s="5"/>
      <c r="R631" s="5"/>
      <c r="S631" s="5"/>
      <c r="T631" s="5"/>
      <c r="U631" s="5"/>
      <c r="V631" s="5"/>
      <c r="W631" s="5"/>
    </row>
    <row r="632">
      <c r="A632" s="5"/>
      <c r="B632" s="3"/>
      <c r="C632" s="5"/>
      <c r="D632" s="5"/>
      <c r="E632" s="5"/>
      <c r="F632" s="5"/>
      <c r="G632" s="5"/>
      <c r="H632" s="5"/>
      <c r="I632" s="5"/>
      <c r="J632" s="5"/>
      <c r="K632" s="5"/>
      <c r="L632" s="5"/>
      <c r="M632" s="5"/>
      <c r="N632" s="5"/>
      <c r="O632" s="5"/>
      <c r="P632" s="5"/>
      <c r="Q632" s="5"/>
      <c r="R632" s="5"/>
      <c r="S632" s="5"/>
      <c r="T632" s="5"/>
      <c r="U632" s="5"/>
      <c r="V632" s="5"/>
      <c r="W632" s="5"/>
    </row>
    <row r="633">
      <c r="A633" s="5"/>
      <c r="B633" s="3"/>
      <c r="C633" s="5"/>
      <c r="D633" s="5"/>
      <c r="E633" s="5"/>
      <c r="F633" s="5"/>
      <c r="G633" s="5"/>
      <c r="H633" s="5"/>
      <c r="I633" s="5"/>
      <c r="J633" s="5"/>
      <c r="K633" s="5"/>
      <c r="L633" s="5"/>
      <c r="M633" s="5"/>
      <c r="N633" s="5"/>
      <c r="O633" s="5"/>
      <c r="P633" s="5"/>
      <c r="Q633" s="5"/>
      <c r="R633" s="5"/>
      <c r="S633" s="5"/>
      <c r="T633" s="5"/>
      <c r="U633" s="5"/>
      <c r="V633" s="5"/>
      <c r="W633" s="5"/>
    </row>
    <row r="634">
      <c r="A634" s="5"/>
      <c r="B634" s="3"/>
      <c r="C634" s="5"/>
      <c r="D634" s="5"/>
      <c r="E634" s="5"/>
      <c r="F634" s="5"/>
      <c r="G634" s="5"/>
      <c r="H634" s="5"/>
      <c r="I634" s="5"/>
      <c r="J634" s="5"/>
      <c r="K634" s="5"/>
      <c r="L634" s="5"/>
      <c r="M634" s="5"/>
      <c r="N634" s="5"/>
      <c r="O634" s="5"/>
      <c r="P634" s="5"/>
      <c r="Q634" s="5"/>
      <c r="R634" s="5"/>
      <c r="S634" s="5"/>
      <c r="T634" s="5"/>
      <c r="U634" s="5"/>
      <c r="V634" s="5"/>
      <c r="W634" s="5"/>
    </row>
    <row r="635">
      <c r="A635" s="5"/>
      <c r="B635" s="3"/>
      <c r="C635" s="5"/>
      <c r="D635" s="5"/>
      <c r="E635" s="5"/>
      <c r="F635" s="5"/>
      <c r="G635" s="5"/>
      <c r="H635" s="5"/>
      <c r="I635" s="5"/>
      <c r="J635" s="5"/>
      <c r="K635" s="5"/>
      <c r="L635" s="5"/>
      <c r="M635" s="5"/>
      <c r="N635" s="5"/>
      <c r="O635" s="5"/>
      <c r="P635" s="5"/>
      <c r="Q635" s="5"/>
      <c r="R635" s="5"/>
      <c r="S635" s="5"/>
      <c r="T635" s="5"/>
      <c r="U635" s="5"/>
      <c r="V635" s="5"/>
      <c r="W635" s="5"/>
    </row>
    <row r="636">
      <c r="A636" s="5"/>
      <c r="B636" s="3"/>
      <c r="C636" s="5"/>
      <c r="D636" s="5"/>
      <c r="E636" s="5"/>
      <c r="F636" s="5"/>
      <c r="G636" s="5"/>
      <c r="H636" s="5"/>
      <c r="I636" s="5"/>
      <c r="J636" s="5"/>
      <c r="K636" s="5"/>
      <c r="L636" s="5"/>
      <c r="M636" s="5"/>
      <c r="N636" s="5"/>
      <c r="O636" s="5"/>
      <c r="P636" s="5"/>
      <c r="Q636" s="5"/>
      <c r="R636" s="5"/>
      <c r="S636" s="5"/>
      <c r="T636" s="5"/>
      <c r="U636" s="5"/>
      <c r="V636" s="5"/>
      <c r="W636" s="5"/>
    </row>
    <row r="637">
      <c r="A637" s="5"/>
      <c r="B637" s="3"/>
      <c r="C637" s="5"/>
      <c r="D637" s="5"/>
      <c r="E637" s="5"/>
      <c r="F637" s="5"/>
      <c r="G637" s="5"/>
      <c r="H637" s="5"/>
      <c r="I637" s="5"/>
      <c r="J637" s="5"/>
      <c r="K637" s="5"/>
      <c r="L637" s="5"/>
      <c r="M637" s="5"/>
      <c r="N637" s="5"/>
      <c r="O637" s="5"/>
      <c r="P637" s="5"/>
      <c r="Q637" s="5"/>
      <c r="R637" s="5"/>
      <c r="S637" s="5"/>
      <c r="T637" s="5"/>
      <c r="U637" s="5"/>
      <c r="V637" s="5"/>
      <c r="W637" s="5"/>
    </row>
    <row r="638">
      <c r="A638" s="5"/>
      <c r="B638" s="3"/>
      <c r="C638" s="5"/>
      <c r="D638" s="5"/>
      <c r="E638" s="5"/>
      <c r="F638" s="5"/>
      <c r="G638" s="5"/>
      <c r="H638" s="5"/>
      <c r="I638" s="5"/>
      <c r="J638" s="5"/>
      <c r="K638" s="5"/>
      <c r="L638" s="5"/>
      <c r="M638" s="5"/>
      <c r="N638" s="5"/>
      <c r="O638" s="5"/>
      <c r="P638" s="5"/>
      <c r="Q638" s="5"/>
      <c r="R638" s="5"/>
      <c r="S638" s="5"/>
      <c r="T638" s="5"/>
      <c r="U638" s="5"/>
      <c r="V638" s="5"/>
      <c r="W638" s="5"/>
    </row>
    <row r="639">
      <c r="A639" s="5"/>
      <c r="B639" s="3"/>
      <c r="C639" s="5"/>
      <c r="D639" s="5"/>
      <c r="E639" s="5"/>
      <c r="F639" s="5"/>
      <c r="G639" s="5"/>
      <c r="H639" s="5"/>
      <c r="I639" s="5"/>
      <c r="J639" s="5"/>
      <c r="K639" s="5"/>
      <c r="L639" s="5"/>
      <c r="M639" s="5"/>
      <c r="N639" s="5"/>
      <c r="O639" s="5"/>
      <c r="P639" s="5"/>
      <c r="Q639" s="5"/>
      <c r="R639" s="5"/>
      <c r="S639" s="5"/>
      <c r="T639" s="5"/>
      <c r="U639" s="5"/>
      <c r="V639" s="5"/>
      <c r="W639" s="5"/>
    </row>
    <row r="640">
      <c r="A640" s="5"/>
      <c r="B640" s="3"/>
      <c r="C640" s="5"/>
      <c r="D640" s="5"/>
      <c r="E640" s="5"/>
      <c r="F640" s="5"/>
      <c r="G640" s="5"/>
      <c r="H640" s="5"/>
      <c r="I640" s="5"/>
      <c r="J640" s="5"/>
      <c r="K640" s="5"/>
      <c r="L640" s="5"/>
      <c r="M640" s="5"/>
      <c r="N640" s="5"/>
      <c r="O640" s="5"/>
      <c r="P640" s="5"/>
      <c r="Q640" s="5"/>
      <c r="R640" s="5"/>
      <c r="S640" s="5"/>
      <c r="T640" s="5"/>
      <c r="U640" s="5"/>
      <c r="V640" s="5"/>
      <c r="W640" s="5"/>
    </row>
    <row r="641">
      <c r="A641" s="5"/>
      <c r="B641" s="3"/>
      <c r="C641" s="5"/>
      <c r="D641" s="5"/>
      <c r="E641" s="5"/>
      <c r="F641" s="5"/>
      <c r="G641" s="5"/>
      <c r="H641" s="5"/>
      <c r="I641" s="5"/>
      <c r="J641" s="5"/>
      <c r="K641" s="5"/>
      <c r="L641" s="5"/>
      <c r="M641" s="5"/>
      <c r="N641" s="5"/>
      <c r="O641" s="5"/>
      <c r="P641" s="5"/>
      <c r="Q641" s="5"/>
      <c r="R641" s="5"/>
      <c r="S641" s="5"/>
      <c r="T641" s="5"/>
      <c r="U641" s="5"/>
      <c r="V641" s="5"/>
      <c r="W641" s="5"/>
    </row>
    <row r="642">
      <c r="A642" s="5"/>
      <c r="B642" s="3"/>
      <c r="C642" s="5"/>
      <c r="D642" s="5"/>
      <c r="E642" s="5"/>
      <c r="F642" s="5"/>
      <c r="G642" s="5"/>
      <c r="H642" s="5"/>
      <c r="I642" s="5"/>
      <c r="J642" s="5"/>
      <c r="K642" s="5"/>
      <c r="L642" s="5"/>
      <c r="M642" s="5"/>
      <c r="N642" s="5"/>
      <c r="O642" s="5"/>
      <c r="P642" s="5"/>
      <c r="Q642" s="5"/>
      <c r="R642" s="5"/>
      <c r="S642" s="5"/>
      <c r="T642" s="5"/>
      <c r="U642" s="5"/>
      <c r="V642" s="5"/>
      <c r="W642" s="5"/>
    </row>
    <row r="643">
      <c r="A643" s="5"/>
      <c r="B643" s="3"/>
      <c r="C643" s="5"/>
      <c r="D643" s="5"/>
      <c r="E643" s="5"/>
      <c r="F643" s="5"/>
      <c r="G643" s="5"/>
      <c r="H643" s="5"/>
      <c r="I643" s="5"/>
      <c r="J643" s="5"/>
      <c r="K643" s="5"/>
      <c r="L643" s="5"/>
      <c r="M643" s="5"/>
      <c r="N643" s="5"/>
      <c r="O643" s="5"/>
      <c r="P643" s="5"/>
      <c r="Q643" s="5"/>
      <c r="R643" s="5"/>
      <c r="S643" s="5"/>
      <c r="T643" s="5"/>
      <c r="U643" s="5"/>
      <c r="V643" s="5"/>
      <c r="W643" s="5"/>
    </row>
    <row r="644">
      <c r="A644" s="5"/>
      <c r="B644" s="3"/>
      <c r="C644" s="5"/>
      <c r="D644" s="5"/>
      <c r="E644" s="5"/>
      <c r="F644" s="5"/>
      <c r="G644" s="5"/>
      <c r="H644" s="5"/>
      <c r="I644" s="5"/>
      <c r="J644" s="5"/>
      <c r="K644" s="5"/>
      <c r="L644" s="5"/>
      <c r="M644" s="5"/>
      <c r="N644" s="5"/>
      <c r="O644" s="5"/>
      <c r="P644" s="5"/>
      <c r="Q644" s="5"/>
      <c r="R644" s="5"/>
      <c r="S644" s="5"/>
      <c r="T644" s="5"/>
      <c r="U644" s="5"/>
      <c r="V644" s="5"/>
      <c r="W644" s="5"/>
    </row>
    <row r="645">
      <c r="A645" s="5"/>
      <c r="B645" s="3"/>
      <c r="C645" s="5"/>
      <c r="D645" s="5"/>
      <c r="E645" s="5"/>
      <c r="F645" s="5"/>
      <c r="G645" s="5"/>
      <c r="H645" s="5"/>
      <c r="I645" s="5"/>
      <c r="J645" s="5"/>
      <c r="K645" s="5"/>
      <c r="L645" s="5"/>
      <c r="M645" s="5"/>
      <c r="N645" s="5"/>
      <c r="O645" s="5"/>
      <c r="P645" s="5"/>
      <c r="Q645" s="5"/>
      <c r="R645" s="5"/>
      <c r="S645" s="5"/>
      <c r="T645" s="5"/>
      <c r="U645" s="5"/>
      <c r="V645" s="5"/>
      <c r="W645" s="5"/>
    </row>
    <row r="646">
      <c r="A646" s="5"/>
      <c r="B646" s="3"/>
      <c r="C646" s="5"/>
      <c r="D646" s="5"/>
      <c r="E646" s="5"/>
      <c r="F646" s="5"/>
      <c r="G646" s="5"/>
      <c r="H646" s="5"/>
      <c r="I646" s="5"/>
      <c r="J646" s="5"/>
      <c r="K646" s="5"/>
      <c r="L646" s="5"/>
      <c r="M646" s="5"/>
      <c r="N646" s="5"/>
      <c r="O646" s="5"/>
      <c r="P646" s="5"/>
      <c r="Q646" s="5"/>
      <c r="R646" s="5"/>
      <c r="S646" s="5"/>
      <c r="T646" s="5"/>
      <c r="U646" s="5"/>
      <c r="V646" s="5"/>
      <c r="W646" s="5"/>
    </row>
    <row r="647">
      <c r="A647" s="5"/>
      <c r="B647" s="3"/>
      <c r="C647" s="5"/>
      <c r="D647" s="5"/>
      <c r="E647" s="5"/>
      <c r="F647" s="5"/>
      <c r="G647" s="5"/>
      <c r="H647" s="5"/>
      <c r="I647" s="5"/>
      <c r="J647" s="5"/>
      <c r="K647" s="5"/>
      <c r="L647" s="5"/>
      <c r="M647" s="5"/>
      <c r="N647" s="5"/>
      <c r="O647" s="5"/>
      <c r="P647" s="5"/>
      <c r="Q647" s="5"/>
      <c r="R647" s="5"/>
      <c r="S647" s="5"/>
      <c r="T647" s="5"/>
      <c r="U647" s="5"/>
      <c r="V647" s="5"/>
      <c r="W647" s="5"/>
    </row>
    <row r="648">
      <c r="A648" s="5"/>
      <c r="B648" s="3"/>
      <c r="C648" s="5"/>
      <c r="D648" s="5"/>
      <c r="E648" s="5"/>
      <c r="F648" s="5"/>
      <c r="G648" s="5"/>
      <c r="H648" s="5"/>
      <c r="I648" s="5"/>
      <c r="J648" s="5"/>
      <c r="K648" s="5"/>
      <c r="L648" s="5"/>
      <c r="M648" s="5"/>
      <c r="N648" s="5"/>
      <c r="O648" s="5"/>
      <c r="P648" s="5"/>
      <c r="Q648" s="5"/>
      <c r="R648" s="5"/>
      <c r="S648" s="5"/>
      <c r="T648" s="5"/>
      <c r="U648" s="5"/>
      <c r="V648" s="5"/>
      <c r="W648" s="5"/>
    </row>
    <row r="649">
      <c r="A649" s="5"/>
      <c r="B649" s="3"/>
      <c r="C649" s="5"/>
      <c r="D649" s="5"/>
      <c r="E649" s="5"/>
      <c r="F649" s="5"/>
      <c r="G649" s="5"/>
      <c r="H649" s="5"/>
      <c r="I649" s="5"/>
      <c r="J649" s="5"/>
      <c r="K649" s="5"/>
      <c r="L649" s="5"/>
      <c r="M649" s="5"/>
      <c r="N649" s="5"/>
      <c r="O649" s="5"/>
      <c r="P649" s="5"/>
      <c r="Q649" s="5"/>
      <c r="R649" s="5"/>
      <c r="S649" s="5"/>
      <c r="T649" s="5"/>
      <c r="U649" s="5"/>
      <c r="V649" s="5"/>
      <c r="W649" s="5"/>
    </row>
    <row r="650">
      <c r="A650" s="5"/>
      <c r="B650" s="3"/>
      <c r="C650" s="5"/>
      <c r="D650" s="5"/>
      <c r="E650" s="5"/>
      <c r="F650" s="5"/>
      <c r="G650" s="5"/>
      <c r="H650" s="5"/>
      <c r="I650" s="5"/>
      <c r="J650" s="5"/>
      <c r="K650" s="5"/>
      <c r="L650" s="5"/>
      <c r="M650" s="5"/>
      <c r="N650" s="5"/>
      <c r="O650" s="5"/>
      <c r="P650" s="5"/>
      <c r="Q650" s="5"/>
      <c r="R650" s="5"/>
      <c r="S650" s="5"/>
      <c r="T650" s="5"/>
      <c r="U650" s="5"/>
      <c r="V650" s="5"/>
      <c r="W650" s="5"/>
    </row>
    <row r="651">
      <c r="A651" s="5"/>
      <c r="B651" s="3"/>
      <c r="C651" s="5"/>
      <c r="D651" s="5"/>
      <c r="E651" s="5"/>
      <c r="F651" s="5"/>
      <c r="G651" s="5"/>
      <c r="H651" s="5"/>
      <c r="I651" s="5"/>
      <c r="J651" s="5"/>
      <c r="K651" s="5"/>
      <c r="L651" s="5"/>
      <c r="M651" s="5"/>
      <c r="N651" s="5"/>
      <c r="O651" s="5"/>
      <c r="P651" s="5"/>
      <c r="Q651" s="5"/>
      <c r="R651" s="5"/>
      <c r="S651" s="5"/>
      <c r="T651" s="5"/>
      <c r="U651" s="5"/>
      <c r="V651" s="5"/>
      <c r="W651" s="5"/>
    </row>
    <row r="652">
      <c r="A652" s="5"/>
      <c r="B652" s="3"/>
      <c r="C652" s="5"/>
      <c r="D652" s="5"/>
      <c r="E652" s="5"/>
      <c r="F652" s="5"/>
      <c r="G652" s="5"/>
      <c r="H652" s="5"/>
      <c r="I652" s="5"/>
      <c r="J652" s="5"/>
      <c r="K652" s="5"/>
      <c r="L652" s="5"/>
      <c r="M652" s="5"/>
      <c r="N652" s="5"/>
      <c r="O652" s="5"/>
      <c r="P652" s="5"/>
      <c r="Q652" s="5"/>
      <c r="R652" s="5"/>
      <c r="S652" s="5"/>
      <c r="T652" s="5"/>
      <c r="U652" s="5"/>
      <c r="V652" s="5"/>
      <c r="W652" s="5"/>
    </row>
    <row r="653">
      <c r="A653" s="5"/>
      <c r="B653" s="3"/>
      <c r="C653" s="5"/>
      <c r="D653" s="5"/>
      <c r="E653" s="5"/>
      <c r="F653" s="5"/>
      <c r="G653" s="5"/>
      <c r="H653" s="5"/>
      <c r="I653" s="5"/>
      <c r="J653" s="5"/>
      <c r="K653" s="5"/>
      <c r="L653" s="5"/>
      <c r="M653" s="5"/>
      <c r="N653" s="5"/>
      <c r="O653" s="5"/>
      <c r="P653" s="5"/>
      <c r="Q653" s="5"/>
      <c r="R653" s="5"/>
      <c r="S653" s="5"/>
      <c r="T653" s="5"/>
      <c r="U653" s="5"/>
      <c r="V653" s="5"/>
      <c r="W653" s="5"/>
    </row>
    <row r="654">
      <c r="A654" s="5"/>
      <c r="B654" s="3"/>
      <c r="C654" s="5"/>
      <c r="D654" s="5"/>
      <c r="E654" s="5"/>
      <c r="F654" s="5"/>
      <c r="G654" s="5"/>
      <c r="H654" s="5"/>
      <c r="I654" s="5"/>
      <c r="J654" s="5"/>
      <c r="K654" s="5"/>
      <c r="L654" s="5"/>
      <c r="M654" s="5"/>
      <c r="N654" s="5"/>
      <c r="O654" s="5"/>
      <c r="P654" s="5"/>
      <c r="Q654" s="5"/>
      <c r="R654" s="5"/>
      <c r="S654" s="5"/>
      <c r="T654" s="5"/>
      <c r="U654" s="5"/>
      <c r="V654" s="5"/>
      <c r="W654" s="5"/>
    </row>
    <row r="655">
      <c r="A655" s="5"/>
      <c r="B655" s="3"/>
      <c r="C655" s="5"/>
      <c r="D655" s="5"/>
      <c r="E655" s="5"/>
      <c r="F655" s="5"/>
      <c r="G655" s="5"/>
      <c r="H655" s="5"/>
      <c r="I655" s="5"/>
      <c r="J655" s="5"/>
      <c r="K655" s="5"/>
      <c r="L655" s="5"/>
      <c r="M655" s="5"/>
      <c r="N655" s="5"/>
      <c r="O655" s="5"/>
      <c r="P655" s="5"/>
      <c r="Q655" s="5"/>
      <c r="R655" s="5"/>
      <c r="S655" s="5"/>
      <c r="T655" s="5"/>
      <c r="U655" s="5"/>
      <c r="V655" s="5"/>
      <c r="W655" s="5"/>
    </row>
    <row r="656">
      <c r="A656" s="5"/>
      <c r="B656" s="3"/>
      <c r="C656" s="5"/>
      <c r="D656" s="5"/>
      <c r="E656" s="5"/>
      <c r="F656" s="5"/>
      <c r="G656" s="5"/>
      <c r="H656" s="5"/>
      <c r="I656" s="5"/>
      <c r="J656" s="5"/>
      <c r="K656" s="5"/>
      <c r="L656" s="5"/>
      <c r="M656" s="5"/>
      <c r="N656" s="5"/>
      <c r="O656" s="5"/>
      <c r="P656" s="5"/>
      <c r="Q656" s="5"/>
      <c r="R656" s="5"/>
      <c r="S656" s="5"/>
      <c r="T656" s="5"/>
      <c r="U656" s="5"/>
      <c r="V656" s="5"/>
      <c r="W656" s="5"/>
    </row>
    <row r="657">
      <c r="A657" s="5"/>
      <c r="B657" s="3"/>
      <c r="C657" s="5"/>
      <c r="D657" s="5"/>
      <c r="E657" s="5"/>
      <c r="F657" s="5"/>
      <c r="G657" s="5"/>
      <c r="H657" s="5"/>
      <c r="I657" s="5"/>
      <c r="J657" s="5"/>
      <c r="K657" s="5"/>
      <c r="L657" s="5"/>
      <c r="M657" s="5"/>
      <c r="N657" s="5"/>
      <c r="O657" s="5"/>
      <c r="P657" s="5"/>
      <c r="Q657" s="5"/>
      <c r="R657" s="5"/>
      <c r="S657" s="5"/>
      <c r="T657" s="5"/>
      <c r="U657" s="5"/>
      <c r="V657" s="5"/>
      <c r="W657" s="5"/>
    </row>
    <row r="658">
      <c r="A658" s="5"/>
      <c r="B658" s="3"/>
      <c r="C658" s="5"/>
      <c r="D658" s="5"/>
      <c r="E658" s="5"/>
      <c r="F658" s="5"/>
      <c r="G658" s="5"/>
      <c r="H658" s="5"/>
      <c r="I658" s="5"/>
      <c r="J658" s="5"/>
      <c r="K658" s="5"/>
      <c r="L658" s="5"/>
      <c r="M658" s="5"/>
      <c r="N658" s="5"/>
      <c r="O658" s="5"/>
      <c r="P658" s="5"/>
      <c r="Q658" s="5"/>
      <c r="R658" s="5"/>
      <c r="S658" s="5"/>
      <c r="T658" s="5"/>
      <c r="U658" s="5"/>
      <c r="V658" s="5"/>
      <c r="W658" s="5"/>
    </row>
    <row r="659">
      <c r="A659" s="5"/>
      <c r="B659" s="3"/>
      <c r="C659" s="5"/>
      <c r="D659" s="5"/>
      <c r="E659" s="5"/>
      <c r="F659" s="5"/>
      <c r="G659" s="5"/>
      <c r="H659" s="5"/>
      <c r="I659" s="5"/>
      <c r="J659" s="5"/>
      <c r="K659" s="5"/>
      <c r="L659" s="5"/>
      <c r="M659" s="5"/>
      <c r="N659" s="5"/>
      <c r="O659" s="5"/>
      <c r="P659" s="5"/>
      <c r="Q659" s="5"/>
      <c r="R659" s="5"/>
      <c r="S659" s="5"/>
      <c r="T659" s="5"/>
      <c r="U659" s="5"/>
      <c r="V659" s="5"/>
      <c r="W659" s="5"/>
    </row>
    <row r="660">
      <c r="A660" s="5"/>
      <c r="B660" s="3"/>
      <c r="C660" s="5"/>
      <c r="D660" s="5"/>
      <c r="E660" s="5"/>
      <c r="F660" s="5"/>
      <c r="G660" s="5"/>
      <c r="H660" s="5"/>
      <c r="I660" s="5"/>
      <c r="J660" s="5"/>
      <c r="K660" s="5"/>
      <c r="L660" s="5"/>
      <c r="M660" s="5"/>
      <c r="N660" s="5"/>
      <c r="O660" s="5"/>
      <c r="P660" s="5"/>
      <c r="Q660" s="5"/>
      <c r="R660" s="5"/>
      <c r="S660" s="5"/>
      <c r="T660" s="5"/>
      <c r="U660" s="5"/>
      <c r="V660" s="5"/>
      <c r="W660" s="5"/>
    </row>
    <row r="661">
      <c r="A661" s="5"/>
      <c r="B661" s="3"/>
      <c r="C661" s="5"/>
      <c r="D661" s="5"/>
      <c r="E661" s="5"/>
      <c r="F661" s="5"/>
      <c r="G661" s="5"/>
      <c r="H661" s="5"/>
      <c r="I661" s="5"/>
      <c r="J661" s="5"/>
      <c r="K661" s="5"/>
      <c r="L661" s="5"/>
      <c r="M661" s="5"/>
      <c r="N661" s="5"/>
      <c r="O661" s="5"/>
      <c r="P661" s="5"/>
      <c r="Q661" s="5"/>
      <c r="R661" s="5"/>
      <c r="S661" s="5"/>
      <c r="T661" s="5"/>
      <c r="U661" s="5"/>
      <c r="V661" s="5"/>
      <c r="W661" s="5"/>
    </row>
    <row r="662">
      <c r="A662" s="5"/>
      <c r="B662" s="3"/>
      <c r="C662" s="5"/>
      <c r="D662" s="5"/>
      <c r="E662" s="5"/>
      <c r="F662" s="5"/>
      <c r="G662" s="5"/>
      <c r="H662" s="5"/>
      <c r="I662" s="5"/>
      <c r="J662" s="5"/>
      <c r="K662" s="5"/>
      <c r="L662" s="5"/>
      <c r="M662" s="5"/>
      <c r="N662" s="5"/>
      <c r="O662" s="5"/>
      <c r="P662" s="5"/>
      <c r="Q662" s="5"/>
      <c r="R662" s="5"/>
      <c r="S662" s="5"/>
      <c r="T662" s="5"/>
      <c r="U662" s="5"/>
      <c r="V662" s="5"/>
      <c r="W662" s="5"/>
    </row>
    <row r="663">
      <c r="A663" s="5"/>
      <c r="B663" s="3"/>
      <c r="C663" s="5"/>
      <c r="D663" s="5"/>
      <c r="E663" s="5"/>
      <c r="F663" s="5"/>
      <c r="G663" s="5"/>
      <c r="H663" s="5"/>
      <c r="I663" s="5"/>
      <c r="J663" s="5"/>
      <c r="K663" s="5"/>
      <c r="L663" s="5"/>
      <c r="M663" s="5"/>
      <c r="N663" s="5"/>
      <c r="O663" s="5"/>
      <c r="P663" s="5"/>
      <c r="Q663" s="5"/>
      <c r="R663" s="5"/>
      <c r="S663" s="5"/>
      <c r="T663" s="5"/>
      <c r="U663" s="5"/>
      <c r="V663" s="5"/>
      <c r="W663" s="5"/>
    </row>
    <row r="664">
      <c r="A664" s="5"/>
      <c r="B664" s="3"/>
      <c r="C664" s="5"/>
      <c r="D664" s="5"/>
      <c r="E664" s="5"/>
      <c r="F664" s="5"/>
      <c r="G664" s="5"/>
      <c r="H664" s="5"/>
      <c r="I664" s="5"/>
      <c r="J664" s="5"/>
      <c r="K664" s="5"/>
      <c r="L664" s="5"/>
      <c r="M664" s="5"/>
      <c r="N664" s="5"/>
      <c r="O664" s="5"/>
      <c r="P664" s="5"/>
      <c r="Q664" s="5"/>
      <c r="R664" s="5"/>
      <c r="S664" s="5"/>
      <c r="T664" s="5"/>
      <c r="U664" s="5"/>
      <c r="V664" s="5"/>
      <c r="W664" s="5"/>
    </row>
    <row r="665">
      <c r="A665" s="5"/>
      <c r="B665" s="3"/>
      <c r="C665" s="5"/>
      <c r="D665" s="5"/>
      <c r="E665" s="5"/>
      <c r="F665" s="5"/>
      <c r="G665" s="5"/>
      <c r="H665" s="5"/>
      <c r="I665" s="5"/>
      <c r="J665" s="5"/>
      <c r="K665" s="5"/>
      <c r="L665" s="5"/>
      <c r="M665" s="5"/>
      <c r="N665" s="5"/>
      <c r="O665" s="5"/>
      <c r="P665" s="5"/>
      <c r="Q665" s="5"/>
      <c r="R665" s="5"/>
      <c r="S665" s="5"/>
      <c r="T665" s="5"/>
      <c r="U665" s="5"/>
      <c r="V665" s="5"/>
      <c r="W665" s="5"/>
    </row>
    <row r="666">
      <c r="A666" s="5"/>
      <c r="B666" s="3"/>
      <c r="C666" s="5"/>
      <c r="D666" s="5"/>
      <c r="E666" s="5"/>
      <c r="F666" s="5"/>
      <c r="G666" s="5"/>
      <c r="H666" s="5"/>
      <c r="I666" s="5"/>
      <c r="J666" s="5"/>
      <c r="K666" s="5"/>
      <c r="L666" s="5"/>
      <c r="M666" s="5"/>
      <c r="N666" s="5"/>
      <c r="O666" s="5"/>
      <c r="P666" s="5"/>
      <c r="Q666" s="5"/>
      <c r="R666" s="5"/>
      <c r="S666" s="5"/>
      <c r="T666" s="5"/>
      <c r="U666" s="5"/>
      <c r="V666" s="5"/>
      <c r="W666" s="5"/>
    </row>
    <row r="667">
      <c r="A667" s="5"/>
      <c r="B667" s="3"/>
      <c r="C667" s="5"/>
      <c r="D667" s="5"/>
      <c r="E667" s="5"/>
      <c r="F667" s="5"/>
      <c r="G667" s="5"/>
      <c r="H667" s="5"/>
      <c r="I667" s="5"/>
      <c r="J667" s="5"/>
      <c r="K667" s="5"/>
      <c r="L667" s="5"/>
      <c r="M667" s="5"/>
      <c r="N667" s="5"/>
      <c r="O667" s="5"/>
      <c r="P667" s="5"/>
      <c r="Q667" s="5"/>
      <c r="R667" s="5"/>
      <c r="S667" s="5"/>
      <c r="T667" s="5"/>
      <c r="U667" s="5"/>
      <c r="V667" s="5"/>
      <c r="W667" s="5"/>
    </row>
    <row r="668">
      <c r="A668" s="5"/>
      <c r="B668" s="3"/>
      <c r="C668" s="5"/>
      <c r="D668" s="5"/>
      <c r="E668" s="5"/>
      <c r="F668" s="5"/>
      <c r="G668" s="5"/>
      <c r="H668" s="5"/>
      <c r="I668" s="5"/>
      <c r="J668" s="5"/>
      <c r="K668" s="5"/>
      <c r="L668" s="5"/>
      <c r="M668" s="5"/>
      <c r="N668" s="5"/>
      <c r="O668" s="5"/>
      <c r="P668" s="5"/>
      <c r="Q668" s="5"/>
      <c r="R668" s="5"/>
      <c r="S668" s="5"/>
      <c r="T668" s="5"/>
      <c r="U668" s="5"/>
      <c r="V668" s="5"/>
      <c r="W668" s="5"/>
    </row>
    <row r="669">
      <c r="A669" s="5"/>
      <c r="B669" s="3"/>
      <c r="C669" s="5"/>
      <c r="D669" s="5"/>
      <c r="E669" s="5"/>
      <c r="F669" s="5"/>
      <c r="G669" s="5"/>
      <c r="H669" s="5"/>
      <c r="I669" s="5"/>
      <c r="J669" s="5"/>
      <c r="K669" s="5"/>
      <c r="L669" s="5"/>
      <c r="M669" s="5"/>
      <c r="N669" s="5"/>
      <c r="O669" s="5"/>
      <c r="P669" s="5"/>
      <c r="Q669" s="5"/>
      <c r="R669" s="5"/>
      <c r="S669" s="5"/>
      <c r="T669" s="5"/>
      <c r="U669" s="5"/>
      <c r="V669" s="5"/>
      <c r="W669" s="5"/>
    </row>
    <row r="670">
      <c r="A670" s="5"/>
      <c r="B670" s="3"/>
      <c r="C670" s="5"/>
      <c r="D670" s="5"/>
      <c r="E670" s="5"/>
      <c r="F670" s="5"/>
      <c r="G670" s="5"/>
      <c r="H670" s="5"/>
      <c r="I670" s="5"/>
      <c r="J670" s="5"/>
      <c r="K670" s="5"/>
      <c r="L670" s="5"/>
      <c r="M670" s="5"/>
      <c r="N670" s="5"/>
      <c r="O670" s="5"/>
      <c r="P670" s="5"/>
      <c r="Q670" s="5"/>
      <c r="R670" s="5"/>
      <c r="S670" s="5"/>
      <c r="T670" s="5"/>
      <c r="U670" s="5"/>
      <c r="V670" s="5"/>
      <c r="W670" s="5"/>
    </row>
    <row r="671">
      <c r="A671" s="5"/>
      <c r="B671" s="3"/>
      <c r="C671" s="5"/>
      <c r="D671" s="5"/>
      <c r="E671" s="5"/>
      <c r="F671" s="5"/>
      <c r="G671" s="5"/>
      <c r="H671" s="5"/>
      <c r="I671" s="5"/>
      <c r="J671" s="5"/>
      <c r="K671" s="5"/>
      <c r="L671" s="5"/>
      <c r="M671" s="5"/>
      <c r="N671" s="5"/>
      <c r="O671" s="5"/>
      <c r="P671" s="5"/>
      <c r="Q671" s="5"/>
      <c r="R671" s="5"/>
      <c r="S671" s="5"/>
      <c r="T671" s="5"/>
      <c r="U671" s="5"/>
      <c r="V671" s="5"/>
      <c r="W671" s="5"/>
    </row>
    <row r="672">
      <c r="A672" s="5"/>
      <c r="B672" s="3"/>
      <c r="C672" s="5"/>
      <c r="D672" s="5"/>
      <c r="E672" s="5"/>
      <c r="F672" s="5"/>
      <c r="G672" s="5"/>
      <c r="H672" s="5"/>
      <c r="I672" s="5"/>
      <c r="J672" s="5"/>
      <c r="K672" s="5"/>
      <c r="L672" s="5"/>
      <c r="M672" s="5"/>
      <c r="N672" s="5"/>
      <c r="O672" s="5"/>
      <c r="P672" s="5"/>
      <c r="Q672" s="5"/>
      <c r="R672" s="5"/>
      <c r="S672" s="5"/>
      <c r="T672" s="5"/>
      <c r="U672" s="5"/>
      <c r="V672" s="5"/>
      <c r="W672" s="5"/>
    </row>
    <row r="673">
      <c r="A673" s="5"/>
      <c r="B673" s="3"/>
      <c r="C673" s="5"/>
      <c r="D673" s="5"/>
      <c r="E673" s="5"/>
      <c r="F673" s="5"/>
      <c r="G673" s="5"/>
      <c r="H673" s="5"/>
      <c r="I673" s="5"/>
      <c r="J673" s="5"/>
      <c r="K673" s="5"/>
      <c r="L673" s="5"/>
      <c r="M673" s="5"/>
      <c r="N673" s="5"/>
      <c r="O673" s="5"/>
      <c r="P673" s="5"/>
      <c r="Q673" s="5"/>
      <c r="R673" s="5"/>
      <c r="S673" s="5"/>
      <c r="T673" s="5"/>
      <c r="U673" s="5"/>
      <c r="V673" s="5"/>
      <c r="W673" s="5"/>
    </row>
    <row r="674">
      <c r="A674" s="5"/>
      <c r="B674" s="3"/>
      <c r="C674" s="5"/>
      <c r="D674" s="5"/>
      <c r="E674" s="5"/>
      <c r="F674" s="5"/>
      <c r="G674" s="5"/>
      <c r="H674" s="5"/>
      <c r="I674" s="5"/>
      <c r="J674" s="5"/>
      <c r="K674" s="5"/>
      <c r="L674" s="5"/>
      <c r="M674" s="5"/>
      <c r="N674" s="5"/>
      <c r="O674" s="5"/>
      <c r="P674" s="5"/>
      <c r="Q674" s="5"/>
      <c r="R674" s="5"/>
      <c r="S674" s="5"/>
      <c r="T674" s="5"/>
      <c r="U674" s="5"/>
      <c r="V674" s="5"/>
      <c r="W674" s="5"/>
    </row>
    <row r="675">
      <c r="A675" s="5"/>
      <c r="B675" s="3"/>
      <c r="C675" s="5"/>
      <c r="D675" s="5"/>
      <c r="E675" s="5"/>
      <c r="F675" s="5"/>
      <c r="G675" s="5"/>
      <c r="H675" s="5"/>
      <c r="I675" s="5"/>
      <c r="J675" s="5"/>
      <c r="K675" s="5"/>
      <c r="L675" s="5"/>
      <c r="M675" s="5"/>
      <c r="N675" s="5"/>
      <c r="O675" s="5"/>
      <c r="P675" s="5"/>
      <c r="Q675" s="5"/>
      <c r="R675" s="5"/>
      <c r="S675" s="5"/>
      <c r="T675" s="5"/>
      <c r="U675" s="5"/>
      <c r="V675" s="5"/>
      <c r="W675" s="5"/>
    </row>
    <row r="676">
      <c r="A676" s="5"/>
      <c r="B676" s="3"/>
      <c r="C676" s="5"/>
      <c r="D676" s="5"/>
      <c r="E676" s="5"/>
      <c r="F676" s="5"/>
      <c r="G676" s="5"/>
      <c r="H676" s="5"/>
      <c r="I676" s="5"/>
      <c r="J676" s="5"/>
      <c r="K676" s="5"/>
      <c r="L676" s="5"/>
      <c r="M676" s="5"/>
      <c r="N676" s="5"/>
      <c r="O676" s="5"/>
      <c r="P676" s="5"/>
      <c r="Q676" s="5"/>
      <c r="R676" s="5"/>
      <c r="S676" s="5"/>
      <c r="T676" s="5"/>
      <c r="U676" s="5"/>
      <c r="V676" s="5"/>
      <c r="W676" s="5"/>
    </row>
    <row r="677">
      <c r="A677" s="5"/>
      <c r="B677" s="3"/>
      <c r="C677" s="5"/>
      <c r="D677" s="5"/>
      <c r="E677" s="5"/>
      <c r="F677" s="5"/>
      <c r="G677" s="5"/>
      <c r="H677" s="5"/>
      <c r="I677" s="5"/>
      <c r="J677" s="5"/>
      <c r="K677" s="5"/>
      <c r="L677" s="5"/>
      <c r="M677" s="5"/>
      <c r="N677" s="5"/>
      <c r="O677" s="5"/>
      <c r="P677" s="5"/>
      <c r="Q677" s="5"/>
      <c r="R677" s="5"/>
      <c r="S677" s="5"/>
      <c r="T677" s="5"/>
      <c r="U677" s="5"/>
      <c r="V677" s="5"/>
      <c r="W677" s="5"/>
    </row>
    <row r="678">
      <c r="A678" s="5"/>
      <c r="B678" s="3"/>
      <c r="C678" s="5"/>
      <c r="D678" s="5"/>
      <c r="E678" s="5"/>
      <c r="F678" s="5"/>
      <c r="G678" s="5"/>
      <c r="H678" s="5"/>
      <c r="I678" s="5"/>
      <c r="J678" s="5"/>
      <c r="K678" s="5"/>
      <c r="L678" s="5"/>
      <c r="M678" s="5"/>
      <c r="N678" s="5"/>
      <c r="O678" s="5"/>
      <c r="P678" s="5"/>
      <c r="Q678" s="5"/>
      <c r="R678" s="5"/>
      <c r="S678" s="5"/>
      <c r="T678" s="5"/>
      <c r="U678" s="5"/>
      <c r="V678" s="5"/>
      <c r="W678" s="5"/>
    </row>
    <row r="679">
      <c r="A679" s="5"/>
      <c r="B679" s="3"/>
      <c r="C679" s="5"/>
      <c r="D679" s="5"/>
      <c r="E679" s="5"/>
      <c r="F679" s="5"/>
      <c r="G679" s="5"/>
      <c r="H679" s="5"/>
      <c r="I679" s="5"/>
      <c r="J679" s="5"/>
      <c r="K679" s="5"/>
      <c r="L679" s="5"/>
      <c r="M679" s="5"/>
      <c r="N679" s="5"/>
      <c r="O679" s="5"/>
      <c r="P679" s="5"/>
      <c r="Q679" s="5"/>
      <c r="R679" s="5"/>
      <c r="S679" s="5"/>
      <c r="T679" s="5"/>
      <c r="U679" s="5"/>
      <c r="V679" s="5"/>
      <c r="W679" s="5"/>
    </row>
    <row r="680">
      <c r="A680" s="5"/>
      <c r="B680" s="3"/>
      <c r="C680" s="5"/>
      <c r="D680" s="5"/>
      <c r="E680" s="5"/>
      <c r="F680" s="5"/>
      <c r="G680" s="5"/>
      <c r="H680" s="5"/>
      <c r="I680" s="5"/>
      <c r="J680" s="5"/>
      <c r="K680" s="5"/>
      <c r="L680" s="5"/>
      <c r="M680" s="5"/>
      <c r="N680" s="5"/>
      <c r="O680" s="5"/>
      <c r="P680" s="5"/>
      <c r="Q680" s="5"/>
      <c r="R680" s="5"/>
      <c r="S680" s="5"/>
      <c r="T680" s="5"/>
      <c r="U680" s="5"/>
      <c r="V680" s="5"/>
      <c r="W680" s="5"/>
    </row>
    <row r="681">
      <c r="A681" s="5"/>
      <c r="B681" s="3"/>
      <c r="C681" s="5"/>
      <c r="D681" s="5"/>
      <c r="E681" s="5"/>
      <c r="F681" s="5"/>
      <c r="G681" s="5"/>
      <c r="H681" s="5"/>
      <c r="I681" s="5"/>
      <c r="J681" s="5"/>
      <c r="K681" s="5"/>
      <c r="L681" s="5"/>
      <c r="M681" s="5"/>
      <c r="N681" s="5"/>
      <c r="O681" s="5"/>
      <c r="P681" s="5"/>
      <c r="Q681" s="5"/>
      <c r="R681" s="5"/>
      <c r="S681" s="5"/>
      <c r="T681" s="5"/>
      <c r="U681" s="5"/>
      <c r="V681" s="5"/>
      <c r="W681" s="5"/>
    </row>
    <row r="682">
      <c r="A682" s="5"/>
      <c r="B682" s="3"/>
      <c r="C682" s="5"/>
      <c r="D682" s="5"/>
      <c r="E682" s="5"/>
      <c r="F682" s="5"/>
      <c r="G682" s="5"/>
      <c r="H682" s="5"/>
      <c r="I682" s="5"/>
      <c r="J682" s="5"/>
      <c r="K682" s="5"/>
      <c r="L682" s="5"/>
      <c r="M682" s="5"/>
      <c r="N682" s="5"/>
      <c r="O682" s="5"/>
      <c r="P682" s="5"/>
      <c r="Q682" s="5"/>
      <c r="R682" s="5"/>
      <c r="S682" s="5"/>
      <c r="T682" s="5"/>
      <c r="U682" s="5"/>
      <c r="V682" s="5"/>
      <c r="W682" s="5"/>
    </row>
    <row r="683">
      <c r="A683" s="5"/>
      <c r="B683" s="3"/>
      <c r="C683" s="5"/>
      <c r="D683" s="5"/>
      <c r="E683" s="5"/>
      <c r="F683" s="5"/>
      <c r="G683" s="5"/>
      <c r="H683" s="5"/>
      <c r="I683" s="5"/>
      <c r="J683" s="5"/>
      <c r="K683" s="5"/>
      <c r="L683" s="5"/>
      <c r="M683" s="5"/>
      <c r="N683" s="5"/>
      <c r="O683" s="5"/>
      <c r="P683" s="5"/>
      <c r="Q683" s="5"/>
      <c r="R683" s="5"/>
      <c r="S683" s="5"/>
      <c r="T683" s="5"/>
      <c r="U683" s="5"/>
      <c r="V683" s="5"/>
      <c r="W683" s="5"/>
    </row>
    <row r="684">
      <c r="A684" s="5"/>
      <c r="B684" s="3"/>
      <c r="C684" s="5"/>
      <c r="D684" s="5"/>
      <c r="E684" s="5"/>
      <c r="F684" s="5"/>
      <c r="G684" s="5"/>
      <c r="H684" s="5"/>
      <c r="I684" s="5"/>
      <c r="J684" s="5"/>
      <c r="K684" s="5"/>
      <c r="L684" s="5"/>
      <c r="M684" s="5"/>
      <c r="N684" s="5"/>
      <c r="O684" s="5"/>
      <c r="P684" s="5"/>
      <c r="Q684" s="5"/>
      <c r="R684" s="5"/>
      <c r="S684" s="5"/>
      <c r="T684" s="5"/>
      <c r="U684" s="5"/>
      <c r="V684" s="5"/>
      <c r="W684" s="5"/>
    </row>
    <row r="685">
      <c r="A685" s="5"/>
      <c r="B685" s="3"/>
      <c r="C685" s="5"/>
      <c r="D685" s="5"/>
      <c r="E685" s="5"/>
      <c r="F685" s="5"/>
      <c r="G685" s="5"/>
      <c r="H685" s="5"/>
      <c r="I685" s="5"/>
      <c r="J685" s="5"/>
      <c r="K685" s="5"/>
      <c r="L685" s="5"/>
      <c r="M685" s="5"/>
      <c r="N685" s="5"/>
      <c r="O685" s="5"/>
      <c r="P685" s="5"/>
      <c r="Q685" s="5"/>
      <c r="R685" s="5"/>
      <c r="S685" s="5"/>
      <c r="T685" s="5"/>
      <c r="U685" s="5"/>
      <c r="V685" s="5"/>
      <c r="W685" s="5"/>
    </row>
    <row r="686">
      <c r="A686" s="5"/>
      <c r="B686" s="3"/>
      <c r="C686" s="5"/>
      <c r="D686" s="5"/>
      <c r="E686" s="5"/>
      <c r="F686" s="5"/>
      <c r="G686" s="5"/>
      <c r="H686" s="5"/>
      <c r="I686" s="5"/>
      <c r="J686" s="5"/>
      <c r="K686" s="5"/>
      <c r="L686" s="5"/>
      <c r="M686" s="5"/>
      <c r="N686" s="5"/>
      <c r="O686" s="5"/>
      <c r="P686" s="5"/>
      <c r="Q686" s="5"/>
      <c r="R686" s="5"/>
      <c r="S686" s="5"/>
      <c r="T686" s="5"/>
      <c r="U686" s="5"/>
      <c r="V686" s="5"/>
      <c r="W686" s="5"/>
    </row>
    <row r="687">
      <c r="A687" s="5"/>
      <c r="B687" s="3"/>
      <c r="C687" s="5"/>
      <c r="D687" s="5"/>
      <c r="E687" s="5"/>
      <c r="F687" s="5"/>
      <c r="G687" s="5"/>
      <c r="H687" s="5"/>
      <c r="I687" s="5"/>
      <c r="J687" s="5"/>
      <c r="K687" s="5"/>
      <c r="L687" s="5"/>
      <c r="M687" s="5"/>
      <c r="N687" s="5"/>
      <c r="O687" s="5"/>
      <c r="P687" s="5"/>
      <c r="Q687" s="5"/>
      <c r="R687" s="5"/>
      <c r="S687" s="5"/>
      <c r="T687" s="5"/>
      <c r="U687" s="5"/>
      <c r="V687" s="5"/>
      <c r="W687" s="5"/>
    </row>
    <row r="688">
      <c r="A688" s="5"/>
      <c r="B688" s="3"/>
      <c r="C688" s="5"/>
      <c r="D688" s="5"/>
      <c r="E688" s="5"/>
      <c r="F688" s="5"/>
      <c r="G688" s="5"/>
      <c r="H688" s="5"/>
      <c r="I688" s="5"/>
      <c r="J688" s="5"/>
      <c r="K688" s="5"/>
      <c r="L688" s="5"/>
      <c r="M688" s="5"/>
      <c r="N688" s="5"/>
      <c r="O688" s="5"/>
      <c r="P688" s="5"/>
      <c r="Q688" s="5"/>
      <c r="R688" s="5"/>
      <c r="S688" s="5"/>
      <c r="T688" s="5"/>
      <c r="U688" s="5"/>
      <c r="V688" s="5"/>
      <c r="W688" s="5"/>
    </row>
    <row r="689">
      <c r="A689" s="5"/>
      <c r="B689" s="3"/>
      <c r="C689" s="5"/>
      <c r="D689" s="5"/>
      <c r="E689" s="5"/>
      <c r="F689" s="5"/>
      <c r="G689" s="5"/>
      <c r="H689" s="5"/>
      <c r="I689" s="5"/>
      <c r="J689" s="5"/>
      <c r="K689" s="5"/>
      <c r="L689" s="5"/>
      <c r="M689" s="5"/>
      <c r="N689" s="5"/>
      <c r="O689" s="5"/>
      <c r="P689" s="5"/>
      <c r="Q689" s="5"/>
      <c r="R689" s="5"/>
      <c r="S689" s="5"/>
      <c r="T689" s="5"/>
      <c r="U689" s="5"/>
      <c r="V689" s="5"/>
      <c r="W689" s="5"/>
    </row>
    <row r="690">
      <c r="A690" s="3"/>
      <c r="B690" s="3"/>
      <c r="C690" s="5"/>
      <c r="D690" s="3"/>
      <c r="E690" s="5"/>
      <c r="F690" s="5"/>
      <c r="G690" s="5"/>
      <c r="H690" s="5"/>
      <c r="I690" s="5"/>
      <c r="J690" s="5"/>
      <c r="K690" s="5"/>
      <c r="L690" s="5"/>
      <c r="M690" s="5"/>
      <c r="N690" s="5"/>
      <c r="O690" s="5"/>
      <c r="P690" s="5"/>
      <c r="Q690" s="5"/>
      <c r="R690" s="5"/>
      <c r="S690" s="5"/>
      <c r="T690" s="5"/>
      <c r="U690" s="5"/>
      <c r="V690" s="5"/>
      <c r="W690" s="5"/>
    </row>
    <row r="691">
      <c r="A691" s="3"/>
      <c r="B691" s="3"/>
      <c r="C691" s="5"/>
      <c r="D691" s="3"/>
      <c r="E691" s="5"/>
      <c r="F691" s="5"/>
      <c r="G691" s="5"/>
      <c r="H691" s="5"/>
      <c r="I691" s="5"/>
      <c r="J691" s="5"/>
      <c r="K691" s="5"/>
      <c r="L691" s="5"/>
      <c r="M691" s="5"/>
      <c r="N691" s="5"/>
      <c r="O691" s="5"/>
      <c r="P691" s="5"/>
      <c r="Q691" s="5"/>
      <c r="R691" s="5"/>
      <c r="S691" s="5"/>
      <c r="T691" s="5"/>
      <c r="U691" s="5"/>
      <c r="V691" s="5"/>
      <c r="W691" s="5"/>
    </row>
    <row r="692">
      <c r="A692" s="3"/>
      <c r="B692" s="3"/>
      <c r="C692" s="5"/>
      <c r="D692" s="3"/>
      <c r="E692" s="5"/>
      <c r="F692" s="5"/>
      <c r="G692" s="5"/>
      <c r="H692" s="5"/>
      <c r="I692" s="5"/>
      <c r="J692" s="5"/>
      <c r="K692" s="5"/>
      <c r="L692" s="5"/>
      <c r="M692" s="5"/>
      <c r="N692" s="5"/>
      <c r="O692" s="5"/>
      <c r="P692" s="5"/>
      <c r="Q692" s="5"/>
      <c r="R692" s="5"/>
      <c r="S692" s="5"/>
      <c r="T692" s="5"/>
      <c r="U692" s="5"/>
      <c r="V692" s="5"/>
      <c r="W692" s="5"/>
    </row>
    <row r="693">
      <c r="A693" s="5"/>
      <c r="B693" s="5"/>
      <c r="C693" s="5"/>
      <c r="D693" s="5"/>
      <c r="E693" s="5"/>
      <c r="F693" s="5"/>
      <c r="G693" s="5"/>
      <c r="H693" s="5"/>
      <c r="I693" s="5"/>
      <c r="J693" s="5"/>
      <c r="K693" s="5"/>
      <c r="L693" s="5"/>
      <c r="M693" s="5"/>
      <c r="N693" s="5"/>
      <c r="O693" s="5"/>
      <c r="P693" s="5"/>
      <c r="Q693" s="5"/>
      <c r="R693" s="5"/>
      <c r="S693" s="5"/>
      <c r="T693" s="5"/>
      <c r="U693" s="5"/>
      <c r="V693" s="5"/>
      <c r="W693" s="5"/>
    </row>
    <row r="694">
      <c r="A694" s="5"/>
      <c r="B694" s="5"/>
      <c r="C694" s="5"/>
      <c r="D694" s="5"/>
      <c r="E694" s="5"/>
      <c r="F694" s="5"/>
      <c r="G694" s="5"/>
      <c r="H694" s="5"/>
      <c r="I694" s="5"/>
      <c r="J694" s="5"/>
      <c r="K694" s="5"/>
      <c r="L694" s="5"/>
      <c r="M694" s="5"/>
      <c r="N694" s="5"/>
      <c r="O694" s="5"/>
      <c r="P694" s="5"/>
      <c r="Q694" s="5"/>
      <c r="R694" s="5"/>
      <c r="S694" s="5"/>
      <c r="T694" s="5"/>
      <c r="U694" s="5"/>
      <c r="V694" s="5"/>
      <c r="W694" s="5"/>
    </row>
    <row r="695">
      <c r="A695" s="5"/>
      <c r="B695" s="5"/>
      <c r="C695" s="5"/>
      <c r="D695" s="5"/>
      <c r="E695" s="5"/>
      <c r="F695" s="5"/>
      <c r="G695" s="5"/>
      <c r="H695" s="5"/>
      <c r="I695" s="5"/>
      <c r="J695" s="5"/>
      <c r="K695" s="5"/>
      <c r="L695" s="5"/>
      <c r="M695" s="5"/>
      <c r="N695" s="5"/>
      <c r="O695" s="5"/>
      <c r="P695" s="5"/>
      <c r="Q695" s="5"/>
      <c r="R695" s="5"/>
      <c r="S695" s="5"/>
      <c r="T695" s="5"/>
      <c r="U695" s="5"/>
      <c r="V695" s="5"/>
      <c r="W695" s="5"/>
    </row>
    <row r="696">
      <c r="A696" s="5"/>
      <c r="B696" s="5"/>
      <c r="C696" s="5"/>
      <c r="D696" s="5"/>
      <c r="E696" s="5"/>
      <c r="F696" s="5"/>
      <c r="G696" s="5"/>
      <c r="H696" s="5"/>
      <c r="I696" s="5"/>
      <c r="J696" s="5"/>
      <c r="K696" s="5"/>
      <c r="L696" s="5"/>
      <c r="M696" s="5"/>
      <c r="N696" s="5"/>
      <c r="O696" s="5"/>
      <c r="P696" s="5"/>
      <c r="Q696" s="5"/>
      <c r="R696" s="5"/>
      <c r="S696" s="5"/>
      <c r="T696" s="5"/>
      <c r="U696" s="5"/>
      <c r="V696" s="5"/>
      <c r="W696" s="5"/>
    </row>
    <row r="697">
      <c r="A697" s="5"/>
      <c r="B697" s="5"/>
      <c r="C697" s="5"/>
      <c r="D697" s="5"/>
      <c r="E697" s="5"/>
      <c r="F697" s="5"/>
      <c r="G697" s="5"/>
      <c r="H697" s="5"/>
      <c r="I697" s="5"/>
      <c r="J697" s="5"/>
      <c r="K697" s="5"/>
      <c r="L697" s="5"/>
      <c r="M697" s="5"/>
      <c r="N697" s="5"/>
      <c r="O697" s="5"/>
      <c r="P697" s="5"/>
      <c r="Q697" s="5"/>
      <c r="R697" s="5"/>
      <c r="S697" s="5"/>
      <c r="T697" s="5"/>
      <c r="U697" s="5"/>
      <c r="V697" s="5"/>
      <c r="W697" s="5"/>
    </row>
    <row r="698">
      <c r="A698" s="5"/>
      <c r="B698" s="5"/>
      <c r="C698" s="5"/>
      <c r="D698" s="5"/>
      <c r="E698" s="5"/>
      <c r="F698" s="5"/>
      <c r="G698" s="5"/>
      <c r="H698" s="5"/>
      <c r="I698" s="5"/>
      <c r="J698" s="5"/>
      <c r="K698" s="5"/>
      <c r="L698" s="5"/>
      <c r="M698" s="5"/>
      <c r="N698" s="5"/>
      <c r="O698" s="5"/>
      <c r="P698" s="5"/>
      <c r="Q698" s="5"/>
      <c r="R698" s="5"/>
      <c r="S698" s="5"/>
      <c r="T698" s="5"/>
      <c r="U698" s="5"/>
      <c r="V698" s="5"/>
      <c r="W698" s="5"/>
    </row>
    <row r="699">
      <c r="A699" s="5"/>
      <c r="B699" s="5"/>
      <c r="C699" s="5"/>
      <c r="D699" s="5"/>
      <c r="E699" s="5"/>
      <c r="F699" s="5"/>
      <c r="G699" s="5"/>
      <c r="H699" s="5"/>
      <c r="I699" s="5"/>
      <c r="J699" s="5"/>
      <c r="K699" s="5"/>
      <c r="L699" s="5"/>
      <c r="M699" s="5"/>
      <c r="N699" s="5"/>
      <c r="O699" s="5"/>
      <c r="P699" s="5"/>
      <c r="Q699" s="5"/>
      <c r="R699" s="5"/>
      <c r="S699" s="5"/>
      <c r="T699" s="5"/>
      <c r="U699" s="5"/>
      <c r="V699" s="5"/>
      <c r="W699" s="5"/>
    </row>
    <row r="700">
      <c r="A700" s="5"/>
      <c r="B700" s="5"/>
      <c r="C700" s="5"/>
      <c r="D700" s="5"/>
      <c r="E700" s="5"/>
      <c r="F700" s="5"/>
      <c r="G700" s="5"/>
      <c r="H700" s="5"/>
      <c r="I700" s="5"/>
      <c r="J700" s="5"/>
      <c r="K700" s="5"/>
      <c r="L700" s="5"/>
      <c r="M700" s="5"/>
      <c r="N700" s="5"/>
      <c r="O700" s="5"/>
      <c r="P700" s="5"/>
      <c r="Q700" s="5"/>
      <c r="R700" s="5"/>
      <c r="S700" s="5"/>
      <c r="T700" s="5"/>
      <c r="U700" s="5"/>
      <c r="V700" s="5"/>
      <c r="W700" s="5"/>
    </row>
    <row r="701">
      <c r="A701" s="5"/>
      <c r="B701" s="5"/>
      <c r="C701" s="5"/>
      <c r="D701" s="5"/>
      <c r="E701" s="5"/>
      <c r="F701" s="5"/>
      <c r="G701" s="5"/>
      <c r="H701" s="5"/>
      <c r="I701" s="5"/>
      <c r="J701" s="5"/>
      <c r="K701" s="5"/>
      <c r="L701" s="5"/>
      <c r="M701" s="5"/>
      <c r="N701" s="5"/>
      <c r="O701" s="5"/>
      <c r="P701" s="5"/>
      <c r="Q701" s="5"/>
      <c r="R701" s="5"/>
      <c r="S701" s="5"/>
      <c r="T701" s="5"/>
      <c r="U701" s="5"/>
      <c r="V701" s="5"/>
      <c r="W701" s="5"/>
    </row>
    <row r="702">
      <c r="A702" s="5"/>
      <c r="B702" s="5"/>
      <c r="C702" s="5"/>
      <c r="D702" s="5"/>
      <c r="E702" s="5"/>
      <c r="F702" s="5"/>
      <c r="G702" s="5"/>
      <c r="H702" s="5"/>
      <c r="I702" s="5"/>
      <c r="J702" s="5"/>
      <c r="K702" s="5"/>
      <c r="L702" s="5"/>
      <c r="M702" s="5"/>
      <c r="N702" s="5"/>
      <c r="O702" s="5"/>
      <c r="P702" s="5"/>
      <c r="Q702" s="5"/>
      <c r="R702" s="5"/>
      <c r="S702" s="5"/>
      <c r="T702" s="5"/>
      <c r="U702" s="5"/>
      <c r="V702" s="5"/>
      <c r="W702" s="5"/>
    </row>
    <row r="703">
      <c r="A703" s="5"/>
      <c r="B703" s="5"/>
      <c r="C703" s="5"/>
      <c r="D703" s="5"/>
      <c r="E703" s="5"/>
      <c r="F703" s="5"/>
      <c r="G703" s="5"/>
      <c r="H703" s="5"/>
      <c r="I703" s="5"/>
      <c r="J703" s="5"/>
      <c r="K703" s="5"/>
      <c r="L703" s="5"/>
      <c r="M703" s="5"/>
      <c r="N703" s="5"/>
      <c r="O703" s="5"/>
      <c r="P703" s="5"/>
      <c r="Q703" s="5"/>
      <c r="R703" s="5"/>
      <c r="S703" s="5"/>
      <c r="T703" s="5"/>
      <c r="U703" s="5"/>
      <c r="V703" s="5"/>
      <c r="W703" s="5"/>
    </row>
    <row r="704">
      <c r="A704" s="5"/>
      <c r="B704" s="5"/>
      <c r="C704" s="5"/>
      <c r="D704" s="5"/>
      <c r="E704" s="5"/>
      <c r="F704" s="5"/>
      <c r="G704" s="5"/>
      <c r="H704" s="5"/>
      <c r="I704" s="5"/>
      <c r="J704" s="5"/>
      <c r="K704" s="5"/>
      <c r="L704" s="5"/>
      <c r="M704" s="5"/>
      <c r="N704" s="5"/>
      <c r="O704" s="5"/>
      <c r="P704" s="5"/>
      <c r="Q704" s="5"/>
      <c r="R704" s="5"/>
      <c r="S704" s="5"/>
      <c r="T704" s="5"/>
      <c r="U704" s="5"/>
      <c r="V704" s="5"/>
      <c r="W704" s="5"/>
    </row>
    <row r="705">
      <c r="A705" s="5"/>
      <c r="B705" s="5"/>
      <c r="C705" s="5"/>
      <c r="D705" s="5"/>
      <c r="E705" s="5"/>
      <c r="F705" s="5"/>
      <c r="G705" s="5"/>
      <c r="H705" s="5"/>
      <c r="I705" s="5"/>
      <c r="J705" s="5"/>
      <c r="K705" s="5"/>
      <c r="L705" s="5"/>
      <c r="M705" s="5"/>
      <c r="N705" s="5"/>
      <c r="O705" s="5"/>
      <c r="P705" s="5"/>
      <c r="Q705" s="5"/>
      <c r="R705" s="5"/>
      <c r="S705" s="5"/>
      <c r="T705" s="5"/>
      <c r="U705" s="5"/>
      <c r="V705" s="5"/>
      <c r="W705" s="5"/>
    </row>
    <row r="706">
      <c r="A706" s="5"/>
      <c r="B706" s="5"/>
      <c r="C706" s="5"/>
      <c r="D706" s="5"/>
      <c r="E706" s="5"/>
      <c r="F706" s="5"/>
      <c r="G706" s="5"/>
      <c r="H706" s="5"/>
      <c r="I706" s="5"/>
      <c r="J706" s="5"/>
      <c r="K706" s="5"/>
      <c r="L706" s="5"/>
      <c r="M706" s="5"/>
      <c r="N706" s="5"/>
      <c r="O706" s="5"/>
      <c r="P706" s="5"/>
      <c r="Q706" s="5"/>
      <c r="R706" s="5"/>
      <c r="S706" s="5"/>
      <c r="T706" s="5"/>
      <c r="U706" s="5"/>
      <c r="V706" s="5"/>
      <c r="W706" s="5"/>
    </row>
    <row r="707">
      <c r="A707" s="5"/>
      <c r="B707" s="5"/>
      <c r="C707" s="5"/>
      <c r="D707" s="5"/>
      <c r="E707" s="5"/>
      <c r="F707" s="5"/>
      <c r="G707" s="5"/>
      <c r="H707" s="5"/>
      <c r="I707" s="5"/>
      <c r="J707" s="5"/>
      <c r="K707" s="5"/>
      <c r="L707" s="5"/>
      <c r="M707" s="5"/>
      <c r="N707" s="5"/>
      <c r="O707" s="5"/>
      <c r="P707" s="5"/>
      <c r="Q707" s="5"/>
      <c r="R707" s="5"/>
      <c r="S707" s="5"/>
      <c r="T707" s="5"/>
      <c r="U707" s="5"/>
      <c r="V707" s="5"/>
      <c r="W707" s="5"/>
    </row>
    <row r="708">
      <c r="A708" s="5"/>
      <c r="B708" s="5"/>
      <c r="C708" s="5"/>
      <c r="D708" s="5"/>
      <c r="E708" s="5"/>
      <c r="F708" s="5"/>
      <c r="G708" s="5"/>
      <c r="H708" s="5"/>
      <c r="I708" s="5"/>
      <c r="J708" s="5"/>
      <c r="K708" s="5"/>
      <c r="L708" s="5"/>
      <c r="M708" s="5"/>
      <c r="N708" s="5"/>
      <c r="O708" s="5"/>
      <c r="P708" s="5"/>
      <c r="Q708" s="5"/>
      <c r="R708" s="5"/>
      <c r="S708" s="5"/>
      <c r="T708" s="5"/>
      <c r="U708" s="5"/>
      <c r="V708" s="5"/>
      <c r="W708" s="5"/>
    </row>
    <row r="709">
      <c r="A709" s="5"/>
      <c r="B709" s="5"/>
      <c r="C709" s="5"/>
      <c r="D709" s="5"/>
      <c r="E709" s="5"/>
      <c r="F709" s="5"/>
      <c r="G709" s="5"/>
      <c r="H709" s="5"/>
      <c r="I709" s="5"/>
      <c r="J709" s="5"/>
      <c r="K709" s="5"/>
      <c r="L709" s="5"/>
      <c r="M709" s="5"/>
      <c r="N709" s="5"/>
      <c r="O709" s="5"/>
      <c r="P709" s="5"/>
      <c r="Q709" s="5"/>
      <c r="R709" s="5"/>
      <c r="S709" s="5"/>
      <c r="T709" s="5"/>
      <c r="U709" s="5"/>
      <c r="V709" s="5"/>
      <c r="W709" s="5"/>
    </row>
    <row r="710">
      <c r="A710" s="5"/>
      <c r="B710" s="5"/>
      <c r="C710" s="5"/>
      <c r="D710" s="5"/>
      <c r="E710" s="5"/>
      <c r="F710" s="5"/>
      <c r="G710" s="5"/>
      <c r="H710" s="5"/>
      <c r="I710" s="5"/>
      <c r="J710" s="5"/>
      <c r="K710" s="5"/>
      <c r="L710" s="5"/>
      <c r="M710" s="5"/>
      <c r="N710" s="5"/>
      <c r="O710" s="5"/>
      <c r="P710" s="5"/>
      <c r="Q710" s="5"/>
      <c r="R710" s="5"/>
      <c r="S710" s="5"/>
      <c r="T710" s="5"/>
      <c r="U710" s="5"/>
      <c r="V710" s="5"/>
      <c r="W710" s="5"/>
    </row>
    <row r="711">
      <c r="A711" s="5"/>
      <c r="B711" s="5"/>
      <c r="C711" s="5"/>
      <c r="D711" s="5"/>
      <c r="E711" s="5"/>
      <c r="F711" s="5"/>
      <c r="G711" s="5"/>
      <c r="H711" s="5"/>
      <c r="I711" s="5"/>
      <c r="J711" s="5"/>
      <c r="K711" s="5"/>
      <c r="L711" s="5"/>
      <c r="M711" s="5"/>
      <c r="N711" s="5"/>
      <c r="O711" s="5"/>
      <c r="P711" s="5"/>
      <c r="Q711" s="5"/>
      <c r="R711" s="5"/>
      <c r="S711" s="5"/>
      <c r="T711" s="5"/>
      <c r="U711" s="5"/>
      <c r="V711" s="5"/>
      <c r="W711" s="5"/>
    </row>
    <row r="712">
      <c r="A712" s="5"/>
      <c r="B712" s="5"/>
      <c r="C712" s="5"/>
      <c r="D712" s="5"/>
      <c r="E712" s="5"/>
      <c r="F712" s="5"/>
      <c r="G712" s="5"/>
      <c r="H712" s="5"/>
      <c r="I712" s="5"/>
      <c r="J712" s="5"/>
      <c r="K712" s="5"/>
      <c r="L712" s="5"/>
      <c r="M712" s="5"/>
      <c r="N712" s="5"/>
      <c r="O712" s="5"/>
      <c r="P712" s="5"/>
      <c r="Q712" s="5"/>
      <c r="R712" s="5"/>
      <c r="S712" s="5"/>
      <c r="T712" s="5"/>
      <c r="U712" s="5"/>
      <c r="V712" s="5"/>
      <c r="W712" s="5"/>
    </row>
    <row r="713">
      <c r="A713" s="5"/>
      <c r="B713" s="5"/>
      <c r="C713" s="5"/>
      <c r="D713" s="5"/>
      <c r="E713" s="5"/>
      <c r="F713" s="5"/>
      <c r="G713" s="5"/>
      <c r="H713" s="5"/>
      <c r="I713" s="5"/>
      <c r="J713" s="5"/>
      <c r="K713" s="5"/>
      <c r="L713" s="5"/>
      <c r="M713" s="5"/>
      <c r="N713" s="5"/>
      <c r="O713" s="5"/>
      <c r="P713" s="5"/>
      <c r="Q713" s="5"/>
      <c r="R713" s="5"/>
      <c r="S713" s="5"/>
      <c r="T713" s="5"/>
      <c r="U713" s="5"/>
      <c r="V713" s="5"/>
      <c r="W713" s="5"/>
    </row>
    <row r="714">
      <c r="A714" s="5"/>
      <c r="B714" s="5"/>
      <c r="C714" s="5"/>
      <c r="D714" s="5"/>
      <c r="E714" s="5"/>
      <c r="F714" s="5"/>
      <c r="G714" s="5"/>
      <c r="H714" s="5"/>
      <c r="I714" s="5"/>
      <c r="J714" s="5"/>
      <c r="K714" s="5"/>
      <c r="L714" s="5"/>
      <c r="M714" s="5"/>
      <c r="N714" s="5"/>
      <c r="O714" s="5"/>
      <c r="P714" s="5"/>
      <c r="Q714" s="5"/>
      <c r="R714" s="5"/>
      <c r="S714" s="5"/>
      <c r="T714" s="5"/>
      <c r="U714" s="5"/>
      <c r="V714" s="5"/>
      <c r="W714" s="5"/>
    </row>
    <row r="715">
      <c r="A715" s="5"/>
      <c r="B715" s="5"/>
      <c r="C715" s="5"/>
      <c r="D715" s="5"/>
      <c r="E715" s="5"/>
      <c r="F715" s="5"/>
      <c r="G715" s="5"/>
      <c r="H715" s="5"/>
      <c r="I715" s="5"/>
      <c r="J715" s="5"/>
      <c r="K715" s="5"/>
      <c r="L715" s="5"/>
      <c r="M715" s="5"/>
      <c r="N715" s="5"/>
      <c r="O715" s="5"/>
      <c r="P715" s="5"/>
      <c r="Q715" s="5"/>
      <c r="R715" s="5"/>
      <c r="S715" s="5"/>
      <c r="T715" s="5"/>
      <c r="U715" s="5"/>
      <c r="V715" s="5"/>
      <c r="W715" s="5"/>
    </row>
    <row r="716">
      <c r="A716" s="5"/>
      <c r="B716" s="5"/>
      <c r="C716" s="5"/>
      <c r="D716" s="5"/>
      <c r="E716" s="5"/>
      <c r="F716" s="5"/>
      <c r="G716" s="5"/>
      <c r="H716" s="5"/>
      <c r="I716" s="5"/>
      <c r="J716" s="5"/>
      <c r="K716" s="5"/>
      <c r="L716" s="5"/>
      <c r="M716" s="5"/>
      <c r="N716" s="5"/>
      <c r="O716" s="5"/>
      <c r="P716" s="5"/>
      <c r="Q716" s="5"/>
      <c r="R716" s="5"/>
      <c r="S716" s="5"/>
      <c r="T716" s="5"/>
      <c r="U716" s="5"/>
      <c r="V716" s="5"/>
      <c r="W716" s="5"/>
    </row>
    <row r="717">
      <c r="A717" s="5"/>
      <c r="B717" s="5"/>
      <c r="C717" s="5"/>
      <c r="D717" s="5"/>
      <c r="E717" s="5"/>
      <c r="F717" s="5"/>
      <c r="G717" s="5"/>
      <c r="H717" s="5"/>
      <c r="I717" s="5"/>
      <c r="J717" s="5"/>
      <c r="K717" s="5"/>
      <c r="L717" s="5"/>
      <c r="M717" s="5"/>
      <c r="N717" s="5"/>
      <c r="O717" s="5"/>
      <c r="P717" s="5"/>
      <c r="Q717" s="5"/>
      <c r="R717" s="5"/>
      <c r="S717" s="5"/>
      <c r="T717" s="5"/>
      <c r="U717" s="5"/>
      <c r="V717" s="5"/>
      <c r="W717" s="5"/>
    </row>
    <row r="718">
      <c r="A718" s="5"/>
      <c r="B718" s="5"/>
      <c r="C718" s="5"/>
      <c r="D718" s="5"/>
      <c r="E718" s="5"/>
      <c r="F718" s="5"/>
      <c r="G718" s="5"/>
      <c r="H718" s="5"/>
      <c r="I718" s="5"/>
      <c r="J718" s="5"/>
      <c r="K718" s="5"/>
      <c r="L718" s="5"/>
      <c r="M718" s="5"/>
      <c r="N718" s="5"/>
      <c r="O718" s="5"/>
      <c r="P718" s="5"/>
      <c r="Q718" s="5"/>
      <c r="R718" s="5"/>
      <c r="S718" s="5"/>
      <c r="T718" s="5"/>
      <c r="U718" s="5"/>
      <c r="V718" s="5"/>
      <c r="W718" s="5"/>
    </row>
    <row r="719">
      <c r="A719" s="5"/>
      <c r="B719" s="5"/>
      <c r="C719" s="5"/>
      <c r="D719" s="5"/>
      <c r="E719" s="5"/>
      <c r="F719" s="5"/>
      <c r="G719" s="5"/>
      <c r="H719" s="5"/>
      <c r="I719" s="5"/>
      <c r="J719" s="5"/>
      <c r="K719" s="5"/>
      <c r="L719" s="5"/>
      <c r="M719" s="5"/>
      <c r="N719" s="5"/>
      <c r="O719" s="5"/>
      <c r="P719" s="5"/>
      <c r="Q719" s="5"/>
      <c r="R719" s="5"/>
      <c r="S719" s="5"/>
      <c r="T719" s="5"/>
      <c r="U719" s="5"/>
      <c r="V719" s="5"/>
      <c r="W719" s="5"/>
    </row>
    <row r="720">
      <c r="A720" s="5"/>
      <c r="B720" s="5"/>
      <c r="C720" s="5"/>
      <c r="D720" s="5"/>
      <c r="E720" s="5"/>
      <c r="F720" s="5"/>
      <c r="G720" s="5"/>
      <c r="H720" s="5"/>
      <c r="I720" s="5"/>
      <c r="J720" s="5"/>
      <c r="K720" s="5"/>
      <c r="L720" s="5"/>
      <c r="M720" s="5"/>
      <c r="N720" s="5"/>
      <c r="O720" s="5"/>
      <c r="P720" s="5"/>
      <c r="Q720" s="5"/>
      <c r="R720" s="5"/>
      <c r="S720" s="5"/>
      <c r="T720" s="5"/>
      <c r="U720" s="5"/>
      <c r="V720" s="5"/>
      <c r="W720" s="5"/>
    </row>
    <row r="721">
      <c r="A721" s="5"/>
      <c r="B721" s="5"/>
      <c r="C721" s="5"/>
      <c r="D721" s="5"/>
      <c r="E721" s="5"/>
      <c r="F721" s="5"/>
      <c r="G721" s="5"/>
      <c r="H721" s="5"/>
      <c r="I721" s="5"/>
      <c r="J721" s="5"/>
      <c r="K721" s="5"/>
      <c r="L721" s="5"/>
      <c r="M721" s="5"/>
      <c r="N721" s="5"/>
      <c r="O721" s="5"/>
      <c r="P721" s="5"/>
      <c r="Q721" s="5"/>
      <c r="R721" s="5"/>
      <c r="S721" s="5"/>
      <c r="T721" s="5"/>
      <c r="U721" s="5"/>
      <c r="V721" s="5"/>
      <c r="W721" s="5"/>
    </row>
    <row r="722">
      <c r="A722" s="5"/>
      <c r="B722" s="5"/>
      <c r="C722" s="5"/>
      <c r="D722" s="5"/>
      <c r="E722" s="5"/>
      <c r="F722" s="5"/>
      <c r="G722" s="5"/>
      <c r="H722" s="5"/>
      <c r="I722" s="5"/>
      <c r="J722" s="5"/>
      <c r="K722" s="5"/>
      <c r="L722" s="5"/>
      <c r="M722" s="5"/>
      <c r="N722" s="5"/>
      <c r="O722" s="5"/>
      <c r="P722" s="5"/>
      <c r="Q722" s="5"/>
      <c r="R722" s="5"/>
      <c r="S722" s="5"/>
      <c r="T722" s="5"/>
      <c r="U722" s="5"/>
      <c r="V722" s="5"/>
      <c r="W722" s="5"/>
    </row>
    <row r="723">
      <c r="A723" s="5"/>
      <c r="B723" s="5"/>
      <c r="C723" s="5"/>
      <c r="D723" s="5"/>
      <c r="E723" s="5"/>
      <c r="F723" s="5"/>
      <c r="G723" s="5"/>
      <c r="H723" s="5"/>
      <c r="I723" s="5"/>
      <c r="J723" s="5"/>
      <c r="K723" s="5"/>
      <c r="L723" s="5"/>
      <c r="M723" s="5"/>
      <c r="N723" s="5"/>
      <c r="O723" s="5"/>
      <c r="P723" s="5"/>
      <c r="Q723" s="5"/>
      <c r="R723" s="5"/>
      <c r="S723" s="5"/>
      <c r="T723" s="5"/>
      <c r="U723" s="5"/>
      <c r="V723" s="5"/>
      <c r="W723" s="5"/>
    </row>
    <row r="724">
      <c r="A724" s="5"/>
      <c r="B724" s="5"/>
      <c r="C724" s="5"/>
      <c r="D724" s="5"/>
      <c r="E724" s="5"/>
      <c r="F724" s="5"/>
      <c r="G724" s="5"/>
      <c r="H724" s="5"/>
      <c r="I724" s="5"/>
      <c r="J724" s="5"/>
      <c r="K724" s="5"/>
      <c r="L724" s="5"/>
      <c r="M724" s="5"/>
      <c r="N724" s="5"/>
      <c r="O724" s="5"/>
      <c r="P724" s="5"/>
      <c r="Q724" s="5"/>
      <c r="R724" s="5"/>
      <c r="S724" s="5"/>
      <c r="T724" s="5"/>
      <c r="U724" s="5"/>
      <c r="V724" s="5"/>
      <c r="W724" s="5"/>
    </row>
    <row r="725">
      <c r="A725" s="5"/>
      <c r="B725" s="5"/>
      <c r="C725" s="5"/>
      <c r="D725" s="5"/>
      <c r="E725" s="5"/>
      <c r="F725" s="5"/>
      <c r="G725" s="5"/>
      <c r="H725" s="5"/>
      <c r="I725" s="5"/>
      <c r="J725" s="5"/>
      <c r="K725" s="5"/>
      <c r="L725" s="5"/>
      <c r="M725" s="5"/>
      <c r="N725" s="5"/>
      <c r="O725" s="5"/>
      <c r="P725" s="5"/>
      <c r="Q725" s="5"/>
      <c r="R725" s="5"/>
      <c r="S725" s="5"/>
      <c r="T725" s="5"/>
      <c r="U725" s="5"/>
      <c r="V725" s="5"/>
      <c r="W725" s="5"/>
    </row>
    <row r="726">
      <c r="A726" s="5"/>
      <c r="B726" s="5"/>
      <c r="C726" s="5"/>
      <c r="D726" s="5"/>
      <c r="E726" s="5"/>
      <c r="F726" s="5"/>
      <c r="G726" s="5"/>
      <c r="H726" s="5"/>
      <c r="I726" s="5"/>
      <c r="J726" s="5"/>
      <c r="K726" s="5"/>
      <c r="L726" s="5"/>
      <c r="M726" s="5"/>
      <c r="N726" s="5"/>
      <c r="O726" s="5"/>
      <c r="P726" s="5"/>
      <c r="Q726" s="5"/>
      <c r="R726" s="5"/>
      <c r="S726" s="5"/>
      <c r="T726" s="5"/>
      <c r="U726" s="5"/>
      <c r="V726" s="5"/>
      <c r="W726" s="5"/>
    </row>
    <row r="727">
      <c r="A727" s="5"/>
      <c r="B727" s="5"/>
      <c r="C727" s="5"/>
      <c r="D727" s="5"/>
      <c r="E727" s="5"/>
      <c r="F727" s="5"/>
      <c r="G727" s="5"/>
      <c r="H727" s="5"/>
      <c r="I727" s="5"/>
      <c r="J727" s="5"/>
      <c r="K727" s="5"/>
      <c r="L727" s="5"/>
      <c r="M727" s="5"/>
      <c r="N727" s="5"/>
      <c r="O727" s="5"/>
      <c r="P727" s="5"/>
      <c r="Q727" s="5"/>
      <c r="R727" s="5"/>
      <c r="S727" s="5"/>
      <c r="T727" s="5"/>
      <c r="U727" s="5"/>
      <c r="V727" s="5"/>
      <c r="W727" s="5"/>
    </row>
    <row r="728">
      <c r="A728" s="5"/>
      <c r="B728" s="5"/>
      <c r="C728" s="5"/>
      <c r="D728" s="5"/>
      <c r="E728" s="5"/>
      <c r="F728" s="5"/>
      <c r="G728" s="5"/>
      <c r="H728" s="5"/>
      <c r="I728" s="5"/>
      <c r="J728" s="5"/>
      <c r="K728" s="5"/>
      <c r="L728" s="5"/>
      <c r="M728" s="5"/>
      <c r="N728" s="5"/>
      <c r="O728" s="5"/>
      <c r="P728" s="5"/>
      <c r="Q728" s="5"/>
      <c r="R728" s="5"/>
      <c r="S728" s="5"/>
      <c r="T728" s="5"/>
      <c r="U728" s="5"/>
      <c r="V728" s="5"/>
      <c r="W728" s="5"/>
    </row>
    <row r="729">
      <c r="A729" s="5"/>
      <c r="B729" s="5"/>
      <c r="C729" s="5"/>
      <c r="D729" s="5"/>
      <c r="E729" s="5"/>
      <c r="F729" s="5"/>
      <c r="G729" s="5"/>
      <c r="H729" s="5"/>
      <c r="I729" s="5"/>
      <c r="J729" s="5"/>
      <c r="K729" s="5"/>
      <c r="L729" s="5"/>
      <c r="M729" s="5"/>
      <c r="N729" s="5"/>
      <c r="O729" s="5"/>
      <c r="P729" s="5"/>
      <c r="Q729" s="5"/>
      <c r="R729" s="5"/>
      <c r="S729" s="5"/>
      <c r="T729" s="5"/>
      <c r="U729" s="5"/>
      <c r="V729" s="5"/>
      <c r="W729" s="5"/>
    </row>
    <row r="730">
      <c r="A730" s="5"/>
      <c r="B730" s="5"/>
      <c r="C730" s="5"/>
      <c r="D730" s="5"/>
      <c r="E730" s="5"/>
      <c r="F730" s="5"/>
      <c r="G730" s="5"/>
      <c r="H730" s="5"/>
      <c r="I730" s="5"/>
      <c r="J730" s="5"/>
      <c r="K730" s="5"/>
      <c r="L730" s="5"/>
      <c r="M730" s="5"/>
      <c r="N730" s="5"/>
      <c r="O730" s="5"/>
      <c r="P730" s="5"/>
      <c r="Q730" s="5"/>
      <c r="R730" s="5"/>
      <c r="S730" s="5"/>
      <c r="T730" s="5"/>
      <c r="U730" s="5"/>
      <c r="V730" s="5"/>
      <c r="W730" s="5"/>
    </row>
    <row r="731">
      <c r="A731" s="5"/>
      <c r="B731" s="5"/>
      <c r="C731" s="5"/>
      <c r="D731" s="5"/>
      <c r="E731" s="5"/>
      <c r="F731" s="5"/>
      <c r="G731" s="5"/>
      <c r="H731" s="5"/>
      <c r="I731" s="5"/>
      <c r="J731" s="5"/>
      <c r="K731" s="5"/>
      <c r="L731" s="5"/>
      <c r="M731" s="5"/>
      <c r="N731" s="5"/>
      <c r="O731" s="5"/>
      <c r="P731" s="5"/>
      <c r="Q731" s="5"/>
      <c r="R731" s="5"/>
      <c r="S731" s="5"/>
      <c r="T731" s="5"/>
      <c r="U731" s="5"/>
      <c r="V731" s="5"/>
      <c r="W731" s="5"/>
    </row>
    <row r="732">
      <c r="A732" s="5"/>
      <c r="B732" s="5"/>
      <c r="C732" s="5"/>
      <c r="D732" s="5"/>
      <c r="E732" s="5"/>
      <c r="F732" s="5"/>
      <c r="G732" s="5"/>
      <c r="H732" s="5"/>
      <c r="I732" s="5"/>
      <c r="J732" s="5"/>
      <c r="K732" s="5"/>
      <c r="L732" s="5"/>
      <c r="M732" s="5"/>
      <c r="N732" s="5"/>
      <c r="O732" s="5"/>
      <c r="P732" s="5"/>
      <c r="Q732" s="5"/>
      <c r="R732" s="5"/>
      <c r="S732" s="5"/>
      <c r="T732" s="5"/>
      <c r="U732" s="5"/>
      <c r="V732" s="5"/>
      <c r="W732" s="5"/>
    </row>
    <row r="733">
      <c r="A733" s="5"/>
      <c r="B733" s="5"/>
      <c r="C733" s="5"/>
      <c r="D733" s="5"/>
      <c r="E733" s="5"/>
      <c r="F733" s="5"/>
      <c r="G733" s="5"/>
      <c r="H733" s="5"/>
      <c r="I733" s="5"/>
      <c r="J733" s="5"/>
      <c r="K733" s="5"/>
      <c r="L733" s="5"/>
      <c r="M733" s="5"/>
      <c r="N733" s="5"/>
      <c r="O733" s="5"/>
      <c r="P733" s="5"/>
      <c r="Q733" s="5"/>
      <c r="R733" s="5"/>
      <c r="S733" s="5"/>
      <c r="T733" s="5"/>
      <c r="U733" s="5"/>
      <c r="V733" s="5"/>
      <c r="W733" s="5"/>
    </row>
    <row r="734">
      <c r="A734" s="5"/>
      <c r="B734" s="5"/>
      <c r="C734" s="5"/>
      <c r="D734" s="5"/>
      <c r="E734" s="5"/>
      <c r="F734" s="5"/>
      <c r="G734" s="5"/>
      <c r="H734" s="5"/>
      <c r="I734" s="5"/>
      <c r="J734" s="5"/>
      <c r="K734" s="5"/>
      <c r="L734" s="5"/>
      <c r="M734" s="5"/>
      <c r="N734" s="5"/>
      <c r="O734" s="5"/>
      <c r="P734" s="5"/>
      <c r="Q734" s="5"/>
      <c r="R734" s="5"/>
      <c r="S734" s="5"/>
      <c r="T734" s="5"/>
      <c r="U734" s="5"/>
      <c r="V734" s="5"/>
      <c r="W734" s="5"/>
    </row>
    <row r="735">
      <c r="A735" s="5"/>
      <c r="B735" s="5"/>
      <c r="C735" s="5"/>
      <c r="D735" s="5"/>
      <c r="E735" s="5"/>
      <c r="F735" s="5"/>
      <c r="G735" s="5"/>
      <c r="H735" s="5"/>
      <c r="I735" s="5"/>
      <c r="J735" s="5"/>
      <c r="K735" s="5"/>
      <c r="L735" s="5"/>
      <c r="M735" s="5"/>
      <c r="N735" s="5"/>
      <c r="O735" s="5"/>
      <c r="P735" s="5"/>
      <c r="Q735" s="5"/>
      <c r="R735" s="5"/>
      <c r="S735" s="5"/>
      <c r="T735" s="5"/>
      <c r="U735" s="5"/>
      <c r="V735" s="5"/>
      <c r="W735" s="5"/>
    </row>
    <row r="736">
      <c r="A736" s="5"/>
      <c r="B736" s="5"/>
      <c r="C736" s="5"/>
      <c r="D736" s="5"/>
      <c r="E736" s="5"/>
      <c r="F736" s="5"/>
      <c r="G736" s="5"/>
      <c r="H736" s="5"/>
      <c r="I736" s="5"/>
      <c r="J736" s="5"/>
      <c r="K736" s="5"/>
      <c r="L736" s="5"/>
      <c r="M736" s="5"/>
      <c r="N736" s="5"/>
      <c r="O736" s="5"/>
      <c r="P736" s="5"/>
      <c r="Q736" s="5"/>
      <c r="R736" s="5"/>
      <c r="S736" s="5"/>
      <c r="T736" s="5"/>
      <c r="U736" s="5"/>
      <c r="V736" s="5"/>
      <c r="W736" s="5"/>
    </row>
    <row r="737">
      <c r="A737" s="5"/>
      <c r="B737" s="5"/>
      <c r="C737" s="5"/>
      <c r="D737" s="5"/>
      <c r="E737" s="5"/>
      <c r="F737" s="5"/>
      <c r="G737" s="5"/>
      <c r="H737" s="5"/>
      <c r="I737" s="5"/>
      <c r="J737" s="5"/>
      <c r="K737" s="5"/>
      <c r="L737" s="5"/>
      <c r="M737" s="5"/>
      <c r="N737" s="5"/>
      <c r="O737" s="5"/>
      <c r="P737" s="5"/>
      <c r="Q737" s="5"/>
      <c r="R737" s="5"/>
      <c r="S737" s="5"/>
      <c r="T737" s="5"/>
      <c r="U737" s="5"/>
      <c r="V737" s="5"/>
      <c r="W737" s="5"/>
    </row>
    <row r="738">
      <c r="A738" s="5"/>
      <c r="B738" s="5"/>
      <c r="C738" s="5"/>
      <c r="D738" s="5"/>
      <c r="E738" s="5"/>
      <c r="F738" s="5"/>
      <c r="G738" s="5"/>
      <c r="H738" s="5"/>
      <c r="I738" s="5"/>
      <c r="J738" s="5"/>
      <c r="K738" s="5"/>
      <c r="L738" s="5"/>
      <c r="M738" s="5"/>
      <c r="N738" s="5"/>
      <c r="O738" s="5"/>
      <c r="P738" s="5"/>
      <c r="Q738" s="5"/>
      <c r="R738" s="5"/>
      <c r="S738" s="5"/>
      <c r="T738" s="5"/>
      <c r="U738" s="5"/>
      <c r="V738" s="5"/>
      <c r="W738" s="5"/>
    </row>
    <row r="739">
      <c r="A739" s="5"/>
      <c r="B739" s="5"/>
      <c r="C739" s="5"/>
      <c r="D739" s="5"/>
      <c r="E739" s="5"/>
      <c r="F739" s="5"/>
      <c r="G739" s="5"/>
      <c r="H739" s="5"/>
      <c r="I739" s="5"/>
      <c r="J739" s="5"/>
      <c r="K739" s="5"/>
      <c r="L739" s="5"/>
      <c r="M739" s="5"/>
      <c r="N739" s="5"/>
      <c r="O739" s="5"/>
      <c r="P739" s="5"/>
      <c r="Q739" s="5"/>
      <c r="R739" s="5"/>
      <c r="S739" s="5"/>
      <c r="T739" s="5"/>
      <c r="U739" s="5"/>
      <c r="V739" s="5"/>
      <c r="W739" s="5"/>
    </row>
    <row r="740">
      <c r="A740" s="5"/>
      <c r="B740" s="5"/>
      <c r="C740" s="5"/>
      <c r="D740" s="5"/>
      <c r="E740" s="5"/>
      <c r="F740" s="5"/>
      <c r="G740" s="5"/>
      <c r="H740" s="5"/>
      <c r="I740" s="5"/>
      <c r="J740" s="5"/>
      <c r="K740" s="5"/>
      <c r="L740" s="5"/>
      <c r="M740" s="5"/>
      <c r="N740" s="5"/>
      <c r="O740" s="5"/>
      <c r="P740" s="5"/>
      <c r="Q740" s="5"/>
      <c r="R740" s="5"/>
      <c r="S740" s="5"/>
      <c r="T740" s="5"/>
      <c r="U740" s="5"/>
      <c r="V740" s="5"/>
      <c r="W740" s="5"/>
    </row>
    <row r="741">
      <c r="A741" s="5"/>
      <c r="B741" s="5"/>
      <c r="C741" s="5"/>
      <c r="D741" s="5"/>
      <c r="E741" s="5"/>
      <c r="F741" s="5"/>
      <c r="G741" s="5"/>
      <c r="H741" s="5"/>
      <c r="I741" s="5"/>
      <c r="J741" s="5"/>
      <c r="K741" s="5"/>
      <c r="L741" s="5"/>
      <c r="M741" s="5"/>
      <c r="N741" s="5"/>
      <c r="O741" s="5"/>
      <c r="P741" s="5"/>
      <c r="Q741" s="5"/>
      <c r="R741" s="5"/>
      <c r="S741" s="5"/>
      <c r="T741" s="5"/>
      <c r="U741" s="5"/>
      <c r="V741" s="5"/>
      <c r="W741" s="5"/>
    </row>
    <row r="742">
      <c r="A742" s="5"/>
      <c r="B742" s="5"/>
      <c r="C742" s="5"/>
      <c r="D742" s="5"/>
      <c r="E742" s="5"/>
      <c r="F742" s="5"/>
      <c r="G742" s="5"/>
      <c r="H742" s="5"/>
      <c r="I742" s="5"/>
      <c r="J742" s="5"/>
      <c r="K742" s="5"/>
      <c r="L742" s="5"/>
      <c r="M742" s="5"/>
      <c r="N742" s="5"/>
      <c r="O742" s="5"/>
      <c r="P742" s="5"/>
      <c r="Q742" s="5"/>
      <c r="R742" s="5"/>
      <c r="S742" s="5"/>
      <c r="T742" s="5"/>
      <c r="U742" s="5"/>
      <c r="V742" s="5"/>
      <c r="W742" s="5"/>
    </row>
    <row r="743">
      <c r="A743" s="5"/>
      <c r="B743" s="5"/>
      <c r="C743" s="5"/>
      <c r="D743" s="5"/>
      <c r="E743" s="5"/>
      <c r="F743" s="5"/>
      <c r="G743" s="5"/>
      <c r="H743" s="5"/>
      <c r="I743" s="5"/>
      <c r="J743" s="5"/>
      <c r="K743" s="5"/>
      <c r="L743" s="5"/>
      <c r="M743" s="5"/>
      <c r="N743" s="5"/>
      <c r="O743" s="5"/>
      <c r="P743" s="5"/>
      <c r="Q743" s="5"/>
      <c r="R743" s="5"/>
      <c r="S743" s="5"/>
      <c r="T743" s="5"/>
      <c r="U743" s="5"/>
      <c r="V743" s="5"/>
      <c r="W743" s="5"/>
    </row>
    <row r="744">
      <c r="A744" s="5"/>
      <c r="B744" s="5"/>
      <c r="C744" s="5"/>
      <c r="D744" s="5"/>
      <c r="E744" s="5"/>
      <c r="F744" s="5"/>
      <c r="G744" s="5"/>
      <c r="H744" s="5"/>
      <c r="I744" s="5"/>
      <c r="J744" s="5"/>
      <c r="K744" s="5"/>
      <c r="L744" s="5"/>
      <c r="M744" s="5"/>
      <c r="N744" s="5"/>
      <c r="O744" s="5"/>
      <c r="P744" s="5"/>
      <c r="Q744" s="5"/>
      <c r="R744" s="5"/>
      <c r="S744" s="5"/>
      <c r="T744" s="5"/>
      <c r="U744" s="5"/>
      <c r="V744" s="5"/>
      <c r="W744" s="5"/>
    </row>
    <row r="745">
      <c r="A745" s="5"/>
      <c r="B745" s="5"/>
      <c r="C745" s="5"/>
      <c r="D745" s="5"/>
      <c r="E745" s="5"/>
      <c r="F745" s="5"/>
      <c r="G745" s="5"/>
      <c r="H745" s="5"/>
      <c r="I745" s="5"/>
      <c r="J745" s="5"/>
      <c r="K745" s="5"/>
      <c r="L745" s="5"/>
      <c r="M745" s="5"/>
      <c r="N745" s="5"/>
      <c r="O745" s="5"/>
      <c r="P745" s="5"/>
      <c r="Q745" s="5"/>
      <c r="R745" s="5"/>
      <c r="S745" s="5"/>
      <c r="T745" s="5"/>
      <c r="U745" s="5"/>
      <c r="V745" s="5"/>
      <c r="W745" s="5"/>
    </row>
    <row r="746">
      <c r="A746" s="5"/>
      <c r="B746" s="5"/>
      <c r="C746" s="5"/>
      <c r="D746" s="5"/>
      <c r="E746" s="5"/>
      <c r="F746" s="5"/>
      <c r="G746" s="5"/>
      <c r="H746" s="5"/>
      <c r="I746" s="5"/>
      <c r="J746" s="5"/>
      <c r="K746" s="5"/>
      <c r="L746" s="5"/>
      <c r="M746" s="5"/>
      <c r="N746" s="5"/>
      <c r="O746" s="5"/>
      <c r="P746" s="5"/>
      <c r="Q746" s="5"/>
      <c r="R746" s="5"/>
      <c r="S746" s="5"/>
      <c r="T746" s="5"/>
      <c r="U746" s="5"/>
      <c r="V746" s="5"/>
      <c r="W746" s="5"/>
    </row>
    <row r="747">
      <c r="A747" s="5"/>
      <c r="B747" s="5"/>
      <c r="C747" s="5"/>
      <c r="D747" s="5"/>
      <c r="E747" s="5"/>
      <c r="F747" s="5"/>
      <c r="G747" s="5"/>
      <c r="H747" s="5"/>
      <c r="I747" s="5"/>
      <c r="J747" s="5"/>
      <c r="K747" s="5"/>
      <c r="L747" s="5"/>
      <c r="M747" s="5"/>
      <c r="N747" s="5"/>
      <c r="O747" s="5"/>
      <c r="P747" s="5"/>
      <c r="Q747" s="5"/>
      <c r="R747" s="5"/>
      <c r="S747" s="5"/>
      <c r="T747" s="5"/>
      <c r="U747" s="5"/>
      <c r="V747" s="5"/>
      <c r="W747" s="5"/>
    </row>
    <row r="748">
      <c r="A748" s="5"/>
      <c r="B748" s="5"/>
      <c r="C748" s="5"/>
      <c r="D748" s="5"/>
      <c r="E748" s="5"/>
      <c r="F748" s="5"/>
      <c r="G748" s="5"/>
      <c r="H748" s="5"/>
      <c r="I748" s="5"/>
      <c r="J748" s="5"/>
      <c r="K748" s="5"/>
      <c r="L748" s="5"/>
      <c r="M748" s="5"/>
      <c r="N748" s="5"/>
      <c r="O748" s="5"/>
      <c r="P748" s="5"/>
      <c r="Q748" s="5"/>
      <c r="R748" s="5"/>
      <c r="S748" s="5"/>
      <c r="T748" s="5"/>
      <c r="U748" s="5"/>
      <c r="V748" s="5"/>
      <c r="W748" s="5"/>
    </row>
    <row r="749">
      <c r="A749" s="5"/>
      <c r="B749" s="5"/>
      <c r="C749" s="5"/>
      <c r="D749" s="5"/>
      <c r="E749" s="5"/>
      <c r="F749" s="5"/>
      <c r="G749" s="5"/>
      <c r="H749" s="5"/>
      <c r="I749" s="5"/>
      <c r="J749" s="5"/>
      <c r="K749" s="5"/>
      <c r="L749" s="5"/>
      <c r="M749" s="5"/>
      <c r="N749" s="5"/>
      <c r="O749" s="5"/>
      <c r="P749" s="5"/>
      <c r="Q749" s="5"/>
      <c r="R749" s="5"/>
      <c r="S749" s="5"/>
      <c r="T749" s="5"/>
      <c r="U749" s="5"/>
      <c r="V749" s="5"/>
      <c r="W749" s="5"/>
    </row>
    <row r="750">
      <c r="A750" s="5"/>
      <c r="B750" s="5"/>
      <c r="C750" s="5"/>
      <c r="D750" s="5"/>
      <c r="E750" s="5"/>
      <c r="F750" s="5"/>
      <c r="G750" s="5"/>
      <c r="H750" s="5"/>
      <c r="I750" s="5"/>
      <c r="J750" s="5"/>
      <c r="K750" s="5"/>
      <c r="L750" s="5"/>
      <c r="M750" s="5"/>
      <c r="N750" s="5"/>
      <c r="O750" s="5"/>
      <c r="P750" s="5"/>
      <c r="Q750" s="5"/>
      <c r="R750" s="5"/>
      <c r="S750" s="5"/>
      <c r="T750" s="5"/>
      <c r="U750" s="5"/>
      <c r="V750" s="5"/>
      <c r="W750" s="5"/>
    </row>
    <row r="751">
      <c r="A751" s="5"/>
      <c r="B751" s="5"/>
      <c r="C751" s="5"/>
      <c r="D751" s="5"/>
      <c r="E751" s="5"/>
      <c r="F751" s="5"/>
      <c r="G751" s="5"/>
      <c r="H751" s="5"/>
      <c r="I751" s="5"/>
      <c r="J751" s="5"/>
      <c r="K751" s="5"/>
      <c r="L751" s="5"/>
      <c r="M751" s="5"/>
      <c r="N751" s="5"/>
      <c r="O751" s="5"/>
      <c r="P751" s="5"/>
      <c r="Q751" s="5"/>
      <c r="R751" s="5"/>
      <c r="S751" s="5"/>
      <c r="T751" s="5"/>
      <c r="U751" s="5"/>
      <c r="V751" s="5"/>
      <c r="W751" s="5"/>
    </row>
    <row r="752">
      <c r="A752" s="5"/>
      <c r="B752" s="5"/>
      <c r="C752" s="5"/>
      <c r="D752" s="5"/>
      <c r="E752" s="5"/>
      <c r="F752" s="5"/>
      <c r="G752" s="5"/>
      <c r="H752" s="5"/>
      <c r="I752" s="5"/>
      <c r="J752" s="5"/>
      <c r="K752" s="5"/>
      <c r="L752" s="5"/>
      <c r="M752" s="5"/>
      <c r="N752" s="5"/>
      <c r="O752" s="5"/>
      <c r="P752" s="5"/>
      <c r="Q752" s="5"/>
      <c r="R752" s="5"/>
      <c r="S752" s="5"/>
      <c r="T752" s="5"/>
      <c r="U752" s="5"/>
      <c r="V752" s="5"/>
      <c r="W752" s="5"/>
    </row>
    <row r="753">
      <c r="A753" s="5"/>
      <c r="B753" s="5"/>
      <c r="C753" s="5"/>
      <c r="D753" s="5"/>
      <c r="E753" s="5"/>
      <c r="F753" s="5"/>
      <c r="G753" s="5"/>
      <c r="H753" s="5"/>
      <c r="I753" s="5"/>
      <c r="J753" s="5"/>
      <c r="K753" s="5"/>
      <c r="L753" s="5"/>
      <c r="M753" s="5"/>
      <c r="N753" s="5"/>
      <c r="O753" s="5"/>
      <c r="P753" s="5"/>
      <c r="Q753" s="5"/>
      <c r="R753" s="5"/>
      <c r="S753" s="5"/>
      <c r="T753" s="5"/>
      <c r="U753" s="5"/>
      <c r="V753" s="5"/>
      <c r="W753" s="5"/>
    </row>
    <row r="754">
      <c r="A754" s="5"/>
      <c r="B754" s="5"/>
      <c r="C754" s="5"/>
      <c r="D754" s="5"/>
      <c r="E754" s="5"/>
      <c r="F754" s="5"/>
      <c r="G754" s="5"/>
      <c r="H754" s="5"/>
      <c r="I754" s="5"/>
      <c r="J754" s="5"/>
      <c r="K754" s="5"/>
      <c r="L754" s="5"/>
      <c r="M754" s="5"/>
      <c r="N754" s="5"/>
      <c r="O754" s="5"/>
      <c r="P754" s="5"/>
      <c r="Q754" s="5"/>
      <c r="R754" s="5"/>
      <c r="S754" s="5"/>
      <c r="T754" s="5"/>
      <c r="U754" s="5"/>
      <c r="V754" s="5"/>
      <c r="W754" s="5"/>
    </row>
    <row r="755">
      <c r="A755" s="5"/>
      <c r="B755" s="5"/>
      <c r="C755" s="5"/>
      <c r="D755" s="5"/>
      <c r="E755" s="5"/>
      <c r="F755" s="5"/>
      <c r="G755" s="5"/>
      <c r="H755" s="5"/>
      <c r="I755" s="5"/>
      <c r="J755" s="5"/>
      <c r="K755" s="5"/>
      <c r="L755" s="5"/>
      <c r="M755" s="5"/>
      <c r="N755" s="5"/>
      <c r="O755" s="5"/>
      <c r="P755" s="5"/>
      <c r="Q755" s="5"/>
      <c r="R755" s="5"/>
      <c r="S755" s="5"/>
      <c r="T755" s="5"/>
      <c r="U755" s="5"/>
      <c r="V755" s="5"/>
      <c r="W755" s="5"/>
    </row>
    <row r="756">
      <c r="A756" s="5"/>
      <c r="B756" s="5"/>
      <c r="C756" s="5"/>
      <c r="D756" s="5"/>
      <c r="E756" s="5"/>
      <c r="F756" s="5"/>
      <c r="G756" s="5"/>
      <c r="H756" s="5"/>
      <c r="I756" s="5"/>
      <c r="J756" s="5"/>
      <c r="K756" s="5"/>
      <c r="L756" s="5"/>
      <c r="M756" s="5"/>
      <c r="N756" s="5"/>
      <c r="O756" s="5"/>
      <c r="P756" s="5"/>
      <c r="Q756" s="5"/>
      <c r="R756" s="5"/>
      <c r="S756" s="5"/>
      <c r="T756" s="5"/>
      <c r="U756" s="5"/>
      <c r="V756" s="5"/>
      <c r="W756" s="5"/>
    </row>
    <row r="757">
      <c r="A757" s="5"/>
      <c r="B757" s="5"/>
      <c r="C757" s="5"/>
      <c r="D757" s="5"/>
      <c r="E757" s="5"/>
      <c r="F757" s="5"/>
      <c r="G757" s="5"/>
      <c r="H757" s="5"/>
      <c r="I757" s="5"/>
      <c r="J757" s="5"/>
      <c r="K757" s="5"/>
      <c r="L757" s="5"/>
      <c r="M757" s="5"/>
      <c r="N757" s="5"/>
      <c r="O757" s="5"/>
      <c r="P757" s="5"/>
      <c r="Q757" s="5"/>
      <c r="R757" s="5"/>
      <c r="S757" s="5"/>
      <c r="T757" s="5"/>
      <c r="U757" s="5"/>
      <c r="V757" s="5"/>
      <c r="W757" s="5"/>
    </row>
    <row r="758">
      <c r="A758" s="5"/>
      <c r="B758" s="5"/>
      <c r="C758" s="5"/>
      <c r="D758" s="5"/>
      <c r="E758" s="5"/>
      <c r="F758" s="5"/>
      <c r="G758" s="5"/>
      <c r="H758" s="5"/>
      <c r="I758" s="5"/>
      <c r="J758" s="5"/>
      <c r="K758" s="5"/>
      <c r="L758" s="5"/>
      <c r="M758" s="5"/>
      <c r="N758" s="5"/>
      <c r="O758" s="5"/>
      <c r="P758" s="5"/>
      <c r="Q758" s="5"/>
      <c r="R758" s="5"/>
      <c r="S758" s="5"/>
      <c r="T758" s="5"/>
      <c r="U758" s="5"/>
      <c r="V758" s="5"/>
      <c r="W758" s="5"/>
    </row>
    <row r="759">
      <c r="A759" s="5"/>
      <c r="B759" s="5"/>
      <c r="C759" s="5"/>
      <c r="D759" s="5"/>
      <c r="E759" s="5"/>
      <c r="F759" s="5"/>
      <c r="G759" s="5"/>
      <c r="H759" s="5"/>
      <c r="I759" s="5"/>
      <c r="J759" s="5"/>
      <c r="K759" s="5"/>
      <c r="L759" s="5"/>
      <c r="M759" s="5"/>
      <c r="N759" s="5"/>
      <c r="O759" s="5"/>
      <c r="P759" s="5"/>
      <c r="Q759" s="5"/>
      <c r="R759" s="5"/>
      <c r="S759" s="5"/>
      <c r="T759" s="5"/>
      <c r="U759" s="5"/>
      <c r="V759" s="5"/>
      <c r="W759" s="5"/>
    </row>
    <row r="760">
      <c r="A760" s="5"/>
      <c r="B760" s="5"/>
      <c r="C760" s="5"/>
      <c r="D760" s="5"/>
      <c r="E760" s="5"/>
      <c r="F760" s="5"/>
      <c r="G760" s="5"/>
      <c r="H760" s="5"/>
      <c r="I760" s="5"/>
      <c r="J760" s="5"/>
      <c r="K760" s="5"/>
      <c r="L760" s="5"/>
      <c r="M760" s="5"/>
      <c r="N760" s="5"/>
      <c r="O760" s="5"/>
      <c r="P760" s="5"/>
      <c r="Q760" s="5"/>
      <c r="R760" s="5"/>
      <c r="S760" s="5"/>
      <c r="T760" s="5"/>
      <c r="U760" s="5"/>
      <c r="V760" s="5"/>
      <c r="W760" s="5"/>
    </row>
    <row r="761">
      <c r="A761" s="5"/>
      <c r="B761" s="5"/>
      <c r="C761" s="5"/>
      <c r="D761" s="5"/>
      <c r="E761" s="5"/>
      <c r="F761" s="5"/>
      <c r="G761" s="5"/>
      <c r="H761" s="5"/>
      <c r="I761" s="5"/>
      <c r="J761" s="5"/>
      <c r="K761" s="5"/>
      <c r="L761" s="5"/>
      <c r="M761" s="5"/>
      <c r="N761" s="5"/>
      <c r="O761" s="5"/>
      <c r="P761" s="5"/>
      <c r="Q761" s="5"/>
      <c r="R761" s="5"/>
      <c r="S761" s="5"/>
      <c r="T761" s="5"/>
      <c r="U761" s="5"/>
      <c r="V761" s="5"/>
      <c r="W761" s="5"/>
    </row>
    <row r="762">
      <c r="A762" s="5"/>
      <c r="B762" s="5"/>
      <c r="C762" s="5"/>
      <c r="D762" s="5"/>
      <c r="E762" s="5"/>
      <c r="F762" s="5"/>
      <c r="G762" s="5"/>
      <c r="H762" s="5"/>
      <c r="I762" s="5"/>
      <c r="J762" s="5"/>
      <c r="K762" s="5"/>
      <c r="L762" s="5"/>
      <c r="M762" s="5"/>
      <c r="N762" s="5"/>
      <c r="O762" s="5"/>
      <c r="P762" s="5"/>
      <c r="Q762" s="5"/>
      <c r="R762" s="5"/>
      <c r="S762" s="5"/>
      <c r="T762" s="5"/>
      <c r="U762" s="5"/>
      <c r="V762" s="5"/>
      <c r="W762" s="5"/>
    </row>
    <row r="763">
      <c r="A763" s="5"/>
      <c r="B763" s="5"/>
      <c r="C763" s="5"/>
      <c r="D763" s="5"/>
      <c r="E763" s="5"/>
      <c r="F763" s="5"/>
      <c r="G763" s="5"/>
      <c r="H763" s="5"/>
      <c r="I763" s="5"/>
      <c r="J763" s="5"/>
      <c r="K763" s="5"/>
      <c r="L763" s="5"/>
      <c r="M763" s="5"/>
      <c r="N763" s="5"/>
      <c r="O763" s="5"/>
      <c r="P763" s="5"/>
      <c r="Q763" s="5"/>
      <c r="R763" s="5"/>
      <c r="S763" s="5"/>
      <c r="T763" s="5"/>
      <c r="U763" s="5"/>
      <c r="V763" s="5"/>
      <c r="W763" s="5"/>
    </row>
    <row r="764">
      <c r="A764" s="5"/>
      <c r="B764" s="5"/>
      <c r="C764" s="5"/>
      <c r="D764" s="5"/>
      <c r="E764" s="5"/>
      <c r="F764" s="5"/>
      <c r="G764" s="5"/>
      <c r="H764" s="5"/>
      <c r="I764" s="5"/>
      <c r="J764" s="5"/>
      <c r="K764" s="5"/>
      <c r="L764" s="5"/>
      <c r="M764" s="5"/>
      <c r="N764" s="5"/>
      <c r="O764" s="5"/>
      <c r="P764" s="5"/>
      <c r="Q764" s="5"/>
      <c r="R764" s="5"/>
      <c r="S764" s="5"/>
      <c r="T764" s="5"/>
      <c r="U764" s="5"/>
      <c r="V764" s="5"/>
      <c r="W764" s="5"/>
    </row>
    <row r="765">
      <c r="A765" s="5"/>
      <c r="B765" s="5"/>
      <c r="C765" s="5"/>
      <c r="D765" s="5"/>
      <c r="E765" s="5"/>
      <c r="F765" s="5"/>
      <c r="G765" s="5"/>
      <c r="H765" s="5"/>
      <c r="I765" s="5"/>
      <c r="J765" s="5"/>
      <c r="K765" s="5"/>
      <c r="L765" s="5"/>
      <c r="M765" s="5"/>
      <c r="N765" s="5"/>
      <c r="O765" s="5"/>
      <c r="P765" s="5"/>
      <c r="Q765" s="5"/>
      <c r="R765" s="5"/>
      <c r="S765" s="5"/>
      <c r="T765" s="5"/>
      <c r="U765" s="5"/>
      <c r="V765" s="5"/>
      <c r="W765" s="5"/>
    </row>
    <row r="766">
      <c r="A766" s="5"/>
      <c r="B766" s="5"/>
      <c r="C766" s="5"/>
      <c r="D766" s="5"/>
      <c r="E766" s="5"/>
      <c r="F766" s="5"/>
      <c r="G766" s="5"/>
      <c r="H766" s="5"/>
      <c r="I766" s="5"/>
      <c r="J766" s="5"/>
      <c r="K766" s="5"/>
      <c r="L766" s="5"/>
      <c r="M766" s="5"/>
      <c r="N766" s="5"/>
      <c r="O766" s="5"/>
      <c r="P766" s="5"/>
      <c r="Q766" s="5"/>
      <c r="R766" s="5"/>
      <c r="S766" s="5"/>
      <c r="T766" s="5"/>
      <c r="U766" s="5"/>
      <c r="V766" s="5"/>
      <c r="W766" s="5"/>
    </row>
    <row r="767">
      <c r="A767" s="5"/>
      <c r="B767" s="5"/>
      <c r="C767" s="5"/>
      <c r="D767" s="5"/>
      <c r="E767" s="5"/>
      <c r="F767" s="5"/>
      <c r="G767" s="5"/>
      <c r="H767" s="5"/>
      <c r="I767" s="5"/>
      <c r="J767" s="5"/>
      <c r="K767" s="5"/>
      <c r="L767" s="5"/>
      <c r="M767" s="5"/>
      <c r="N767" s="5"/>
      <c r="O767" s="5"/>
      <c r="P767" s="5"/>
      <c r="Q767" s="5"/>
      <c r="R767" s="5"/>
      <c r="S767" s="5"/>
      <c r="T767" s="5"/>
      <c r="U767" s="5"/>
      <c r="V767" s="5"/>
      <c r="W767" s="5"/>
    </row>
    <row r="768">
      <c r="A768" s="5"/>
      <c r="B768" s="5"/>
      <c r="C768" s="5"/>
      <c r="D768" s="5"/>
      <c r="E768" s="5"/>
      <c r="F768" s="5"/>
      <c r="G768" s="5"/>
      <c r="H768" s="5"/>
      <c r="I768" s="5"/>
      <c r="J768" s="5"/>
      <c r="K768" s="5"/>
      <c r="L768" s="5"/>
      <c r="M768" s="5"/>
      <c r="N768" s="5"/>
      <c r="O768" s="5"/>
      <c r="P768" s="5"/>
      <c r="Q768" s="5"/>
      <c r="R768" s="5"/>
      <c r="S768" s="5"/>
      <c r="T768" s="5"/>
      <c r="U768" s="5"/>
      <c r="V768" s="5"/>
      <c r="W768" s="5"/>
    </row>
    <row r="769">
      <c r="A769" s="5"/>
      <c r="B769" s="5"/>
      <c r="C769" s="5"/>
      <c r="D769" s="5"/>
      <c r="E769" s="5"/>
      <c r="F769" s="5"/>
      <c r="G769" s="5"/>
      <c r="H769" s="5"/>
      <c r="I769" s="5"/>
      <c r="J769" s="5"/>
      <c r="K769" s="5"/>
      <c r="L769" s="5"/>
      <c r="M769" s="5"/>
      <c r="N769" s="5"/>
      <c r="O769" s="5"/>
      <c r="P769" s="5"/>
      <c r="Q769" s="5"/>
      <c r="R769" s="5"/>
      <c r="S769" s="5"/>
      <c r="T769" s="5"/>
      <c r="U769" s="5"/>
      <c r="V769" s="5"/>
      <c r="W769" s="5"/>
    </row>
    <row r="770">
      <c r="A770" s="5"/>
      <c r="B770" s="5"/>
      <c r="C770" s="5"/>
      <c r="D770" s="5"/>
      <c r="E770" s="5"/>
      <c r="F770" s="5"/>
      <c r="G770" s="5"/>
      <c r="H770" s="5"/>
      <c r="I770" s="5"/>
      <c r="J770" s="5"/>
      <c r="K770" s="5"/>
      <c r="L770" s="5"/>
      <c r="M770" s="5"/>
      <c r="N770" s="5"/>
      <c r="O770" s="5"/>
      <c r="P770" s="5"/>
      <c r="Q770" s="5"/>
      <c r="R770" s="5"/>
      <c r="S770" s="5"/>
      <c r="T770" s="5"/>
      <c r="U770" s="5"/>
      <c r="V770" s="5"/>
      <c r="W770" s="5"/>
    </row>
    <row r="771">
      <c r="A771" s="5"/>
      <c r="B771" s="5"/>
      <c r="C771" s="5"/>
      <c r="D771" s="5"/>
      <c r="E771" s="5"/>
      <c r="F771" s="5"/>
      <c r="G771" s="5"/>
      <c r="H771" s="5"/>
      <c r="I771" s="5"/>
      <c r="J771" s="5"/>
      <c r="K771" s="5"/>
      <c r="L771" s="5"/>
      <c r="M771" s="5"/>
      <c r="N771" s="5"/>
      <c r="O771" s="5"/>
      <c r="P771" s="5"/>
      <c r="Q771" s="5"/>
      <c r="R771" s="5"/>
      <c r="S771" s="5"/>
      <c r="T771" s="5"/>
      <c r="U771" s="5"/>
      <c r="V771" s="5"/>
      <c r="W771" s="5"/>
    </row>
    <row r="772">
      <c r="A772" s="5"/>
      <c r="B772" s="5"/>
      <c r="C772" s="5"/>
      <c r="D772" s="5"/>
      <c r="E772" s="5"/>
      <c r="F772" s="5"/>
      <c r="G772" s="5"/>
      <c r="H772" s="5"/>
      <c r="I772" s="5"/>
      <c r="J772" s="5"/>
      <c r="K772" s="5"/>
      <c r="L772" s="5"/>
      <c r="M772" s="5"/>
      <c r="N772" s="5"/>
      <c r="O772" s="5"/>
      <c r="P772" s="5"/>
      <c r="Q772" s="5"/>
      <c r="R772" s="5"/>
      <c r="S772" s="5"/>
      <c r="T772" s="5"/>
      <c r="U772" s="5"/>
      <c r="V772" s="5"/>
      <c r="W772" s="5"/>
    </row>
    <row r="773">
      <c r="A773" s="5"/>
      <c r="B773" s="5"/>
      <c r="C773" s="5"/>
      <c r="D773" s="5"/>
      <c r="E773" s="5"/>
      <c r="F773" s="5"/>
      <c r="G773" s="5"/>
      <c r="H773" s="5"/>
      <c r="I773" s="5"/>
      <c r="J773" s="5"/>
      <c r="K773" s="5"/>
      <c r="L773" s="5"/>
      <c r="M773" s="5"/>
      <c r="N773" s="5"/>
      <c r="O773" s="5"/>
      <c r="P773" s="5"/>
      <c r="Q773" s="5"/>
      <c r="R773" s="5"/>
      <c r="S773" s="5"/>
      <c r="T773" s="5"/>
      <c r="U773" s="5"/>
      <c r="V773" s="5"/>
      <c r="W773" s="5"/>
    </row>
    <row r="774">
      <c r="A774" s="5"/>
      <c r="B774" s="5"/>
      <c r="C774" s="5"/>
      <c r="D774" s="5"/>
      <c r="E774" s="5"/>
      <c r="F774" s="5"/>
      <c r="G774" s="5"/>
      <c r="H774" s="5"/>
      <c r="I774" s="5"/>
      <c r="J774" s="5"/>
      <c r="K774" s="5"/>
      <c r="L774" s="5"/>
      <c r="M774" s="5"/>
      <c r="N774" s="5"/>
      <c r="O774" s="5"/>
      <c r="P774" s="5"/>
      <c r="Q774" s="5"/>
      <c r="R774" s="5"/>
      <c r="S774" s="5"/>
      <c r="T774" s="5"/>
      <c r="U774" s="5"/>
      <c r="V774" s="5"/>
      <c r="W774" s="5"/>
    </row>
    <row r="775">
      <c r="A775" s="5"/>
      <c r="B775" s="5"/>
      <c r="C775" s="5"/>
      <c r="D775" s="5"/>
      <c r="E775" s="5"/>
      <c r="F775" s="5"/>
      <c r="G775" s="5"/>
      <c r="H775" s="5"/>
      <c r="I775" s="5"/>
      <c r="J775" s="5"/>
      <c r="K775" s="5"/>
      <c r="L775" s="5"/>
      <c r="M775" s="5"/>
      <c r="N775" s="5"/>
      <c r="O775" s="5"/>
      <c r="P775" s="5"/>
      <c r="Q775" s="5"/>
      <c r="R775" s="5"/>
      <c r="S775" s="5"/>
      <c r="T775" s="5"/>
      <c r="U775" s="5"/>
      <c r="V775" s="5"/>
      <c r="W775" s="5"/>
    </row>
    <row r="776">
      <c r="A776" s="5"/>
      <c r="B776" s="5"/>
      <c r="C776" s="5"/>
      <c r="D776" s="5"/>
      <c r="E776" s="5"/>
      <c r="F776" s="5"/>
      <c r="G776" s="5"/>
      <c r="H776" s="5"/>
      <c r="I776" s="5"/>
      <c r="J776" s="5"/>
      <c r="K776" s="5"/>
      <c r="L776" s="5"/>
      <c r="M776" s="5"/>
      <c r="N776" s="5"/>
      <c r="O776" s="5"/>
      <c r="P776" s="5"/>
      <c r="Q776" s="5"/>
      <c r="R776" s="5"/>
      <c r="S776" s="5"/>
      <c r="T776" s="5"/>
      <c r="U776" s="5"/>
      <c r="V776" s="5"/>
      <c r="W776" s="5"/>
    </row>
    <row r="777">
      <c r="A777" s="5"/>
      <c r="B777" s="5"/>
      <c r="C777" s="5"/>
      <c r="D777" s="5"/>
      <c r="E777" s="5"/>
      <c r="F777" s="5"/>
      <c r="G777" s="5"/>
      <c r="H777" s="5"/>
      <c r="I777" s="5"/>
      <c r="J777" s="5"/>
      <c r="K777" s="5"/>
      <c r="L777" s="5"/>
      <c r="M777" s="5"/>
      <c r="N777" s="5"/>
      <c r="O777" s="5"/>
      <c r="P777" s="5"/>
      <c r="Q777" s="5"/>
      <c r="R777" s="5"/>
      <c r="S777" s="5"/>
      <c r="T777" s="5"/>
      <c r="U777" s="5"/>
      <c r="V777" s="5"/>
      <c r="W777" s="5"/>
    </row>
    <row r="778">
      <c r="A778" s="5"/>
      <c r="B778" s="5"/>
      <c r="C778" s="5"/>
      <c r="D778" s="5"/>
      <c r="E778" s="5"/>
      <c r="F778" s="5"/>
      <c r="G778" s="5"/>
      <c r="H778" s="5"/>
      <c r="I778" s="5"/>
      <c r="J778" s="5"/>
      <c r="K778" s="5"/>
      <c r="L778" s="5"/>
      <c r="M778" s="5"/>
      <c r="N778" s="5"/>
      <c r="O778" s="5"/>
      <c r="P778" s="5"/>
      <c r="Q778" s="5"/>
      <c r="R778" s="5"/>
      <c r="S778" s="5"/>
      <c r="T778" s="5"/>
      <c r="U778" s="5"/>
      <c r="V778" s="5"/>
      <c r="W778" s="5"/>
    </row>
    <row r="779">
      <c r="A779" s="5"/>
      <c r="B779" s="5"/>
      <c r="C779" s="5"/>
      <c r="D779" s="5"/>
      <c r="E779" s="5"/>
      <c r="F779" s="5"/>
      <c r="G779" s="5"/>
      <c r="H779" s="5"/>
      <c r="I779" s="5"/>
      <c r="J779" s="5"/>
      <c r="K779" s="5"/>
      <c r="L779" s="5"/>
      <c r="M779" s="5"/>
      <c r="N779" s="5"/>
      <c r="O779" s="5"/>
      <c r="P779" s="5"/>
      <c r="Q779" s="5"/>
      <c r="R779" s="5"/>
      <c r="S779" s="5"/>
      <c r="T779" s="5"/>
      <c r="U779" s="5"/>
      <c r="V779" s="5"/>
      <c r="W779" s="5"/>
    </row>
    <row r="780">
      <c r="A780" s="5"/>
      <c r="B780" s="5"/>
      <c r="C780" s="5"/>
      <c r="D780" s="5"/>
      <c r="E780" s="5"/>
      <c r="F780" s="5"/>
      <c r="G780" s="5"/>
      <c r="H780" s="5"/>
      <c r="I780" s="5"/>
      <c r="J780" s="5"/>
      <c r="K780" s="5"/>
      <c r="L780" s="5"/>
      <c r="M780" s="5"/>
      <c r="N780" s="5"/>
      <c r="O780" s="5"/>
      <c r="P780" s="5"/>
      <c r="Q780" s="5"/>
      <c r="R780" s="5"/>
      <c r="S780" s="5"/>
      <c r="T780" s="5"/>
      <c r="U780" s="5"/>
      <c r="V780" s="5"/>
      <c r="W780" s="5"/>
    </row>
    <row r="781">
      <c r="A781" s="5"/>
      <c r="B781" s="5"/>
      <c r="C781" s="5"/>
      <c r="D781" s="5"/>
      <c r="E781" s="5"/>
      <c r="F781" s="5"/>
      <c r="G781" s="5"/>
      <c r="H781" s="5"/>
      <c r="I781" s="5"/>
      <c r="J781" s="5"/>
      <c r="K781" s="5"/>
      <c r="L781" s="5"/>
      <c r="M781" s="5"/>
      <c r="N781" s="5"/>
      <c r="O781" s="5"/>
      <c r="P781" s="5"/>
      <c r="Q781" s="5"/>
      <c r="R781" s="5"/>
      <c r="S781" s="5"/>
      <c r="T781" s="5"/>
      <c r="U781" s="5"/>
      <c r="V781" s="5"/>
      <c r="W781" s="5"/>
    </row>
    <row r="782">
      <c r="A782" s="5"/>
      <c r="B782" s="5"/>
      <c r="C782" s="5"/>
      <c r="D782" s="5"/>
      <c r="E782" s="5"/>
      <c r="F782" s="5"/>
      <c r="G782" s="5"/>
      <c r="H782" s="5"/>
      <c r="I782" s="5"/>
      <c r="J782" s="5"/>
      <c r="K782" s="5"/>
      <c r="L782" s="5"/>
      <c r="M782" s="5"/>
      <c r="N782" s="5"/>
      <c r="O782" s="5"/>
      <c r="P782" s="5"/>
      <c r="Q782" s="5"/>
      <c r="R782" s="5"/>
      <c r="S782" s="5"/>
      <c r="T782" s="5"/>
      <c r="U782" s="5"/>
      <c r="V782" s="5"/>
      <c r="W782" s="5"/>
    </row>
    <row r="783">
      <c r="A783" s="5"/>
      <c r="B783" s="5"/>
      <c r="C783" s="5"/>
      <c r="D783" s="5"/>
      <c r="E783" s="5"/>
      <c r="F783" s="5"/>
      <c r="G783" s="5"/>
      <c r="H783" s="5"/>
      <c r="I783" s="5"/>
      <c r="J783" s="5"/>
      <c r="K783" s="5"/>
      <c r="L783" s="5"/>
      <c r="M783" s="5"/>
      <c r="N783" s="5"/>
      <c r="O783" s="5"/>
      <c r="P783" s="5"/>
      <c r="Q783" s="5"/>
      <c r="R783" s="5"/>
      <c r="S783" s="5"/>
      <c r="T783" s="5"/>
      <c r="U783" s="5"/>
      <c r="V783" s="5"/>
      <c r="W783" s="5"/>
    </row>
    <row r="784">
      <c r="A784" s="5"/>
      <c r="B784" s="5"/>
      <c r="C784" s="5"/>
      <c r="D784" s="5"/>
      <c r="E784" s="5"/>
      <c r="F784" s="5"/>
      <c r="G784" s="5"/>
      <c r="H784" s="5"/>
      <c r="I784" s="5"/>
      <c r="J784" s="5"/>
      <c r="K784" s="5"/>
      <c r="L784" s="5"/>
      <c r="M784" s="5"/>
      <c r="N784" s="5"/>
      <c r="O784" s="5"/>
      <c r="P784" s="5"/>
      <c r="Q784" s="5"/>
      <c r="R784" s="5"/>
      <c r="S784" s="5"/>
      <c r="T784" s="5"/>
      <c r="U784" s="5"/>
      <c r="V784" s="5"/>
      <c r="W784" s="5"/>
    </row>
    <row r="785">
      <c r="A785" s="5"/>
      <c r="B785" s="5"/>
      <c r="C785" s="5"/>
      <c r="D785" s="5"/>
      <c r="E785" s="5"/>
      <c r="F785" s="5"/>
      <c r="G785" s="5"/>
      <c r="H785" s="5"/>
      <c r="I785" s="5"/>
      <c r="J785" s="5"/>
      <c r="K785" s="5"/>
      <c r="L785" s="5"/>
      <c r="M785" s="5"/>
      <c r="N785" s="5"/>
      <c r="O785" s="5"/>
      <c r="P785" s="5"/>
      <c r="Q785" s="5"/>
      <c r="R785" s="5"/>
      <c r="S785" s="5"/>
      <c r="T785" s="5"/>
      <c r="U785" s="5"/>
      <c r="V785" s="5"/>
      <c r="W785" s="5"/>
    </row>
    <row r="786">
      <c r="A786" s="5"/>
      <c r="B786" s="5"/>
      <c r="C786" s="5"/>
      <c r="D786" s="5"/>
      <c r="E786" s="5"/>
      <c r="F786" s="5"/>
      <c r="G786" s="5"/>
      <c r="H786" s="5"/>
      <c r="I786" s="5"/>
      <c r="J786" s="5"/>
      <c r="K786" s="5"/>
      <c r="L786" s="5"/>
      <c r="M786" s="5"/>
      <c r="N786" s="5"/>
      <c r="O786" s="5"/>
      <c r="P786" s="5"/>
      <c r="Q786" s="5"/>
      <c r="R786" s="5"/>
      <c r="S786" s="5"/>
      <c r="T786" s="5"/>
      <c r="U786" s="5"/>
      <c r="V786" s="5"/>
      <c r="W786" s="5"/>
    </row>
    <row r="787">
      <c r="A787" s="5"/>
      <c r="B787" s="5"/>
      <c r="C787" s="5"/>
      <c r="D787" s="5"/>
      <c r="E787" s="5"/>
      <c r="F787" s="5"/>
      <c r="G787" s="5"/>
      <c r="H787" s="5"/>
      <c r="I787" s="5"/>
      <c r="J787" s="5"/>
      <c r="K787" s="5"/>
      <c r="L787" s="5"/>
      <c r="M787" s="5"/>
      <c r="N787" s="5"/>
      <c r="O787" s="5"/>
      <c r="P787" s="5"/>
      <c r="Q787" s="5"/>
      <c r="R787" s="5"/>
      <c r="S787" s="5"/>
      <c r="T787" s="5"/>
      <c r="U787" s="5"/>
      <c r="V787" s="5"/>
      <c r="W787" s="5"/>
    </row>
    <row r="788">
      <c r="A788" s="5"/>
      <c r="B788" s="5"/>
      <c r="C788" s="5"/>
      <c r="D788" s="5"/>
      <c r="E788" s="5"/>
      <c r="F788" s="5"/>
      <c r="G788" s="5"/>
      <c r="H788" s="5"/>
      <c r="I788" s="5"/>
      <c r="J788" s="5"/>
      <c r="K788" s="5"/>
      <c r="L788" s="5"/>
      <c r="M788" s="5"/>
      <c r="N788" s="5"/>
      <c r="O788" s="5"/>
      <c r="P788" s="5"/>
      <c r="Q788" s="5"/>
      <c r="R788" s="5"/>
      <c r="S788" s="5"/>
      <c r="T788" s="5"/>
      <c r="U788" s="5"/>
      <c r="V788" s="5"/>
      <c r="W788" s="5"/>
    </row>
    <row r="789">
      <c r="A789" s="5"/>
      <c r="B789" s="5"/>
      <c r="C789" s="5"/>
      <c r="D789" s="5"/>
      <c r="E789" s="5"/>
      <c r="F789" s="5"/>
      <c r="G789" s="5"/>
      <c r="H789" s="5"/>
      <c r="I789" s="5"/>
      <c r="J789" s="5"/>
      <c r="K789" s="5"/>
      <c r="L789" s="5"/>
      <c r="M789" s="5"/>
      <c r="N789" s="5"/>
      <c r="O789" s="5"/>
      <c r="P789" s="5"/>
      <c r="Q789" s="5"/>
      <c r="R789" s="5"/>
      <c r="S789" s="5"/>
      <c r="T789" s="5"/>
      <c r="U789" s="5"/>
      <c r="V789" s="5"/>
      <c r="W789" s="5"/>
    </row>
    <row r="790">
      <c r="A790" s="5"/>
      <c r="B790" s="5"/>
      <c r="C790" s="5"/>
      <c r="D790" s="5"/>
      <c r="E790" s="5"/>
      <c r="F790" s="5"/>
      <c r="G790" s="5"/>
      <c r="H790" s="5"/>
      <c r="I790" s="5"/>
      <c r="J790" s="5"/>
      <c r="K790" s="5"/>
      <c r="L790" s="5"/>
      <c r="M790" s="5"/>
      <c r="N790" s="5"/>
      <c r="O790" s="5"/>
      <c r="P790" s="5"/>
      <c r="Q790" s="5"/>
      <c r="R790" s="5"/>
      <c r="S790" s="5"/>
      <c r="T790" s="5"/>
      <c r="U790" s="5"/>
      <c r="V790" s="5"/>
      <c r="W790" s="5"/>
    </row>
    <row r="791">
      <c r="A791" s="5"/>
      <c r="B791" s="5"/>
      <c r="C791" s="5"/>
      <c r="D791" s="5"/>
      <c r="E791" s="5"/>
      <c r="F791" s="5"/>
      <c r="G791" s="5"/>
      <c r="H791" s="5"/>
      <c r="I791" s="5"/>
      <c r="J791" s="5"/>
      <c r="K791" s="5"/>
      <c r="L791" s="5"/>
      <c r="M791" s="5"/>
      <c r="N791" s="5"/>
      <c r="O791" s="5"/>
      <c r="P791" s="5"/>
      <c r="Q791" s="5"/>
      <c r="R791" s="5"/>
      <c r="S791" s="5"/>
      <c r="T791" s="5"/>
      <c r="U791" s="5"/>
      <c r="V791" s="5"/>
      <c r="W791" s="5"/>
    </row>
    <row r="792">
      <c r="A792" s="5"/>
      <c r="B792" s="5"/>
      <c r="C792" s="5"/>
      <c r="D792" s="5"/>
      <c r="E792" s="5"/>
      <c r="F792" s="5"/>
      <c r="G792" s="5"/>
      <c r="H792" s="5"/>
      <c r="I792" s="5"/>
      <c r="J792" s="5"/>
      <c r="K792" s="5"/>
      <c r="L792" s="5"/>
      <c r="M792" s="5"/>
      <c r="N792" s="5"/>
      <c r="O792" s="5"/>
      <c r="P792" s="5"/>
      <c r="Q792" s="5"/>
      <c r="R792" s="5"/>
      <c r="S792" s="5"/>
      <c r="T792" s="5"/>
      <c r="U792" s="5"/>
      <c r="V792" s="5"/>
      <c r="W792" s="5"/>
    </row>
    <row r="793">
      <c r="A793" s="5"/>
      <c r="B793" s="5"/>
      <c r="C793" s="5"/>
      <c r="D793" s="5"/>
      <c r="E793" s="5"/>
      <c r="F793" s="5"/>
      <c r="G793" s="5"/>
      <c r="H793" s="5"/>
      <c r="I793" s="5"/>
      <c r="J793" s="5"/>
      <c r="K793" s="5"/>
      <c r="L793" s="5"/>
      <c r="M793" s="5"/>
      <c r="N793" s="5"/>
      <c r="O793" s="5"/>
      <c r="P793" s="5"/>
      <c r="Q793" s="5"/>
      <c r="R793" s="5"/>
      <c r="S793" s="5"/>
      <c r="T793" s="5"/>
      <c r="U793" s="5"/>
      <c r="V793" s="5"/>
      <c r="W793" s="5"/>
    </row>
    <row r="794">
      <c r="A794" s="5"/>
      <c r="B794" s="5"/>
      <c r="C794" s="5"/>
      <c r="D794" s="5"/>
      <c r="E794" s="5"/>
      <c r="F794" s="5"/>
      <c r="G794" s="5"/>
      <c r="H794" s="5"/>
      <c r="I794" s="5"/>
      <c r="J794" s="5"/>
      <c r="K794" s="5"/>
      <c r="L794" s="5"/>
      <c r="M794" s="5"/>
      <c r="N794" s="5"/>
      <c r="O794" s="5"/>
      <c r="P794" s="5"/>
      <c r="Q794" s="5"/>
      <c r="R794" s="5"/>
      <c r="S794" s="5"/>
      <c r="T794" s="5"/>
      <c r="U794" s="5"/>
      <c r="V794" s="5"/>
      <c r="W794" s="5"/>
    </row>
    <row r="795">
      <c r="A795" s="5"/>
      <c r="B795" s="5"/>
      <c r="C795" s="5"/>
      <c r="D795" s="5"/>
      <c r="E795" s="5"/>
      <c r="F795" s="5"/>
      <c r="G795" s="5"/>
      <c r="H795" s="5"/>
      <c r="I795" s="5"/>
      <c r="J795" s="5"/>
      <c r="K795" s="5"/>
      <c r="L795" s="5"/>
      <c r="M795" s="5"/>
      <c r="N795" s="5"/>
      <c r="O795" s="5"/>
      <c r="P795" s="5"/>
      <c r="Q795" s="5"/>
      <c r="R795" s="5"/>
      <c r="S795" s="5"/>
      <c r="T795" s="5"/>
      <c r="U795" s="5"/>
      <c r="V795" s="5"/>
      <c r="W795" s="5"/>
    </row>
    <row r="796">
      <c r="A796" s="5"/>
      <c r="B796" s="5"/>
      <c r="C796" s="5"/>
      <c r="D796" s="5"/>
      <c r="E796" s="5"/>
      <c r="F796" s="5"/>
      <c r="G796" s="5"/>
      <c r="H796" s="5"/>
      <c r="I796" s="5"/>
      <c r="J796" s="5"/>
      <c r="K796" s="5"/>
      <c r="L796" s="5"/>
      <c r="M796" s="5"/>
      <c r="N796" s="5"/>
      <c r="O796" s="5"/>
      <c r="P796" s="5"/>
      <c r="Q796" s="5"/>
      <c r="R796" s="5"/>
      <c r="S796" s="5"/>
      <c r="T796" s="5"/>
      <c r="U796" s="5"/>
      <c r="V796" s="5"/>
      <c r="W796" s="5"/>
    </row>
    <row r="797">
      <c r="A797" s="5"/>
      <c r="B797" s="5"/>
      <c r="C797" s="5"/>
      <c r="D797" s="5"/>
      <c r="E797" s="5"/>
      <c r="F797" s="5"/>
      <c r="G797" s="5"/>
      <c r="H797" s="5"/>
      <c r="I797" s="5"/>
      <c r="J797" s="5"/>
      <c r="K797" s="5"/>
      <c r="L797" s="5"/>
      <c r="M797" s="5"/>
      <c r="N797" s="5"/>
      <c r="O797" s="5"/>
      <c r="P797" s="5"/>
      <c r="Q797" s="5"/>
      <c r="R797" s="5"/>
      <c r="S797" s="5"/>
      <c r="T797" s="5"/>
      <c r="U797" s="5"/>
      <c r="V797" s="5"/>
      <c r="W797" s="5"/>
    </row>
    <row r="798">
      <c r="A798" s="5"/>
      <c r="B798" s="5"/>
      <c r="C798" s="5"/>
      <c r="D798" s="5"/>
      <c r="E798" s="5"/>
      <c r="F798" s="5"/>
      <c r="G798" s="5"/>
      <c r="H798" s="5"/>
      <c r="I798" s="5"/>
      <c r="J798" s="5"/>
      <c r="K798" s="5"/>
      <c r="L798" s="5"/>
      <c r="M798" s="5"/>
      <c r="N798" s="5"/>
      <c r="O798" s="5"/>
      <c r="P798" s="5"/>
      <c r="Q798" s="5"/>
      <c r="R798" s="5"/>
      <c r="S798" s="5"/>
      <c r="T798" s="5"/>
      <c r="U798" s="5"/>
      <c r="V798" s="5"/>
      <c r="W798" s="5"/>
    </row>
    <row r="799">
      <c r="A799" s="5"/>
      <c r="B799" s="5"/>
      <c r="C799" s="5"/>
      <c r="D799" s="5"/>
      <c r="E799" s="5"/>
      <c r="F799" s="5"/>
      <c r="G799" s="5"/>
      <c r="H799" s="5"/>
      <c r="I799" s="5"/>
      <c r="J799" s="5"/>
      <c r="K799" s="5"/>
      <c r="L799" s="5"/>
      <c r="M799" s="5"/>
      <c r="N799" s="5"/>
      <c r="O799" s="5"/>
      <c r="P799" s="5"/>
      <c r="Q799" s="5"/>
      <c r="R799" s="5"/>
      <c r="S799" s="5"/>
      <c r="T799" s="5"/>
      <c r="U799" s="5"/>
      <c r="V799" s="5"/>
      <c r="W799" s="5"/>
    </row>
    <row r="800">
      <c r="A800" s="5"/>
      <c r="B800" s="5"/>
      <c r="C800" s="5"/>
      <c r="D800" s="5"/>
      <c r="E800" s="5"/>
      <c r="F800" s="5"/>
      <c r="G800" s="5"/>
      <c r="H800" s="5"/>
      <c r="I800" s="5"/>
      <c r="J800" s="5"/>
      <c r="K800" s="5"/>
      <c r="L800" s="5"/>
      <c r="M800" s="5"/>
      <c r="N800" s="5"/>
      <c r="O800" s="5"/>
      <c r="P800" s="5"/>
      <c r="Q800" s="5"/>
      <c r="R800" s="5"/>
      <c r="S800" s="5"/>
      <c r="T800" s="5"/>
      <c r="U800" s="5"/>
      <c r="V800" s="5"/>
      <c r="W800" s="5"/>
    </row>
    <row r="801">
      <c r="A801" s="5"/>
      <c r="B801" s="5"/>
      <c r="C801" s="5"/>
      <c r="D801" s="5"/>
      <c r="E801" s="5"/>
      <c r="F801" s="5"/>
      <c r="G801" s="5"/>
      <c r="H801" s="5"/>
      <c r="I801" s="5"/>
      <c r="J801" s="5"/>
      <c r="K801" s="5"/>
      <c r="L801" s="5"/>
      <c r="M801" s="5"/>
      <c r="N801" s="5"/>
      <c r="O801" s="5"/>
      <c r="P801" s="5"/>
      <c r="Q801" s="5"/>
      <c r="R801" s="5"/>
      <c r="S801" s="5"/>
      <c r="T801" s="5"/>
      <c r="U801" s="5"/>
      <c r="V801" s="5"/>
      <c r="W801" s="5"/>
    </row>
    <row r="802">
      <c r="A802" s="5"/>
      <c r="B802" s="5"/>
      <c r="C802" s="5"/>
      <c r="D802" s="5"/>
      <c r="E802" s="5"/>
      <c r="F802" s="5"/>
      <c r="G802" s="5"/>
      <c r="H802" s="5"/>
      <c r="I802" s="5"/>
      <c r="J802" s="5"/>
      <c r="K802" s="5"/>
      <c r="L802" s="5"/>
      <c r="M802" s="5"/>
      <c r="N802" s="5"/>
      <c r="O802" s="5"/>
      <c r="P802" s="5"/>
      <c r="Q802" s="5"/>
      <c r="R802" s="5"/>
      <c r="S802" s="5"/>
      <c r="T802" s="5"/>
      <c r="U802" s="5"/>
      <c r="V802" s="5"/>
      <c r="W802" s="5"/>
    </row>
    <row r="803">
      <c r="A803" s="5"/>
      <c r="B803" s="5"/>
      <c r="C803" s="5"/>
      <c r="D803" s="5"/>
      <c r="E803" s="5"/>
      <c r="F803" s="5"/>
      <c r="G803" s="5"/>
      <c r="H803" s="5"/>
      <c r="I803" s="5"/>
      <c r="J803" s="5"/>
      <c r="K803" s="5"/>
      <c r="L803" s="5"/>
      <c r="M803" s="5"/>
      <c r="N803" s="5"/>
      <c r="O803" s="5"/>
      <c r="P803" s="5"/>
      <c r="Q803" s="5"/>
      <c r="R803" s="5"/>
      <c r="S803" s="5"/>
      <c r="T803" s="5"/>
      <c r="U803" s="5"/>
      <c r="V803" s="5"/>
      <c r="W803" s="5"/>
    </row>
    <row r="804">
      <c r="A804" s="5"/>
      <c r="B804" s="5"/>
      <c r="C804" s="5"/>
      <c r="D804" s="5"/>
      <c r="E804" s="5"/>
      <c r="F804" s="5"/>
      <c r="G804" s="5"/>
      <c r="H804" s="5"/>
      <c r="I804" s="5"/>
      <c r="J804" s="5"/>
      <c r="K804" s="5"/>
      <c r="L804" s="5"/>
      <c r="M804" s="5"/>
      <c r="N804" s="5"/>
      <c r="O804" s="5"/>
      <c r="P804" s="5"/>
      <c r="Q804" s="5"/>
      <c r="R804" s="5"/>
      <c r="S804" s="5"/>
      <c r="T804" s="5"/>
      <c r="U804" s="5"/>
      <c r="V804" s="5"/>
      <c r="W804" s="5"/>
    </row>
    <row r="805">
      <c r="A805" s="5"/>
      <c r="B805" s="5"/>
      <c r="C805" s="5"/>
      <c r="D805" s="5"/>
      <c r="E805" s="5"/>
      <c r="F805" s="5"/>
      <c r="G805" s="5"/>
      <c r="H805" s="5"/>
      <c r="I805" s="5"/>
      <c r="J805" s="5"/>
      <c r="K805" s="5"/>
      <c r="L805" s="5"/>
      <c r="M805" s="5"/>
      <c r="N805" s="5"/>
      <c r="O805" s="5"/>
      <c r="P805" s="5"/>
      <c r="Q805" s="5"/>
      <c r="R805" s="5"/>
      <c r="S805" s="5"/>
      <c r="T805" s="5"/>
      <c r="U805" s="5"/>
      <c r="V805" s="5"/>
      <c r="W805" s="5"/>
    </row>
    <row r="806">
      <c r="A806" s="5"/>
      <c r="B806" s="5"/>
      <c r="C806" s="5"/>
      <c r="D806" s="5"/>
      <c r="E806" s="5"/>
      <c r="F806" s="5"/>
      <c r="G806" s="5"/>
      <c r="H806" s="5"/>
      <c r="I806" s="5"/>
      <c r="J806" s="5"/>
      <c r="K806" s="5"/>
      <c r="L806" s="5"/>
      <c r="M806" s="5"/>
      <c r="N806" s="5"/>
      <c r="O806" s="5"/>
      <c r="P806" s="5"/>
      <c r="Q806" s="5"/>
      <c r="R806" s="5"/>
      <c r="S806" s="5"/>
      <c r="T806" s="5"/>
      <c r="U806" s="5"/>
      <c r="V806" s="5"/>
      <c r="W806" s="5"/>
    </row>
    <row r="807">
      <c r="A807" s="5"/>
      <c r="B807" s="5"/>
      <c r="C807" s="5"/>
      <c r="D807" s="5"/>
      <c r="E807" s="5"/>
      <c r="F807" s="5"/>
      <c r="G807" s="5"/>
      <c r="H807" s="5"/>
      <c r="I807" s="5"/>
      <c r="J807" s="5"/>
      <c r="K807" s="5"/>
      <c r="L807" s="5"/>
      <c r="M807" s="5"/>
      <c r="N807" s="5"/>
      <c r="O807" s="5"/>
      <c r="P807" s="5"/>
      <c r="Q807" s="5"/>
      <c r="R807" s="5"/>
      <c r="S807" s="5"/>
      <c r="T807" s="5"/>
      <c r="U807" s="5"/>
      <c r="V807" s="5"/>
      <c r="W807" s="5"/>
    </row>
    <row r="808">
      <c r="A808" s="5"/>
      <c r="B808" s="5"/>
      <c r="C808" s="5"/>
      <c r="D808" s="5"/>
      <c r="E808" s="5"/>
      <c r="F808" s="5"/>
      <c r="G808" s="5"/>
      <c r="H808" s="5"/>
      <c r="I808" s="5"/>
      <c r="J808" s="5"/>
      <c r="K808" s="5"/>
      <c r="L808" s="5"/>
      <c r="M808" s="5"/>
      <c r="N808" s="5"/>
      <c r="O808" s="5"/>
      <c r="P808" s="5"/>
      <c r="Q808" s="5"/>
      <c r="R808" s="5"/>
      <c r="S808" s="5"/>
      <c r="T808" s="5"/>
      <c r="U808" s="5"/>
      <c r="V808" s="5"/>
      <c r="W808" s="5"/>
    </row>
    <row r="809">
      <c r="A809" s="5"/>
      <c r="B809" s="5"/>
      <c r="C809" s="5"/>
      <c r="D809" s="5"/>
      <c r="E809" s="5"/>
      <c r="F809" s="5"/>
      <c r="G809" s="5"/>
      <c r="H809" s="5"/>
      <c r="I809" s="5"/>
      <c r="J809" s="5"/>
      <c r="K809" s="5"/>
      <c r="L809" s="5"/>
      <c r="M809" s="5"/>
      <c r="N809" s="5"/>
      <c r="O809" s="5"/>
      <c r="P809" s="5"/>
      <c r="Q809" s="5"/>
      <c r="R809" s="5"/>
      <c r="S809" s="5"/>
      <c r="T809" s="5"/>
      <c r="U809" s="5"/>
      <c r="V809" s="5"/>
      <c r="W809" s="5"/>
    </row>
    <row r="810">
      <c r="A810" s="5"/>
      <c r="B810" s="5"/>
      <c r="C810" s="5"/>
      <c r="D810" s="5"/>
      <c r="E810" s="5"/>
      <c r="F810" s="5"/>
      <c r="G810" s="5"/>
      <c r="H810" s="5"/>
      <c r="I810" s="5"/>
      <c r="J810" s="5"/>
      <c r="K810" s="5"/>
      <c r="L810" s="5"/>
      <c r="M810" s="5"/>
      <c r="N810" s="5"/>
      <c r="O810" s="5"/>
      <c r="P810" s="5"/>
      <c r="Q810" s="5"/>
      <c r="R810" s="5"/>
      <c r="S810" s="5"/>
      <c r="T810" s="5"/>
      <c r="U810" s="5"/>
      <c r="V810" s="5"/>
      <c r="W810" s="5"/>
    </row>
    <row r="811">
      <c r="A811" s="5"/>
      <c r="B811" s="5"/>
      <c r="C811" s="5"/>
      <c r="D811" s="5"/>
      <c r="E811" s="5"/>
      <c r="F811" s="5"/>
      <c r="G811" s="5"/>
      <c r="H811" s="5"/>
      <c r="I811" s="5"/>
      <c r="J811" s="5"/>
      <c r="K811" s="5"/>
      <c r="L811" s="5"/>
      <c r="M811" s="5"/>
      <c r="N811" s="5"/>
      <c r="O811" s="5"/>
      <c r="P811" s="5"/>
      <c r="Q811" s="5"/>
      <c r="R811" s="5"/>
      <c r="S811" s="5"/>
      <c r="T811" s="5"/>
      <c r="U811" s="5"/>
      <c r="V811" s="5"/>
      <c r="W811" s="5"/>
    </row>
    <row r="812">
      <c r="A812" s="5"/>
      <c r="B812" s="5"/>
      <c r="C812" s="5"/>
      <c r="D812" s="5"/>
      <c r="E812" s="5"/>
      <c r="F812" s="5"/>
      <c r="G812" s="5"/>
      <c r="H812" s="5"/>
      <c r="I812" s="5"/>
      <c r="J812" s="5"/>
      <c r="K812" s="5"/>
      <c r="L812" s="5"/>
      <c r="M812" s="5"/>
      <c r="N812" s="5"/>
      <c r="O812" s="5"/>
      <c r="P812" s="5"/>
      <c r="Q812" s="5"/>
      <c r="R812" s="5"/>
      <c r="S812" s="5"/>
      <c r="T812" s="5"/>
      <c r="U812" s="5"/>
      <c r="V812" s="5"/>
      <c r="W812" s="5"/>
    </row>
    <row r="813">
      <c r="A813" s="5"/>
      <c r="B813" s="5"/>
      <c r="C813" s="5"/>
      <c r="D813" s="5"/>
      <c r="E813" s="5"/>
      <c r="F813" s="5"/>
      <c r="G813" s="5"/>
      <c r="H813" s="5"/>
      <c r="I813" s="5"/>
      <c r="J813" s="5"/>
      <c r="K813" s="5"/>
      <c r="L813" s="5"/>
      <c r="M813" s="5"/>
      <c r="N813" s="5"/>
      <c r="O813" s="5"/>
      <c r="P813" s="5"/>
      <c r="Q813" s="5"/>
      <c r="R813" s="5"/>
      <c r="S813" s="5"/>
      <c r="T813" s="5"/>
      <c r="U813" s="5"/>
      <c r="V813" s="5"/>
      <c r="W813" s="5"/>
    </row>
    <row r="814">
      <c r="A814" s="5"/>
      <c r="B814" s="5"/>
      <c r="C814" s="5"/>
      <c r="D814" s="5"/>
      <c r="E814" s="5"/>
      <c r="F814" s="5"/>
      <c r="G814" s="5"/>
      <c r="H814" s="5"/>
      <c r="I814" s="5"/>
      <c r="J814" s="5"/>
      <c r="K814" s="5"/>
      <c r="L814" s="5"/>
      <c r="M814" s="5"/>
      <c r="N814" s="5"/>
      <c r="O814" s="5"/>
      <c r="P814" s="5"/>
      <c r="Q814" s="5"/>
      <c r="R814" s="5"/>
      <c r="S814" s="5"/>
      <c r="T814" s="5"/>
      <c r="U814" s="5"/>
      <c r="V814" s="5"/>
      <c r="W814" s="5"/>
    </row>
    <row r="815">
      <c r="A815" s="5"/>
      <c r="B815" s="5"/>
      <c r="C815" s="5"/>
      <c r="D815" s="5"/>
      <c r="E815" s="5"/>
      <c r="F815" s="5"/>
      <c r="G815" s="5"/>
      <c r="H815" s="5"/>
      <c r="I815" s="5"/>
      <c r="J815" s="5"/>
      <c r="K815" s="5"/>
      <c r="L815" s="5"/>
      <c r="M815" s="5"/>
      <c r="N815" s="5"/>
      <c r="O815" s="5"/>
      <c r="P815" s="5"/>
      <c r="Q815" s="5"/>
      <c r="R815" s="5"/>
      <c r="S815" s="5"/>
      <c r="T815" s="5"/>
      <c r="U815" s="5"/>
      <c r="V815" s="5"/>
      <c r="W815" s="5"/>
    </row>
    <row r="816">
      <c r="A816" s="5"/>
      <c r="B816" s="5"/>
      <c r="C816" s="5"/>
      <c r="D816" s="5"/>
      <c r="E816" s="5"/>
      <c r="F816" s="5"/>
      <c r="G816" s="5"/>
      <c r="H816" s="5"/>
      <c r="I816" s="5"/>
      <c r="J816" s="5"/>
      <c r="K816" s="5"/>
      <c r="L816" s="5"/>
      <c r="M816" s="5"/>
      <c r="N816" s="5"/>
      <c r="O816" s="5"/>
      <c r="P816" s="5"/>
      <c r="Q816" s="5"/>
      <c r="R816" s="5"/>
      <c r="S816" s="5"/>
      <c r="T816" s="5"/>
      <c r="U816" s="5"/>
      <c r="V816" s="5"/>
      <c r="W816" s="5"/>
    </row>
    <row r="817">
      <c r="A817" s="5"/>
      <c r="B817" s="5"/>
      <c r="C817" s="5"/>
      <c r="D817" s="5"/>
      <c r="E817" s="5"/>
      <c r="F817" s="5"/>
      <c r="G817" s="5"/>
      <c r="H817" s="5"/>
      <c r="I817" s="5"/>
      <c r="J817" s="5"/>
      <c r="K817" s="5"/>
      <c r="L817" s="5"/>
      <c r="M817" s="5"/>
      <c r="N817" s="5"/>
      <c r="O817" s="5"/>
      <c r="P817" s="5"/>
      <c r="Q817" s="5"/>
      <c r="R817" s="5"/>
      <c r="S817" s="5"/>
      <c r="T817" s="5"/>
      <c r="U817" s="5"/>
      <c r="V817" s="5"/>
      <c r="W817" s="5"/>
    </row>
    <row r="818">
      <c r="A818" s="5"/>
      <c r="B818" s="5"/>
      <c r="C818" s="5"/>
      <c r="D818" s="5"/>
      <c r="E818" s="5"/>
      <c r="F818" s="5"/>
      <c r="G818" s="5"/>
      <c r="H818" s="5"/>
      <c r="I818" s="5"/>
      <c r="J818" s="5"/>
      <c r="K818" s="5"/>
      <c r="L818" s="5"/>
      <c r="M818" s="5"/>
      <c r="N818" s="5"/>
      <c r="O818" s="5"/>
      <c r="P818" s="5"/>
      <c r="Q818" s="5"/>
      <c r="R818" s="5"/>
      <c r="S818" s="5"/>
      <c r="T818" s="5"/>
      <c r="U818" s="5"/>
      <c r="V818" s="5"/>
      <c r="W818" s="5"/>
    </row>
    <row r="819">
      <c r="A819" s="5"/>
      <c r="B819" s="5"/>
      <c r="C819" s="5"/>
      <c r="D819" s="5"/>
      <c r="E819" s="5"/>
      <c r="F819" s="5"/>
      <c r="G819" s="5"/>
      <c r="H819" s="5"/>
      <c r="I819" s="5"/>
      <c r="J819" s="5"/>
      <c r="K819" s="5"/>
      <c r="L819" s="5"/>
      <c r="M819" s="5"/>
      <c r="N819" s="5"/>
      <c r="O819" s="5"/>
      <c r="P819" s="5"/>
      <c r="Q819" s="5"/>
      <c r="R819" s="5"/>
      <c r="S819" s="5"/>
      <c r="T819" s="5"/>
      <c r="U819" s="5"/>
      <c r="V819" s="5"/>
      <c r="W819" s="5"/>
    </row>
    <row r="820">
      <c r="A820" s="5"/>
      <c r="B820" s="5"/>
      <c r="C820" s="5"/>
      <c r="D820" s="5"/>
      <c r="E820" s="5"/>
      <c r="F820" s="5"/>
      <c r="G820" s="5"/>
      <c r="H820" s="5"/>
      <c r="I820" s="5"/>
      <c r="J820" s="5"/>
      <c r="K820" s="5"/>
      <c r="L820" s="5"/>
      <c r="M820" s="5"/>
      <c r="N820" s="5"/>
      <c r="O820" s="5"/>
      <c r="P820" s="5"/>
      <c r="Q820" s="5"/>
      <c r="R820" s="5"/>
      <c r="S820" s="5"/>
      <c r="T820" s="5"/>
      <c r="U820" s="5"/>
      <c r="V820" s="5"/>
      <c r="W820" s="5"/>
    </row>
    <row r="821">
      <c r="A821" s="5"/>
      <c r="B821" s="5"/>
      <c r="C821" s="5"/>
      <c r="D821" s="5"/>
      <c r="E821" s="5"/>
      <c r="F821" s="5"/>
      <c r="G821" s="5"/>
      <c r="H821" s="5"/>
      <c r="I821" s="5"/>
      <c r="J821" s="5"/>
      <c r="K821" s="5"/>
      <c r="L821" s="5"/>
      <c r="M821" s="5"/>
      <c r="N821" s="5"/>
      <c r="O821" s="5"/>
      <c r="P821" s="5"/>
      <c r="Q821" s="5"/>
      <c r="R821" s="5"/>
      <c r="S821" s="5"/>
      <c r="T821" s="5"/>
      <c r="U821" s="5"/>
      <c r="V821" s="5"/>
      <c r="W821" s="5"/>
    </row>
    <row r="822">
      <c r="A822" s="5"/>
      <c r="B822" s="5"/>
      <c r="C822" s="5"/>
      <c r="D822" s="5"/>
      <c r="E822" s="5"/>
      <c r="F822" s="5"/>
      <c r="G822" s="5"/>
      <c r="H822" s="5"/>
      <c r="I822" s="5"/>
      <c r="J822" s="5"/>
      <c r="K822" s="5"/>
      <c r="L822" s="5"/>
      <c r="M822" s="5"/>
      <c r="N822" s="5"/>
      <c r="O822" s="5"/>
      <c r="P822" s="5"/>
      <c r="Q822" s="5"/>
      <c r="R822" s="5"/>
      <c r="S822" s="5"/>
      <c r="T822" s="5"/>
      <c r="U822" s="5"/>
      <c r="V822" s="5"/>
      <c r="W822" s="5"/>
    </row>
    <row r="823">
      <c r="A823" s="5"/>
      <c r="B823" s="5"/>
      <c r="C823" s="5"/>
      <c r="D823" s="5"/>
      <c r="E823" s="5"/>
      <c r="F823" s="5"/>
      <c r="G823" s="5"/>
      <c r="H823" s="5"/>
      <c r="I823" s="5"/>
      <c r="J823" s="5"/>
      <c r="K823" s="5"/>
      <c r="L823" s="5"/>
      <c r="M823" s="5"/>
      <c r="N823" s="5"/>
      <c r="O823" s="5"/>
      <c r="P823" s="5"/>
      <c r="Q823" s="5"/>
      <c r="R823" s="5"/>
      <c r="S823" s="5"/>
      <c r="T823" s="5"/>
      <c r="U823" s="5"/>
      <c r="V823" s="5"/>
      <c r="W823" s="5"/>
    </row>
    <row r="824">
      <c r="A824" s="5"/>
      <c r="B824" s="5"/>
      <c r="C824" s="5"/>
      <c r="D824" s="5"/>
      <c r="E824" s="5"/>
      <c r="F824" s="5"/>
      <c r="G824" s="5"/>
      <c r="H824" s="5"/>
      <c r="I824" s="5"/>
      <c r="J824" s="5"/>
      <c r="K824" s="5"/>
      <c r="L824" s="5"/>
      <c r="M824" s="5"/>
      <c r="N824" s="5"/>
      <c r="O824" s="5"/>
      <c r="P824" s="5"/>
      <c r="Q824" s="5"/>
      <c r="R824" s="5"/>
      <c r="S824" s="5"/>
      <c r="T824" s="5"/>
      <c r="U824" s="5"/>
      <c r="V824" s="5"/>
      <c r="W824" s="5"/>
    </row>
    <row r="825">
      <c r="A825" s="5"/>
      <c r="B825" s="5"/>
      <c r="C825" s="5"/>
      <c r="D825" s="5"/>
      <c r="E825" s="5"/>
      <c r="F825" s="5"/>
      <c r="G825" s="5"/>
      <c r="H825" s="5"/>
      <c r="I825" s="5"/>
      <c r="J825" s="5"/>
      <c r="K825" s="5"/>
      <c r="L825" s="5"/>
      <c r="M825" s="5"/>
      <c r="N825" s="5"/>
      <c r="O825" s="5"/>
      <c r="P825" s="5"/>
      <c r="Q825" s="5"/>
      <c r="R825" s="5"/>
      <c r="S825" s="5"/>
      <c r="T825" s="5"/>
      <c r="U825" s="5"/>
      <c r="V825" s="5"/>
      <c r="W825" s="5"/>
    </row>
    <row r="826">
      <c r="A826" s="5"/>
      <c r="B826" s="5"/>
      <c r="C826" s="5"/>
      <c r="D826" s="5"/>
      <c r="E826" s="5"/>
      <c r="F826" s="5"/>
      <c r="G826" s="5"/>
      <c r="H826" s="5"/>
      <c r="I826" s="5"/>
      <c r="J826" s="5"/>
      <c r="K826" s="5"/>
      <c r="L826" s="5"/>
      <c r="M826" s="5"/>
      <c r="N826" s="5"/>
      <c r="O826" s="5"/>
      <c r="P826" s="5"/>
      <c r="Q826" s="5"/>
      <c r="R826" s="5"/>
      <c r="S826" s="5"/>
      <c r="T826" s="5"/>
      <c r="U826" s="5"/>
      <c r="V826" s="5"/>
      <c r="W826" s="5"/>
    </row>
    <row r="827">
      <c r="A827" s="5"/>
      <c r="B827" s="5"/>
      <c r="C827" s="5"/>
      <c r="D827" s="5"/>
      <c r="E827" s="5"/>
      <c r="F827" s="5"/>
      <c r="G827" s="5"/>
      <c r="H827" s="5"/>
      <c r="I827" s="5"/>
      <c r="J827" s="5"/>
      <c r="K827" s="5"/>
      <c r="L827" s="5"/>
      <c r="M827" s="5"/>
      <c r="N827" s="5"/>
      <c r="O827" s="5"/>
      <c r="P827" s="5"/>
      <c r="Q827" s="5"/>
      <c r="R827" s="5"/>
      <c r="S827" s="5"/>
      <c r="T827" s="5"/>
      <c r="U827" s="5"/>
      <c r="V827" s="5"/>
      <c r="W827" s="5"/>
    </row>
    <row r="828">
      <c r="A828" s="5"/>
      <c r="B828" s="5"/>
      <c r="C828" s="5"/>
      <c r="D828" s="5"/>
      <c r="E828" s="5"/>
      <c r="F828" s="5"/>
      <c r="G828" s="5"/>
      <c r="H828" s="5"/>
      <c r="I828" s="5"/>
      <c r="J828" s="5"/>
      <c r="K828" s="5"/>
      <c r="L828" s="5"/>
      <c r="M828" s="5"/>
      <c r="N828" s="5"/>
      <c r="O828" s="5"/>
      <c r="P828" s="5"/>
      <c r="Q828" s="5"/>
      <c r="R828" s="5"/>
      <c r="S828" s="5"/>
      <c r="T828" s="5"/>
      <c r="U828" s="5"/>
      <c r="V828" s="5"/>
      <c r="W828" s="5"/>
    </row>
    <row r="829">
      <c r="A829" s="5"/>
      <c r="B829" s="5"/>
      <c r="C829" s="5"/>
      <c r="D829" s="5"/>
      <c r="E829" s="5"/>
      <c r="F829" s="5"/>
      <c r="G829" s="5"/>
      <c r="H829" s="5"/>
      <c r="I829" s="5"/>
      <c r="J829" s="5"/>
      <c r="K829" s="5"/>
      <c r="L829" s="5"/>
      <c r="M829" s="5"/>
      <c r="N829" s="5"/>
      <c r="O829" s="5"/>
      <c r="P829" s="5"/>
      <c r="Q829" s="5"/>
      <c r="R829" s="5"/>
      <c r="S829" s="5"/>
      <c r="T829" s="5"/>
      <c r="U829" s="5"/>
      <c r="V829" s="5"/>
      <c r="W829" s="5"/>
    </row>
    <row r="830">
      <c r="A830" s="5"/>
      <c r="B830" s="5"/>
      <c r="C830" s="5"/>
      <c r="D830" s="5"/>
      <c r="E830" s="5"/>
      <c r="F830" s="5"/>
      <c r="G830" s="5"/>
      <c r="H830" s="5"/>
      <c r="I830" s="5"/>
      <c r="J830" s="5"/>
      <c r="K830" s="5"/>
      <c r="L830" s="5"/>
      <c r="M830" s="5"/>
      <c r="N830" s="5"/>
      <c r="O830" s="5"/>
      <c r="P830" s="5"/>
      <c r="Q830" s="5"/>
      <c r="R830" s="5"/>
      <c r="S830" s="5"/>
      <c r="T830" s="5"/>
      <c r="U830" s="5"/>
      <c r="V830" s="5"/>
      <c r="W830" s="5"/>
    </row>
    <row r="831">
      <c r="A831" s="5"/>
      <c r="B831" s="5"/>
      <c r="C831" s="5"/>
      <c r="D831" s="5"/>
      <c r="E831" s="5"/>
      <c r="F831" s="5"/>
      <c r="G831" s="5"/>
      <c r="H831" s="5"/>
      <c r="I831" s="5"/>
      <c r="J831" s="5"/>
      <c r="K831" s="5"/>
      <c r="L831" s="5"/>
      <c r="M831" s="5"/>
      <c r="N831" s="5"/>
      <c r="O831" s="5"/>
      <c r="P831" s="5"/>
      <c r="Q831" s="5"/>
      <c r="R831" s="5"/>
      <c r="S831" s="5"/>
      <c r="T831" s="5"/>
      <c r="U831" s="5"/>
      <c r="V831" s="5"/>
      <c r="W831" s="5"/>
    </row>
    <row r="832">
      <c r="A832" s="5"/>
      <c r="B832" s="5"/>
      <c r="C832" s="5"/>
      <c r="D832" s="5"/>
      <c r="E832" s="5"/>
      <c r="F832" s="5"/>
      <c r="G832" s="5"/>
      <c r="H832" s="5"/>
      <c r="I832" s="5"/>
      <c r="J832" s="5"/>
      <c r="K832" s="5"/>
      <c r="L832" s="5"/>
      <c r="M832" s="5"/>
      <c r="N832" s="5"/>
      <c r="O832" s="5"/>
      <c r="P832" s="5"/>
      <c r="Q832" s="5"/>
      <c r="R832" s="5"/>
      <c r="S832" s="5"/>
      <c r="T832" s="5"/>
      <c r="U832" s="5"/>
      <c r="V832" s="5"/>
      <c r="W832" s="5"/>
    </row>
    <row r="833">
      <c r="A833" s="5"/>
      <c r="B833" s="5"/>
      <c r="C833" s="5"/>
      <c r="D833" s="5"/>
      <c r="E833" s="5"/>
      <c r="F833" s="5"/>
      <c r="G833" s="5"/>
      <c r="H833" s="5"/>
      <c r="I833" s="5"/>
      <c r="J833" s="5"/>
      <c r="K833" s="5"/>
      <c r="L833" s="5"/>
      <c r="M833" s="5"/>
      <c r="N833" s="5"/>
      <c r="O833" s="5"/>
      <c r="P833" s="5"/>
      <c r="Q833" s="5"/>
      <c r="R833" s="5"/>
      <c r="S833" s="5"/>
      <c r="T833" s="5"/>
      <c r="U833" s="5"/>
      <c r="V833" s="5"/>
      <c r="W833" s="5"/>
    </row>
    <row r="834">
      <c r="A834" s="5"/>
      <c r="B834" s="5"/>
      <c r="C834" s="5"/>
      <c r="D834" s="5"/>
      <c r="E834" s="5"/>
      <c r="F834" s="5"/>
      <c r="G834" s="5"/>
      <c r="H834" s="5"/>
      <c r="I834" s="5"/>
      <c r="J834" s="5"/>
      <c r="K834" s="5"/>
      <c r="L834" s="5"/>
      <c r="M834" s="5"/>
      <c r="N834" s="5"/>
      <c r="O834" s="5"/>
      <c r="P834" s="5"/>
      <c r="Q834" s="5"/>
      <c r="R834" s="5"/>
      <c r="S834" s="5"/>
      <c r="T834" s="5"/>
      <c r="U834" s="5"/>
      <c r="V834" s="5"/>
      <c r="W834" s="5"/>
    </row>
    <row r="835">
      <c r="A835" s="5"/>
      <c r="B835" s="5"/>
      <c r="C835" s="5"/>
      <c r="D835" s="5"/>
      <c r="E835" s="5"/>
      <c r="F835" s="5"/>
      <c r="G835" s="5"/>
      <c r="H835" s="5"/>
      <c r="I835" s="5"/>
      <c r="J835" s="5"/>
      <c r="K835" s="5"/>
      <c r="L835" s="5"/>
      <c r="M835" s="5"/>
      <c r="N835" s="5"/>
      <c r="O835" s="5"/>
      <c r="P835" s="5"/>
      <c r="Q835" s="5"/>
      <c r="R835" s="5"/>
      <c r="S835" s="5"/>
      <c r="T835" s="5"/>
      <c r="U835" s="5"/>
      <c r="V835" s="5"/>
      <c r="W835" s="5"/>
    </row>
    <row r="836">
      <c r="A836" s="5"/>
      <c r="B836" s="5"/>
      <c r="C836" s="5"/>
      <c r="D836" s="5"/>
      <c r="E836" s="5"/>
      <c r="F836" s="5"/>
      <c r="G836" s="5"/>
      <c r="H836" s="5"/>
      <c r="I836" s="5"/>
      <c r="J836" s="5"/>
      <c r="K836" s="5"/>
      <c r="L836" s="5"/>
      <c r="M836" s="5"/>
      <c r="N836" s="5"/>
      <c r="O836" s="5"/>
      <c r="P836" s="5"/>
      <c r="Q836" s="5"/>
      <c r="R836" s="5"/>
      <c r="S836" s="5"/>
      <c r="T836" s="5"/>
      <c r="U836" s="5"/>
      <c r="V836" s="5"/>
      <c r="W836" s="5"/>
    </row>
    <row r="837">
      <c r="A837" s="5"/>
      <c r="B837" s="5"/>
      <c r="C837" s="5"/>
      <c r="D837" s="5"/>
      <c r="E837" s="5"/>
      <c r="F837" s="5"/>
      <c r="G837" s="5"/>
      <c r="H837" s="5"/>
      <c r="I837" s="5"/>
      <c r="J837" s="5"/>
      <c r="K837" s="5"/>
      <c r="L837" s="5"/>
      <c r="M837" s="5"/>
      <c r="N837" s="5"/>
      <c r="O837" s="5"/>
      <c r="P837" s="5"/>
      <c r="Q837" s="5"/>
      <c r="R837" s="5"/>
      <c r="S837" s="5"/>
      <c r="T837" s="5"/>
      <c r="U837" s="5"/>
      <c r="V837" s="5"/>
      <c r="W837" s="5"/>
    </row>
    <row r="838">
      <c r="A838" s="5"/>
      <c r="B838" s="5"/>
      <c r="C838" s="5"/>
      <c r="D838" s="5"/>
      <c r="E838" s="5"/>
      <c r="F838" s="5"/>
      <c r="G838" s="5"/>
      <c r="H838" s="5"/>
      <c r="I838" s="5"/>
      <c r="J838" s="5"/>
      <c r="K838" s="5"/>
      <c r="L838" s="5"/>
      <c r="M838" s="5"/>
      <c r="N838" s="5"/>
      <c r="O838" s="5"/>
      <c r="P838" s="5"/>
      <c r="Q838" s="5"/>
      <c r="R838" s="5"/>
      <c r="S838" s="5"/>
      <c r="T838" s="5"/>
      <c r="U838" s="5"/>
      <c r="V838" s="5"/>
      <c r="W838" s="5"/>
    </row>
    <row r="839">
      <c r="A839" s="5"/>
      <c r="B839" s="5"/>
      <c r="C839" s="5"/>
      <c r="D839" s="5"/>
      <c r="E839" s="5"/>
      <c r="F839" s="5"/>
      <c r="G839" s="5"/>
      <c r="H839" s="5"/>
      <c r="I839" s="5"/>
      <c r="J839" s="5"/>
      <c r="K839" s="5"/>
      <c r="L839" s="5"/>
      <c r="M839" s="5"/>
      <c r="N839" s="5"/>
      <c r="O839" s="5"/>
      <c r="P839" s="5"/>
      <c r="Q839" s="5"/>
      <c r="R839" s="5"/>
      <c r="S839" s="5"/>
      <c r="T839" s="5"/>
      <c r="U839" s="5"/>
      <c r="V839" s="5"/>
      <c r="W839" s="5"/>
    </row>
    <row r="840">
      <c r="A840" s="5"/>
      <c r="B840" s="5"/>
      <c r="C840" s="5"/>
      <c r="D840" s="5"/>
      <c r="E840" s="5"/>
      <c r="F840" s="5"/>
      <c r="G840" s="5"/>
      <c r="H840" s="5"/>
      <c r="I840" s="5"/>
      <c r="J840" s="5"/>
      <c r="K840" s="5"/>
      <c r="L840" s="5"/>
      <c r="M840" s="5"/>
      <c r="N840" s="5"/>
      <c r="O840" s="5"/>
      <c r="P840" s="5"/>
      <c r="Q840" s="5"/>
      <c r="R840" s="5"/>
      <c r="S840" s="5"/>
      <c r="T840" s="5"/>
      <c r="U840" s="5"/>
      <c r="V840" s="5"/>
      <c r="W840" s="5"/>
    </row>
    <row r="841">
      <c r="A841" s="5"/>
      <c r="B841" s="5"/>
      <c r="C841" s="5"/>
      <c r="D841" s="5"/>
      <c r="E841" s="5"/>
      <c r="F841" s="5"/>
      <c r="G841" s="5"/>
      <c r="H841" s="5"/>
      <c r="I841" s="5"/>
      <c r="J841" s="5"/>
      <c r="K841" s="5"/>
      <c r="L841" s="5"/>
      <c r="M841" s="5"/>
      <c r="N841" s="5"/>
      <c r="O841" s="5"/>
      <c r="P841" s="5"/>
      <c r="Q841" s="5"/>
      <c r="R841" s="5"/>
      <c r="S841" s="5"/>
      <c r="T841" s="5"/>
      <c r="U841" s="5"/>
      <c r="V841" s="5"/>
      <c r="W841" s="5"/>
    </row>
    <row r="842">
      <c r="A842" s="5"/>
      <c r="B842" s="5"/>
      <c r="C842" s="5"/>
      <c r="D842" s="5"/>
      <c r="E842" s="5"/>
      <c r="F842" s="5"/>
      <c r="G842" s="5"/>
      <c r="H842" s="5"/>
      <c r="I842" s="5"/>
      <c r="J842" s="5"/>
      <c r="K842" s="5"/>
      <c r="L842" s="5"/>
      <c r="M842" s="5"/>
      <c r="N842" s="5"/>
      <c r="O842" s="5"/>
      <c r="P842" s="5"/>
      <c r="Q842" s="5"/>
      <c r="R842" s="5"/>
      <c r="S842" s="5"/>
      <c r="T842" s="5"/>
      <c r="U842" s="5"/>
      <c r="V842" s="5"/>
      <c r="W842" s="5"/>
    </row>
    <row r="843">
      <c r="A843" s="5"/>
      <c r="B843" s="5"/>
      <c r="C843" s="5"/>
      <c r="D843" s="5"/>
      <c r="E843" s="5"/>
      <c r="F843" s="5"/>
      <c r="G843" s="5"/>
      <c r="H843" s="5"/>
      <c r="I843" s="5"/>
      <c r="J843" s="5"/>
      <c r="K843" s="5"/>
      <c r="L843" s="5"/>
      <c r="M843" s="5"/>
      <c r="N843" s="5"/>
      <c r="O843" s="5"/>
      <c r="P843" s="5"/>
      <c r="Q843" s="5"/>
      <c r="R843" s="5"/>
      <c r="S843" s="5"/>
      <c r="T843" s="5"/>
      <c r="U843" s="5"/>
      <c r="V843" s="5"/>
      <c r="W843" s="5"/>
    </row>
    <row r="844">
      <c r="A844" s="5"/>
      <c r="B844" s="5"/>
      <c r="C844" s="5"/>
      <c r="D844" s="5"/>
      <c r="E844" s="5"/>
      <c r="F844" s="5"/>
      <c r="G844" s="5"/>
      <c r="H844" s="5"/>
      <c r="I844" s="5"/>
      <c r="J844" s="5"/>
      <c r="K844" s="5"/>
      <c r="L844" s="5"/>
      <c r="M844" s="5"/>
      <c r="N844" s="5"/>
      <c r="O844" s="5"/>
      <c r="P844" s="5"/>
      <c r="Q844" s="5"/>
      <c r="R844" s="5"/>
      <c r="S844" s="5"/>
      <c r="T844" s="5"/>
      <c r="U844" s="5"/>
      <c r="V844" s="5"/>
      <c r="W844" s="5"/>
    </row>
    <row r="845">
      <c r="A845" s="5"/>
      <c r="B845" s="5"/>
      <c r="C845" s="5"/>
      <c r="D845" s="5"/>
      <c r="E845" s="5"/>
      <c r="F845" s="5"/>
      <c r="G845" s="5"/>
      <c r="H845" s="5"/>
      <c r="I845" s="5"/>
      <c r="J845" s="5"/>
      <c r="K845" s="5"/>
      <c r="L845" s="5"/>
      <c r="M845" s="5"/>
      <c r="N845" s="5"/>
      <c r="O845" s="5"/>
      <c r="P845" s="5"/>
      <c r="Q845" s="5"/>
      <c r="R845" s="5"/>
      <c r="S845" s="5"/>
      <c r="T845" s="5"/>
      <c r="U845" s="5"/>
      <c r="V845" s="5"/>
      <c r="W845" s="5"/>
    </row>
    <row r="846">
      <c r="A846" s="5"/>
      <c r="B846" s="5"/>
      <c r="C846" s="5"/>
      <c r="D846" s="5"/>
      <c r="E846" s="5"/>
      <c r="F846" s="5"/>
      <c r="G846" s="5"/>
      <c r="H846" s="5"/>
      <c r="I846" s="5"/>
      <c r="J846" s="5"/>
      <c r="K846" s="5"/>
      <c r="L846" s="5"/>
      <c r="M846" s="5"/>
      <c r="N846" s="5"/>
      <c r="O846" s="5"/>
      <c r="P846" s="5"/>
      <c r="Q846" s="5"/>
      <c r="R846" s="5"/>
      <c r="S846" s="5"/>
      <c r="T846" s="5"/>
      <c r="U846" s="5"/>
      <c r="V846" s="5"/>
      <c r="W846" s="5"/>
    </row>
    <row r="847">
      <c r="A847" s="5"/>
      <c r="B847" s="5"/>
      <c r="C847" s="5"/>
      <c r="D847" s="5"/>
      <c r="E847" s="5"/>
      <c r="F847" s="5"/>
      <c r="G847" s="5"/>
      <c r="H847" s="5"/>
      <c r="I847" s="5"/>
      <c r="J847" s="5"/>
      <c r="K847" s="5"/>
      <c r="L847" s="5"/>
      <c r="M847" s="5"/>
      <c r="N847" s="5"/>
      <c r="O847" s="5"/>
      <c r="P847" s="5"/>
      <c r="Q847" s="5"/>
      <c r="R847" s="5"/>
      <c r="S847" s="5"/>
      <c r="T847" s="5"/>
      <c r="U847" s="5"/>
      <c r="V847" s="5"/>
      <c r="W847" s="5"/>
    </row>
    <row r="848">
      <c r="A848" s="5"/>
      <c r="B848" s="5"/>
      <c r="C848" s="5"/>
      <c r="D848" s="5"/>
      <c r="E848" s="5"/>
      <c r="F848" s="5"/>
      <c r="G848" s="5"/>
      <c r="H848" s="5"/>
      <c r="I848" s="5"/>
      <c r="J848" s="5"/>
      <c r="K848" s="5"/>
      <c r="L848" s="5"/>
      <c r="M848" s="5"/>
      <c r="N848" s="5"/>
      <c r="O848" s="5"/>
      <c r="P848" s="5"/>
      <c r="Q848" s="5"/>
      <c r="R848" s="5"/>
      <c r="S848" s="5"/>
      <c r="T848" s="5"/>
      <c r="U848" s="5"/>
      <c r="V848" s="5"/>
      <c r="W848" s="5"/>
    </row>
    <row r="849">
      <c r="A849" s="5"/>
      <c r="B849" s="5"/>
      <c r="C849" s="5"/>
      <c r="D849" s="5"/>
      <c r="E849" s="5"/>
      <c r="F849" s="5"/>
      <c r="G849" s="5"/>
      <c r="H849" s="5"/>
      <c r="I849" s="5"/>
      <c r="J849" s="5"/>
      <c r="K849" s="5"/>
      <c r="L849" s="5"/>
      <c r="M849" s="5"/>
      <c r="N849" s="5"/>
      <c r="O849" s="5"/>
      <c r="P849" s="5"/>
      <c r="Q849" s="5"/>
      <c r="R849" s="5"/>
      <c r="S849" s="5"/>
      <c r="T849" s="5"/>
      <c r="U849" s="5"/>
      <c r="V849" s="5"/>
      <c r="W849" s="5"/>
    </row>
    <row r="850">
      <c r="A850" s="5"/>
      <c r="B850" s="5"/>
      <c r="C850" s="5"/>
      <c r="D850" s="5"/>
      <c r="E850" s="5"/>
      <c r="F850" s="5"/>
      <c r="G850" s="5"/>
      <c r="H850" s="5"/>
      <c r="I850" s="5"/>
      <c r="J850" s="5"/>
      <c r="K850" s="5"/>
      <c r="L850" s="5"/>
      <c r="M850" s="5"/>
      <c r="N850" s="5"/>
      <c r="O850" s="5"/>
      <c r="P850" s="5"/>
      <c r="Q850" s="5"/>
      <c r="R850" s="5"/>
      <c r="S850" s="5"/>
      <c r="T850" s="5"/>
      <c r="U850" s="5"/>
      <c r="V850" s="5"/>
      <c r="W850" s="5"/>
    </row>
    <row r="851">
      <c r="A851" s="5"/>
      <c r="B851" s="5"/>
      <c r="C851" s="5"/>
      <c r="D851" s="5"/>
      <c r="E851" s="5"/>
      <c r="F851" s="5"/>
      <c r="G851" s="5"/>
      <c r="H851" s="5"/>
      <c r="I851" s="5"/>
      <c r="J851" s="5"/>
      <c r="K851" s="5"/>
      <c r="L851" s="5"/>
      <c r="M851" s="5"/>
      <c r="N851" s="5"/>
      <c r="O851" s="5"/>
      <c r="P851" s="5"/>
      <c r="Q851" s="5"/>
      <c r="R851" s="5"/>
      <c r="S851" s="5"/>
      <c r="T851" s="5"/>
      <c r="U851" s="5"/>
      <c r="V851" s="5"/>
      <c r="W851" s="5"/>
    </row>
    <row r="852">
      <c r="A852" s="5"/>
      <c r="B852" s="5"/>
      <c r="C852" s="5"/>
      <c r="D852" s="5"/>
      <c r="E852" s="5"/>
      <c r="F852" s="5"/>
      <c r="G852" s="5"/>
      <c r="H852" s="5"/>
      <c r="I852" s="5"/>
      <c r="J852" s="5"/>
      <c r="K852" s="5"/>
      <c r="L852" s="5"/>
      <c r="M852" s="5"/>
      <c r="N852" s="5"/>
      <c r="O852" s="5"/>
      <c r="P852" s="5"/>
      <c r="Q852" s="5"/>
      <c r="R852" s="5"/>
      <c r="S852" s="5"/>
      <c r="T852" s="5"/>
      <c r="U852" s="5"/>
      <c r="V852" s="5"/>
      <c r="W852" s="5"/>
    </row>
    <row r="853">
      <c r="A853" s="5"/>
      <c r="B853" s="5"/>
      <c r="C853" s="5"/>
      <c r="D853" s="5"/>
      <c r="E853" s="5"/>
      <c r="F853" s="5"/>
      <c r="G853" s="5"/>
      <c r="H853" s="5"/>
      <c r="I853" s="5"/>
      <c r="J853" s="5"/>
      <c r="K853" s="5"/>
      <c r="L853" s="5"/>
      <c r="M853" s="5"/>
      <c r="N853" s="5"/>
      <c r="O853" s="5"/>
      <c r="P853" s="5"/>
      <c r="Q853" s="5"/>
      <c r="R853" s="5"/>
      <c r="S853" s="5"/>
      <c r="T853" s="5"/>
      <c r="U853" s="5"/>
      <c r="V853" s="5"/>
      <c r="W853" s="5"/>
    </row>
    <row r="854">
      <c r="A854" s="5"/>
      <c r="B854" s="5"/>
      <c r="C854" s="5"/>
      <c r="D854" s="5"/>
      <c r="E854" s="5"/>
      <c r="F854" s="5"/>
      <c r="G854" s="5"/>
      <c r="H854" s="5"/>
      <c r="I854" s="5"/>
      <c r="J854" s="5"/>
      <c r="K854" s="5"/>
      <c r="L854" s="5"/>
      <c r="M854" s="5"/>
      <c r="N854" s="5"/>
      <c r="O854" s="5"/>
      <c r="P854" s="5"/>
      <c r="Q854" s="5"/>
      <c r="R854" s="5"/>
      <c r="S854" s="5"/>
      <c r="T854" s="5"/>
      <c r="U854" s="5"/>
      <c r="V854" s="5"/>
      <c r="W854" s="5"/>
    </row>
    <row r="855">
      <c r="A855" s="5"/>
      <c r="B855" s="5"/>
      <c r="C855" s="5"/>
      <c r="D855" s="5"/>
      <c r="E855" s="5"/>
      <c r="F855" s="5"/>
      <c r="G855" s="5"/>
      <c r="H855" s="5"/>
      <c r="I855" s="5"/>
      <c r="J855" s="5"/>
      <c r="K855" s="5"/>
      <c r="L855" s="5"/>
      <c r="M855" s="5"/>
      <c r="N855" s="5"/>
      <c r="O855" s="5"/>
      <c r="P855" s="5"/>
      <c r="Q855" s="5"/>
      <c r="R855" s="5"/>
      <c r="S855" s="5"/>
      <c r="T855" s="5"/>
      <c r="U855" s="5"/>
      <c r="V855" s="5"/>
      <c r="W855" s="5"/>
    </row>
    <row r="856">
      <c r="A856" s="5"/>
      <c r="B856" s="5"/>
      <c r="C856" s="5"/>
      <c r="D856" s="5"/>
      <c r="E856" s="5"/>
      <c r="F856" s="5"/>
      <c r="G856" s="5"/>
      <c r="H856" s="5"/>
      <c r="I856" s="5"/>
      <c r="J856" s="5"/>
      <c r="K856" s="5"/>
      <c r="L856" s="5"/>
      <c r="M856" s="5"/>
      <c r="N856" s="5"/>
      <c r="O856" s="5"/>
      <c r="P856" s="5"/>
      <c r="Q856" s="5"/>
      <c r="R856" s="5"/>
      <c r="S856" s="5"/>
      <c r="T856" s="5"/>
      <c r="U856" s="5"/>
      <c r="V856" s="5"/>
      <c r="W856" s="5"/>
    </row>
    <row r="857">
      <c r="A857" s="5"/>
      <c r="B857" s="5"/>
      <c r="C857" s="5"/>
      <c r="D857" s="5"/>
      <c r="E857" s="5"/>
      <c r="F857" s="5"/>
      <c r="G857" s="5"/>
      <c r="H857" s="5"/>
      <c r="I857" s="5"/>
      <c r="J857" s="5"/>
      <c r="K857" s="5"/>
      <c r="L857" s="5"/>
      <c r="M857" s="5"/>
      <c r="N857" s="5"/>
      <c r="O857" s="5"/>
      <c r="P857" s="5"/>
      <c r="Q857" s="5"/>
      <c r="R857" s="5"/>
      <c r="S857" s="5"/>
      <c r="T857" s="5"/>
      <c r="U857" s="5"/>
      <c r="V857" s="5"/>
      <c r="W857" s="5"/>
    </row>
    <row r="858">
      <c r="A858" s="5"/>
      <c r="B858" s="5"/>
      <c r="C858" s="5"/>
      <c r="D858" s="5"/>
      <c r="E858" s="5"/>
      <c r="F858" s="5"/>
      <c r="G858" s="5"/>
      <c r="H858" s="5"/>
      <c r="I858" s="5"/>
      <c r="J858" s="5"/>
      <c r="K858" s="5"/>
      <c r="L858" s="5"/>
      <c r="M858" s="5"/>
      <c r="N858" s="5"/>
      <c r="O858" s="5"/>
      <c r="P858" s="5"/>
      <c r="Q858" s="5"/>
      <c r="R858" s="5"/>
      <c r="S858" s="5"/>
      <c r="T858" s="5"/>
      <c r="U858" s="5"/>
      <c r="V858" s="5"/>
      <c r="W858" s="5"/>
    </row>
    <row r="859">
      <c r="A859" s="5"/>
      <c r="B859" s="5"/>
      <c r="C859" s="5"/>
      <c r="D859" s="5"/>
      <c r="E859" s="5"/>
      <c r="F859" s="5"/>
      <c r="G859" s="5"/>
      <c r="H859" s="5"/>
      <c r="I859" s="5"/>
      <c r="J859" s="5"/>
      <c r="K859" s="5"/>
      <c r="L859" s="5"/>
      <c r="M859" s="5"/>
      <c r="N859" s="5"/>
      <c r="O859" s="5"/>
      <c r="P859" s="5"/>
      <c r="Q859" s="5"/>
      <c r="R859" s="5"/>
      <c r="S859" s="5"/>
      <c r="T859" s="5"/>
      <c r="U859" s="5"/>
      <c r="V859" s="5"/>
      <c r="W859" s="5"/>
    </row>
    <row r="860">
      <c r="A860" s="5"/>
      <c r="B860" s="5"/>
      <c r="C860" s="5"/>
      <c r="D860" s="5"/>
      <c r="E860" s="5"/>
      <c r="F860" s="5"/>
      <c r="G860" s="5"/>
      <c r="H860" s="5"/>
      <c r="I860" s="5"/>
      <c r="J860" s="5"/>
      <c r="K860" s="5"/>
      <c r="L860" s="5"/>
      <c r="M860" s="5"/>
      <c r="N860" s="5"/>
      <c r="O860" s="5"/>
      <c r="P860" s="5"/>
      <c r="Q860" s="5"/>
      <c r="R860" s="5"/>
      <c r="S860" s="5"/>
      <c r="T860" s="5"/>
      <c r="U860" s="5"/>
      <c r="V860" s="5"/>
      <c r="W860" s="5"/>
    </row>
    <row r="861">
      <c r="A861" s="5"/>
      <c r="B861" s="5"/>
      <c r="C861" s="5"/>
      <c r="D861" s="5"/>
      <c r="E861" s="5"/>
      <c r="F861" s="5"/>
      <c r="G861" s="5"/>
      <c r="H861" s="5"/>
      <c r="I861" s="5"/>
      <c r="J861" s="5"/>
      <c r="K861" s="5"/>
      <c r="L861" s="5"/>
      <c r="M861" s="5"/>
      <c r="N861" s="5"/>
      <c r="O861" s="5"/>
      <c r="P861" s="5"/>
      <c r="Q861" s="5"/>
      <c r="R861" s="5"/>
      <c r="S861" s="5"/>
      <c r="T861" s="5"/>
      <c r="U861" s="5"/>
      <c r="V861" s="5"/>
      <c r="W861" s="5"/>
    </row>
    <row r="862">
      <c r="A862" s="5"/>
      <c r="B862" s="5"/>
      <c r="C862" s="5"/>
      <c r="D862" s="5"/>
      <c r="E862" s="5"/>
      <c r="F862" s="5"/>
      <c r="G862" s="5"/>
      <c r="H862" s="5"/>
      <c r="I862" s="5"/>
      <c r="J862" s="5"/>
      <c r="K862" s="5"/>
      <c r="L862" s="5"/>
      <c r="M862" s="5"/>
      <c r="N862" s="5"/>
      <c r="O862" s="5"/>
      <c r="P862" s="5"/>
      <c r="Q862" s="5"/>
      <c r="R862" s="5"/>
      <c r="S862" s="5"/>
      <c r="T862" s="5"/>
      <c r="U862" s="5"/>
      <c r="V862" s="5"/>
      <c r="W862" s="5"/>
    </row>
    <row r="863">
      <c r="A863" s="5"/>
      <c r="B863" s="5"/>
      <c r="C863" s="5"/>
      <c r="D863" s="5"/>
      <c r="E863" s="5"/>
      <c r="F863" s="5"/>
      <c r="G863" s="5"/>
      <c r="H863" s="5"/>
      <c r="I863" s="5"/>
      <c r="J863" s="5"/>
      <c r="K863" s="5"/>
      <c r="L863" s="5"/>
      <c r="M863" s="5"/>
      <c r="N863" s="5"/>
      <c r="O863" s="5"/>
      <c r="P863" s="5"/>
      <c r="Q863" s="5"/>
      <c r="R863" s="5"/>
      <c r="S863" s="5"/>
      <c r="T863" s="5"/>
      <c r="U863" s="5"/>
      <c r="V863" s="5"/>
      <c r="W863" s="5"/>
    </row>
    <row r="864">
      <c r="A864" s="5"/>
      <c r="B864" s="5"/>
      <c r="C864" s="5"/>
      <c r="D864" s="5"/>
      <c r="E864" s="5"/>
      <c r="F864" s="5"/>
      <c r="G864" s="5"/>
      <c r="H864" s="5"/>
      <c r="I864" s="5"/>
      <c r="J864" s="5"/>
      <c r="K864" s="5"/>
      <c r="L864" s="5"/>
      <c r="M864" s="5"/>
      <c r="N864" s="5"/>
      <c r="O864" s="5"/>
      <c r="P864" s="5"/>
      <c r="Q864" s="5"/>
      <c r="R864" s="5"/>
      <c r="S864" s="5"/>
      <c r="T864" s="5"/>
      <c r="U864" s="5"/>
      <c r="V864" s="5"/>
      <c r="W864" s="5"/>
    </row>
    <row r="865">
      <c r="A865" s="5"/>
      <c r="B865" s="5"/>
      <c r="C865" s="5"/>
      <c r="D865" s="5"/>
      <c r="E865" s="5"/>
      <c r="F865" s="5"/>
      <c r="G865" s="5"/>
      <c r="H865" s="5"/>
      <c r="I865" s="5"/>
      <c r="J865" s="5"/>
      <c r="K865" s="5"/>
      <c r="L865" s="5"/>
      <c r="M865" s="5"/>
      <c r="N865" s="5"/>
      <c r="O865" s="5"/>
      <c r="P865" s="5"/>
      <c r="Q865" s="5"/>
      <c r="R865" s="5"/>
      <c r="S865" s="5"/>
      <c r="T865" s="5"/>
      <c r="U865" s="5"/>
      <c r="V865" s="5"/>
      <c r="W865" s="5"/>
    </row>
    <row r="866">
      <c r="A866" s="5"/>
      <c r="B866" s="5"/>
      <c r="C866" s="5"/>
      <c r="D866" s="5"/>
      <c r="E866" s="5"/>
      <c r="F866" s="5"/>
      <c r="G866" s="5"/>
      <c r="H866" s="5"/>
      <c r="I866" s="5"/>
      <c r="J866" s="5"/>
      <c r="K866" s="5"/>
      <c r="L866" s="5"/>
      <c r="M866" s="5"/>
      <c r="N866" s="5"/>
      <c r="O866" s="5"/>
      <c r="P866" s="5"/>
      <c r="Q866" s="5"/>
      <c r="R866" s="5"/>
      <c r="S866" s="5"/>
      <c r="T866" s="5"/>
      <c r="U866" s="5"/>
      <c r="V866" s="5"/>
      <c r="W866" s="5"/>
    </row>
    <row r="867">
      <c r="A867" s="5"/>
      <c r="B867" s="5"/>
      <c r="C867" s="5"/>
      <c r="D867" s="5"/>
      <c r="E867" s="5"/>
      <c r="F867" s="5"/>
      <c r="G867" s="5"/>
      <c r="H867" s="5"/>
      <c r="I867" s="5"/>
      <c r="J867" s="5"/>
      <c r="K867" s="5"/>
      <c r="L867" s="5"/>
      <c r="M867" s="5"/>
      <c r="N867" s="5"/>
      <c r="O867" s="5"/>
      <c r="P867" s="5"/>
      <c r="Q867" s="5"/>
      <c r="R867" s="5"/>
      <c r="S867" s="5"/>
      <c r="T867" s="5"/>
      <c r="U867" s="5"/>
      <c r="V867" s="5"/>
      <c r="W867" s="5"/>
    </row>
    <row r="868">
      <c r="A868" s="5"/>
      <c r="B868" s="5"/>
      <c r="C868" s="5"/>
      <c r="D868" s="5"/>
      <c r="E868" s="5"/>
      <c r="F868" s="5"/>
      <c r="G868" s="5"/>
      <c r="H868" s="5"/>
      <c r="I868" s="5"/>
      <c r="J868" s="5"/>
      <c r="K868" s="5"/>
      <c r="L868" s="5"/>
      <c r="M868" s="5"/>
      <c r="N868" s="5"/>
      <c r="O868" s="5"/>
      <c r="P868" s="5"/>
      <c r="Q868" s="5"/>
      <c r="R868" s="5"/>
      <c r="S868" s="5"/>
      <c r="T868" s="5"/>
      <c r="U868" s="5"/>
      <c r="V868" s="5"/>
      <c r="W868" s="5"/>
    </row>
    <row r="869">
      <c r="A869" s="5"/>
      <c r="B869" s="5"/>
      <c r="C869" s="5"/>
      <c r="D869" s="5"/>
      <c r="E869" s="5"/>
      <c r="F869" s="5"/>
      <c r="G869" s="5"/>
      <c r="H869" s="5"/>
      <c r="I869" s="5"/>
      <c r="J869" s="5"/>
      <c r="K869" s="5"/>
      <c r="L869" s="5"/>
      <c r="M869" s="5"/>
      <c r="N869" s="5"/>
      <c r="O869" s="5"/>
      <c r="P869" s="5"/>
      <c r="Q869" s="5"/>
      <c r="R869" s="5"/>
      <c r="S869" s="5"/>
      <c r="T869" s="5"/>
      <c r="U869" s="5"/>
      <c r="V869" s="5"/>
      <c r="W869" s="5"/>
    </row>
    <row r="870">
      <c r="A870" s="5"/>
      <c r="B870" s="5"/>
      <c r="C870" s="5"/>
      <c r="D870" s="5"/>
      <c r="E870" s="5"/>
      <c r="F870" s="5"/>
      <c r="G870" s="5"/>
      <c r="H870" s="5"/>
      <c r="I870" s="5"/>
      <c r="J870" s="5"/>
      <c r="K870" s="5"/>
      <c r="L870" s="5"/>
      <c r="M870" s="5"/>
      <c r="N870" s="5"/>
      <c r="O870" s="5"/>
      <c r="P870" s="5"/>
      <c r="Q870" s="5"/>
      <c r="R870" s="5"/>
      <c r="S870" s="5"/>
      <c r="T870" s="5"/>
      <c r="U870" s="5"/>
      <c r="V870" s="5"/>
      <c r="W870" s="5"/>
    </row>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 r:id="rId25" ref="E26"/>
    <hyperlink r:id="rId26" ref="E27"/>
    <hyperlink r:id="rId27" ref="E28"/>
    <hyperlink r:id="rId28" ref="E29"/>
    <hyperlink r:id="rId29" ref="E30"/>
    <hyperlink r:id="rId30" ref="E31"/>
    <hyperlink r:id="rId31" ref="E32"/>
    <hyperlink r:id="rId32" ref="E33"/>
    <hyperlink r:id="rId33" ref="E34"/>
    <hyperlink r:id="rId34" ref="E35"/>
    <hyperlink r:id="rId35" ref="E36"/>
    <hyperlink r:id="rId36" ref="E37"/>
    <hyperlink r:id="rId37" ref="E38"/>
    <hyperlink r:id="rId38" ref="E39"/>
    <hyperlink r:id="rId39" ref="E40"/>
    <hyperlink r:id="rId40" ref="E41"/>
    <hyperlink r:id="rId41" ref="E42"/>
    <hyperlink r:id="rId42" ref="E43"/>
    <hyperlink r:id="rId43" ref="E44"/>
    <hyperlink r:id="rId44" ref="E45"/>
    <hyperlink r:id="rId45" ref="E46"/>
    <hyperlink r:id="rId46" ref="E47"/>
    <hyperlink r:id="rId47" ref="E48"/>
    <hyperlink r:id="rId48" ref="E49"/>
    <hyperlink r:id="rId49" ref="E50"/>
    <hyperlink r:id="rId50" ref="E51"/>
    <hyperlink r:id="rId51" ref="E52"/>
    <hyperlink r:id="rId52" ref="E53"/>
    <hyperlink r:id="rId53" ref="E54"/>
    <hyperlink r:id="rId54" ref="E55"/>
    <hyperlink r:id="rId55" ref="E56"/>
    <hyperlink r:id="rId56" ref="E57"/>
    <hyperlink r:id="rId57" ref="E58"/>
    <hyperlink r:id="rId58" ref="E59"/>
    <hyperlink r:id="rId59" ref="E60"/>
    <hyperlink r:id="rId60" ref="E61"/>
    <hyperlink r:id="rId61" ref="E62"/>
    <hyperlink r:id="rId62" ref="E63"/>
    <hyperlink r:id="rId63" ref="E64"/>
    <hyperlink r:id="rId64" ref="E65"/>
    <hyperlink r:id="rId65" ref="E66"/>
    <hyperlink r:id="rId66" ref="E67"/>
    <hyperlink r:id="rId67" ref="E68"/>
    <hyperlink r:id="rId68" ref="E69"/>
    <hyperlink r:id="rId69" ref="E70"/>
    <hyperlink r:id="rId70" ref="E71"/>
    <hyperlink r:id="rId71" ref="E72"/>
    <hyperlink r:id="rId72" ref="E73"/>
    <hyperlink r:id="rId73" ref="E74"/>
    <hyperlink r:id="rId74" ref="E75"/>
    <hyperlink r:id="rId75" ref="E76"/>
    <hyperlink r:id="rId76" ref="E77"/>
    <hyperlink r:id="rId77" ref="E78"/>
    <hyperlink r:id="rId78" ref="E79"/>
    <hyperlink r:id="rId79" ref="E80"/>
    <hyperlink r:id="rId80" ref="E81"/>
    <hyperlink r:id="rId81" ref="E82"/>
    <hyperlink r:id="rId82" ref="E83"/>
    <hyperlink r:id="rId83" ref="E84"/>
    <hyperlink r:id="rId84" ref="E85"/>
    <hyperlink r:id="rId85" ref="E86"/>
    <hyperlink r:id="rId86" ref="E87"/>
    <hyperlink r:id="rId87" ref="E88"/>
    <hyperlink r:id="rId88" ref="E89"/>
    <hyperlink r:id="rId89" ref="E90"/>
    <hyperlink r:id="rId90" ref="E91"/>
    <hyperlink r:id="rId91" ref="E92"/>
    <hyperlink r:id="rId92" ref="E93"/>
    <hyperlink r:id="rId93" ref="E94"/>
    <hyperlink r:id="rId94" ref="E95"/>
  </hyperlinks>
  <drawing r:id="rId9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sheetPr>
  <sheetViews>
    <sheetView workbookViewId="0"/>
  </sheetViews>
  <sheetFormatPr customHeight="1" defaultColWidth="12.63" defaultRowHeight="15.75"/>
  <cols>
    <col customWidth="1" min="1" max="1" width="40.75"/>
    <col customWidth="1" min="2" max="2" width="70.63"/>
    <col customWidth="1" min="5" max="5" width="28.63"/>
  </cols>
  <sheetData>
    <row r="1">
      <c r="A1" s="1" t="s">
        <v>4</v>
      </c>
      <c r="B1" s="1" t="s">
        <v>8</v>
      </c>
      <c r="C1" s="1" t="s">
        <v>12</v>
      </c>
      <c r="D1" s="1" t="s">
        <v>16</v>
      </c>
      <c r="E1" s="1" t="s">
        <v>20</v>
      </c>
      <c r="F1" s="5"/>
      <c r="G1" s="5"/>
      <c r="H1" s="5"/>
      <c r="I1" s="5"/>
      <c r="J1" s="5"/>
      <c r="K1" s="5"/>
      <c r="L1" s="5"/>
      <c r="M1" s="5"/>
      <c r="N1" s="5"/>
      <c r="O1" s="5"/>
      <c r="P1" s="5"/>
      <c r="Q1" s="5"/>
      <c r="R1" s="5"/>
      <c r="S1" s="5"/>
      <c r="T1" s="5"/>
      <c r="U1" s="5"/>
      <c r="V1" s="5"/>
      <c r="W1" s="5"/>
    </row>
    <row r="2">
      <c r="A2" s="3" t="s">
        <v>1003</v>
      </c>
      <c r="B2" s="3" t="s">
        <v>1004</v>
      </c>
      <c r="C2" s="3" t="s">
        <v>144</v>
      </c>
      <c r="D2" s="3" t="s">
        <v>1005</v>
      </c>
      <c r="E2" s="4" t="s">
        <v>56</v>
      </c>
      <c r="F2" s="5"/>
      <c r="G2" s="5"/>
      <c r="H2" s="5"/>
      <c r="I2" s="5"/>
      <c r="J2" s="5"/>
      <c r="K2" s="5"/>
      <c r="L2" s="5"/>
      <c r="M2" s="5"/>
      <c r="N2" s="5"/>
      <c r="O2" s="5"/>
      <c r="P2" s="5"/>
      <c r="Q2" s="5"/>
      <c r="R2" s="5"/>
      <c r="S2" s="5"/>
      <c r="T2" s="5"/>
      <c r="U2" s="5"/>
      <c r="V2" s="5"/>
      <c r="W2" s="5"/>
    </row>
    <row r="3">
      <c r="A3" s="3" t="s">
        <v>629</v>
      </c>
      <c r="B3" s="3" t="s">
        <v>1006</v>
      </c>
      <c r="C3" s="3" t="s">
        <v>146</v>
      </c>
      <c r="D3" s="3" t="s">
        <v>1007</v>
      </c>
      <c r="E3" s="4" t="s">
        <v>56</v>
      </c>
      <c r="F3" s="5"/>
      <c r="G3" s="5"/>
      <c r="H3" s="5"/>
      <c r="I3" s="5"/>
      <c r="J3" s="5"/>
      <c r="K3" s="5"/>
      <c r="L3" s="5"/>
      <c r="M3" s="5"/>
      <c r="N3" s="5"/>
      <c r="O3" s="5"/>
      <c r="P3" s="5"/>
      <c r="Q3" s="5"/>
      <c r="R3" s="5"/>
      <c r="S3" s="5"/>
      <c r="T3" s="5"/>
      <c r="U3" s="5"/>
      <c r="V3" s="5"/>
      <c r="W3" s="5"/>
    </row>
    <row r="4">
      <c r="A4" s="3" t="s">
        <v>955</v>
      </c>
      <c r="B4" s="3" t="s">
        <v>1008</v>
      </c>
      <c r="C4" s="3" t="s">
        <v>634</v>
      </c>
      <c r="D4" s="3" t="s">
        <v>635</v>
      </c>
      <c r="E4" s="4" t="s">
        <v>56</v>
      </c>
      <c r="F4" s="5"/>
      <c r="G4" s="5"/>
      <c r="H4" s="5"/>
      <c r="I4" s="5"/>
      <c r="J4" s="5"/>
      <c r="K4" s="5"/>
      <c r="L4" s="5"/>
      <c r="M4" s="5"/>
      <c r="N4" s="5"/>
      <c r="O4" s="5"/>
      <c r="P4" s="5"/>
      <c r="Q4" s="5"/>
      <c r="R4" s="5"/>
      <c r="S4" s="5"/>
      <c r="T4" s="5"/>
      <c r="U4" s="5"/>
      <c r="V4" s="5"/>
      <c r="W4" s="5"/>
    </row>
    <row r="5">
      <c r="A5" s="3" t="s">
        <v>636</v>
      </c>
      <c r="B5" s="3" t="s">
        <v>637</v>
      </c>
      <c r="C5" s="3" t="s">
        <v>638</v>
      </c>
      <c r="D5" s="3" t="s">
        <v>639</v>
      </c>
      <c r="E5" s="4" t="s">
        <v>56</v>
      </c>
      <c r="F5" s="5"/>
      <c r="G5" s="5"/>
      <c r="H5" s="5"/>
      <c r="I5" s="5"/>
      <c r="J5" s="5"/>
      <c r="K5" s="5"/>
      <c r="L5" s="5"/>
      <c r="M5" s="5"/>
      <c r="N5" s="5"/>
      <c r="O5" s="5"/>
      <c r="P5" s="5"/>
      <c r="Q5" s="5"/>
      <c r="R5" s="5"/>
      <c r="S5" s="5"/>
      <c r="T5" s="5"/>
      <c r="U5" s="5"/>
      <c r="V5" s="5"/>
      <c r="W5" s="5"/>
    </row>
    <row r="6">
      <c r="A6" s="3" t="s">
        <v>640</v>
      </c>
      <c r="B6" s="3" t="s">
        <v>1009</v>
      </c>
      <c r="C6" s="3" t="s">
        <v>642</v>
      </c>
      <c r="D6" s="3" t="s">
        <v>643</v>
      </c>
      <c r="E6" s="4" t="s">
        <v>56</v>
      </c>
      <c r="F6" s="5"/>
      <c r="G6" s="5"/>
      <c r="H6" s="5"/>
      <c r="I6" s="5"/>
      <c r="J6" s="5"/>
      <c r="K6" s="5"/>
      <c r="L6" s="5"/>
      <c r="M6" s="5"/>
      <c r="N6" s="5"/>
      <c r="O6" s="5"/>
      <c r="P6" s="5"/>
      <c r="Q6" s="5"/>
      <c r="R6" s="5"/>
      <c r="S6" s="5"/>
      <c r="T6" s="5"/>
      <c r="U6" s="5"/>
      <c r="V6" s="5"/>
      <c r="W6" s="5"/>
    </row>
    <row r="7">
      <c r="A7" s="3" t="s">
        <v>644</v>
      </c>
      <c r="B7" s="3" t="s">
        <v>1010</v>
      </c>
      <c r="C7" s="3" t="s">
        <v>646</v>
      </c>
      <c r="D7" s="3" t="s">
        <v>647</v>
      </c>
      <c r="E7" s="4" t="s">
        <v>56</v>
      </c>
      <c r="F7" s="5"/>
      <c r="G7" s="5"/>
      <c r="H7" s="5"/>
      <c r="I7" s="5"/>
      <c r="J7" s="5"/>
      <c r="K7" s="5"/>
      <c r="L7" s="5"/>
      <c r="M7" s="5"/>
      <c r="N7" s="5"/>
      <c r="O7" s="5"/>
      <c r="P7" s="5"/>
      <c r="Q7" s="5"/>
      <c r="R7" s="5"/>
      <c r="S7" s="5"/>
      <c r="T7" s="5"/>
      <c r="U7" s="5"/>
      <c r="V7" s="5"/>
      <c r="W7" s="5"/>
    </row>
    <row r="8">
      <c r="A8" s="3" t="s">
        <v>648</v>
      </c>
      <c r="B8" s="3" t="s">
        <v>1011</v>
      </c>
      <c r="C8" s="3" t="s">
        <v>650</v>
      </c>
      <c r="D8" s="3" t="s">
        <v>651</v>
      </c>
      <c r="E8" s="4" t="s">
        <v>56</v>
      </c>
      <c r="F8" s="5"/>
      <c r="G8" s="5"/>
      <c r="H8" s="5"/>
      <c r="I8" s="5"/>
      <c r="J8" s="5"/>
      <c r="K8" s="5"/>
      <c r="L8" s="5"/>
      <c r="M8" s="5"/>
      <c r="N8" s="5"/>
      <c r="O8" s="5"/>
      <c r="P8" s="5"/>
      <c r="Q8" s="5"/>
      <c r="R8" s="5"/>
      <c r="S8" s="5"/>
      <c r="T8" s="5"/>
      <c r="U8" s="5"/>
      <c r="V8" s="5"/>
      <c r="W8" s="5"/>
    </row>
    <row r="9">
      <c r="A9" s="3" t="s">
        <v>652</v>
      </c>
      <c r="B9" s="3" t="s">
        <v>1012</v>
      </c>
      <c r="C9" s="3" t="s">
        <v>634</v>
      </c>
      <c r="D9" s="3" t="s">
        <v>654</v>
      </c>
      <c r="E9" s="4" t="s">
        <v>56</v>
      </c>
      <c r="F9" s="5"/>
      <c r="G9" s="5"/>
      <c r="H9" s="5"/>
      <c r="I9" s="5"/>
      <c r="J9" s="5"/>
      <c r="K9" s="5"/>
      <c r="L9" s="5"/>
      <c r="M9" s="5"/>
      <c r="N9" s="5"/>
      <c r="O9" s="5"/>
      <c r="P9" s="5"/>
      <c r="Q9" s="5"/>
      <c r="R9" s="5"/>
      <c r="S9" s="5"/>
      <c r="T9" s="5"/>
      <c r="U9" s="5"/>
      <c r="V9" s="5"/>
      <c r="W9" s="5"/>
    </row>
    <row r="10">
      <c r="A10" s="3" t="s">
        <v>655</v>
      </c>
      <c r="B10" s="3" t="s">
        <v>1013</v>
      </c>
      <c r="C10" s="3" t="s">
        <v>634</v>
      </c>
      <c r="D10" s="3" t="s">
        <v>657</v>
      </c>
      <c r="E10" s="4" t="s">
        <v>56</v>
      </c>
      <c r="F10" s="5"/>
      <c r="G10" s="5"/>
      <c r="H10" s="5"/>
      <c r="I10" s="5"/>
      <c r="J10" s="5"/>
      <c r="K10" s="5"/>
      <c r="L10" s="5"/>
      <c r="M10" s="5"/>
      <c r="N10" s="5"/>
      <c r="O10" s="5"/>
      <c r="P10" s="5"/>
      <c r="Q10" s="5"/>
      <c r="R10" s="5"/>
      <c r="S10" s="5"/>
      <c r="T10" s="5"/>
      <c r="U10" s="5"/>
      <c r="V10" s="5"/>
      <c r="W10" s="5"/>
    </row>
    <row r="11">
      <c r="A11" s="3" t="s">
        <v>1014</v>
      </c>
      <c r="B11" s="3" t="s">
        <v>1015</v>
      </c>
      <c r="C11" s="3" t="s">
        <v>150</v>
      </c>
      <c r="D11" s="3" t="s">
        <v>1016</v>
      </c>
      <c r="E11" s="4" t="s">
        <v>56</v>
      </c>
      <c r="F11" s="5"/>
      <c r="G11" s="5"/>
      <c r="H11" s="5"/>
      <c r="I11" s="5"/>
      <c r="J11" s="5"/>
      <c r="K11" s="5"/>
      <c r="L11" s="5"/>
      <c r="M11" s="5"/>
      <c r="N11" s="5"/>
      <c r="O11" s="5"/>
      <c r="P11" s="5"/>
      <c r="Q11" s="5"/>
      <c r="R11" s="5"/>
      <c r="S11" s="5"/>
      <c r="T11" s="5"/>
      <c r="U11" s="5"/>
      <c r="V11" s="5"/>
      <c r="W11" s="5"/>
    </row>
    <row r="12">
      <c r="A12" s="16" t="s">
        <v>661</v>
      </c>
      <c r="B12" s="16" t="s">
        <v>1017</v>
      </c>
      <c r="C12" s="16" t="s">
        <v>150</v>
      </c>
      <c r="D12" s="16" t="s">
        <v>663</v>
      </c>
      <c r="E12" s="4" t="s">
        <v>56</v>
      </c>
      <c r="F12" s="17"/>
      <c r="G12" s="17"/>
      <c r="H12" s="17"/>
      <c r="I12" s="17"/>
      <c r="J12" s="17"/>
      <c r="K12" s="17"/>
      <c r="L12" s="17"/>
      <c r="M12" s="17"/>
      <c r="N12" s="17"/>
      <c r="O12" s="17"/>
      <c r="P12" s="17"/>
      <c r="Q12" s="17"/>
      <c r="R12" s="17"/>
      <c r="S12" s="17"/>
      <c r="T12" s="17"/>
      <c r="U12" s="17"/>
      <c r="V12" s="17"/>
      <c r="W12" s="17"/>
    </row>
    <row r="13">
      <c r="A13" s="3" t="s">
        <v>1018</v>
      </c>
      <c r="B13" s="3" t="s">
        <v>1019</v>
      </c>
      <c r="C13" s="3" t="s">
        <v>144</v>
      </c>
      <c r="D13" s="3" t="s">
        <v>1020</v>
      </c>
      <c r="E13" s="4" t="s">
        <v>56</v>
      </c>
      <c r="F13" s="5"/>
      <c r="G13" s="5"/>
      <c r="H13" s="5"/>
      <c r="I13" s="5"/>
      <c r="J13" s="5"/>
      <c r="K13" s="5"/>
      <c r="L13" s="5"/>
      <c r="M13" s="5"/>
      <c r="N13" s="5"/>
      <c r="O13" s="5"/>
      <c r="P13" s="5"/>
      <c r="Q13" s="5"/>
      <c r="R13" s="5"/>
      <c r="S13" s="5"/>
      <c r="T13" s="5"/>
      <c r="U13" s="5"/>
      <c r="V13" s="5"/>
      <c r="W13" s="5"/>
    </row>
    <row r="14">
      <c r="A14" s="16" t="s">
        <v>1021</v>
      </c>
      <c r="B14" s="16" t="s">
        <v>1022</v>
      </c>
      <c r="C14" s="16" t="s">
        <v>144</v>
      </c>
      <c r="D14" s="16" t="s">
        <v>1023</v>
      </c>
      <c r="E14" s="4" t="s">
        <v>56</v>
      </c>
      <c r="F14" s="17"/>
      <c r="G14" s="17"/>
      <c r="H14" s="17"/>
      <c r="I14" s="17"/>
      <c r="J14" s="17"/>
      <c r="K14" s="17"/>
      <c r="L14" s="17"/>
      <c r="M14" s="17"/>
      <c r="N14" s="17"/>
      <c r="O14" s="17"/>
      <c r="P14" s="17"/>
      <c r="Q14" s="17"/>
      <c r="R14" s="17"/>
      <c r="S14" s="17"/>
      <c r="T14" s="17"/>
      <c r="U14" s="17"/>
      <c r="V14" s="17"/>
      <c r="W14" s="17"/>
    </row>
    <row r="15">
      <c r="A15" s="3" t="s">
        <v>1024</v>
      </c>
      <c r="B15" s="3" t="s">
        <v>671</v>
      </c>
      <c r="C15" s="3" t="s">
        <v>672</v>
      </c>
      <c r="D15" s="3" t="s">
        <v>1025</v>
      </c>
      <c r="E15" s="4" t="s">
        <v>56</v>
      </c>
      <c r="F15" s="3"/>
      <c r="G15" s="5"/>
      <c r="H15" s="5"/>
      <c r="I15" s="5"/>
      <c r="J15" s="5"/>
      <c r="K15" s="5"/>
      <c r="L15" s="5"/>
      <c r="M15" s="5"/>
      <c r="N15" s="5"/>
      <c r="O15" s="5"/>
      <c r="P15" s="5"/>
      <c r="Q15" s="5"/>
      <c r="R15" s="5"/>
      <c r="S15" s="5"/>
      <c r="T15" s="5"/>
      <c r="U15" s="5"/>
      <c r="V15" s="5"/>
      <c r="W15" s="5"/>
    </row>
    <row r="16">
      <c r="A16" s="3" t="s">
        <v>1026</v>
      </c>
      <c r="B16" s="3" t="s">
        <v>1027</v>
      </c>
      <c r="C16" s="3" t="s">
        <v>144</v>
      </c>
      <c r="D16" s="3" t="s">
        <v>977</v>
      </c>
      <c r="E16" s="4" t="s">
        <v>190</v>
      </c>
      <c r="F16" s="5"/>
      <c r="G16" s="5"/>
      <c r="H16" s="5"/>
      <c r="I16" s="5"/>
      <c r="J16" s="5"/>
      <c r="K16" s="5"/>
      <c r="L16" s="5"/>
      <c r="M16" s="5"/>
      <c r="N16" s="5"/>
      <c r="O16" s="5"/>
      <c r="P16" s="5"/>
      <c r="Q16" s="5"/>
      <c r="R16" s="5"/>
      <c r="S16" s="5"/>
      <c r="T16" s="5"/>
      <c r="U16" s="5"/>
      <c r="V16" s="5"/>
      <c r="W16" s="5"/>
    </row>
    <row r="17">
      <c r="A17" s="3" t="s">
        <v>680</v>
      </c>
      <c r="B17" s="3" t="s">
        <v>978</v>
      </c>
      <c r="C17" s="3" t="s">
        <v>146</v>
      </c>
      <c r="D17" s="3" t="s">
        <v>682</v>
      </c>
      <c r="E17" s="4" t="s">
        <v>191</v>
      </c>
      <c r="F17" s="5"/>
      <c r="G17" s="5"/>
      <c r="H17" s="5"/>
      <c r="I17" s="5"/>
      <c r="J17" s="5"/>
      <c r="K17" s="5"/>
      <c r="L17" s="5"/>
      <c r="M17" s="5"/>
      <c r="N17" s="5"/>
      <c r="O17" s="5"/>
      <c r="P17" s="5"/>
      <c r="Q17" s="5"/>
      <c r="R17" s="5"/>
      <c r="S17" s="5"/>
      <c r="T17" s="5"/>
      <c r="U17" s="5"/>
      <c r="V17" s="5"/>
      <c r="W17" s="5"/>
    </row>
    <row r="18">
      <c r="A18" s="3" t="s">
        <v>683</v>
      </c>
      <c r="B18" s="3" t="s">
        <v>979</v>
      </c>
      <c r="C18" s="3" t="s">
        <v>146</v>
      </c>
      <c r="D18" s="3" t="s">
        <v>980</v>
      </c>
      <c r="E18" s="4" t="s">
        <v>191</v>
      </c>
      <c r="F18" s="5"/>
      <c r="G18" s="5"/>
      <c r="H18" s="5"/>
      <c r="I18" s="5"/>
      <c r="J18" s="5"/>
      <c r="K18" s="5"/>
      <c r="L18" s="5"/>
      <c r="M18" s="5"/>
      <c r="N18" s="5"/>
      <c r="O18" s="5"/>
      <c r="P18" s="5"/>
      <c r="Q18" s="5"/>
      <c r="R18" s="5"/>
      <c r="S18" s="5"/>
      <c r="T18" s="5"/>
      <c r="U18" s="5"/>
      <c r="V18" s="5"/>
      <c r="W18" s="5"/>
    </row>
    <row r="19">
      <c r="A19" s="3" t="s">
        <v>686</v>
      </c>
      <c r="B19" s="3" t="s">
        <v>981</v>
      </c>
      <c r="C19" s="3" t="s">
        <v>146</v>
      </c>
      <c r="D19" s="3" t="s">
        <v>688</v>
      </c>
      <c r="E19" s="4" t="s">
        <v>191</v>
      </c>
      <c r="F19" s="5"/>
      <c r="G19" s="5"/>
      <c r="H19" s="5"/>
      <c r="I19" s="5"/>
      <c r="J19" s="5"/>
      <c r="K19" s="5"/>
      <c r="L19" s="5"/>
      <c r="M19" s="5"/>
      <c r="N19" s="5"/>
      <c r="O19" s="5"/>
      <c r="P19" s="5"/>
      <c r="Q19" s="5"/>
      <c r="R19" s="5"/>
      <c r="S19" s="5"/>
      <c r="T19" s="5"/>
      <c r="U19" s="5"/>
      <c r="V19" s="5"/>
      <c r="W19" s="5"/>
    </row>
    <row r="20">
      <c r="A20" s="3" t="s">
        <v>689</v>
      </c>
      <c r="B20" s="3" t="s">
        <v>690</v>
      </c>
      <c r="C20" s="3" t="s">
        <v>148</v>
      </c>
      <c r="D20" s="3" t="s">
        <v>691</v>
      </c>
      <c r="E20" s="15" t="s">
        <v>192</v>
      </c>
      <c r="F20" s="3"/>
      <c r="G20" s="5"/>
      <c r="H20" s="5"/>
      <c r="I20" s="5"/>
      <c r="J20" s="5"/>
      <c r="K20" s="5"/>
      <c r="L20" s="5"/>
      <c r="M20" s="5"/>
      <c r="N20" s="5"/>
      <c r="O20" s="5"/>
      <c r="P20" s="5"/>
      <c r="Q20" s="5"/>
      <c r="R20" s="5"/>
      <c r="S20" s="5"/>
      <c r="T20" s="5"/>
      <c r="U20" s="5"/>
      <c r="V20" s="5"/>
      <c r="W20" s="5"/>
    </row>
    <row r="21">
      <c r="A21" s="3" t="s">
        <v>692</v>
      </c>
      <c r="B21" s="3" t="s">
        <v>693</v>
      </c>
      <c r="C21" s="3" t="s">
        <v>148</v>
      </c>
      <c r="D21" s="3" t="s">
        <v>694</v>
      </c>
      <c r="E21" s="15" t="s">
        <v>192</v>
      </c>
      <c r="F21" s="5"/>
      <c r="G21" s="5"/>
      <c r="H21" s="5"/>
      <c r="I21" s="5"/>
      <c r="J21" s="5"/>
      <c r="K21" s="5"/>
      <c r="L21" s="5"/>
      <c r="M21" s="5"/>
      <c r="N21" s="5"/>
      <c r="O21" s="5"/>
      <c r="P21" s="5"/>
      <c r="Q21" s="5"/>
      <c r="R21" s="5"/>
      <c r="S21" s="5"/>
      <c r="T21" s="5"/>
      <c r="U21" s="5"/>
      <c r="V21" s="5"/>
      <c r="W21" s="5"/>
    </row>
    <row r="22">
      <c r="A22" s="3" t="s">
        <v>695</v>
      </c>
      <c r="B22" s="3" t="s">
        <v>696</v>
      </c>
      <c r="C22" s="3" t="s">
        <v>148</v>
      </c>
      <c r="D22" s="3" t="s">
        <v>697</v>
      </c>
      <c r="E22" s="15" t="s">
        <v>192</v>
      </c>
      <c r="F22" s="5"/>
      <c r="G22" s="5"/>
      <c r="H22" s="5"/>
      <c r="I22" s="5"/>
      <c r="J22" s="5"/>
      <c r="K22" s="5"/>
      <c r="L22" s="5"/>
      <c r="M22" s="5"/>
      <c r="N22" s="5"/>
      <c r="O22" s="5"/>
      <c r="P22" s="5"/>
      <c r="Q22" s="5"/>
      <c r="R22" s="5"/>
      <c r="S22" s="5"/>
      <c r="T22" s="5"/>
      <c r="U22" s="5"/>
      <c r="V22" s="5"/>
      <c r="W22" s="5"/>
    </row>
    <row r="23">
      <c r="A23" s="3" t="s">
        <v>698</v>
      </c>
      <c r="B23" s="3" t="s">
        <v>699</v>
      </c>
      <c r="C23" s="3" t="s">
        <v>148</v>
      </c>
      <c r="D23" s="3" t="s">
        <v>700</v>
      </c>
      <c r="E23" s="15" t="s">
        <v>192</v>
      </c>
      <c r="F23" s="5"/>
      <c r="G23" s="5"/>
      <c r="H23" s="5"/>
      <c r="I23" s="5"/>
      <c r="J23" s="5"/>
      <c r="K23" s="5"/>
      <c r="L23" s="5"/>
      <c r="M23" s="5"/>
      <c r="N23" s="5"/>
      <c r="O23" s="5"/>
      <c r="P23" s="5"/>
      <c r="Q23" s="5"/>
      <c r="R23" s="5"/>
      <c r="S23" s="5"/>
      <c r="T23" s="5"/>
      <c r="U23" s="5"/>
      <c r="V23" s="5"/>
      <c r="W23" s="5"/>
    </row>
    <row r="24">
      <c r="A24" s="3" t="s">
        <v>701</v>
      </c>
      <c r="B24" s="3" t="s">
        <v>702</v>
      </c>
      <c r="C24" s="3" t="s">
        <v>148</v>
      </c>
      <c r="D24" s="3" t="s">
        <v>703</v>
      </c>
      <c r="E24" s="15" t="s">
        <v>192</v>
      </c>
      <c r="F24" s="5"/>
      <c r="G24" s="5"/>
      <c r="H24" s="5"/>
      <c r="I24" s="5"/>
      <c r="J24" s="5"/>
      <c r="K24" s="5"/>
      <c r="L24" s="5"/>
      <c r="M24" s="5"/>
      <c r="N24" s="5"/>
      <c r="O24" s="5"/>
      <c r="P24" s="5"/>
      <c r="Q24" s="5"/>
      <c r="R24" s="5"/>
      <c r="S24" s="5"/>
      <c r="T24" s="5"/>
      <c r="U24" s="5"/>
      <c r="V24" s="5"/>
      <c r="W24" s="5"/>
    </row>
    <row r="25">
      <c r="A25" s="3" t="s">
        <v>704</v>
      </c>
      <c r="B25" s="3" t="s">
        <v>705</v>
      </c>
      <c r="C25" s="3" t="s">
        <v>706</v>
      </c>
      <c r="D25" s="3" t="s">
        <v>707</v>
      </c>
      <c r="E25" s="4" t="s">
        <v>194</v>
      </c>
      <c r="F25" s="5"/>
      <c r="G25" s="5"/>
      <c r="H25" s="5"/>
      <c r="I25" s="5"/>
      <c r="J25" s="5"/>
      <c r="K25" s="5"/>
      <c r="L25" s="5"/>
      <c r="M25" s="5"/>
      <c r="N25" s="5"/>
      <c r="O25" s="5"/>
      <c r="P25" s="5"/>
      <c r="Q25" s="5"/>
      <c r="R25" s="5"/>
      <c r="S25" s="5"/>
      <c r="T25" s="5"/>
      <c r="U25" s="5"/>
      <c r="V25" s="5"/>
      <c r="W25" s="5"/>
    </row>
    <row r="26">
      <c r="A26" s="3" t="s">
        <v>708</v>
      </c>
      <c r="B26" s="3" t="s">
        <v>709</v>
      </c>
      <c r="C26" s="3" t="s">
        <v>710</v>
      </c>
      <c r="D26" s="3" t="s">
        <v>711</v>
      </c>
      <c r="E26" s="4" t="s">
        <v>194</v>
      </c>
      <c r="F26" s="5"/>
      <c r="G26" s="5"/>
      <c r="H26" s="5"/>
      <c r="I26" s="5"/>
      <c r="J26" s="5"/>
      <c r="K26" s="5"/>
      <c r="L26" s="5"/>
      <c r="M26" s="5"/>
      <c r="N26" s="5"/>
      <c r="O26" s="5"/>
      <c r="P26" s="5"/>
      <c r="Q26" s="5"/>
      <c r="R26" s="5"/>
      <c r="S26" s="5"/>
      <c r="T26" s="5"/>
      <c r="U26" s="5"/>
      <c r="V26" s="5"/>
      <c r="W26" s="5"/>
    </row>
    <row r="27">
      <c r="A27" s="3" t="s">
        <v>712</v>
      </c>
      <c r="B27" s="3" t="s">
        <v>713</v>
      </c>
      <c r="C27" s="3" t="s">
        <v>714</v>
      </c>
      <c r="D27" s="3" t="s">
        <v>715</v>
      </c>
      <c r="E27" s="4" t="s">
        <v>194</v>
      </c>
      <c r="F27" s="5"/>
      <c r="G27" s="5"/>
      <c r="H27" s="5"/>
      <c r="I27" s="5"/>
      <c r="J27" s="5"/>
      <c r="K27" s="5"/>
      <c r="L27" s="5"/>
      <c r="M27" s="5"/>
      <c r="N27" s="5"/>
      <c r="O27" s="5"/>
      <c r="P27" s="5"/>
      <c r="Q27" s="5"/>
      <c r="R27" s="5"/>
      <c r="S27" s="5"/>
      <c r="T27" s="5"/>
      <c r="U27" s="5"/>
      <c r="V27" s="5"/>
      <c r="W27" s="5"/>
    </row>
    <row r="28">
      <c r="A28" s="3" t="s">
        <v>716</v>
      </c>
      <c r="B28" s="3" t="s">
        <v>717</v>
      </c>
      <c r="C28" s="3" t="s">
        <v>718</v>
      </c>
      <c r="D28" s="3" t="s">
        <v>719</v>
      </c>
      <c r="E28" s="4" t="s">
        <v>194</v>
      </c>
      <c r="F28" s="5"/>
      <c r="G28" s="5"/>
      <c r="H28" s="5"/>
      <c r="I28" s="5"/>
      <c r="J28" s="5"/>
      <c r="K28" s="5"/>
      <c r="L28" s="5"/>
      <c r="M28" s="5"/>
      <c r="N28" s="5"/>
      <c r="O28" s="5"/>
      <c r="P28" s="5"/>
      <c r="Q28" s="5"/>
      <c r="R28" s="5"/>
      <c r="S28" s="5"/>
      <c r="T28" s="5"/>
      <c r="U28" s="5"/>
      <c r="V28" s="5"/>
      <c r="W28" s="5"/>
    </row>
    <row r="29">
      <c r="A29" s="3" t="s">
        <v>720</v>
      </c>
      <c r="B29" s="3" t="s">
        <v>721</v>
      </c>
      <c r="C29" s="3" t="s">
        <v>722</v>
      </c>
      <c r="D29" s="3" t="s">
        <v>723</v>
      </c>
      <c r="E29" s="4" t="s">
        <v>194</v>
      </c>
      <c r="F29" s="5"/>
      <c r="G29" s="5"/>
      <c r="H29" s="5"/>
      <c r="I29" s="5"/>
      <c r="J29" s="5"/>
      <c r="K29" s="5"/>
      <c r="L29" s="5"/>
      <c r="M29" s="5"/>
      <c r="N29" s="5"/>
      <c r="O29" s="5"/>
      <c r="P29" s="5"/>
      <c r="Q29" s="5"/>
      <c r="R29" s="5"/>
      <c r="S29" s="5"/>
      <c r="T29" s="5"/>
      <c r="U29" s="5"/>
      <c r="V29" s="5"/>
      <c r="W29" s="5"/>
    </row>
    <row r="30">
      <c r="A30" s="3" t="s">
        <v>724</v>
      </c>
      <c r="B30" s="3" t="s">
        <v>725</v>
      </c>
      <c r="C30" s="3" t="s">
        <v>726</v>
      </c>
      <c r="D30" s="3" t="s">
        <v>727</v>
      </c>
      <c r="E30" s="4" t="s">
        <v>194</v>
      </c>
      <c r="F30" s="5"/>
      <c r="G30" s="5"/>
      <c r="H30" s="5"/>
      <c r="I30" s="5"/>
      <c r="J30" s="5"/>
      <c r="K30" s="5"/>
      <c r="L30" s="5"/>
      <c r="M30" s="5"/>
      <c r="N30" s="5"/>
      <c r="O30" s="5"/>
      <c r="P30" s="5"/>
      <c r="Q30" s="5"/>
      <c r="R30" s="5"/>
      <c r="S30" s="5"/>
      <c r="T30" s="5"/>
      <c r="U30" s="5"/>
      <c r="V30" s="5"/>
      <c r="W30" s="5"/>
    </row>
    <row r="31">
      <c r="A31" s="3" t="s">
        <v>728</v>
      </c>
      <c r="B31" s="3" t="s">
        <v>729</v>
      </c>
      <c r="C31" s="3" t="s">
        <v>730</v>
      </c>
      <c r="D31" s="3" t="s">
        <v>731</v>
      </c>
      <c r="E31" s="4" t="s">
        <v>194</v>
      </c>
      <c r="F31" s="5"/>
      <c r="G31" s="5"/>
      <c r="H31" s="5"/>
      <c r="I31" s="5"/>
      <c r="J31" s="5"/>
      <c r="K31" s="5"/>
      <c r="L31" s="5"/>
      <c r="M31" s="5"/>
      <c r="N31" s="5"/>
      <c r="O31" s="5"/>
      <c r="P31" s="5"/>
      <c r="Q31" s="5"/>
      <c r="R31" s="5"/>
      <c r="S31" s="5"/>
      <c r="T31" s="5"/>
      <c r="U31" s="5"/>
      <c r="V31" s="5"/>
      <c r="W31" s="5"/>
    </row>
    <row r="32">
      <c r="A32" s="3" t="s">
        <v>732</v>
      </c>
      <c r="B32" s="3" t="s">
        <v>733</v>
      </c>
      <c r="C32" s="3" t="s">
        <v>734</v>
      </c>
      <c r="D32" s="3" t="s">
        <v>735</v>
      </c>
      <c r="E32" s="4" t="s">
        <v>194</v>
      </c>
      <c r="F32" s="5"/>
      <c r="G32" s="5"/>
      <c r="H32" s="5"/>
      <c r="I32" s="5"/>
      <c r="J32" s="5"/>
      <c r="K32" s="5"/>
      <c r="L32" s="5"/>
      <c r="M32" s="5"/>
      <c r="N32" s="5"/>
      <c r="O32" s="5"/>
      <c r="P32" s="5"/>
      <c r="Q32" s="5"/>
      <c r="R32" s="5"/>
      <c r="S32" s="5"/>
      <c r="T32" s="5"/>
      <c r="U32" s="5"/>
      <c r="V32" s="5"/>
      <c r="W32" s="5"/>
    </row>
    <row r="33">
      <c r="A33" s="3" t="s">
        <v>736</v>
      </c>
      <c r="B33" s="3" t="s">
        <v>737</v>
      </c>
      <c r="C33" s="3" t="s">
        <v>738</v>
      </c>
      <c r="D33" s="3" t="s">
        <v>739</v>
      </c>
      <c r="E33" s="4" t="s">
        <v>194</v>
      </c>
      <c r="F33" s="5"/>
      <c r="G33" s="5"/>
      <c r="H33" s="5"/>
      <c r="I33" s="5"/>
      <c r="J33" s="5"/>
      <c r="K33" s="5"/>
      <c r="L33" s="5"/>
      <c r="M33" s="5"/>
      <c r="N33" s="5"/>
      <c r="O33" s="5"/>
      <c r="P33" s="5"/>
      <c r="Q33" s="5"/>
      <c r="R33" s="5"/>
      <c r="S33" s="5"/>
      <c r="T33" s="5"/>
      <c r="U33" s="5"/>
      <c r="V33" s="5"/>
      <c r="W33" s="5"/>
    </row>
    <row r="34">
      <c r="A34" s="3" t="s">
        <v>740</v>
      </c>
      <c r="B34" s="3" t="s">
        <v>741</v>
      </c>
      <c r="C34" s="3" t="s">
        <v>742</v>
      </c>
      <c r="D34" s="3" t="s">
        <v>743</v>
      </c>
      <c r="E34" s="4" t="s">
        <v>194</v>
      </c>
      <c r="F34" s="5"/>
      <c r="G34" s="5"/>
      <c r="H34" s="5"/>
      <c r="I34" s="5"/>
      <c r="J34" s="5"/>
      <c r="K34" s="5"/>
      <c r="L34" s="5"/>
      <c r="M34" s="5"/>
      <c r="N34" s="5"/>
      <c r="O34" s="5"/>
      <c r="P34" s="5"/>
      <c r="Q34" s="5"/>
      <c r="R34" s="5"/>
      <c r="S34" s="5"/>
      <c r="T34" s="5"/>
      <c r="U34" s="5"/>
      <c r="V34" s="5"/>
      <c r="W34" s="5"/>
    </row>
    <row r="35">
      <c r="A35" s="3" t="s">
        <v>744</v>
      </c>
      <c r="B35" s="3" t="s">
        <v>745</v>
      </c>
      <c r="C35" s="3" t="s">
        <v>746</v>
      </c>
      <c r="D35" s="3" t="s">
        <v>747</v>
      </c>
      <c r="E35" s="4" t="s">
        <v>194</v>
      </c>
      <c r="F35" s="5"/>
      <c r="G35" s="5"/>
      <c r="H35" s="5"/>
      <c r="I35" s="5"/>
      <c r="J35" s="5"/>
      <c r="K35" s="5"/>
      <c r="L35" s="5"/>
      <c r="M35" s="5"/>
      <c r="N35" s="5"/>
      <c r="O35" s="5"/>
      <c r="P35" s="5"/>
      <c r="Q35" s="5"/>
      <c r="R35" s="5"/>
      <c r="S35" s="5"/>
      <c r="T35" s="5"/>
      <c r="U35" s="5"/>
      <c r="V35" s="5"/>
      <c r="W35" s="5"/>
    </row>
    <row r="36">
      <c r="A36" s="3" t="s">
        <v>748</v>
      </c>
      <c r="B36" s="3" t="s">
        <v>749</v>
      </c>
      <c r="C36" s="3" t="s">
        <v>750</v>
      </c>
      <c r="D36" s="3" t="s">
        <v>751</v>
      </c>
      <c r="E36" s="4" t="s">
        <v>194</v>
      </c>
      <c r="F36" s="5"/>
      <c r="G36" s="5"/>
      <c r="H36" s="5"/>
      <c r="I36" s="5"/>
      <c r="J36" s="5"/>
      <c r="K36" s="5"/>
      <c r="L36" s="5"/>
      <c r="M36" s="5"/>
      <c r="N36" s="5"/>
      <c r="O36" s="5"/>
      <c r="P36" s="5"/>
      <c r="Q36" s="5"/>
      <c r="R36" s="5"/>
      <c r="S36" s="5"/>
      <c r="T36" s="5"/>
      <c r="U36" s="5"/>
      <c r="V36" s="5"/>
      <c r="W36" s="5"/>
    </row>
    <row r="37">
      <c r="A37" s="3" t="s">
        <v>752</v>
      </c>
      <c r="B37" s="3" t="s">
        <v>753</v>
      </c>
      <c r="C37" s="3" t="s">
        <v>754</v>
      </c>
      <c r="D37" s="3" t="s">
        <v>755</v>
      </c>
      <c r="E37" s="4" t="s">
        <v>194</v>
      </c>
      <c r="F37" s="5"/>
      <c r="G37" s="5"/>
      <c r="H37" s="5"/>
      <c r="I37" s="5"/>
      <c r="J37" s="5"/>
      <c r="K37" s="5"/>
      <c r="L37" s="5"/>
      <c r="M37" s="5"/>
      <c r="N37" s="5"/>
      <c r="O37" s="5"/>
      <c r="P37" s="5"/>
      <c r="Q37" s="5"/>
      <c r="R37" s="5"/>
      <c r="S37" s="5"/>
      <c r="T37" s="5"/>
      <c r="U37" s="5"/>
      <c r="V37" s="5"/>
      <c r="W37" s="5"/>
    </row>
    <row r="38">
      <c r="A38" s="3" t="s">
        <v>756</v>
      </c>
      <c r="B38" s="3" t="s">
        <v>757</v>
      </c>
      <c r="C38" s="3" t="s">
        <v>750</v>
      </c>
      <c r="D38" s="3" t="s">
        <v>758</v>
      </c>
      <c r="E38" s="4" t="s">
        <v>194</v>
      </c>
      <c r="F38" s="5"/>
      <c r="G38" s="5"/>
      <c r="H38" s="5"/>
      <c r="I38" s="5"/>
      <c r="J38" s="5"/>
      <c r="K38" s="5"/>
      <c r="L38" s="5"/>
      <c r="M38" s="5"/>
      <c r="N38" s="5"/>
      <c r="O38" s="5"/>
      <c r="P38" s="5"/>
      <c r="Q38" s="5"/>
      <c r="R38" s="5"/>
      <c r="S38" s="5"/>
      <c r="T38" s="5"/>
      <c r="U38" s="5"/>
      <c r="V38" s="5"/>
      <c r="W38" s="5"/>
    </row>
    <row r="39">
      <c r="A39" s="3" t="s">
        <v>759</v>
      </c>
      <c r="B39" s="3" t="s">
        <v>760</v>
      </c>
      <c r="C39" s="3" t="s">
        <v>754</v>
      </c>
      <c r="D39" s="3" t="s">
        <v>761</v>
      </c>
      <c r="E39" s="4" t="s">
        <v>194</v>
      </c>
      <c r="F39" s="5"/>
      <c r="G39" s="5"/>
      <c r="H39" s="5"/>
      <c r="I39" s="5"/>
      <c r="J39" s="5"/>
      <c r="K39" s="5"/>
      <c r="L39" s="5"/>
      <c r="M39" s="5"/>
      <c r="N39" s="5"/>
      <c r="O39" s="5"/>
      <c r="P39" s="5"/>
      <c r="Q39" s="5"/>
      <c r="R39" s="5"/>
      <c r="S39" s="5"/>
      <c r="T39" s="5"/>
      <c r="U39" s="5"/>
      <c r="V39" s="5"/>
      <c r="W39" s="5"/>
    </row>
    <row r="40">
      <c r="A40" s="3" t="s">
        <v>762</v>
      </c>
      <c r="B40" s="3" t="s">
        <v>763</v>
      </c>
      <c r="C40" s="3" t="s">
        <v>750</v>
      </c>
      <c r="D40" s="3" t="s">
        <v>764</v>
      </c>
      <c r="E40" s="4" t="s">
        <v>194</v>
      </c>
      <c r="F40" s="5"/>
      <c r="G40" s="5"/>
      <c r="H40" s="5"/>
      <c r="I40" s="5"/>
      <c r="J40" s="5"/>
      <c r="K40" s="5"/>
      <c r="L40" s="5"/>
      <c r="M40" s="5"/>
      <c r="N40" s="5"/>
      <c r="O40" s="5"/>
      <c r="P40" s="5"/>
      <c r="Q40" s="5"/>
      <c r="R40" s="5"/>
      <c r="S40" s="5"/>
      <c r="T40" s="5"/>
      <c r="U40" s="5"/>
      <c r="V40" s="5"/>
      <c r="W40" s="5"/>
    </row>
    <row r="41">
      <c r="A41" s="3" t="s">
        <v>765</v>
      </c>
      <c r="B41" s="3" t="s">
        <v>766</v>
      </c>
      <c r="C41" s="3" t="s">
        <v>754</v>
      </c>
      <c r="D41" s="3" t="s">
        <v>767</v>
      </c>
      <c r="E41" s="4" t="s">
        <v>194</v>
      </c>
      <c r="F41" s="5"/>
      <c r="G41" s="5"/>
      <c r="H41" s="5"/>
      <c r="I41" s="5"/>
      <c r="J41" s="5"/>
      <c r="K41" s="5"/>
      <c r="L41" s="5"/>
      <c r="M41" s="5"/>
      <c r="N41" s="5"/>
      <c r="O41" s="5"/>
      <c r="P41" s="5"/>
      <c r="Q41" s="5"/>
      <c r="R41" s="5"/>
      <c r="S41" s="5"/>
      <c r="T41" s="5"/>
      <c r="U41" s="5"/>
      <c r="V41" s="5"/>
      <c r="W41" s="5"/>
    </row>
    <row r="42">
      <c r="A42" s="3" t="s">
        <v>768</v>
      </c>
      <c r="B42" s="3" t="s">
        <v>769</v>
      </c>
      <c r="C42" s="3" t="s">
        <v>750</v>
      </c>
      <c r="D42" s="3" t="s">
        <v>770</v>
      </c>
      <c r="E42" s="4" t="s">
        <v>194</v>
      </c>
      <c r="F42" s="5"/>
      <c r="G42" s="5"/>
      <c r="H42" s="5"/>
      <c r="I42" s="5"/>
      <c r="J42" s="5"/>
      <c r="K42" s="5"/>
      <c r="L42" s="5"/>
      <c r="M42" s="5"/>
      <c r="N42" s="5"/>
      <c r="O42" s="5"/>
      <c r="P42" s="5"/>
      <c r="Q42" s="5"/>
      <c r="R42" s="5"/>
      <c r="S42" s="5"/>
      <c r="T42" s="5"/>
      <c r="U42" s="5"/>
      <c r="V42" s="5"/>
      <c r="W42" s="5"/>
    </row>
    <row r="43">
      <c r="A43" s="3" t="s">
        <v>771</v>
      </c>
      <c r="B43" s="3" t="s">
        <v>772</v>
      </c>
      <c r="C43" s="3" t="s">
        <v>754</v>
      </c>
      <c r="D43" s="3" t="s">
        <v>773</v>
      </c>
      <c r="E43" s="4" t="s">
        <v>194</v>
      </c>
      <c r="F43" s="5"/>
      <c r="G43" s="5"/>
      <c r="H43" s="5"/>
      <c r="I43" s="5"/>
      <c r="J43" s="5"/>
      <c r="K43" s="5"/>
      <c r="L43" s="5"/>
      <c r="M43" s="5"/>
      <c r="N43" s="5"/>
      <c r="O43" s="5"/>
      <c r="P43" s="5"/>
      <c r="Q43" s="5"/>
      <c r="R43" s="5"/>
      <c r="S43" s="5"/>
      <c r="T43" s="5"/>
      <c r="U43" s="5"/>
      <c r="V43" s="5"/>
      <c r="W43" s="5"/>
    </row>
    <row r="44">
      <c r="A44" s="3" t="s">
        <v>774</v>
      </c>
      <c r="B44" s="3" t="s">
        <v>775</v>
      </c>
      <c r="C44" s="3" t="s">
        <v>750</v>
      </c>
      <c r="D44" s="3" t="s">
        <v>776</v>
      </c>
      <c r="E44" s="4" t="s">
        <v>194</v>
      </c>
      <c r="F44" s="5"/>
      <c r="G44" s="5"/>
      <c r="H44" s="5"/>
      <c r="I44" s="5"/>
      <c r="J44" s="5"/>
      <c r="K44" s="5"/>
      <c r="L44" s="5"/>
      <c r="M44" s="5"/>
      <c r="N44" s="5"/>
      <c r="O44" s="5"/>
      <c r="P44" s="5"/>
      <c r="Q44" s="5"/>
      <c r="R44" s="5"/>
      <c r="S44" s="5"/>
      <c r="T44" s="5"/>
      <c r="U44" s="5"/>
      <c r="V44" s="5"/>
      <c r="W44" s="5"/>
    </row>
    <row r="45">
      <c r="A45" s="3" t="s">
        <v>777</v>
      </c>
      <c r="B45" s="3" t="s">
        <v>778</v>
      </c>
      <c r="C45" s="3" t="s">
        <v>754</v>
      </c>
      <c r="D45" s="3" t="s">
        <v>779</v>
      </c>
      <c r="E45" s="4" t="s">
        <v>194</v>
      </c>
      <c r="F45" s="5"/>
      <c r="G45" s="5"/>
      <c r="H45" s="5"/>
      <c r="I45" s="5"/>
      <c r="J45" s="5"/>
      <c r="K45" s="5"/>
      <c r="L45" s="5"/>
      <c r="M45" s="5"/>
      <c r="N45" s="5"/>
      <c r="O45" s="5"/>
      <c r="P45" s="5"/>
      <c r="Q45" s="5"/>
      <c r="R45" s="5"/>
      <c r="S45" s="5"/>
      <c r="T45" s="5"/>
      <c r="U45" s="5"/>
      <c r="V45" s="5"/>
      <c r="W45" s="5"/>
    </row>
    <row r="46">
      <c r="A46" s="3" t="s">
        <v>780</v>
      </c>
      <c r="B46" s="3" t="s">
        <v>781</v>
      </c>
      <c r="C46" s="3" t="s">
        <v>750</v>
      </c>
      <c r="D46" s="3" t="s">
        <v>782</v>
      </c>
      <c r="E46" s="4" t="s">
        <v>194</v>
      </c>
      <c r="F46" s="5"/>
      <c r="G46" s="5"/>
      <c r="H46" s="5"/>
      <c r="I46" s="5"/>
      <c r="J46" s="5"/>
      <c r="K46" s="5"/>
      <c r="L46" s="5"/>
      <c r="M46" s="5"/>
      <c r="N46" s="5"/>
      <c r="O46" s="5"/>
      <c r="P46" s="5"/>
      <c r="Q46" s="5"/>
      <c r="R46" s="5"/>
      <c r="S46" s="5"/>
      <c r="T46" s="5"/>
      <c r="U46" s="5"/>
      <c r="V46" s="5"/>
      <c r="W46" s="5"/>
    </row>
    <row r="47">
      <c r="A47" s="3" t="s">
        <v>783</v>
      </c>
      <c r="B47" s="3" t="s">
        <v>784</v>
      </c>
      <c r="C47" s="3" t="s">
        <v>754</v>
      </c>
      <c r="D47" s="3" t="s">
        <v>785</v>
      </c>
      <c r="E47" s="4" t="s">
        <v>194</v>
      </c>
      <c r="F47" s="5"/>
      <c r="G47" s="5"/>
      <c r="H47" s="5"/>
      <c r="I47" s="5"/>
      <c r="J47" s="5"/>
      <c r="K47" s="5"/>
      <c r="L47" s="5"/>
      <c r="M47" s="5"/>
      <c r="N47" s="5"/>
      <c r="O47" s="5"/>
      <c r="P47" s="5"/>
      <c r="Q47" s="5"/>
      <c r="R47" s="5"/>
      <c r="S47" s="5"/>
      <c r="T47" s="5"/>
      <c r="U47" s="5"/>
      <c r="V47" s="5"/>
      <c r="W47" s="5"/>
    </row>
    <row r="48">
      <c r="A48" s="3" t="s">
        <v>786</v>
      </c>
      <c r="B48" s="3" t="s">
        <v>787</v>
      </c>
      <c r="C48" s="3" t="s">
        <v>750</v>
      </c>
      <c r="D48" s="3" t="s">
        <v>788</v>
      </c>
      <c r="E48" s="4" t="s">
        <v>194</v>
      </c>
      <c r="F48" s="5"/>
      <c r="G48" s="5"/>
      <c r="H48" s="5"/>
      <c r="I48" s="5"/>
      <c r="J48" s="5"/>
      <c r="K48" s="5"/>
      <c r="L48" s="5"/>
      <c r="M48" s="5"/>
      <c r="N48" s="5"/>
      <c r="O48" s="5"/>
      <c r="P48" s="5"/>
      <c r="Q48" s="5"/>
      <c r="R48" s="5"/>
      <c r="S48" s="5"/>
      <c r="T48" s="5"/>
      <c r="U48" s="5"/>
      <c r="V48" s="5"/>
      <c r="W48" s="5"/>
    </row>
    <row r="49">
      <c r="A49" s="3" t="s">
        <v>789</v>
      </c>
      <c r="B49" s="3" t="s">
        <v>790</v>
      </c>
      <c r="C49" s="3" t="s">
        <v>754</v>
      </c>
      <c r="D49" s="3" t="s">
        <v>791</v>
      </c>
      <c r="E49" s="4" t="s">
        <v>194</v>
      </c>
      <c r="F49" s="5"/>
      <c r="G49" s="5"/>
      <c r="H49" s="5"/>
      <c r="I49" s="5"/>
      <c r="J49" s="5"/>
      <c r="K49" s="5"/>
      <c r="L49" s="5"/>
      <c r="M49" s="5"/>
      <c r="N49" s="5"/>
      <c r="O49" s="5"/>
      <c r="P49" s="5"/>
      <c r="Q49" s="5"/>
      <c r="R49" s="5"/>
      <c r="S49" s="5"/>
      <c r="T49" s="5"/>
      <c r="U49" s="5"/>
      <c r="V49" s="5"/>
      <c r="W49" s="5"/>
    </row>
    <row r="50">
      <c r="A50" s="3" t="s">
        <v>792</v>
      </c>
      <c r="B50" s="3" t="s">
        <v>793</v>
      </c>
      <c r="C50" s="3" t="s">
        <v>750</v>
      </c>
      <c r="D50" s="3" t="s">
        <v>794</v>
      </c>
      <c r="E50" s="4" t="s">
        <v>194</v>
      </c>
      <c r="F50" s="5"/>
      <c r="G50" s="5"/>
      <c r="H50" s="5"/>
      <c r="I50" s="5"/>
      <c r="J50" s="5"/>
      <c r="K50" s="5"/>
      <c r="L50" s="5"/>
      <c r="M50" s="5"/>
      <c r="N50" s="5"/>
      <c r="O50" s="5"/>
      <c r="P50" s="5"/>
      <c r="Q50" s="5"/>
      <c r="R50" s="5"/>
      <c r="S50" s="5"/>
      <c r="T50" s="5"/>
      <c r="U50" s="5"/>
      <c r="V50" s="5"/>
      <c r="W50" s="5"/>
    </row>
    <row r="51">
      <c r="A51" s="3" t="s">
        <v>795</v>
      </c>
      <c r="B51" s="3" t="s">
        <v>796</v>
      </c>
      <c r="C51" s="3" t="s">
        <v>754</v>
      </c>
      <c r="D51" s="3" t="s">
        <v>797</v>
      </c>
      <c r="E51" s="4" t="s">
        <v>194</v>
      </c>
      <c r="F51" s="5"/>
      <c r="G51" s="5"/>
      <c r="H51" s="5"/>
      <c r="I51" s="5"/>
      <c r="J51" s="5"/>
      <c r="K51" s="5"/>
      <c r="L51" s="5"/>
      <c r="M51" s="5"/>
      <c r="N51" s="5"/>
      <c r="O51" s="5"/>
      <c r="P51" s="5"/>
      <c r="Q51" s="5"/>
      <c r="R51" s="5"/>
      <c r="S51" s="5"/>
      <c r="T51" s="5"/>
      <c r="U51" s="5"/>
      <c r="V51" s="5"/>
      <c r="W51" s="5"/>
    </row>
    <row r="52">
      <c r="A52" s="3" t="s">
        <v>798</v>
      </c>
      <c r="B52" s="3" t="s">
        <v>1028</v>
      </c>
      <c r="C52" s="3" t="s">
        <v>800</v>
      </c>
      <c r="D52" s="3" t="s">
        <v>801</v>
      </c>
      <c r="E52" s="4" t="s">
        <v>194</v>
      </c>
      <c r="F52" s="5"/>
      <c r="G52" s="5"/>
      <c r="H52" s="5"/>
      <c r="I52" s="5"/>
      <c r="J52" s="5"/>
      <c r="K52" s="5"/>
      <c r="L52" s="5"/>
      <c r="M52" s="5"/>
      <c r="N52" s="5"/>
      <c r="O52" s="5"/>
      <c r="P52" s="5"/>
      <c r="Q52" s="5"/>
      <c r="R52" s="5"/>
      <c r="S52" s="5"/>
      <c r="T52" s="5"/>
      <c r="U52" s="5"/>
      <c r="V52" s="5"/>
      <c r="W52" s="5"/>
    </row>
    <row r="53">
      <c r="A53" s="3" t="s">
        <v>802</v>
      </c>
      <c r="B53" s="3" t="s">
        <v>803</v>
      </c>
      <c r="C53" s="3" t="s">
        <v>804</v>
      </c>
      <c r="D53" s="3" t="s">
        <v>805</v>
      </c>
      <c r="E53" s="4" t="s">
        <v>194</v>
      </c>
      <c r="F53" s="5"/>
      <c r="G53" s="5"/>
      <c r="H53" s="5"/>
      <c r="I53" s="5"/>
      <c r="J53" s="5"/>
      <c r="K53" s="5"/>
      <c r="L53" s="5"/>
      <c r="M53" s="5"/>
      <c r="N53" s="5"/>
      <c r="O53" s="5"/>
      <c r="P53" s="5"/>
      <c r="Q53" s="5"/>
      <c r="R53" s="5"/>
      <c r="S53" s="5"/>
      <c r="T53" s="5"/>
      <c r="U53" s="5"/>
      <c r="V53" s="5"/>
      <c r="W53" s="5"/>
    </row>
    <row r="54">
      <c r="A54" s="3" t="s">
        <v>1029</v>
      </c>
      <c r="B54" s="3" t="s">
        <v>1030</v>
      </c>
      <c r="C54" s="3" t="s">
        <v>800</v>
      </c>
      <c r="D54" s="3" t="s">
        <v>801</v>
      </c>
      <c r="E54" s="4" t="s">
        <v>194</v>
      </c>
      <c r="F54" s="5"/>
      <c r="G54" s="5"/>
      <c r="H54" s="5"/>
      <c r="I54" s="5"/>
      <c r="J54" s="5"/>
      <c r="K54" s="5"/>
      <c r="L54" s="5"/>
      <c r="M54" s="5"/>
      <c r="N54" s="5"/>
      <c r="O54" s="5"/>
      <c r="P54" s="5"/>
      <c r="Q54" s="5"/>
      <c r="R54" s="5"/>
      <c r="S54" s="5"/>
      <c r="T54" s="5"/>
      <c r="U54" s="5"/>
      <c r="V54" s="5"/>
      <c r="W54" s="5"/>
    </row>
    <row r="55">
      <c r="A55" s="3" t="s">
        <v>808</v>
      </c>
      <c r="B55" s="3" t="s">
        <v>1031</v>
      </c>
      <c r="C55" s="3" t="s">
        <v>800</v>
      </c>
      <c r="D55" s="3" t="s">
        <v>810</v>
      </c>
      <c r="E55" s="4" t="s">
        <v>194</v>
      </c>
      <c r="F55" s="5"/>
      <c r="G55" s="5"/>
      <c r="H55" s="5"/>
      <c r="I55" s="5"/>
      <c r="J55" s="5"/>
      <c r="K55" s="5"/>
      <c r="L55" s="5"/>
      <c r="M55" s="5"/>
      <c r="N55" s="5"/>
      <c r="O55" s="5"/>
      <c r="P55" s="5"/>
      <c r="Q55" s="5"/>
      <c r="R55" s="5"/>
      <c r="S55" s="5"/>
      <c r="T55" s="5"/>
      <c r="U55" s="5"/>
      <c r="V55" s="5"/>
      <c r="W55" s="5"/>
    </row>
    <row r="56">
      <c r="A56" s="3" t="s">
        <v>811</v>
      </c>
      <c r="B56" s="3" t="s">
        <v>812</v>
      </c>
      <c r="C56" s="3" t="s">
        <v>804</v>
      </c>
      <c r="D56" s="3" t="s">
        <v>813</v>
      </c>
      <c r="E56" s="4" t="s">
        <v>194</v>
      </c>
      <c r="F56" s="5"/>
      <c r="G56" s="5"/>
      <c r="H56" s="5"/>
      <c r="I56" s="5"/>
      <c r="J56" s="5"/>
      <c r="K56" s="5"/>
      <c r="L56" s="5"/>
      <c r="M56" s="5"/>
      <c r="N56" s="5"/>
      <c r="O56" s="5"/>
      <c r="P56" s="5"/>
      <c r="Q56" s="5"/>
      <c r="R56" s="5"/>
      <c r="S56" s="5"/>
      <c r="T56" s="5"/>
      <c r="U56" s="5"/>
      <c r="V56" s="5"/>
      <c r="W56" s="5"/>
    </row>
    <row r="57">
      <c r="A57" s="3" t="s">
        <v>814</v>
      </c>
      <c r="B57" s="3" t="s">
        <v>815</v>
      </c>
      <c r="C57" s="3" t="s">
        <v>816</v>
      </c>
      <c r="D57" s="3" t="s">
        <v>817</v>
      </c>
      <c r="E57" s="4" t="s">
        <v>194</v>
      </c>
      <c r="F57" s="5"/>
      <c r="G57" s="5"/>
      <c r="H57" s="5"/>
      <c r="I57" s="5"/>
      <c r="J57" s="5"/>
      <c r="K57" s="5"/>
      <c r="L57" s="5"/>
      <c r="M57" s="5"/>
      <c r="N57" s="5"/>
      <c r="O57" s="5"/>
      <c r="P57" s="5"/>
      <c r="Q57" s="5"/>
      <c r="R57" s="5"/>
      <c r="S57" s="5"/>
      <c r="T57" s="5"/>
      <c r="U57" s="5"/>
      <c r="V57" s="5"/>
      <c r="W57" s="5"/>
    </row>
    <row r="58">
      <c r="A58" s="3" t="s">
        <v>818</v>
      </c>
      <c r="B58" s="3" t="s">
        <v>819</v>
      </c>
      <c r="C58" s="3" t="s">
        <v>820</v>
      </c>
      <c r="D58" s="3" t="s">
        <v>821</v>
      </c>
      <c r="E58" s="4" t="s">
        <v>194</v>
      </c>
      <c r="F58" s="5"/>
      <c r="G58" s="5"/>
      <c r="H58" s="5"/>
      <c r="I58" s="5"/>
      <c r="J58" s="5"/>
      <c r="K58" s="5"/>
      <c r="L58" s="5"/>
      <c r="M58" s="5"/>
      <c r="N58" s="5"/>
      <c r="O58" s="5"/>
      <c r="P58" s="5"/>
      <c r="Q58" s="5"/>
      <c r="R58" s="5"/>
      <c r="S58" s="5"/>
      <c r="T58" s="5"/>
      <c r="U58" s="5"/>
      <c r="V58" s="5"/>
      <c r="W58" s="5"/>
    </row>
    <row r="59">
      <c r="A59" s="3" t="s">
        <v>822</v>
      </c>
      <c r="B59" s="3" t="s">
        <v>823</v>
      </c>
      <c r="C59" s="3" t="s">
        <v>816</v>
      </c>
      <c r="D59" s="3" t="s">
        <v>824</v>
      </c>
      <c r="E59" s="4" t="s">
        <v>194</v>
      </c>
      <c r="F59" s="5"/>
      <c r="G59" s="5"/>
      <c r="H59" s="5"/>
      <c r="I59" s="5"/>
      <c r="J59" s="5"/>
      <c r="K59" s="5"/>
      <c r="L59" s="5"/>
      <c r="M59" s="5"/>
      <c r="N59" s="5"/>
      <c r="O59" s="5"/>
      <c r="P59" s="5"/>
      <c r="Q59" s="5"/>
      <c r="R59" s="5"/>
      <c r="S59" s="5"/>
      <c r="T59" s="5"/>
      <c r="U59" s="5"/>
      <c r="V59" s="5"/>
      <c r="W59" s="5"/>
    </row>
    <row r="60">
      <c r="A60" s="3" t="s">
        <v>825</v>
      </c>
      <c r="B60" s="3" t="s">
        <v>826</v>
      </c>
      <c r="C60" s="3" t="s">
        <v>827</v>
      </c>
      <c r="D60" s="3" t="s">
        <v>828</v>
      </c>
      <c r="E60" s="4" t="s">
        <v>194</v>
      </c>
      <c r="F60" s="5"/>
      <c r="G60" s="5"/>
      <c r="H60" s="5"/>
      <c r="I60" s="5"/>
      <c r="J60" s="5"/>
      <c r="K60" s="5"/>
      <c r="L60" s="5"/>
      <c r="M60" s="5"/>
      <c r="N60" s="5"/>
      <c r="O60" s="5"/>
      <c r="P60" s="5"/>
      <c r="Q60" s="5"/>
      <c r="R60" s="5"/>
      <c r="S60" s="5"/>
      <c r="T60" s="5"/>
      <c r="U60" s="5"/>
      <c r="V60" s="5"/>
      <c r="W60" s="5"/>
    </row>
    <row r="61">
      <c r="A61" s="3" t="s">
        <v>829</v>
      </c>
      <c r="B61" s="3" t="s">
        <v>830</v>
      </c>
      <c r="C61" s="3" t="s">
        <v>816</v>
      </c>
      <c r="D61" s="3" t="s">
        <v>831</v>
      </c>
      <c r="E61" s="4" t="s">
        <v>194</v>
      </c>
      <c r="F61" s="5"/>
      <c r="G61" s="5"/>
      <c r="H61" s="5"/>
      <c r="I61" s="5"/>
      <c r="J61" s="5"/>
      <c r="K61" s="5"/>
      <c r="L61" s="5"/>
      <c r="M61" s="5"/>
      <c r="N61" s="5"/>
      <c r="O61" s="5"/>
      <c r="P61" s="5"/>
      <c r="Q61" s="5"/>
      <c r="R61" s="5"/>
      <c r="S61" s="5"/>
      <c r="T61" s="5"/>
      <c r="U61" s="5"/>
      <c r="V61" s="5"/>
      <c r="W61" s="5"/>
    </row>
    <row r="62">
      <c r="A62" s="3" t="s">
        <v>832</v>
      </c>
      <c r="B62" s="3" t="s">
        <v>833</v>
      </c>
      <c r="C62" s="3" t="s">
        <v>834</v>
      </c>
      <c r="D62" s="3" t="s">
        <v>835</v>
      </c>
      <c r="E62" s="4" t="s">
        <v>194</v>
      </c>
      <c r="F62" s="5"/>
      <c r="G62" s="5"/>
      <c r="H62" s="5"/>
      <c r="I62" s="5"/>
      <c r="J62" s="5"/>
      <c r="K62" s="5"/>
      <c r="L62" s="5"/>
      <c r="M62" s="5"/>
      <c r="N62" s="5"/>
      <c r="O62" s="5"/>
      <c r="P62" s="5"/>
      <c r="Q62" s="5"/>
      <c r="R62" s="5"/>
      <c r="S62" s="5"/>
      <c r="T62" s="5"/>
      <c r="U62" s="5"/>
      <c r="V62" s="5"/>
      <c r="W62" s="5"/>
    </row>
    <row r="63">
      <c r="A63" s="3" t="s">
        <v>836</v>
      </c>
      <c r="B63" s="3" t="s">
        <v>837</v>
      </c>
      <c r="C63" s="3" t="s">
        <v>838</v>
      </c>
      <c r="D63" s="3" t="s">
        <v>839</v>
      </c>
      <c r="E63" s="4" t="s">
        <v>194</v>
      </c>
      <c r="F63" s="5"/>
      <c r="G63" s="5"/>
      <c r="H63" s="5"/>
      <c r="I63" s="5"/>
      <c r="J63" s="5"/>
      <c r="K63" s="5"/>
      <c r="L63" s="5"/>
      <c r="M63" s="5"/>
      <c r="N63" s="5"/>
      <c r="O63" s="5"/>
      <c r="P63" s="5"/>
      <c r="Q63" s="5"/>
      <c r="R63" s="5"/>
      <c r="S63" s="5"/>
      <c r="T63" s="5"/>
      <c r="U63" s="5"/>
      <c r="V63" s="5"/>
      <c r="W63" s="5"/>
    </row>
    <row r="64">
      <c r="A64" s="3" t="s">
        <v>840</v>
      </c>
      <c r="B64" s="3" t="s">
        <v>841</v>
      </c>
      <c r="C64" s="3" t="s">
        <v>842</v>
      </c>
      <c r="D64" s="3" t="s">
        <v>843</v>
      </c>
      <c r="E64" s="4" t="s">
        <v>194</v>
      </c>
      <c r="F64" s="5"/>
      <c r="G64" s="5"/>
      <c r="H64" s="5"/>
      <c r="I64" s="5"/>
      <c r="J64" s="5"/>
      <c r="K64" s="5"/>
      <c r="L64" s="5"/>
      <c r="M64" s="5"/>
      <c r="N64" s="5"/>
      <c r="O64" s="5"/>
      <c r="P64" s="5"/>
      <c r="Q64" s="5"/>
      <c r="R64" s="5"/>
      <c r="S64" s="5"/>
      <c r="T64" s="5"/>
      <c r="U64" s="5"/>
      <c r="V64" s="5"/>
      <c r="W64" s="5"/>
    </row>
    <row r="65">
      <c r="A65" s="3" t="s">
        <v>844</v>
      </c>
      <c r="B65" s="3" t="s">
        <v>845</v>
      </c>
      <c r="C65" s="3" t="s">
        <v>846</v>
      </c>
      <c r="D65" s="3" t="s">
        <v>847</v>
      </c>
      <c r="E65" s="4" t="s">
        <v>194</v>
      </c>
      <c r="F65" s="5"/>
      <c r="G65" s="5"/>
      <c r="H65" s="5"/>
      <c r="I65" s="5"/>
      <c r="J65" s="5"/>
      <c r="K65" s="5"/>
      <c r="L65" s="5"/>
      <c r="M65" s="5"/>
      <c r="N65" s="5"/>
      <c r="O65" s="5"/>
      <c r="P65" s="5"/>
      <c r="Q65" s="5"/>
      <c r="R65" s="5"/>
      <c r="S65" s="5"/>
      <c r="T65" s="5"/>
      <c r="U65" s="5"/>
      <c r="V65" s="5"/>
      <c r="W65" s="5"/>
    </row>
    <row r="66">
      <c r="A66" s="3" t="s">
        <v>848</v>
      </c>
      <c r="B66" s="3" t="s">
        <v>849</v>
      </c>
      <c r="C66" s="3" t="s">
        <v>850</v>
      </c>
      <c r="D66" s="3" t="s">
        <v>851</v>
      </c>
      <c r="E66" s="4" t="s">
        <v>194</v>
      </c>
      <c r="F66" s="5"/>
      <c r="G66" s="5"/>
      <c r="H66" s="5"/>
      <c r="I66" s="5"/>
      <c r="J66" s="5"/>
      <c r="K66" s="5"/>
      <c r="L66" s="5"/>
      <c r="M66" s="5"/>
      <c r="N66" s="5"/>
      <c r="O66" s="5"/>
      <c r="P66" s="5"/>
      <c r="Q66" s="5"/>
      <c r="R66" s="5"/>
      <c r="S66" s="5"/>
      <c r="T66" s="5"/>
      <c r="U66" s="5"/>
      <c r="V66" s="5"/>
      <c r="W66" s="5"/>
    </row>
    <row r="67">
      <c r="A67" s="3" t="s">
        <v>852</v>
      </c>
      <c r="B67" s="3" t="s">
        <v>853</v>
      </c>
      <c r="C67" s="3" t="s">
        <v>854</v>
      </c>
      <c r="D67" s="3" t="s">
        <v>855</v>
      </c>
      <c r="E67" s="4" t="s">
        <v>194</v>
      </c>
      <c r="F67" s="5"/>
      <c r="G67" s="5"/>
      <c r="H67" s="5"/>
      <c r="I67" s="5"/>
      <c r="J67" s="5"/>
      <c r="K67" s="5"/>
      <c r="L67" s="5"/>
      <c r="M67" s="5"/>
      <c r="N67" s="5"/>
      <c r="O67" s="5"/>
      <c r="P67" s="5"/>
      <c r="Q67" s="5"/>
      <c r="R67" s="5"/>
      <c r="S67" s="5"/>
      <c r="T67" s="5"/>
      <c r="U67" s="5"/>
      <c r="V67" s="5"/>
      <c r="W67" s="5"/>
    </row>
    <row r="68">
      <c r="A68" s="3" t="s">
        <v>856</v>
      </c>
      <c r="B68" s="3" t="s">
        <v>857</v>
      </c>
      <c r="C68" s="3" t="s">
        <v>858</v>
      </c>
      <c r="D68" s="3" t="s">
        <v>859</v>
      </c>
      <c r="E68" s="4" t="s">
        <v>194</v>
      </c>
      <c r="F68" s="5"/>
      <c r="G68" s="5"/>
      <c r="H68" s="5"/>
      <c r="I68" s="5"/>
      <c r="J68" s="5"/>
      <c r="K68" s="5"/>
      <c r="L68" s="5"/>
      <c r="M68" s="5"/>
      <c r="N68" s="5"/>
      <c r="O68" s="5"/>
      <c r="P68" s="5"/>
      <c r="Q68" s="5"/>
      <c r="R68" s="5"/>
      <c r="S68" s="5"/>
      <c r="T68" s="5"/>
      <c r="U68" s="5"/>
      <c r="V68" s="5"/>
      <c r="W68" s="5"/>
    </row>
    <row r="69">
      <c r="A69" s="3" t="s">
        <v>860</v>
      </c>
      <c r="B69" s="3" t="s">
        <v>861</v>
      </c>
      <c r="C69" s="3" t="s">
        <v>862</v>
      </c>
      <c r="D69" s="3" t="s">
        <v>863</v>
      </c>
      <c r="E69" s="4" t="s">
        <v>194</v>
      </c>
      <c r="F69" s="5"/>
      <c r="G69" s="5"/>
      <c r="H69" s="5"/>
      <c r="I69" s="5"/>
      <c r="J69" s="5"/>
      <c r="K69" s="5"/>
      <c r="L69" s="5"/>
      <c r="M69" s="5"/>
      <c r="N69" s="5"/>
      <c r="O69" s="5"/>
      <c r="P69" s="5"/>
      <c r="Q69" s="5"/>
      <c r="R69" s="5"/>
      <c r="S69" s="5"/>
      <c r="T69" s="5"/>
      <c r="U69" s="5"/>
      <c r="V69" s="5"/>
      <c r="W69" s="5"/>
    </row>
    <row r="70">
      <c r="A70" s="3" t="s">
        <v>864</v>
      </c>
      <c r="B70" s="3" t="s">
        <v>865</v>
      </c>
      <c r="C70" s="3" t="s">
        <v>866</v>
      </c>
      <c r="D70" s="3" t="s">
        <v>867</v>
      </c>
      <c r="E70" s="4" t="s">
        <v>194</v>
      </c>
      <c r="F70" s="5"/>
      <c r="G70" s="5"/>
      <c r="H70" s="5"/>
      <c r="I70" s="5"/>
      <c r="J70" s="5"/>
      <c r="K70" s="5"/>
      <c r="L70" s="5"/>
      <c r="M70" s="5"/>
      <c r="N70" s="5"/>
      <c r="O70" s="5"/>
      <c r="P70" s="5"/>
      <c r="Q70" s="5"/>
      <c r="R70" s="5"/>
      <c r="S70" s="5"/>
      <c r="T70" s="5"/>
      <c r="U70" s="5"/>
      <c r="V70" s="5"/>
      <c r="W70" s="5"/>
    </row>
    <row r="71">
      <c r="A71" s="3" t="s">
        <v>868</v>
      </c>
      <c r="B71" s="3" t="s">
        <v>869</v>
      </c>
      <c r="C71" s="3" t="s">
        <v>870</v>
      </c>
      <c r="D71" s="3" t="s">
        <v>871</v>
      </c>
      <c r="E71" s="4" t="s">
        <v>194</v>
      </c>
      <c r="F71" s="5"/>
      <c r="G71" s="5"/>
      <c r="H71" s="5"/>
      <c r="I71" s="5"/>
      <c r="J71" s="5"/>
      <c r="K71" s="5"/>
      <c r="L71" s="5"/>
      <c r="M71" s="5"/>
      <c r="N71" s="5"/>
      <c r="O71" s="5"/>
      <c r="P71" s="5"/>
      <c r="Q71" s="5"/>
      <c r="R71" s="5"/>
      <c r="S71" s="5"/>
      <c r="T71" s="5"/>
      <c r="U71" s="5"/>
      <c r="V71" s="5"/>
      <c r="W71" s="5"/>
    </row>
    <row r="72">
      <c r="A72" s="3" t="s">
        <v>872</v>
      </c>
      <c r="B72" s="3" t="s">
        <v>873</v>
      </c>
      <c r="C72" s="3" t="s">
        <v>874</v>
      </c>
      <c r="D72" s="3" t="s">
        <v>875</v>
      </c>
      <c r="E72" s="4" t="s">
        <v>194</v>
      </c>
      <c r="F72" s="5"/>
      <c r="G72" s="5"/>
      <c r="H72" s="5"/>
      <c r="I72" s="5"/>
      <c r="J72" s="5"/>
      <c r="K72" s="5"/>
      <c r="L72" s="5"/>
      <c r="M72" s="5"/>
      <c r="N72" s="5"/>
      <c r="O72" s="5"/>
      <c r="P72" s="5"/>
      <c r="Q72" s="5"/>
      <c r="R72" s="5"/>
      <c r="S72" s="5"/>
      <c r="T72" s="5"/>
      <c r="U72" s="5"/>
      <c r="V72" s="5"/>
      <c r="W72" s="5"/>
    </row>
    <row r="73">
      <c r="A73" s="3" t="s">
        <v>876</v>
      </c>
      <c r="B73" s="3" t="s">
        <v>877</v>
      </c>
      <c r="C73" s="3" t="s">
        <v>878</v>
      </c>
      <c r="D73" s="3" t="s">
        <v>879</v>
      </c>
      <c r="E73" s="4" t="s">
        <v>194</v>
      </c>
      <c r="F73" s="5"/>
      <c r="G73" s="5"/>
      <c r="H73" s="5"/>
      <c r="I73" s="5"/>
      <c r="J73" s="5"/>
      <c r="K73" s="5"/>
      <c r="L73" s="5"/>
      <c r="M73" s="5"/>
      <c r="N73" s="5"/>
      <c r="O73" s="5"/>
      <c r="P73" s="5"/>
      <c r="Q73" s="5"/>
      <c r="R73" s="5"/>
      <c r="S73" s="5"/>
      <c r="T73" s="5"/>
      <c r="U73" s="5"/>
      <c r="V73" s="5"/>
      <c r="W73" s="5"/>
    </row>
    <row r="74">
      <c r="A74" s="3" t="s">
        <v>880</v>
      </c>
      <c r="B74" s="3" t="s">
        <v>881</v>
      </c>
      <c r="C74" s="3" t="s">
        <v>882</v>
      </c>
      <c r="D74" s="3" t="s">
        <v>883</v>
      </c>
      <c r="E74" s="4" t="s">
        <v>194</v>
      </c>
      <c r="F74" s="5"/>
      <c r="G74" s="5"/>
      <c r="H74" s="5"/>
      <c r="I74" s="5"/>
      <c r="J74" s="5"/>
      <c r="K74" s="5"/>
      <c r="L74" s="5"/>
      <c r="M74" s="5"/>
      <c r="N74" s="5"/>
      <c r="O74" s="5"/>
      <c r="P74" s="5"/>
      <c r="Q74" s="5"/>
      <c r="R74" s="5"/>
      <c r="S74" s="5"/>
      <c r="T74" s="5"/>
      <c r="U74" s="5"/>
      <c r="V74" s="5"/>
      <c r="W74" s="5"/>
    </row>
    <row r="75">
      <c r="A75" s="3" t="s">
        <v>884</v>
      </c>
      <c r="B75" s="3" t="s">
        <v>885</v>
      </c>
      <c r="C75" s="3" t="s">
        <v>878</v>
      </c>
      <c r="D75" s="3" t="s">
        <v>886</v>
      </c>
      <c r="E75" s="4" t="s">
        <v>194</v>
      </c>
      <c r="F75" s="5"/>
      <c r="G75" s="5"/>
      <c r="H75" s="5"/>
      <c r="I75" s="5"/>
      <c r="J75" s="5"/>
      <c r="K75" s="5"/>
      <c r="L75" s="5"/>
      <c r="M75" s="5"/>
      <c r="N75" s="5"/>
      <c r="O75" s="5"/>
      <c r="P75" s="5"/>
      <c r="Q75" s="5"/>
      <c r="R75" s="5"/>
      <c r="S75" s="5"/>
      <c r="T75" s="5"/>
      <c r="U75" s="5"/>
      <c r="V75" s="5"/>
      <c r="W75" s="5"/>
    </row>
    <row r="76">
      <c r="A76" s="3" t="s">
        <v>887</v>
      </c>
      <c r="B76" s="3" t="s">
        <v>888</v>
      </c>
      <c r="C76" s="3" t="s">
        <v>882</v>
      </c>
      <c r="D76" s="3" t="s">
        <v>889</v>
      </c>
      <c r="E76" s="4" t="s">
        <v>194</v>
      </c>
      <c r="F76" s="5"/>
      <c r="G76" s="5"/>
      <c r="H76" s="5"/>
      <c r="I76" s="5"/>
      <c r="J76" s="5"/>
      <c r="K76" s="5"/>
      <c r="L76" s="5"/>
      <c r="M76" s="5"/>
      <c r="N76" s="5"/>
      <c r="O76" s="5"/>
      <c r="P76" s="5"/>
      <c r="Q76" s="5"/>
      <c r="R76" s="5"/>
      <c r="S76" s="5"/>
      <c r="T76" s="5"/>
      <c r="U76" s="5"/>
      <c r="V76" s="5"/>
      <c r="W76" s="5"/>
    </row>
    <row r="77">
      <c r="A77" s="3" t="s">
        <v>890</v>
      </c>
      <c r="B77" s="3" t="s">
        <v>891</v>
      </c>
      <c r="C77" s="3" t="s">
        <v>878</v>
      </c>
      <c r="D77" s="3" t="s">
        <v>892</v>
      </c>
      <c r="E77" s="4" t="s">
        <v>194</v>
      </c>
      <c r="F77" s="5"/>
      <c r="G77" s="5"/>
      <c r="H77" s="5"/>
      <c r="I77" s="5"/>
      <c r="J77" s="5"/>
      <c r="K77" s="5"/>
      <c r="L77" s="5"/>
      <c r="M77" s="5"/>
      <c r="N77" s="5"/>
      <c r="O77" s="5"/>
      <c r="P77" s="5"/>
      <c r="Q77" s="5"/>
      <c r="R77" s="5"/>
      <c r="S77" s="5"/>
      <c r="T77" s="5"/>
      <c r="U77" s="5"/>
      <c r="V77" s="5"/>
      <c r="W77" s="5"/>
    </row>
    <row r="78">
      <c r="A78" s="3" t="s">
        <v>893</v>
      </c>
      <c r="B78" s="3" t="s">
        <v>894</v>
      </c>
      <c r="C78" s="3" t="s">
        <v>878</v>
      </c>
      <c r="D78" s="3" t="s">
        <v>895</v>
      </c>
      <c r="E78" s="4" t="s">
        <v>194</v>
      </c>
      <c r="F78" s="5"/>
      <c r="G78" s="5"/>
      <c r="H78" s="5"/>
      <c r="I78" s="5"/>
      <c r="J78" s="5"/>
      <c r="K78" s="5"/>
      <c r="L78" s="5"/>
      <c r="M78" s="5"/>
      <c r="N78" s="5"/>
      <c r="O78" s="5"/>
      <c r="P78" s="5"/>
      <c r="Q78" s="5"/>
      <c r="R78" s="5"/>
      <c r="S78" s="5"/>
      <c r="T78" s="5"/>
      <c r="U78" s="5"/>
      <c r="V78" s="5"/>
      <c r="W78" s="5"/>
    </row>
    <row r="79">
      <c r="A79" s="3" t="s">
        <v>896</v>
      </c>
      <c r="B79" s="3" t="s">
        <v>897</v>
      </c>
      <c r="C79" s="3" t="s">
        <v>878</v>
      </c>
      <c r="D79" s="3" t="s">
        <v>898</v>
      </c>
      <c r="E79" s="4" t="s">
        <v>194</v>
      </c>
      <c r="F79" s="5"/>
      <c r="G79" s="5"/>
      <c r="H79" s="5"/>
      <c r="I79" s="5"/>
      <c r="J79" s="5"/>
      <c r="K79" s="5"/>
      <c r="L79" s="5"/>
      <c r="M79" s="5"/>
      <c r="N79" s="5"/>
      <c r="O79" s="5"/>
      <c r="P79" s="5"/>
      <c r="Q79" s="5"/>
      <c r="R79" s="5"/>
      <c r="S79" s="5"/>
      <c r="T79" s="5"/>
      <c r="U79" s="5"/>
      <c r="V79" s="5"/>
      <c r="W79" s="5"/>
    </row>
    <row r="80">
      <c r="A80" s="3" t="s">
        <v>899</v>
      </c>
      <c r="B80" s="3" t="s">
        <v>900</v>
      </c>
      <c r="C80" s="3" t="s">
        <v>882</v>
      </c>
      <c r="D80" s="3" t="s">
        <v>901</v>
      </c>
      <c r="E80" s="4" t="s">
        <v>194</v>
      </c>
      <c r="F80" s="5"/>
      <c r="G80" s="5"/>
      <c r="H80" s="5"/>
      <c r="I80" s="5"/>
      <c r="J80" s="5"/>
      <c r="K80" s="5"/>
      <c r="L80" s="5"/>
      <c r="M80" s="5"/>
      <c r="N80" s="5"/>
      <c r="O80" s="5"/>
      <c r="P80" s="5"/>
      <c r="Q80" s="5"/>
      <c r="R80" s="5"/>
      <c r="S80" s="5"/>
      <c r="T80" s="5"/>
      <c r="U80" s="5"/>
      <c r="V80" s="5"/>
      <c r="W80" s="5"/>
    </row>
    <row r="81">
      <c r="A81" s="3" t="s">
        <v>902</v>
      </c>
      <c r="B81" s="3" t="s">
        <v>903</v>
      </c>
      <c r="C81" s="3" t="s">
        <v>882</v>
      </c>
      <c r="D81" s="3" t="s">
        <v>904</v>
      </c>
      <c r="E81" s="4" t="s">
        <v>194</v>
      </c>
      <c r="F81" s="5"/>
      <c r="G81" s="5"/>
      <c r="H81" s="5"/>
      <c r="I81" s="5"/>
      <c r="J81" s="5"/>
      <c r="K81" s="5"/>
      <c r="L81" s="5"/>
      <c r="M81" s="5"/>
      <c r="N81" s="5"/>
      <c r="O81" s="5"/>
      <c r="P81" s="5"/>
      <c r="Q81" s="5"/>
      <c r="R81" s="5"/>
      <c r="S81" s="5"/>
      <c r="T81" s="5"/>
      <c r="U81" s="5"/>
      <c r="V81" s="5"/>
      <c r="W81" s="5"/>
    </row>
    <row r="82">
      <c r="A82" s="3" t="s">
        <v>905</v>
      </c>
      <c r="B82" s="3" t="s">
        <v>906</v>
      </c>
      <c r="C82" s="3" t="s">
        <v>878</v>
      </c>
      <c r="D82" s="3" t="s">
        <v>907</v>
      </c>
      <c r="E82" s="4" t="s">
        <v>194</v>
      </c>
      <c r="F82" s="5"/>
      <c r="G82" s="5"/>
      <c r="H82" s="5"/>
      <c r="I82" s="5"/>
      <c r="J82" s="5"/>
      <c r="K82" s="5"/>
      <c r="L82" s="5"/>
      <c r="M82" s="5"/>
      <c r="N82" s="5"/>
      <c r="O82" s="5"/>
      <c r="P82" s="5"/>
      <c r="Q82" s="5"/>
      <c r="R82" s="5"/>
      <c r="S82" s="5"/>
      <c r="T82" s="5"/>
      <c r="U82" s="5"/>
      <c r="V82" s="5"/>
      <c r="W82" s="5"/>
    </row>
    <row r="83">
      <c r="A83" s="3" t="s">
        <v>908</v>
      </c>
      <c r="B83" s="3" t="s">
        <v>909</v>
      </c>
      <c r="C83" s="3" t="s">
        <v>878</v>
      </c>
      <c r="D83" s="3" t="s">
        <v>910</v>
      </c>
      <c r="E83" s="4" t="s">
        <v>194</v>
      </c>
      <c r="F83" s="5"/>
      <c r="G83" s="5"/>
      <c r="H83" s="5"/>
      <c r="I83" s="5"/>
      <c r="J83" s="5"/>
      <c r="K83" s="5"/>
      <c r="L83" s="5"/>
      <c r="M83" s="5"/>
      <c r="N83" s="5"/>
      <c r="O83" s="5"/>
      <c r="P83" s="5"/>
      <c r="Q83" s="5"/>
      <c r="R83" s="5"/>
      <c r="S83" s="5"/>
      <c r="T83" s="5"/>
      <c r="U83" s="5"/>
      <c r="V83" s="5"/>
      <c r="W83" s="5"/>
    </row>
    <row r="84">
      <c r="A84" s="3" t="s">
        <v>896</v>
      </c>
      <c r="B84" s="3" t="s">
        <v>911</v>
      </c>
      <c r="C84" s="3" t="s">
        <v>816</v>
      </c>
      <c r="D84" s="3" t="s">
        <v>912</v>
      </c>
      <c r="E84" s="4" t="s">
        <v>194</v>
      </c>
      <c r="F84" s="5"/>
      <c r="G84" s="5"/>
      <c r="H84" s="5"/>
      <c r="I84" s="5"/>
      <c r="J84" s="5"/>
      <c r="K84" s="5"/>
      <c r="L84" s="5"/>
      <c r="M84" s="5"/>
      <c r="N84" s="5"/>
      <c r="O84" s="5"/>
      <c r="P84" s="5"/>
      <c r="Q84" s="5"/>
      <c r="R84" s="5"/>
      <c r="S84" s="5"/>
      <c r="T84" s="5"/>
      <c r="U84" s="5"/>
      <c r="V84" s="5"/>
      <c r="W84" s="5"/>
    </row>
    <row r="85">
      <c r="A85" s="3" t="s">
        <v>890</v>
      </c>
      <c r="B85" s="3" t="s">
        <v>913</v>
      </c>
      <c r="C85" s="3" t="s">
        <v>816</v>
      </c>
      <c r="D85" s="3" t="s">
        <v>914</v>
      </c>
      <c r="E85" s="4" t="s">
        <v>194</v>
      </c>
      <c r="F85" s="5"/>
      <c r="G85" s="5"/>
      <c r="H85" s="5"/>
      <c r="I85" s="5"/>
      <c r="J85" s="5"/>
      <c r="K85" s="5"/>
      <c r="L85" s="5"/>
      <c r="M85" s="5"/>
      <c r="N85" s="5"/>
      <c r="O85" s="5"/>
      <c r="P85" s="5"/>
      <c r="Q85" s="5"/>
      <c r="R85" s="5"/>
      <c r="S85" s="5"/>
      <c r="T85" s="5"/>
      <c r="U85" s="5"/>
      <c r="V85" s="5"/>
      <c r="W85" s="5"/>
    </row>
    <row r="86">
      <c r="A86" s="3" t="s">
        <v>915</v>
      </c>
      <c r="B86" s="3" t="s">
        <v>916</v>
      </c>
      <c r="C86" s="3" t="s">
        <v>917</v>
      </c>
      <c r="D86" s="3" t="s">
        <v>918</v>
      </c>
      <c r="E86" s="4" t="s">
        <v>194</v>
      </c>
      <c r="F86" s="5"/>
      <c r="G86" s="5"/>
      <c r="H86" s="5"/>
      <c r="I86" s="5"/>
      <c r="J86" s="5"/>
      <c r="K86" s="5"/>
      <c r="L86" s="5"/>
      <c r="M86" s="5"/>
      <c r="N86" s="5"/>
      <c r="O86" s="5"/>
      <c r="P86" s="5"/>
      <c r="Q86" s="5"/>
      <c r="R86" s="5"/>
      <c r="S86" s="5"/>
      <c r="T86" s="5"/>
      <c r="U86" s="5"/>
      <c r="V86" s="5"/>
      <c r="W86" s="5"/>
    </row>
    <row r="87">
      <c r="A87" s="3" t="s">
        <v>919</v>
      </c>
      <c r="B87" s="3" t="s">
        <v>920</v>
      </c>
      <c r="C87" s="3" t="s">
        <v>917</v>
      </c>
      <c r="D87" s="3" t="s">
        <v>921</v>
      </c>
      <c r="E87" s="4" t="s">
        <v>194</v>
      </c>
      <c r="F87" s="5"/>
      <c r="G87" s="5"/>
      <c r="H87" s="5"/>
      <c r="I87" s="5"/>
      <c r="J87" s="5"/>
      <c r="K87" s="5"/>
      <c r="L87" s="5"/>
      <c r="M87" s="5"/>
      <c r="N87" s="5"/>
      <c r="O87" s="5"/>
      <c r="P87" s="5"/>
      <c r="Q87" s="5"/>
      <c r="R87" s="5"/>
      <c r="S87" s="5"/>
      <c r="T87" s="5"/>
      <c r="U87" s="5"/>
      <c r="V87" s="5"/>
      <c r="W87" s="5"/>
    </row>
    <row r="88">
      <c r="A88" s="3" t="s">
        <v>922</v>
      </c>
      <c r="B88" s="3" t="s">
        <v>923</v>
      </c>
      <c r="C88" s="3" t="s">
        <v>816</v>
      </c>
      <c r="D88" s="3" t="s">
        <v>924</v>
      </c>
      <c r="E88" s="4" t="s">
        <v>194</v>
      </c>
      <c r="F88" s="5"/>
      <c r="G88" s="5"/>
      <c r="H88" s="5"/>
      <c r="I88" s="5"/>
      <c r="J88" s="5"/>
      <c r="K88" s="5"/>
      <c r="L88" s="5"/>
      <c r="M88" s="5"/>
      <c r="N88" s="5"/>
      <c r="O88" s="5"/>
      <c r="P88" s="5"/>
      <c r="Q88" s="5"/>
      <c r="R88" s="5"/>
      <c r="S88" s="5"/>
      <c r="T88" s="5"/>
      <c r="U88" s="5"/>
      <c r="V88" s="5"/>
      <c r="W88" s="5"/>
    </row>
    <row r="89">
      <c r="A89" s="3" t="s">
        <v>925</v>
      </c>
      <c r="B89" s="3" t="s">
        <v>926</v>
      </c>
      <c r="C89" s="3" t="s">
        <v>927</v>
      </c>
      <c r="D89" s="3" t="s">
        <v>928</v>
      </c>
      <c r="E89" s="4" t="s">
        <v>194</v>
      </c>
      <c r="F89" s="5"/>
      <c r="G89" s="5"/>
      <c r="H89" s="5"/>
      <c r="I89" s="5"/>
      <c r="J89" s="5"/>
      <c r="K89" s="5"/>
      <c r="L89" s="5"/>
      <c r="M89" s="5"/>
      <c r="N89" s="5"/>
      <c r="O89" s="5"/>
      <c r="P89" s="5"/>
      <c r="Q89" s="5"/>
      <c r="R89" s="5"/>
      <c r="S89" s="5"/>
      <c r="T89" s="5"/>
      <c r="U89" s="5"/>
      <c r="V89" s="5"/>
      <c r="W89" s="5"/>
    </row>
    <row r="90">
      <c r="A90" s="3" t="s">
        <v>929</v>
      </c>
      <c r="B90" s="3" t="s">
        <v>930</v>
      </c>
      <c r="C90" s="3" t="s">
        <v>931</v>
      </c>
      <c r="D90" s="3" t="s">
        <v>932</v>
      </c>
      <c r="E90" s="4" t="s">
        <v>194</v>
      </c>
      <c r="F90" s="5"/>
      <c r="G90" s="5"/>
      <c r="H90" s="5"/>
      <c r="I90" s="5"/>
      <c r="J90" s="5"/>
      <c r="K90" s="5"/>
      <c r="L90" s="5"/>
      <c r="M90" s="5"/>
      <c r="N90" s="5"/>
      <c r="O90" s="5"/>
      <c r="P90" s="5"/>
      <c r="Q90" s="5"/>
      <c r="R90" s="5"/>
      <c r="S90" s="5"/>
      <c r="T90" s="5"/>
      <c r="U90" s="5"/>
      <c r="V90" s="5"/>
      <c r="W90" s="5"/>
    </row>
    <row r="91">
      <c r="A91" s="3" t="s">
        <v>933</v>
      </c>
      <c r="B91" s="3" t="s">
        <v>934</v>
      </c>
      <c r="C91" s="3" t="s">
        <v>935</v>
      </c>
      <c r="D91" s="3" t="s">
        <v>936</v>
      </c>
      <c r="E91" s="4" t="s">
        <v>195</v>
      </c>
      <c r="F91" s="5"/>
      <c r="G91" s="5"/>
      <c r="H91" s="5"/>
      <c r="I91" s="5"/>
      <c r="J91" s="5"/>
      <c r="K91" s="5"/>
      <c r="L91" s="5"/>
      <c r="M91" s="5"/>
      <c r="N91" s="5"/>
      <c r="O91" s="5"/>
      <c r="P91" s="5"/>
      <c r="Q91" s="5"/>
      <c r="R91" s="5"/>
      <c r="S91" s="5"/>
      <c r="T91" s="5"/>
      <c r="U91" s="5"/>
      <c r="V91" s="5"/>
      <c r="W91" s="5"/>
    </row>
    <row r="92">
      <c r="A92" s="3" t="s">
        <v>937</v>
      </c>
      <c r="B92" s="3" t="s">
        <v>938</v>
      </c>
      <c r="C92" s="3" t="s">
        <v>935</v>
      </c>
      <c r="D92" s="3" t="s">
        <v>939</v>
      </c>
      <c r="E92" s="4" t="s">
        <v>195</v>
      </c>
      <c r="F92" s="5"/>
      <c r="G92" s="5"/>
      <c r="H92" s="5"/>
      <c r="I92" s="5"/>
      <c r="J92" s="5"/>
      <c r="K92" s="5"/>
      <c r="L92" s="5"/>
      <c r="M92" s="5"/>
      <c r="N92" s="5"/>
      <c r="O92" s="5"/>
      <c r="P92" s="5"/>
      <c r="Q92" s="5"/>
      <c r="R92" s="5"/>
      <c r="S92" s="5"/>
      <c r="T92" s="5"/>
      <c r="U92" s="5"/>
      <c r="V92" s="5"/>
      <c r="W92" s="5"/>
    </row>
    <row r="93">
      <c r="A93" s="3" t="s">
        <v>940</v>
      </c>
      <c r="B93" s="3" t="s">
        <v>941</v>
      </c>
      <c r="C93" s="3" t="s">
        <v>935</v>
      </c>
      <c r="D93" s="3" t="s">
        <v>942</v>
      </c>
      <c r="E93" s="4" t="s">
        <v>195</v>
      </c>
      <c r="F93" s="5"/>
      <c r="G93" s="5"/>
      <c r="H93" s="5"/>
      <c r="I93" s="5"/>
      <c r="J93" s="5"/>
      <c r="K93" s="5"/>
      <c r="L93" s="5"/>
      <c r="M93" s="5"/>
      <c r="N93" s="5"/>
      <c r="O93" s="5"/>
      <c r="P93" s="5"/>
      <c r="Q93" s="5"/>
      <c r="R93" s="5"/>
      <c r="S93" s="5"/>
      <c r="T93" s="5"/>
      <c r="U93" s="5"/>
      <c r="V93" s="5"/>
      <c r="W93" s="5"/>
    </row>
    <row r="94">
      <c r="A94" s="3" t="s">
        <v>943</v>
      </c>
      <c r="B94" s="3" t="s">
        <v>944</v>
      </c>
      <c r="C94" s="3" t="s">
        <v>935</v>
      </c>
      <c r="D94" s="3" t="s">
        <v>945</v>
      </c>
      <c r="E94" s="4" t="s">
        <v>195</v>
      </c>
      <c r="F94" s="5"/>
      <c r="G94" s="5"/>
      <c r="H94" s="5"/>
      <c r="I94" s="5"/>
      <c r="J94" s="5"/>
      <c r="K94" s="5"/>
      <c r="L94" s="5"/>
      <c r="M94" s="5"/>
      <c r="N94" s="5"/>
      <c r="O94" s="5"/>
      <c r="P94" s="5"/>
      <c r="Q94" s="5"/>
      <c r="R94" s="5"/>
      <c r="S94" s="5"/>
      <c r="T94" s="5"/>
      <c r="U94" s="5"/>
      <c r="V94" s="5"/>
      <c r="W94" s="5"/>
    </row>
    <row r="95">
      <c r="A95" s="3" t="s">
        <v>987</v>
      </c>
      <c r="B95" s="3" t="s">
        <v>988</v>
      </c>
      <c r="C95" s="3" t="s">
        <v>989</v>
      </c>
      <c r="D95" s="3" t="s">
        <v>990</v>
      </c>
      <c r="E95" s="3"/>
      <c r="F95" s="5"/>
      <c r="G95" s="5"/>
      <c r="H95" s="5"/>
      <c r="I95" s="5"/>
      <c r="J95" s="5"/>
      <c r="K95" s="5"/>
      <c r="L95" s="5"/>
      <c r="M95" s="5"/>
      <c r="N95" s="5"/>
      <c r="O95" s="5"/>
      <c r="P95" s="5"/>
      <c r="Q95" s="5"/>
      <c r="R95" s="5"/>
      <c r="S95" s="5"/>
      <c r="T95" s="5"/>
      <c r="U95" s="5"/>
      <c r="V95" s="5"/>
      <c r="W95" s="5"/>
    </row>
    <row r="96">
      <c r="A96" s="3" t="s">
        <v>991</v>
      </c>
      <c r="B96" s="3" t="s">
        <v>992</v>
      </c>
      <c r="C96" s="3" t="s">
        <v>989</v>
      </c>
      <c r="D96" s="3" t="s">
        <v>993</v>
      </c>
      <c r="E96" s="3"/>
      <c r="F96" s="5"/>
      <c r="G96" s="5"/>
      <c r="H96" s="5"/>
      <c r="I96" s="5"/>
      <c r="J96" s="5"/>
      <c r="K96" s="5"/>
      <c r="L96" s="5"/>
      <c r="M96" s="5"/>
      <c r="N96" s="5"/>
      <c r="O96" s="5"/>
      <c r="P96" s="5"/>
      <c r="Q96" s="5"/>
      <c r="R96" s="5"/>
      <c r="S96" s="5"/>
      <c r="T96" s="5"/>
      <c r="U96" s="5"/>
      <c r="V96" s="5"/>
      <c r="W96" s="5"/>
    </row>
    <row r="97">
      <c r="A97" s="3" t="s">
        <v>994</v>
      </c>
      <c r="B97" s="3" t="s">
        <v>995</v>
      </c>
      <c r="C97" s="3" t="s">
        <v>989</v>
      </c>
      <c r="D97" s="3" t="s">
        <v>996</v>
      </c>
      <c r="E97" s="3"/>
      <c r="F97" s="5"/>
      <c r="G97" s="5"/>
      <c r="H97" s="5"/>
      <c r="I97" s="5"/>
      <c r="J97" s="5"/>
      <c r="K97" s="5"/>
      <c r="L97" s="5"/>
      <c r="M97" s="5"/>
      <c r="N97" s="5"/>
      <c r="O97" s="5"/>
      <c r="P97" s="5"/>
      <c r="Q97" s="5"/>
      <c r="R97" s="5"/>
      <c r="S97" s="5"/>
      <c r="T97" s="5"/>
      <c r="U97" s="5"/>
      <c r="V97" s="5"/>
      <c r="W97" s="5"/>
    </row>
    <row r="98">
      <c r="A98" s="3" t="s">
        <v>997</v>
      </c>
      <c r="B98" s="3" t="s">
        <v>998</v>
      </c>
      <c r="C98" s="3" t="s">
        <v>989</v>
      </c>
      <c r="D98" s="3" t="s">
        <v>999</v>
      </c>
      <c r="E98" s="3"/>
      <c r="F98" s="5"/>
      <c r="G98" s="5"/>
      <c r="H98" s="5"/>
      <c r="I98" s="5"/>
      <c r="J98" s="5"/>
      <c r="K98" s="5"/>
      <c r="L98" s="5"/>
      <c r="M98" s="5"/>
      <c r="N98" s="5"/>
      <c r="O98" s="5"/>
      <c r="P98" s="5"/>
      <c r="Q98" s="5"/>
      <c r="R98" s="5"/>
      <c r="S98" s="5"/>
      <c r="T98" s="5"/>
      <c r="U98" s="5"/>
      <c r="V98" s="5"/>
      <c r="W98" s="5"/>
    </row>
    <row r="99">
      <c r="A99" s="3" t="s">
        <v>1000</v>
      </c>
      <c r="B99" s="3" t="s">
        <v>1001</v>
      </c>
      <c r="C99" s="3" t="s">
        <v>989</v>
      </c>
      <c r="D99" s="3" t="s">
        <v>1002</v>
      </c>
      <c r="E99" s="3"/>
      <c r="F99" s="5"/>
      <c r="G99" s="5"/>
      <c r="H99" s="5"/>
      <c r="I99" s="5"/>
      <c r="J99" s="5"/>
      <c r="K99" s="5"/>
      <c r="L99" s="5"/>
      <c r="M99" s="5"/>
      <c r="N99" s="5"/>
      <c r="O99" s="5"/>
      <c r="P99" s="5"/>
      <c r="Q99" s="5"/>
      <c r="R99" s="5"/>
      <c r="S99" s="5"/>
      <c r="T99" s="5"/>
      <c r="U99" s="5"/>
      <c r="V99" s="5"/>
      <c r="W99" s="5"/>
    </row>
    <row r="100">
      <c r="A100" s="3" t="s">
        <v>946</v>
      </c>
      <c r="B100" s="3" t="s">
        <v>947</v>
      </c>
      <c r="C100" s="3" t="s">
        <v>948</v>
      </c>
      <c r="D100" s="3" t="s">
        <v>949</v>
      </c>
      <c r="E100" s="3"/>
      <c r="F100" s="5"/>
      <c r="G100" s="5"/>
      <c r="H100" s="5"/>
      <c r="I100" s="5"/>
      <c r="J100" s="5"/>
      <c r="K100" s="5"/>
      <c r="L100" s="5"/>
      <c r="M100" s="5"/>
      <c r="N100" s="5"/>
      <c r="O100" s="5"/>
      <c r="P100" s="5"/>
      <c r="Q100" s="5"/>
      <c r="R100" s="5"/>
      <c r="S100" s="5"/>
      <c r="T100" s="5"/>
      <c r="U100" s="5"/>
      <c r="V100" s="5"/>
      <c r="W100" s="5"/>
    </row>
    <row r="101">
      <c r="A101" s="3"/>
      <c r="B101" s="16"/>
      <c r="C101" s="16"/>
      <c r="D101" s="16"/>
      <c r="E101" s="3"/>
      <c r="F101" s="5"/>
      <c r="G101" s="5"/>
      <c r="H101" s="5"/>
      <c r="I101" s="5"/>
      <c r="J101" s="5"/>
      <c r="K101" s="5"/>
      <c r="L101" s="5"/>
      <c r="M101" s="5"/>
      <c r="N101" s="5"/>
      <c r="O101" s="5"/>
      <c r="P101" s="5"/>
      <c r="Q101" s="5"/>
      <c r="R101" s="5"/>
      <c r="S101" s="5"/>
      <c r="T101" s="5"/>
      <c r="U101" s="5"/>
      <c r="V101" s="5"/>
      <c r="W101" s="5"/>
    </row>
    <row r="102">
      <c r="A102" s="3"/>
      <c r="B102" s="3"/>
      <c r="C102" s="3"/>
      <c r="D102" s="3"/>
      <c r="E102" s="3"/>
      <c r="F102" s="5"/>
      <c r="G102" s="5"/>
      <c r="H102" s="5"/>
      <c r="I102" s="5"/>
      <c r="J102" s="5"/>
      <c r="K102" s="5"/>
      <c r="L102" s="5"/>
      <c r="M102" s="5"/>
      <c r="N102" s="5"/>
      <c r="O102" s="5"/>
      <c r="P102" s="5"/>
      <c r="Q102" s="5"/>
      <c r="R102" s="5"/>
      <c r="S102" s="5"/>
      <c r="T102" s="5"/>
      <c r="U102" s="5"/>
      <c r="V102" s="5"/>
      <c r="W102" s="5"/>
    </row>
    <row r="103">
      <c r="A103" s="3"/>
      <c r="B103" s="3"/>
      <c r="C103" s="3"/>
      <c r="D103" s="3"/>
      <c r="E103" s="18"/>
      <c r="F103" s="5"/>
      <c r="G103" s="5"/>
      <c r="H103" s="5"/>
      <c r="I103" s="5"/>
      <c r="J103" s="5"/>
      <c r="K103" s="5"/>
      <c r="L103" s="5"/>
      <c r="M103" s="5"/>
      <c r="N103" s="5"/>
      <c r="O103" s="5"/>
      <c r="P103" s="5"/>
      <c r="Q103" s="5"/>
      <c r="R103" s="5"/>
      <c r="S103" s="5"/>
      <c r="T103" s="5"/>
      <c r="U103" s="5"/>
      <c r="V103" s="5"/>
      <c r="W103" s="5"/>
    </row>
    <row r="104">
      <c r="A104" s="3"/>
      <c r="B104" s="3"/>
      <c r="C104" s="3"/>
      <c r="D104" s="3"/>
      <c r="E104" s="18"/>
      <c r="F104" s="5"/>
      <c r="G104" s="5"/>
      <c r="H104" s="5"/>
      <c r="I104" s="5"/>
      <c r="J104" s="5"/>
      <c r="K104" s="5"/>
      <c r="L104" s="5"/>
      <c r="M104" s="5"/>
      <c r="N104" s="5"/>
      <c r="O104" s="5"/>
      <c r="P104" s="5"/>
      <c r="Q104" s="5"/>
      <c r="R104" s="5"/>
      <c r="S104" s="5"/>
      <c r="T104" s="5"/>
      <c r="U104" s="5"/>
      <c r="V104" s="5"/>
      <c r="W104" s="5"/>
    </row>
    <row r="105">
      <c r="A105" s="16"/>
      <c r="B105" s="16"/>
      <c r="C105" s="16"/>
      <c r="D105" s="16"/>
      <c r="E105" s="19"/>
      <c r="F105" s="17"/>
      <c r="G105" s="17"/>
      <c r="H105" s="17"/>
      <c r="I105" s="17"/>
      <c r="J105" s="17"/>
      <c r="K105" s="17"/>
      <c r="L105" s="17"/>
      <c r="M105" s="17"/>
      <c r="N105" s="17"/>
      <c r="O105" s="17"/>
      <c r="P105" s="17"/>
      <c r="Q105" s="17"/>
      <c r="R105" s="17"/>
      <c r="S105" s="17"/>
      <c r="T105" s="17"/>
      <c r="U105" s="17"/>
      <c r="V105" s="17"/>
      <c r="W105" s="17"/>
    </row>
    <row r="106">
      <c r="A106" s="16"/>
      <c r="B106" s="16"/>
      <c r="C106" s="16"/>
      <c r="D106" s="16"/>
      <c r="E106" s="19"/>
      <c r="F106" s="17"/>
      <c r="G106" s="17"/>
      <c r="H106" s="17"/>
      <c r="I106" s="17"/>
      <c r="J106" s="17"/>
      <c r="K106" s="17"/>
      <c r="L106" s="17"/>
      <c r="M106" s="17"/>
      <c r="N106" s="17"/>
      <c r="O106" s="17"/>
      <c r="P106" s="17"/>
      <c r="Q106" s="17"/>
      <c r="R106" s="17"/>
      <c r="S106" s="17"/>
      <c r="T106" s="17"/>
      <c r="U106" s="17"/>
      <c r="V106" s="17"/>
      <c r="W106" s="17"/>
    </row>
    <row r="107">
      <c r="A107" s="3"/>
      <c r="B107" s="3"/>
      <c r="C107" s="3"/>
      <c r="D107" s="3"/>
      <c r="E107" s="18"/>
      <c r="F107" s="5"/>
      <c r="G107" s="5"/>
      <c r="H107" s="5"/>
      <c r="I107" s="5"/>
      <c r="J107" s="5"/>
      <c r="K107" s="5"/>
      <c r="L107" s="5"/>
      <c r="M107" s="5"/>
      <c r="N107" s="5"/>
      <c r="O107" s="5"/>
      <c r="P107" s="5"/>
      <c r="Q107" s="5"/>
      <c r="R107" s="5"/>
      <c r="S107" s="5"/>
      <c r="T107" s="5"/>
      <c r="U107" s="5"/>
      <c r="V107" s="5"/>
      <c r="W107" s="5"/>
    </row>
    <row r="108">
      <c r="A108" s="16"/>
      <c r="B108" s="16"/>
      <c r="C108" s="16"/>
      <c r="D108" s="16"/>
      <c r="E108" s="19"/>
      <c r="F108" s="17"/>
      <c r="G108" s="17"/>
      <c r="H108" s="17"/>
      <c r="I108" s="17"/>
      <c r="J108" s="17"/>
      <c r="K108" s="17"/>
      <c r="L108" s="17"/>
      <c r="M108" s="17"/>
      <c r="N108" s="17"/>
      <c r="O108" s="17"/>
      <c r="P108" s="17"/>
      <c r="Q108" s="17"/>
      <c r="R108" s="17"/>
      <c r="S108" s="17"/>
      <c r="T108" s="17"/>
      <c r="U108" s="17"/>
      <c r="V108" s="17"/>
      <c r="W108" s="17"/>
    </row>
    <row r="109">
      <c r="A109" s="20"/>
      <c r="B109" s="20"/>
      <c r="C109" s="21"/>
      <c r="D109" s="21"/>
      <c r="E109" s="18"/>
      <c r="F109" s="3"/>
      <c r="G109" s="22"/>
      <c r="H109" s="22"/>
      <c r="I109" s="22"/>
      <c r="J109" s="22"/>
      <c r="K109" s="22"/>
      <c r="L109" s="22"/>
      <c r="M109" s="22"/>
      <c r="N109" s="22"/>
      <c r="O109" s="22"/>
      <c r="P109" s="22"/>
      <c r="Q109" s="22"/>
      <c r="R109" s="22"/>
      <c r="S109" s="22"/>
      <c r="T109" s="22"/>
      <c r="U109" s="22"/>
      <c r="V109" s="22"/>
      <c r="W109" s="22"/>
    </row>
    <row r="110">
      <c r="A110" s="20"/>
      <c r="B110" s="20"/>
      <c r="C110" s="21"/>
      <c r="D110" s="21"/>
      <c r="E110" s="18"/>
      <c r="F110" s="22"/>
      <c r="G110" s="22"/>
      <c r="H110" s="22"/>
      <c r="I110" s="22"/>
      <c r="J110" s="22"/>
      <c r="K110" s="22"/>
      <c r="L110" s="22"/>
      <c r="M110" s="22"/>
      <c r="N110" s="22"/>
      <c r="O110" s="22"/>
      <c r="P110" s="22"/>
      <c r="Q110" s="22"/>
      <c r="R110" s="22"/>
      <c r="S110" s="22"/>
      <c r="T110" s="22"/>
      <c r="U110" s="22"/>
      <c r="V110" s="22"/>
      <c r="W110" s="22"/>
    </row>
    <row r="111">
      <c r="A111" s="3"/>
      <c r="B111" s="3"/>
      <c r="C111" s="3"/>
      <c r="D111" s="3"/>
      <c r="E111" s="18"/>
      <c r="F111" s="5"/>
      <c r="G111" s="5"/>
      <c r="H111" s="5"/>
      <c r="I111" s="5"/>
      <c r="J111" s="5"/>
      <c r="K111" s="5"/>
      <c r="L111" s="5"/>
      <c r="M111" s="5"/>
      <c r="N111" s="5"/>
      <c r="O111" s="5"/>
      <c r="P111" s="5"/>
      <c r="Q111" s="5"/>
      <c r="R111" s="5"/>
      <c r="S111" s="5"/>
      <c r="T111" s="5"/>
      <c r="U111" s="5"/>
      <c r="V111" s="5"/>
      <c r="W111" s="5"/>
    </row>
    <row r="112">
      <c r="A112" s="3"/>
      <c r="B112" s="3"/>
      <c r="C112" s="3"/>
      <c r="D112" s="3"/>
      <c r="E112" s="18"/>
      <c r="F112" s="5"/>
      <c r="G112" s="5"/>
      <c r="H112" s="5"/>
      <c r="I112" s="5"/>
      <c r="J112" s="5"/>
      <c r="K112" s="5"/>
      <c r="L112" s="5"/>
      <c r="M112" s="5"/>
      <c r="N112" s="5"/>
      <c r="O112" s="5"/>
      <c r="P112" s="5"/>
      <c r="Q112" s="5"/>
      <c r="R112" s="5"/>
      <c r="S112" s="5"/>
      <c r="T112" s="5"/>
      <c r="U112" s="5"/>
      <c r="V112" s="5"/>
      <c r="W112" s="5"/>
    </row>
    <row r="113">
      <c r="A113" s="3"/>
      <c r="B113" s="3"/>
      <c r="C113" s="3"/>
      <c r="D113" s="3"/>
      <c r="E113" s="18"/>
      <c r="F113" s="5"/>
      <c r="G113" s="5"/>
      <c r="H113" s="5"/>
      <c r="I113" s="5"/>
      <c r="J113" s="5"/>
      <c r="K113" s="5"/>
      <c r="L113" s="5"/>
      <c r="M113" s="5"/>
      <c r="N113" s="5"/>
      <c r="O113" s="5"/>
      <c r="P113" s="5"/>
      <c r="Q113" s="5"/>
      <c r="R113" s="5"/>
      <c r="S113" s="5"/>
      <c r="T113" s="5"/>
      <c r="U113" s="5"/>
      <c r="V113" s="5"/>
      <c r="W113" s="5"/>
    </row>
    <row r="114" ht="54.75" customHeight="1">
      <c r="A114" s="3"/>
      <c r="B114" s="16"/>
      <c r="C114" s="16"/>
      <c r="D114" s="16"/>
      <c r="E114" s="18"/>
      <c r="F114" s="5"/>
      <c r="G114" s="5"/>
      <c r="H114" s="5"/>
      <c r="I114" s="5"/>
      <c r="J114" s="5"/>
      <c r="K114" s="5"/>
      <c r="L114" s="5"/>
      <c r="M114" s="5"/>
      <c r="N114" s="5"/>
      <c r="O114" s="5"/>
      <c r="P114" s="5"/>
      <c r="Q114" s="5"/>
      <c r="R114" s="5"/>
      <c r="S114" s="5"/>
      <c r="T114" s="5"/>
      <c r="U114" s="5"/>
      <c r="V114" s="5"/>
      <c r="W114" s="5"/>
    </row>
    <row r="115">
      <c r="A115" s="3"/>
      <c r="B115" s="3"/>
      <c r="C115" s="3"/>
      <c r="D115" s="3"/>
      <c r="E115" s="3"/>
      <c r="F115" s="5"/>
      <c r="G115" s="5"/>
      <c r="H115" s="5"/>
      <c r="I115" s="5"/>
      <c r="J115" s="5"/>
      <c r="K115" s="5"/>
      <c r="L115" s="5"/>
      <c r="M115" s="5"/>
      <c r="N115" s="5"/>
      <c r="O115" s="5"/>
      <c r="P115" s="5"/>
      <c r="Q115" s="5"/>
      <c r="R115" s="5"/>
      <c r="S115" s="5"/>
      <c r="T115" s="5"/>
      <c r="U115" s="5"/>
      <c r="V115" s="5"/>
      <c r="W115" s="5"/>
    </row>
    <row r="116">
      <c r="A116" s="16"/>
      <c r="B116" s="16"/>
      <c r="C116" s="16"/>
      <c r="D116" s="16"/>
      <c r="E116" s="16"/>
      <c r="F116" s="17"/>
      <c r="G116" s="17"/>
      <c r="H116" s="17"/>
      <c r="I116" s="17"/>
      <c r="J116" s="17"/>
      <c r="K116" s="17"/>
      <c r="L116" s="17"/>
      <c r="M116" s="17"/>
      <c r="N116" s="17"/>
      <c r="O116" s="17"/>
      <c r="P116" s="17"/>
      <c r="Q116" s="17"/>
      <c r="R116" s="17"/>
      <c r="S116" s="17"/>
      <c r="T116" s="17"/>
      <c r="U116" s="17"/>
      <c r="V116" s="17"/>
      <c r="W116" s="17"/>
    </row>
    <row r="117">
      <c r="A117" s="16"/>
      <c r="B117" s="16"/>
      <c r="C117" s="16"/>
      <c r="D117" s="16"/>
      <c r="E117" s="16"/>
      <c r="F117" s="17"/>
      <c r="G117" s="17"/>
      <c r="H117" s="17"/>
      <c r="I117" s="17"/>
      <c r="J117" s="17"/>
      <c r="K117" s="17"/>
      <c r="L117" s="17"/>
      <c r="M117" s="17"/>
      <c r="N117" s="17"/>
      <c r="O117" s="17"/>
      <c r="P117" s="17"/>
      <c r="Q117" s="17"/>
      <c r="R117" s="17"/>
      <c r="S117" s="17"/>
      <c r="T117" s="17"/>
      <c r="U117" s="17"/>
      <c r="V117" s="17"/>
      <c r="W117" s="17"/>
    </row>
    <row r="118">
      <c r="A118" s="3"/>
      <c r="B118" s="3"/>
      <c r="C118" s="3"/>
      <c r="D118" s="3"/>
      <c r="E118" s="3"/>
      <c r="F118" s="5"/>
      <c r="G118" s="5"/>
      <c r="H118" s="5"/>
      <c r="I118" s="5"/>
      <c r="J118" s="5"/>
      <c r="K118" s="5"/>
      <c r="L118" s="5"/>
      <c r="M118" s="5"/>
      <c r="N118" s="5"/>
      <c r="O118" s="5"/>
      <c r="P118" s="5"/>
      <c r="Q118" s="5"/>
      <c r="R118" s="5"/>
      <c r="S118" s="5"/>
      <c r="T118" s="5"/>
      <c r="U118" s="5"/>
      <c r="V118" s="5"/>
      <c r="W118" s="5"/>
    </row>
    <row r="119">
      <c r="A119" s="16"/>
      <c r="B119" s="16"/>
      <c r="C119" s="16"/>
      <c r="D119" s="16"/>
      <c r="E119" s="16"/>
      <c r="F119" s="17"/>
      <c r="G119" s="17"/>
      <c r="H119" s="17"/>
      <c r="I119" s="17"/>
      <c r="J119" s="17"/>
      <c r="K119" s="17"/>
      <c r="L119" s="17"/>
      <c r="M119" s="17"/>
      <c r="N119" s="17"/>
      <c r="O119" s="17"/>
      <c r="P119" s="17"/>
      <c r="Q119" s="17"/>
      <c r="R119" s="17"/>
      <c r="S119" s="17"/>
      <c r="T119" s="17"/>
      <c r="U119" s="17"/>
      <c r="V119" s="17"/>
      <c r="W119" s="17"/>
    </row>
    <row r="120">
      <c r="A120" s="20"/>
      <c r="B120" s="20"/>
      <c r="C120" s="21"/>
      <c r="D120" s="21"/>
      <c r="E120" s="3"/>
      <c r="F120" s="3"/>
      <c r="G120" s="22"/>
      <c r="H120" s="22"/>
      <c r="I120" s="22"/>
      <c r="J120" s="22"/>
      <c r="K120" s="22"/>
      <c r="L120" s="22"/>
      <c r="M120" s="22"/>
      <c r="N120" s="22"/>
      <c r="O120" s="22"/>
      <c r="P120" s="22"/>
      <c r="Q120" s="22"/>
      <c r="R120" s="22"/>
      <c r="S120" s="22"/>
      <c r="T120" s="22"/>
      <c r="U120" s="22"/>
      <c r="V120" s="22"/>
      <c r="W120" s="22"/>
    </row>
    <row r="121">
      <c r="A121" s="3"/>
      <c r="B121" s="3"/>
      <c r="C121" s="3"/>
      <c r="D121" s="3"/>
      <c r="E121" s="3"/>
      <c r="F121" s="5"/>
      <c r="G121" s="5"/>
      <c r="H121" s="5"/>
      <c r="I121" s="5"/>
      <c r="J121" s="5"/>
      <c r="K121" s="5"/>
      <c r="L121" s="5"/>
      <c r="M121" s="5"/>
      <c r="N121" s="5"/>
      <c r="O121" s="5"/>
      <c r="P121" s="5"/>
      <c r="Q121" s="5"/>
      <c r="R121" s="5"/>
      <c r="S121" s="5"/>
      <c r="T121" s="5"/>
      <c r="U121" s="5"/>
      <c r="V121" s="5"/>
      <c r="W121" s="5"/>
    </row>
    <row r="122">
      <c r="A122" s="20"/>
      <c r="B122" s="20"/>
      <c r="C122" s="21"/>
      <c r="D122" s="21"/>
      <c r="E122" s="3"/>
      <c r="F122" s="22"/>
      <c r="G122" s="22"/>
      <c r="H122" s="22"/>
      <c r="I122" s="22"/>
      <c r="J122" s="22"/>
      <c r="K122" s="22"/>
      <c r="L122" s="22"/>
      <c r="M122" s="22"/>
      <c r="N122" s="22"/>
      <c r="O122" s="22"/>
      <c r="P122" s="22"/>
      <c r="Q122" s="22"/>
      <c r="R122" s="22"/>
      <c r="S122" s="22"/>
      <c r="T122" s="22"/>
      <c r="U122" s="22"/>
      <c r="V122" s="22"/>
      <c r="W122" s="22"/>
    </row>
    <row r="123">
      <c r="A123" s="3"/>
      <c r="B123" s="3"/>
      <c r="C123" s="3"/>
      <c r="D123" s="3"/>
      <c r="E123" s="3"/>
      <c r="F123" s="5"/>
      <c r="G123" s="5"/>
      <c r="H123" s="5"/>
      <c r="I123" s="5"/>
      <c r="J123" s="5"/>
      <c r="K123" s="5"/>
      <c r="L123" s="5"/>
      <c r="M123" s="5"/>
      <c r="N123" s="5"/>
      <c r="O123" s="5"/>
      <c r="P123" s="5"/>
      <c r="Q123" s="5"/>
      <c r="R123" s="5"/>
      <c r="S123" s="5"/>
      <c r="T123" s="5"/>
      <c r="U123" s="5"/>
      <c r="V123" s="5"/>
      <c r="W123" s="5"/>
    </row>
    <row r="124">
      <c r="A124" s="3"/>
      <c r="B124" s="3"/>
      <c r="C124" s="3"/>
      <c r="D124" s="3"/>
      <c r="E124" s="3"/>
      <c r="F124" s="5"/>
      <c r="G124" s="5"/>
      <c r="H124" s="5"/>
      <c r="I124" s="5"/>
      <c r="J124" s="5"/>
      <c r="K124" s="5"/>
      <c r="L124" s="5"/>
      <c r="M124" s="5"/>
      <c r="N124" s="5"/>
      <c r="O124" s="5"/>
      <c r="P124" s="5"/>
      <c r="Q124" s="5"/>
      <c r="R124" s="5"/>
      <c r="S124" s="5"/>
      <c r="T124" s="5"/>
      <c r="U124" s="5"/>
      <c r="V124" s="5"/>
      <c r="W124" s="5"/>
    </row>
    <row r="125">
      <c r="A125" s="3"/>
      <c r="B125" s="3"/>
      <c r="C125" s="3"/>
      <c r="D125" s="3"/>
      <c r="E125" s="3"/>
      <c r="F125" s="5"/>
      <c r="G125" s="5"/>
      <c r="H125" s="5"/>
      <c r="I125" s="5"/>
      <c r="J125" s="5"/>
      <c r="K125" s="5"/>
      <c r="L125" s="5"/>
      <c r="M125" s="5"/>
      <c r="N125" s="5"/>
      <c r="O125" s="5"/>
      <c r="P125" s="5"/>
      <c r="Q125" s="5"/>
      <c r="R125" s="5"/>
      <c r="S125" s="5"/>
      <c r="T125" s="5"/>
      <c r="U125" s="5"/>
      <c r="V125" s="5"/>
      <c r="W125" s="5"/>
    </row>
    <row r="126">
      <c r="A126" s="3"/>
      <c r="B126" s="3"/>
      <c r="C126" s="3"/>
      <c r="D126" s="3"/>
      <c r="E126" s="3"/>
      <c r="F126" s="5"/>
      <c r="G126" s="5"/>
      <c r="H126" s="5"/>
      <c r="I126" s="5"/>
      <c r="J126" s="5"/>
      <c r="K126" s="5"/>
      <c r="L126" s="5"/>
      <c r="M126" s="5"/>
      <c r="N126" s="5"/>
      <c r="O126" s="5"/>
      <c r="P126" s="5"/>
      <c r="Q126" s="5"/>
      <c r="R126" s="5"/>
      <c r="S126" s="5"/>
      <c r="T126" s="5"/>
      <c r="U126" s="5"/>
      <c r="V126" s="5"/>
      <c r="W126" s="5"/>
    </row>
    <row r="127">
      <c r="A127" s="3"/>
      <c r="B127" s="3"/>
      <c r="C127" s="3"/>
      <c r="D127" s="3"/>
      <c r="E127" s="3"/>
      <c r="F127" s="5"/>
      <c r="G127" s="5"/>
      <c r="H127" s="5"/>
      <c r="I127" s="5"/>
      <c r="J127" s="5"/>
      <c r="K127" s="5"/>
      <c r="L127" s="5"/>
      <c r="M127" s="5"/>
      <c r="N127" s="5"/>
      <c r="O127" s="5"/>
      <c r="P127" s="5"/>
      <c r="Q127" s="5"/>
      <c r="R127" s="5"/>
      <c r="S127" s="5"/>
      <c r="T127" s="5"/>
      <c r="U127" s="5"/>
      <c r="V127" s="5"/>
      <c r="W127" s="5"/>
    </row>
    <row r="128">
      <c r="A128" s="3"/>
      <c r="B128" s="3"/>
      <c r="C128" s="3"/>
      <c r="D128" s="3"/>
      <c r="E128" s="3"/>
      <c r="F128" s="5"/>
      <c r="G128" s="5"/>
      <c r="H128" s="5"/>
      <c r="I128" s="5"/>
      <c r="J128" s="5"/>
      <c r="K128" s="5"/>
      <c r="L128" s="5"/>
      <c r="M128" s="5"/>
      <c r="N128" s="5"/>
      <c r="O128" s="5"/>
      <c r="P128" s="5"/>
      <c r="Q128" s="5"/>
      <c r="R128" s="5"/>
      <c r="S128" s="5"/>
      <c r="T128" s="5"/>
      <c r="U128" s="5"/>
      <c r="V128" s="5"/>
      <c r="W128" s="5"/>
    </row>
    <row r="129">
      <c r="A129" s="3"/>
      <c r="B129" s="3"/>
      <c r="C129" s="3"/>
      <c r="D129" s="3"/>
      <c r="E129" s="3"/>
      <c r="F129" s="5"/>
      <c r="G129" s="5"/>
      <c r="H129" s="5"/>
      <c r="I129" s="5"/>
      <c r="J129" s="5"/>
      <c r="K129" s="5"/>
      <c r="L129" s="5"/>
      <c r="M129" s="5"/>
      <c r="N129" s="5"/>
      <c r="O129" s="5"/>
      <c r="P129" s="5"/>
      <c r="Q129" s="5"/>
      <c r="R129" s="5"/>
      <c r="S129" s="5"/>
      <c r="T129" s="5"/>
      <c r="U129" s="5"/>
      <c r="V129" s="5"/>
      <c r="W129" s="5"/>
    </row>
    <row r="130">
      <c r="A130" s="3"/>
      <c r="B130" s="3"/>
      <c r="C130" s="3"/>
      <c r="D130" s="3"/>
      <c r="E130" s="3"/>
      <c r="F130" s="5"/>
      <c r="G130" s="5"/>
      <c r="H130" s="5"/>
      <c r="I130" s="5"/>
      <c r="J130" s="5"/>
      <c r="K130" s="5"/>
      <c r="L130" s="5"/>
      <c r="M130" s="5"/>
      <c r="N130" s="5"/>
      <c r="O130" s="5"/>
      <c r="P130" s="5"/>
      <c r="Q130" s="5"/>
      <c r="R130" s="5"/>
      <c r="S130" s="5"/>
      <c r="T130" s="5"/>
      <c r="U130" s="5"/>
      <c r="V130" s="5"/>
      <c r="W130" s="5"/>
    </row>
    <row r="131">
      <c r="A131" s="3"/>
      <c r="B131" s="3"/>
      <c r="C131" s="3"/>
      <c r="D131" s="3"/>
      <c r="E131" s="3"/>
      <c r="F131" s="5"/>
      <c r="G131" s="5"/>
      <c r="H131" s="5"/>
      <c r="I131" s="5"/>
      <c r="J131" s="5"/>
      <c r="K131" s="5"/>
      <c r="L131" s="5"/>
      <c r="M131" s="5"/>
      <c r="N131" s="5"/>
      <c r="O131" s="5"/>
      <c r="P131" s="5"/>
      <c r="Q131" s="5"/>
      <c r="R131" s="5"/>
      <c r="S131" s="5"/>
      <c r="T131" s="5"/>
      <c r="U131" s="5"/>
      <c r="V131" s="5"/>
      <c r="W131" s="5"/>
    </row>
    <row r="132">
      <c r="A132" s="3"/>
      <c r="B132" s="3"/>
      <c r="C132" s="3"/>
      <c r="D132" s="3"/>
      <c r="E132" s="3"/>
      <c r="F132" s="5"/>
      <c r="G132" s="5"/>
      <c r="H132" s="5"/>
      <c r="I132" s="5"/>
      <c r="J132" s="5"/>
      <c r="K132" s="5"/>
      <c r="L132" s="5"/>
      <c r="M132" s="5"/>
      <c r="N132" s="5"/>
      <c r="O132" s="5"/>
      <c r="P132" s="5"/>
      <c r="Q132" s="5"/>
      <c r="R132" s="5"/>
      <c r="S132" s="5"/>
      <c r="T132" s="5"/>
      <c r="U132" s="5"/>
      <c r="V132" s="5"/>
      <c r="W132" s="5"/>
    </row>
    <row r="133">
      <c r="A133" s="3"/>
      <c r="B133" s="3"/>
      <c r="C133" s="3"/>
      <c r="D133" s="3"/>
      <c r="E133" s="3"/>
      <c r="F133" s="5"/>
      <c r="G133" s="5"/>
      <c r="H133" s="5"/>
      <c r="I133" s="5"/>
      <c r="J133" s="5"/>
      <c r="K133" s="5"/>
      <c r="L133" s="5"/>
      <c r="M133" s="5"/>
      <c r="N133" s="5"/>
      <c r="O133" s="5"/>
      <c r="P133" s="5"/>
      <c r="Q133" s="5"/>
      <c r="R133" s="5"/>
      <c r="S133" s="5"/>
      <c r="T133" s="5"/>
      <c r="U133" s="5"/>
      <c r="V133" s="5"/>
      <c r="W133" s="5"/>
    </row>
    <row r="134">
      <c r="A134" s="16"/>
      <c r="B134" s="16"/>
      <c r="C134" s="16"/>
      <c r="D134" s="16"/>
      <c r="E134" s="16"/>
      <c r="F134" s="17"/>
      <c r="G134" s="17"/>
      <c r="H134" s="17"/>
      <c r="I134" s="17"/>
      <c r="J134" s="17"/>
      <c r="K134" s="17"/>
      <c r="L134" s="17"/>
      <c r="M134" s="17"/>
      <c r="N134" s="17"/>
      <c r="O134" s="17"/>
      <c r="P134" s="17"/>
      <c r="Q134" s="17"/>
      <c r="R134" s="17"/>
      <c r="S134" s="17"/>
      <c r="T134" s="17"/>
      <c r="U134" s="17"/>
      <c r="V134" s="17"/>
      <c r="W134" s="17"/>
    </row>
    <row r="135">
      <c r="A135" s="16"/>
      <c r="B135" s="16"/>
      <c r="C135" s="16"/>
      <c r="D135" s="16"/>
      <c r="E135" s="16"/>
      <c r="F135" s="17"/>
      <c r="G135" s="17"/>
      <c r="H135" s="17"/>
      <c r="I135" s="17"/>
      <c r="J135" s="17"/>
      <c r="K135" s="17"/>
      <c r="L135" s="17"/>
      <c r="M135" s="17"/>
      <c r="N135" s="17"/>
      <c r="O135" s="17"/>
      <c r="P135" s="17"/>
      <c r="Q135" s="17"/>
      <c r="R135" s="17"/>
      <c r="S135" s="17"/>
      <c r="T135" s="17"/>
      <c r="U135" s="17"/>
      <c r="V135" s="17"/>
      <c r="W135" s="17"/>
    </row>
    <row r="136">
      <c r="A136" s="3"/>
      <c r="B136" s="3"/>
      <c r="C136" s="3"/>
      <c r="D136" s="3"/>
      <c r="E136" s="3"/>
      <c r="F136" s="5"/>
      <c r="G136" s="5"/>
      <c r="H136" s="5"/>
      <c r="I136" s="5"/>
      <c r="J136" s="5"/>
      <c r="K136" s="5"/>
      <c r="L136" s="5"/>
      <c r="M136" s="5"/>
      <c r="N136" s="5"/>
      <c r="O136" s="5"/>
      <c r="P136" s="5"/>
      <c r="Q136" s="5"/>
      <c r="R136" s="5"/>
      <c r="S136" s="5"/>
      <c r="T136" s="5"/>
      <c r="U136" s="5"/>
      <c r="V136" s="5"/>
      <c r="W136" s="5"/>
    </row>
    <row r="137">
      <c r="A137" s="16"/>
      <c r="B137" s="16"/>
      <c r="C137" s="16"/>
      <c r="D137" s="16"/>
      <c r="E137" s="16"/>
      <c r="F137" s="17"/>
      <c r="G137" s="17"/>
      <c r="H137" s="17"/>
      <c r="I137" s="17"/>
      <c r="J137" s="17"/>
      <c r="K137" s="17"/>
      <c r="L137" s="17"/>
      <c r="M137" s="17"/>
      <c r="N137" s="17"/>
      <c r="O137" s="17"/>
      <c r="P137" s="17"/>
      <c r="Q137" s="17"/>
      <c r="R137" s="17"/>
      <c r="S137" s="17"/>
      <c r="T137" s="17"/>
      <c r="U137" s="17"/>
      <c r="V137" s="17"/>
      <c r="W137" s="17"/>
    </row>
    <row r="138">
      <c r="A138" s="20"/>
      <c r="B138" s="20"/>
      <c r="C138" s="21"/>
      <c r="D138" s="21"/>
      <c r="E138" s="3"/>
      <c r="F138" s="3"/>
      <c r="G138" s="22"/>
      <c r="H138" s="22"/>
      <c r="I138" s="22"/>
      <c r="J138" s="22"/>
      <c r="K138" s="22"/>
      <c r="L138" s="22"/>
      <c r="M138" s="22"/>
      <c r="N138" s="22"/>
      <c r="O138" s="22"/>
      <c r="P138" s="22"/>
      <c r="Q138" s="22"/>
      <c r="R138" s="22"/>
      <c r="S138" s="22"/>
      <c r="T138" s="22"/>
      <c r="U138" s="22"/>
      <c r="V138" s="22"/>
      <c r="W138" s="22"/>
    </row>
    <row r="139">
      <c r="A139" s="20"/>
      <c r="B139" s="20"/>
      <c r="C139" s="21"/>
      <c r="D139" s="21"/>
      <c r="E139" s="3"/>
      <c r="F139" s="22"/>
      <c r="G139" s="22"/>
      <c r="H139" s="22"/>
      <c r="I139" s="22"/>
      <c r="J139" s="22"/>
      <c r="K139" s="22"/>
      <c r="L139" s="22"/>
      <c r="M139" s="22"/>
      <c r="N139" s="22"/>
      <c r="O139" s="22"/>
      <c r="P139" s="22"/>
      <c r="Q139" s="22"/>
      <c r="R139" s="22"/>
      <c r="S139" s="22"/>
      <c r="T139" s="22"/>
      <c r="U139" s="22"/>
      <c r="V139" s="22"/>
      <c r="W139" s="22"/>
    </row>
    <row r="140">
      <c r="A140" s="3"/>
      <c r="B140" s="3"/>
      <c r="C140" s="3"/>
      <c r="D140" s="3"/>
      <c r="E140" s="3"/>
      <c r="F140" s="5"/>
      <c r="G140" s="5"/>
      <c r="H140" s="5"/>
      <c r="I140" s="5"/>
      <c r="J140" s="5"/>
      <c r="K140" s="5"/>
      <c r="L140" s="5"/>
      <c r="M140" s="5"/>
      <c r="N140" s="5"/>
      <c r="O140" s="5"/>
      <c r="P140" s="5"/>
      <c r="Q140" s="5"/>
      <c r="R140" s="5"/>
      <c r="S140" s="5"/>
      <c r="T140" s="5"/>
      <c r="U140" s="5"/>
      <c r="V140" s="5"/>
      <c r="W140" s="5"/>
    </row>
    <row r="141">
      <c r="A141" s="3"/>
      <c r="B141" s="3"/>
      <c r="C141" s="3"/>
      <c r="D141" s="3"/>
      <c r="E141" s="3"/>
      <c r="F141" s="5"/>
      <c r="G141" s="5"/>
      <c r="H141" s="5"/>
      <c r="I141" s="5"/>
      <c r="J141" s="5"/>
      <c r="K141" s="5"/>
      <c r="L141" s="5"/>
      <c r="M141" s="5"/>
      <c r="N141" s="5"/>
      <c r="O141" s="5"/>
      <c r="P141" s="5"/>
      <c r="Q141" s="5"/>
      <c r="R141" s="5"/>
      <c r="S141" s="5"/>
      <c r="T141" s="5"/>
      <c r="U141" s="5"/>
      <c r="V141" s="5"/>
      <c r="W141" s="5"/>
    </row>
    <row r="142">
      <c r="A142" s="3"/>
      <c r="B142" s="3"/>
      <c r="C142" s="3"/>
      <c r="D142" s="3"/>
      <c r="E142" s="3"/>
      <c r="F142" s="5"/>
      <c r="G142" s="5"/>
      <c r="H142" s="5"/>
      <c r="I142" s="5"/>
      <c r="J142" s="5"/>
      <c r="K142" s="5"/>
      <c r="L142" s="5"/>
      <c r="M142" s="5"/>
      <c r="N142" s="5"/>
      <c r="O142" s="5"/>
      <c r="P142" s="5"/>
      <c r="Q142" s="5"/>
      <c r="R142" s="5"/>
      <c r="S142" s="5"/>
      <c r="T142" s="5"/>
      <c r="U142" s="5"/>
      <c r="V142" s="5"/>
      <c r="W142" s="5"/>
    </row>
    <row r="143">
      <c r="A143" s="3"/>
      <c r="B143" s="16"/>
      <c r="C143" s="16"/>
      <c r="D143" s="16"/>
      <c r="E143" s="3"/>
      <c r="F143" s="5"/>
      <c r="G143" s="5"/>
      <c r="H143" s="5"/>
      <c r="I143" s="5"/>
      <c r="J143" s="5"/>
      <c r="K143" s="5"/>
      <c r="L143" s="5"/>
      <c r="M143" s="5"/>
      <c r="N143" s="5"/>
      <c r="O143" s="5"/>
      <c r="P143" s="5"/>
      <c r="Q143" s="5"/>
      <c r="R143" s="5"/>
      <c r="S143" s="5"/>
      <c r="T143" s="5"/>
      <c r="U143" s="5"/>
      <c r="V143" s="5"/>
      <c r="W143" s="5"/>
    </row>
    <row r="144">
      <c r="A144" s="3"/>
      <c r="B144" s="3"/>
      <c r="C144" s="3"/>
      <c r="D144" s="3"/>
      <c r="E144" s="3"/>
      <c r="F144" s="5"/>
      <c r="G144" s="5"/>
      <c r="H144" s="5"/>
      <c r="I144" s="5"/>
      <c r="J144" s="5"/>
      <c r="K144" s="5"/>
      <c r="L144" s="5"/>
      <c r="M144" s="5"/>
      <c r="N144" s="5"/>
      <c r="O144" s="5"/>
      <c r="P144" s="5"/>
      <c r="Q144" s="5"/>
      <c r="R144" s="5"/>
      <c r="S144" s="5"/>
      <c r="T144" s="5"/>
      <c r="U144" s="5"/>
      <c r="V144" s="5"/>
      <c r="W144" s="5"/>
    </row>
    <row r="145">
      <c r="A145" s="16"/>
      <c r="B145" s="16"/>
      <c r="C145" s="16"/>
      <c r="D145" s="16"/>
      <c r="E145" s="16"/>
      <c r="F145" s="17"/>
      <c r="G145" s="17"/>
      <c r="H145" s="17"/>
      <c r="I145" s="17"/>
      <c r="J145" s="17"/>
      <c r="K145" s="17"/>
      <c r="L145" s="17"/>
      <c r="M145" s="17"/>
      <c r="N145" s="17"/>
      <c r="O145" s="17"/>
      <c r="P145" s="17"/>
      <c r="Q145" s="17"/>
      <c r="R145" s="17"/>
      <c r="S145" s="17"/>
      <c r="T145" s="17"/>
      <c r="U145" s="17"/>
      <c r="V145" s="17"/>
      <c r="W145" s="17"/>
    </row>
    <row r="146">
      <c r="A146" s="16"/>
      <c r="B146" s="16"/>
      <c r="C146" s="16"/>
      <c r="D146" s="16"/>
      <c r="E146" s="16"/>
      <c r="F146" s="17"/>
      <c r="G146" s="17"/>
      <c r="H146" s="17"/>
      <c r="I146" s="17"/>
      <c r="J146" s="17"/>
      <c r="K146" s="17"/>
      <c r="L146" s="17"/>
      <c r="M146" s="17"/>
      <c r="N146" s="17"/>
      <c r="O146" s="17"/>
      <c r="P146" s="17"/>
      <c r="Q146" s="17"/>
      <c r="R146" s="17"/>
      <c r="S146" s="17"/>
      <c r="T146" s="17"/>
      <c r="U146" s="17"/>
      <c r="V146" s="17"/>
      <c r="W146" s="17"/>
    </row>
    <row r="147">
      <c r="A147" s="3"/>
      <c r="B147" s="3"/>
      <c r="C147" s="3"/>
      <c r="D147" s="3"/>
      <c r="E147" s="3"/>
      <c r="F147" s="5"/>
      <c r="G147" s="5"/>
      <c r="H147" s="5"/>
      <c r="I147" s="5"/>
      <c r="J147" s="5"/>
      <c r="K147" s="5"/>
      <c r="L147" s="5"/>
      <c r="M147" s="5"/>
      <c r="N147" s="5"/>
      <c r="O147" s="5"/>
      <c r="P147" s="5"/>
      <c r="Q147" s="5"/>
      <c r="R147" s="5"/>
      <c r="S147" s="5"/>
      <c r="T147" s="5"/>
      <c r="U147" s="5"/>
      <c r="V147" s="5"/>
      <c r="W147" s="5"/>
    </row>
    <row r="148">
      <c r="A148" s="16"/>
      <c r="B148" s="16"/>
      <c r="C148" s="16"/>
      <c r="D148" s="16"/>
      <c r="E148" s="16"/>
      <c r="F148" s="17"/>
      <c r="G148" s="17"/>
      <c r="H148" s="17"/>
      <c r="I148" s="17"/>
      <c r="J148" s="17"/>
      <c r="K148" s="17"/>
      <c r="L148" s="17"/>
      <c r="M148" s="17"/>
      <c r="N148" s="17"/>
      <c r="O148" s="17"/>
      <c r="P148" s="17"/>
      <c r="Q148" s="17"/>
      <c r="R148" s="17"/>
      <c r="S148" s="17"/>
      <c r="T148" s="17"/>
      <c r="U148" s="17"/>
      <c r="V148" s="17"/>
      <c r="W148" s="17"/>
    </row>
    <row r="149">
      <c r="A149" s="20"/>
      <c r="B149" s="20"/>
      <c r="C149" s="21"/>
      <c r="D149" s="21"/>
      <c r="E149" s="3"/>
      <c r="F149" s="3"/>
      <c r="G149" s="22"/>
      <c r="H149" s="22"/>
      <c r="I149" s="22"/>
      <c r="J149" s="22"/>
      <c r="K149" s="22"/>
      <c r="L149" s="22"/>
      <c r="M149" s="22"/>
      <c r="N149" s="22"/>
      <c r="O149" s="22"/>
      <c r="P149" s="22"/>
      <c r="Q149" s="22"/>
      <c r="R149" s="22"/>
      <c r="S149" s="22"/>
      <c r="T149" s="22"/>
      <c r="U149" s="22"/>
      <c r="V149" s="22"/>
      <c r="W149" s="22"/>
    </row>
    <row r="150">
      <c r="A150" s="20"/>
      <c r="B150" s="20"/>
      <c r="C150" s="21"/>
      <c r="D150" s="21"/>
      <c r="E150" s="3"/>
      <c r="F150" s="22"/>
      <c r="G150" s="22"/>
      <c r="H150" s="22"/>
      <c r="I150" s="22"/>
      <c r="J150" s="22"/>
      <c r="K150" s="22"/>
      <c r="L150" s="22"/>
      <c r="M150" s="22"/>
      <c r="N150" s="22"/>
      <c r="O150" s="22"/>
      <c r="P150" s="22"/>
      <c r="Q150" s="22"/>
      <c r="R150" s="22"/>
      <c r="S150" s="22"/>
      <c r="T150" s="22"/>
      <c r="U150" s="22"/>
      <c r="V150" s="22"/>
      <c r="W150" s="22"/>
    </row>
    <row r="151">
      <c r="A151" s="3"/>
      <c r="B151" s="3"/>
      <c r="C151" s="3"/>
      <c r="D151" s="3"/>
      <c r="E151" s="3"/>
      <c r="F151" s="5"/>
      <c r="G151" s="5"/>
      <c r="H151" s="5"/>
      <c r="I151" s="5"/>
      <c r="J151" s="5"/>
      <c r="K151" s="5"/>
      <c r="L151" s="5"/>
      <c r="M151" s="5"/>
      <c r="N151" s="5"/>
      <c r="O151" s="5"/>
      <c r="P151" s="5"/>
      <c r="Q151" s="5"/>
      <c r="R151" s="5"/>
      <c r="S151" s="5"/>
      <c r="T151" s="5"/>
      <c r="U151" s="5"/>
      <c r="V151" s="5"/>
      <c r="W151" s="5"/>
    </row>
    <row r="152">
      <c r="A152" s="3"/>
      <c r="B152" s="3"/>
      <c r="C152" s="3"/>
      <c r="D152" s="3"/>
      <c r="E152" s="3"/>
      <c r="F152" s="5"/>
      <c r="G152" s="5"/>
      <c r="H152" s="5"/>
      <c r="I152" s="5"/>
      <c r="J152" s="5"/>
      <c r="K152" s="5"/>
      <c r="L152" s="5"/>
      <c r="M152" s="5"/>
      <c r="N152" s="5"/>
      <c r="O152" s="5"/>
      <c r="P152" s="5"/>
      <c r="Q152" s="5"/>
      <c r="R152" s="5"/>
      <c r="S152" s="5"/>
      <c r="T152" s="5"/>
      <c r="U152" s="5"/>
      <c r="V152" s="5"/>
      <c r="W152" s="5"/>
    </row>
    <row r="153">
      <c r="A153" s="3"/>
      <c r="B153" s="3"/>
      <c r="C153" s="3"/>
      <c r="D153" s="3"/>
      <c r="E153" s="3"/>
      <c r="F153" s="5"/>
      <c r="G153" s="5"/>
      <c r="H153" s="5"/>
      <c r="I153" s="5"/>
      <c r="J153" s="5"/>
      <c r="K153" s="5"/>
      <c r="L153" s="5"/>
      <c r="M153" s="5"/>
      <c r="N153" s="5"/>
      <c r="O153" s="5"/>
      <c r="P153" s="5"/>
      <c r="Q153" s="5"/>
      <c r="R153" s="5"/>
      <c r="S153" s="5"/>
      <c r="T153" s="5"/>
      <c r="U153" s="5"/>
      <c r="V153" s="5"/>
      <c r="W153" s="5"/>
    </row>
    <row r="154">
      <c r="A154" s="3"/>
      <c r="B154" s="16"/>
      <c r="C154" s="16"/>
      <c r="D154" s="16"/>
      <c r="E154" s="3"/>
      <c r="F154" s="5"/>
      <c r="G154" s="5"/>
      <c r="H154" s="5"/>
      <c r="I154" s="5"/>
      <c r="J154" s="5"/>
      <c r="K154" s="5"/>
      <c r="L154" s="5"/>
      <c r="M154" s="5"/>
      <c r="N154" s="5"/>
      <c r="O154" s="5"/>
      <c r="P154" s="5"/>
      <c r="Q154" s="5"/>
      <c r="R154" s="5"/>
      <c r="S154" s="5"/>
      <c r="T154" s="5"/>
      <c r="U154" s="5"/>
      <c r="V154" s="5"/>
      <c r="W154" s="5"/>
    </row>
    <row r="155">
      <c r="A155" s="3"/>
      <c r="B155" s="3"/>
      <c r="C155" s="3"/>
      <c r="D155" s="3"/>
      <c r="E155" s="3"/>
      <c r="F155" s="5"/>
      <c r="G155" s="5"/>
      <c r="H155" s="5"/>
      <c r="I155" s="5"/>
      <c r="J155" s="5"/>
      <c r="K155" s="5"/>
      <c r="L155" s="5"/>
      <c r="M155" s="5"/>
      <c r="N155" s="5"/>
      <c r="O155" s="5"/>
      <c r="P155" s="5"/>
      <c r="Q155" s="5"/>
      <c r="R155" s="5"/>
      <c r="S155" s="5"/>
      <c r="T155" s="5"/>
      <c r="U155" s="5"/>
      <c r="V155" s="5"/>
      <c r="W155" s="5"/>
    </row>
    <row r="156" ht="27.0" customHeight="1">
      <c r="A156" s="16"/>
      <c r="B156" s="16"/>
      <c r="C156" s="16"/>
      <c r="D156" s="16"/>
      <c r="E156" s="16"/>
      <c r="F156" s="17"/>
      <c r="G156" s="17"/>
      <c r="H156" s="17"/>
      <c r="I156" s="17"/>
      <c r="J156" s="17"/>
      <c r="K156" s="17"/>
      <c r="L156" s="17"/>
      <c r="M156" s="17"/>
      <c r="N156" s="17"/>
      <c r="O156" s="17"/>
      <c r="P156" s="17"/>
      <c r="Q156" s="17"/>
      <c r="R156" s="17"/>
      <c r="S156" s="17"/>
      <c r="T156" s="17"/>
      <c r="U156" s="17"/>
      <c r="V156" s="17"/>
      <c r="W156" s="17"/>
    </row>
    <row r="157">
      <c r="A157" s="16"/>
      <c r="B157" s="16"/>
      <c r="C157" s="16"/>
      <c r="D157" s="16"/>
      <c r="E157" s="16"/>
      <c r="F157" s="17"/>
      <c r="G157" s="17"/>
      <c r="H157" s="17"/>
      <c r="I157" s="17"/>
      <c r="J157" s="17"/>
      <c r="K157" s="17"/>
      <c r="L157" s="17"/>
      <c r="M157" s="17"/>
      <c r="N157" s="17"/>
      <c r="O157" s="17"/>
      <c r="P157" s="17"/>
      <c r="Q157" s="17"/>
      <c r="R157" s="17"/>
      <c r="S157" s="17"/>
      <c r="T157" s="17"/>
      <c r="U157" s="17"/>
      <c r="V157" s="17"/>
      <c r="W157" s="17"/>
    </row>
    <row r="158">
      <c r="A158" s="3"/>
      <c r="B158" s="3"/>
      <c r="C158" s="3"/>
      <c r="D158" s="3"/>
      <c r="E158" s="3"/>
      <c r="F158" s="5"/>
      <c r="G158" s="5"/>
      <c r="H158" s="5"/>
      <c r="I158" s="5"/>
      <c r="J158" s="5"/>
      <c r="K158" s="5"/>
      <c r="L158" s="5"/>
      <c r="M158" s="5"/>
      <c r="N158" s="5"/>
      <c r="O158" s="5"/>
      <c r="P158" s="5"/>
      <c r="Q158" s="5"/>
      <c r="R158" s="5"/>
      <c r="S158" s="5"/>
      <c r="T158" s="5"/>
      <c r="U158" s="5"/>
      <c r="V158" s="5"/>
      <c r="W158" s="5"/>
    </row>
    <row r="159">
      <c r="A159" s="16"/>
      <c r="B159" s="16"/>
      <c r="C159" s="16"/>
      <c r="D159" s="16"/>
      <c r="E159" s="16"/>
      <c r="F159" s="17"/>
      <c r="G159" s="17"/>
      <c r="H159" s="17"/>
      <c r="I159" s="17"/>
      <c r="J159" s="17"/>
      <c r="K159" s="17"/>
      <c r="L159" s="17"/>
      <c r="M159" s="17"/>
      <c r="N159" s="17"/>
      <c r="O159" s="17"/>
      <c r="P159" s="17"/>
      <c r="Q159" s="17"/>
      <c r="R159" s="17"/>
      <c r="S159" s="17"/>
      <c r="T159" s="17"/>
      <c r="U159" s="17"/>
      <c r="V159" s="17"/>
      <c r="W159" s="17"/>
    </row>
    <row r="160">
      <c r="A160" s="20"/>
      <c r="B160" s="20"/>
      <c r="C160" s="21"/>
      <c r="D160" s="21"/>
      <c r="E160" s="3"/>
      <c r="F160" s="3"/>
      <c r="G160" s="22"/>
      <c r="H160" s="22"/>
      <c r="I160" s="22"/>
      <c r="J160" s="22"/>
      <c r="K160" s="22"/>
      <c r="L160" s="22"/>
      <c r="M160" s="22"/>
      <c r="N160" s="22"/>
      <c r="O160" s="22"/>
      <c r="P160" s="22"/>
      <c r="Q160" s="22"/>
      <c r="R160" s="22"/>
      <c r="S160" s="22"/>
      <c r="T160" s="22"/>
      <c r="U160" s="22"/>
      <c r="V160" s="22"/>
      <c r="W160" s="22"/>
    </row>
    <row r="161">
      <c r="A161" s="20"/>
      <c r="B161" s="20"/>
      <c r="C161" s="21"/>
      <c r="D161" s="21"/>
      <c r="E161" s="3"/>
      <c r="F161" s="22"/>
      <c r="G161" s="22"/>
      <c r="H161" s="22"/>
      <c r="I161" s="22"/>
      <c r="J161" s="22"/>
      <c r="K161" s="22"/>
      <c r="L161" s="22"/>
      <c r="M161" s="22"/>
      <c r="N161" s="22"/>
      <c r="O161" s="22"/>
      <c r="P161" s="22"/>
      <c r="Q161" s="22"/>
      <c r="R161" s="22"/>
      <c r="S161" s="22"/>
      <c r="T161" s="22"/>
      <c r="U161" s="22"/>
      <c r="V161" s="22"/>
      <c r="W161" s="22"/>
    </row>
    <row r="162">
      <c r="A162" s="3"/>
      <c r="B162" s="3"/>
      <c r="C162" s="3"/>
      <c r="D162" s="3"/>
      <c r="E162" s="3"/>
      <c r="F162" s="5"/>
      <c r="G162" s="5"/>
      <c r="H162" s="5"/>
      <c r="I162" s="5"/>
      <c r="J162" s="5"/>
      <c r="K162" s="5"/>
      <c r="L162" s="5"/>
      <c r="M162" s="5"/>
      <c r="N162" s="5"/>
      <c r="O162" s="5"/>
      <c r="P162" s="5"/>
      <c r="Q162" s="5"/>
      <c r="R162" s="5"/>
      <c r="S162" s="5"/>
      <c r="T162" s="5"/>
      <c r="U162" s="5"/>
      <c r="V162" s="5"/>
      <c r="W162" s="5"/>
    </row>
    <row r="163">
      <c r="A163" s="3"/>
      <c r="B163" s="3"/>
      <c r="C163" s="3"/>
      <c r="D163" s="3"/>
      <c r="E163" s="3"/>
      <c r="F163" s="5"/>
      <c r="G163" s="5"/>
      <c r="H163" s="5"/>
      <c r="I163" s="5"/>
      <c r="J163" s="5"/>
      <c r="K163" s="5"/>
      <c r="L163" s="5"/>
      <c r="M163" s="5"/>
      <c r="N163" s="5"/>
      <c r="O163" s="5"/>
      <c r="P163" s="5"/>
      <c r="Q163" s="5"/>
      <c r="R163" s="5"/>
      <c r="S163" s="5"/>
      <c r="T163" s="5"/>
      <c r="U163" s="5"/>
      <c r="V163" s="5"/>
      <c r="W163" s="5"/>
    </row>
    <row r="164">
      <c r="A164" s="3"/>
      <c r="B164" s="3"/>
      <c r="C164" s="3"/>
      <c r="D164" s="3"/>
      <c r="E164" s="3"/>
      <c r="F164" s="5"/>
      <c r="G164" s="5"/>
      <c r="H164" s="5"/>
      <c r="I164" s="5"/>
      <c r="J164" s="5"/>
      <c r="K164" s="5"/>
      <c r="L164" s="5"/>
      <c r="M164" s="5"/>
      <c r="N164" s="5"/>
      <c r="O164" s="5"/>
      <c r="P164" s="5"/>
      <c r="Q164" s="5"/>
      <c r="R164" s="5"/>
      <c r="S164" s="5"/>
      <c r="T164" s="5"/>
      <c r="U164" s="5"/>
      <c r="V164" s="5"/>
      <c r="W164" s="5"/>
    </row>
    <row r="165">
      <c r="A165" s="3"/>
      <c r="B165" s="16"/>
      <c r="C165" s="16"/>
      <c r="D165" s="16"/>
      <c r="E165" s="3"/>
      <c r="F165" s="5"/>
      <c r="G165" s="5"/>
      <c r="H165" s="5"/>
      <c r="I165" s="5"/>
      <c r="J165" s="5"/>
      <c r="K165" s="5"/>
      <c r="L165" s="5"/>
      <c r="M165" s="5"/>
      <c r="N165" s="5"/>
      <c r="O165" s="5"/>
      <c r="P165" s="5"/>
      <c r="Q165" s="5"/>
      <c r="R165" s="5"/>
      <c r="S165" s="5"/>
      <c r="T165" s="5"/>
      <c r="U165" s="5"/>
      <c r="V165" s="5"/>
      <c r="W165" s="5"/>
    </row>
    <row r="166">
      <c r="A166" s="3"/>
      <c r="B166" s="3"/>
      <c r="C166" s="3"/>
      <c r="D166" s="3"/>
      <c r="E166" s="3"/>
      <c r="F166" s="5"/>
      <c r="G166" s="5"/>
      <c r="H166" s="5"/>
      <c r="I166" s="5"/>
      <c r="J166" s="5"/>
      <c r="K166" s="5"/>
      <c r="L166" s="5"/>
      <c r="M166" s="5"/>
      <c r="N166" s="5"/>
      <c r="O166" s="5"/>
      <c r="P166" s="5"/>
      <c r="Q166" s="5"/>
      <c r="R166" s="5"/>
      <c r="S166" s="5"/>
      <c r="T166" s="5"/>
      <c r="U166" s="5"/>
      <c r="V166" s="5"/>
      <c r="W166" s="5"/>
    </row>
    <row r="167">
      <c r="A167" s="16"/>
      <c r="B167" s="16"/>
      <c r="C167" s="16"/>
      <c r="D167" s="16"/>
      <c r="E167" s="16"/>
      <c r="F167" s="17"/>
      <c r="G167" s="17"/>
      <c r="H167" s="17"/>
      <c r="I167" s="17"/>
      <c r="J167" s="17"/>
      <c r="K167" s="17"/>
      <c r="L167" s="17"/>
      <c r="M167" s="17"/>
      <c r="N167" s="17"/>
      <c r="O167" s="17"/>
      <c r="P167" s="17"/>
      <c r="Q167" s="17"/>
      <c r="R167" s="17"/>
      <c r="S167" s="17"/>
      <c r="T167" s="17"/>
      <c r="U167" s="17"/>
      <c r="V167" s="17"/>
      <c r="W167" s="17"/>
    </row>
    <row r="168">
      <c r="A168" s="16"/>
      <c r="B168" s="16"/>
      <c r="C168" s="16"/>
      <c r="D168" s="16"/>
      <c r="E168" s="16"/>
      <c r="F168" s="17"/>
      <c r="G168" s="17"/>
      <c r="H168" s="17"/>
      <c r="I168" s="17"/>
      <c r="J168" s="17"/>
      <c r="K168" s="17"/>
      <c r="L168" s="17"/>
      <c r="M168" s="17"/>
      <c r="N168" s="17"/>
      <c r="O168" s="17"/>
      <c r="P168" s="17"/>
      <c r="Q168" s="17"/>
      <c r="R168" s="17"/>
      <c r="S168" s="17"/>
      <c r="T168" s="17"/>
      <c r="U168" s="17"/>
      <c r="V168" s="17"/>
      <c r="W168" s="17"/>
    </row>
    <row r="169">
      <c r="A169" s="3"/>
      <c r="B169" s="3"/>
      <c r="C169" s="3"/>
      <c r="D169" s="3"/>
      <c r="E169" s="3"/>
      <c r="F169" s="5"/>
      <c r="G169" s="5"/>
      <c r="H169" s="5"/>
      <c r="I169" s="5"/>
      <c r="J169" s="5"/>
      <c r="K169" s="5"/>
      <c r="L169" s="5"/>
      <c r="M169" s="5"/>
      <c r="N169" s="5"/>
      <c r="O169" s="5"/>
      <c r="P169" s="5"/>
      <c r="Q169" s="5"/>
      <c r="R169" s="5"/>
      <c r="S169" s="5"/>
      <c r="T169" s="5"/>
      <c r="U169" s="5"/>
      <c r="V169" s="5"/>
      <c r="W169" s="5"/>
    </row>
    <row r="170">
      <c r="A170" s="16"/>
      <c r="B170" s="16"/>
      <c r="C170" s="16"/>
      <c r="D170" s="16"/>
      <c r="E170" s="16"/>
      <c r="F170" s="17"/>
      <c r="G170" s="17"/>
      <c r="H170" s="17"/>
      <c r="I170" s="17"/>
      <c r="J170" s="17"/>
      <c r="K170" s="17"/>
      <c r="L170" s="17"/>
      <c r="M170" s="17"/>
      <c r="N170" s="17"/>
      <c r="O170" s="17"/>
      <c r="P170" s="17"/>
      <c r="Q170" s="17"/>
      <c r="R170" s="17"/>
      <c r="S170" s="17"/>
      <c r="T170" s="17"/>
      <c r="U170" s="17"/>
      <c r="V170" s="17"/>
      <c r="W170" s="17"/>
    </row>
    <row r="171">
      <c r="A171" s="20"/>
      <c r="B171" s="20"/>
      <c r="C171" s="21"/>
      <c r="D171" s="21"/>
      <c r="E171" s="3"/>
      <c r="F171" s="3"/>
      <c r="G171" s="22"/>
      <c r="H171" s="22"/>
      <c r="I171" s="22"/>
      <c r="J171" s="22"/>
      <c r="K171" s="22"/>
      <c r="L171" s="22"/>
      <c r="M171" s="22"/>
      <c r="N171" s="22"/>
      <c r="O171" s="22"/>
      <c r="P171" s="22"/>
      <c r="Q171" s="22"/>
      <c r="R171" s="22"/>
      <c r="S171" s="22"/>
      <c r="T171" s="22"/>
      <c r="U171" s="22"/>
      <c r="V171" s="22"/>
      <c r="W171" s="22"/>
    </row>
    <row r="172">
      <c r="A172" s="20"/>
      <c r="B172" s="20"/>
      <c r="C172" s="21"/>
      <c r="D172" s="21"/>
      <c r="E172" s="3"/>
      <c r="F172" s="22"/>
      <c r="G172" s="22"/>
      <c r="H172" s="22"/>
      <c r="I172" s="22"/>
      <c r="J172" s="22"/>
      <c r="K172" s="22"/>
      <c r="L172" s="22"/>
      <c r="M172" s="22"/>
      <c r="N172" s="22"/>
      <c r="O172" s="22"/>
      <c r="P172" s="22"/>
      <c r="Q172" s="22"/>
      <c r="R172" s="22"/>
      <c r="S172" s="22"/>
      <c r="T172" s="22"/>
      <c r="U172" s="22"/>
      <c r="V172" s="22"/>
      <c r="W172" s="22"/>
    </row>
    <row r="173">
      <c r="A173" s="3"/>
      <c r="B173" s="3"/>
      <c r="C173" s="3"/>
      <c r="D173" s="3"/>
      <c r="E173" s="3"/>
      <c r="F173" s="5"/>
      <c r="G173" s="5"/>
      <c r="H173" s="5"/>
      <c r="I173" s="5"/>
      <c r="J173" s="5"/>
      <c r="K173" s="5"/>
      <c r="L173" s="5"/>
      <c r="M173" s="5"/>
      <c r="N173" s="5"/>
      <c r="O173" s="5"/>
      <c r="P173" s="5"/>
      <c r="Q173" s="5"/>
      <c r="R173" s="5"/>
      <c r="S173" s="5"/>
      <c r="T173" s="5"/>
      <c r="U173" s="5"/>
      <c r="V173" s="5"/>
      <c r="W173" s="5"/>
    </row>
    <row r="174">
      <c r="A174" s="20"/>
      <c r="B174" s="21"/>
      <c r="C174" s="21"/>
      <c r="D174" s="21"/>
      <c r="E174" s="3"/>
      <c r="F174" s="22"/>
      <c r="G174" s="22"/>
      <c r="H174" s="22"/>
      <c r="I174" s="22"/>
      <c r="J174" s="22"/>
      <c r="K174" s="22"/>
      <c r="L174" s="22"/>
      <c r="M174" s="22"/>
      <c r="N174" s="22"/>
      <c r="O174" s="22"/>
      <c r="P174" s="22"/>
      <c r="Q174" s="22"/>
      <c r="R174" s="22"/>
      <c r="S174" s="22"/>
      <c r="T174" s="22"/>
      <c r="U174" s="22"/>
      <c r="V174" s="22"/>
      <c r="W174" s="22"/>
    </row>
    <row r="175">
      <c r="A175" s="3"/>
      <c r="B175" s="3"/>
      <c r="C175" s="3"/>
      <c r="D175" s="3"/>
      <c r="E175" s="3"/>
      <c r="F175" s="5"/>
      <c r="G175" s="5"/>
      <c r="H175" s="5"/>
      <c r="I175" s="5"/>
      <c r="J175" s="5"/>
      <c r="K175" s="5"/>
      <c r="L175" s="5"/>
      <c r="M175" s="5"/>
      <c r="N175" s="5"/>
      <c r="O175" s="5"/>
      <c r="P175" s="5"/>
      <c r="Q175" s="5"/>
      <c r="R175" s="5"/>
      <c r="S175" s="5"/>
      <c r="T175" s="5"/>
      <c r="U175" s="5"/>
      <c r="V175" s="5"/>
      <c r="W175" s="5"/>
    </row>
    <row r="176">
      <c r="A176" s="3"/>
      <c r="B176" s="16"/>
      <c r="C176" s="16"/>
      <c r="D176" s="16"/>
      <c r="E176" s="3"/>
      <c r="F176" s="5"/>
      <c r="G176" s="5"/>
      <c r="H176" s="5"/>
      <c r="I176" s="5"/>
      <c r="J176" s="5"/>
      <c r="K176" s="5"/>
      <c r="L176" s="5"/>
      <c r="M176" s="5"/>
      <c r="N176" s="5"/>
      <c r="O176" s="5"/>
      <c r="P176" s="5"/>
      <c r="Q176" s="5"/>
      <c r="R176" s="5"/>
      <c r="S176" s="5"/>
      <c r="T176" s="5"/>
      <c r="U176" s="5"/>
      <c r="V176" s="5"/>
      <c r="W176" s="5"/>
    </row>
    <row r="177">
      <c r="A177" s="3"/>
      <c r="B177" s="3"/>
      <c r="C177" s="3"/>
      <c r="D177" s="3"/>
      <c r="E177" s="3"/>
      <c r="F177" s="5"/>
      <c r="G177" s="5"/>
      <c r="H177" s="5"/>
      <c r="I177" s="5"/>
      <c r="J177" s="5"/>
      <c r="K177" s="5"/>
      <c r="L177" s="5"/>
      <c r="M177" s="5"/>
      <c r="N177" s="5"/>
      <c r="O177" s="5"/>
      <c r="P177" s="5"/>
      <c r="Q177" s="5"/>
      <c r="R177" s="5"/>
      <c r="S177" s="5"/>
      <c r="T177" s="5"/>
      <c r="U177" s="5"/>
      <c r="V177" s="5"/>
      <c r="W177" s="5"/>
    </row>
    <row r="178">
      <c r="A178" s="16"/>
      <c r="B178" s="16"/>
      <c r="C178" s="16"/>
      <c r="D178" s="16"/>
      <c r="E178" s="16"/>
      <c r="F178" s="17"/>
      <c r="G178" s="17"/>
      <c r="H178" s="17"/>
      <c r="I178" s="17"/>
      <c r="J178" s="17"/>
      <c r="K178" s="17"/>
      <c r="L178" s="17"/>
      <c r="M178" s="17"/>
      <c r="N178" s="17"/>
      <c r="O178" s="17"/>
      <c r="P178" s="17"/>
      <c r="Q178" s="17"/>
      <c r="R178" s="17"/>
      <c r="S178" s="17"/>
      <c r="T178" s="17"/>
      <c r="U178" s="17"/>
      <c r="V178" s="17"/>
      <c r="W178" s="17"/>
    </row>
    <row r="179">
      <c r="A179" s="16"/>
      <c r="B179" s="16"/>
      <c r="C179" s="16"/>
      <c r="D179" s="16"/>
      <c r="E179" s="16"/>
      <c r="F179" s="17"/>
      <c r="G179" s="17"/>
      <c r="H179" s="17"/>
      <c r="I179" s="17"/>
      <c r="J179" s="17"/>
      <c r="K179" s="17"/>
      <c r="L179" s="17"/>
      <c r="M179" s="17"/>
      <c r="N179" s="17"/>
      <c r="O179" s="17"/>
      <c r="P179" s="17"/>
      <c r="Q179" s="17"/>
      <c r="R179" s="17"/>
      <c r="S179" s="17"/>
      <c r="T179" s="17"/>
      <c r="U179" s="17"/>
      <c r="V179" s="17"/>
      <c r="W179" s="17"/>
    </row>
    <row r="180">
      <c r="A180" s="3"/>
      <c r="B180" s="3"/>
      <c r="C180" s="3"/>
      <c r="D180" s="3"/>
      <c r="E180" s="3"/>
      <c r="F180" s="5"/>
      <c r="G180" s="5"/>
      <c r="H180" s="5"/>
      <c r="I180" s="5"/>
      <c r="J180" s="5"/>
      <c r="K180" s="5"/>
      <c r="L180" s="5"/>
      <c r="M180" s="5"/>
      <c r="N180" s="5"/>
      <c r="O180" s="5"/>
      <c r="P180" s="5"/>
      <c r="Q180" s="5"/>
      <c r="R180" s="5"/>
      <c r="S180" s="5"/>
      <c r="T180" s="5"/>
      <c r="U180" s="5"/>
      <c r="V180" s="5"/>
      <c r="W180" s="5"/>
    </row>
    <row r="181">
      <c r="A181" s="16"/>
      <c r="B181" s="16"/>
      <c r="C181" s="16"/>
      <c r="D181" s="16"/>
      <c r="E181" s="16"/>
      <c r="F181" s="17"/>
      <c r="G181" s="17"/>
      <c r="H181" s="17"/>
      <c r="I181" s="17"/>
      <c r="J181" s="17"/>
      <c r="K181" s="17"/>
      <c r="L181" s="17"/>
      <c r="M181" s="17"/>
      <c r="N181" s="17"/>
      <c r="O181" s="17"/>
      <c r="P181" s="17"/>
      <c r="Q181" s="17"/>
      <c r="R181" s="17"/>
      <c r="S181" s="17"/>
      <c r="T181" s="17"/>
      <c r="U181" s="17"/>
      <c r="V181" s="17"/>
      <c r="W181" s="17"/>
    </row>
    <row r="182">
      <c r="A182" s="20"/>
      <c r="B182" s="20"/>
      <c r="C182" s="21"/>
      <c r="D182" s="21"/>
      <c r="E182" s="3"/>
      <c r="F182" s="3"/>
      <c r="G182" s="22"/>
      <c r="H182" s="22"/>
      <c r="I182" s="22"/>
      <c r="J182" s="22"/>
      <c r="K182" s="22"/>
      <c r="L182" s="22"/>
      <c r="M182" s="22"/>
      <c r="N182" s="22"/>
      <c r="O182" s="22"/>
      <c r="P182" s="22"/>
      <c r="Q182" s="22"/>
      <c r="R182" s="22"/>
      <c r="S182" s="22"/>
      <c r="T182" s="22"/>
      <c r="U182" s="22"/>
      <c r="V182" s="22"/>
      <c r="W182" s="22"/>
    </row>
    <row r="183">
      <c r="A183" s="20"/>
      <c r="B183" s="20"/>
      <c r="C183" s="21"/>
      <c r="D183" s="21"/>
      <c r="E183" s="3"/>
      <c r="F183" s="22"/>
      <c r="G183" s="22"/>
      <c r="H183" s="22"/>
      <c r="I183" s="22"/>
      <c r="J183" s="22"/>
      <c r="K183" s="22"/>
      <c r="L183" s="22"/>
      <c r="M183" s="22"/>
      <c r="N183" s="22"/>
      <c r="O183" s="22"/>
      <c r="P183" s="22"/>
      <c r="Q183" s="22"/>
      <c r="R183" s="22"/>
      <c r="S183" s="22"/>
      <c r="T183" s="22"/>
      <c r="U183" s="22"/>
      <c r="V183" s="22"/>
      <c r="W183" s="22"/>
    </row>
    <row r="184">
      <c r="A184" s="3"/>
      <c r="B184" s="20"/>
      <c r="C184" s="3"/>
      <c r="D184" s="3"/>
      <c r="E184" s="3"/>
      <c r="F184" s="5"/>
      <c r="G184" s="5"/>
      <c r="H184" s="5"/>
      <c r="I184" s="5"/>
      <c r="J184" s="5"/>
      <c r="K184" s="5"/>
      <c r="L184" s="5"/>
      <c r="M184" s="5"/>
      <c r="N184" s="5"/>
      <c r="O184" s="5"/>
      <c r="P184" s="5"/>
      <c r="Q184" s="5"/>
      <c r="R184" s="5"/>
      <c r="S184" s="5"/>
      <c r="T184" s="5"/>
      <c r="U184" s="5"/>
      <c r="V184" s="5"/>
      <c r="W184" s="5"/>
    </row>
    <row r="185">
      <c r="A185" s="20"/>
      <c r="B185" s="21"/>
      <c r="C185" s="21"/>
      <c r="D185" s="21"/>
      <c r="E185" s="3"/>
      <c r="F185" s="22"/>
      <c r="G185" s="22"/>
      <c r="H185" s="22"/>
      <c r="I185" s="22"/>
      <c r="J185" s="22"/>
      <c r="K185" s="22"/>
      <c r="L185" s="22"/>
      <c r="M185" s="22"/>
      <c r="N185" s="22"/>
      <c r="O185" s="22"/>
      <c r="P185" s="22"/>
      <c r="Q185" s="22"/>
      <c r="R185" s="22"/>
      <c r="S185" s="22"/>
      <c r="T185" s="22"/>
      <c r="U185" s="22"/>
      <c r="V185" s="22"/>
      <c r="W185" s="22"/>
    </row>
    <row r="186">
      <c r="A186" s="3"/>
      <c r="B186" s="3"/>
      <c r="C186" s="3"/>
      <c r="D186" s="3"/>
      <c r="E186" s="3"/>
      <c r="F186" s="5"/>
      <c r="G186" s="5"/>
      <c r="H186" s="5"/>
      <c r="I186" s="5"/>
      <c r="J186" s="5"/>
      <c r="K186" s="5"/>
      <c r="L186" s="5"/>
      <c r="M186" s="5"/>
      <c r="N186" s="5"/>
      <c r="O186" s="5"/>
      <c r="P186" s="5"/>
      <c r="Q186" s="5"/>
      <c r="R186" s="5"/>
      <c r="S186" s="5"/>
      <c r="T186" s="5"/>
      <c r="U186" s="5"/>
      <c r="V186" s="5"/>
      <c r="W186" s="5"/>
    </row>
    <row r="187">
      <c r="A187" s="3"/>
      <c r="B187" s="16"/>
      <c r="C187" s="16"/>
      <c r="D187" s="16"/>
      <c r="E187" s="3"/>
      <c r="F187" s="5"/>
      <c r="G187" s="5"/>
      <c r="H187" s="5"/>
      <c r="I187" s="5"/>
      <c r="J187" s="5"/>
      <c r="K187" s="5"/>
      <c r="L187" s="5"/>
      <c r="M187" s="5"/>
      <c r="N187" s="5"/>
      <c r="O187" s="5"/>
      <c r="P187" s="5"/>
      <c r="Q187" s="5"/>
      <c r="R187" s="5"/>
      <c r="S187" s="5"/>
      <c r="T187" s="5"/>
      <c r="U187" s="5"/>
      <c r="V187" s="5"/>
      <c r="W187" s="5"/>
    </row>
    <row r="188">
      <c r="A188" s="3"/>
      <c r="B188" s="3"/>
      <c r="C188" s="3"/>
      <c r="D188" s="3"/>
      <c r="E188" s="3"/>
      <c r="F188" s="5"/>
      <c r="G188" s="5"/>
      <c r="H188" s="5"/>
      <c r="I188" s="5"/>
      <c r="J188" s="5"/>
      <c r="K188" s="5"/>
      <c r="L188" s="5"/>
      <c r="M188" s="5"/>
      <c r="N188" s="5"/>
      <c r="O188" s="5"/>
      <c r="P188" s="5"/>
      <c r="Q188" s="5"/>
      <c r="R188" s="5"/>
      <c r="S188" s="5"/>
      <c r="T188" s="5"/>
      <c r="U188" s="5"/>
      <c r="V188" s="5"/>
      <c r="W188" s="5"/>
    </row>
    <row r="189">
      <c r="A189" s="16"/>
      <c r="B189" s="16"/>
      <c r="C189" s="16"/>
      <c r="D189" s="16"/>
      <c r="E189" s="16"/>
      <c r="F189" s="17"/>
      <c r="G189" s="17"/>
      <c r="H189" s="17"/>
      <c r="I189" s="17"/>
      <c r="J189" s="17"/>
      <c r="K189" s="17"/>
      <c r="L189" s="17"/>
      <c r="M189" s="17"/>
      <c r="N189" s="17"/>
      <c r="O189" s="17"/>
      <c r="P189" s="17"/>
      <c r="Q189" s="17"/>
      <c r="R189" s="17"/>
      <c r="S189" s="17"/>
      <c r="T189" s="17"/>
      <c r="U189" s="17"/>
      <c r="V189" s="17"/>
      <c r="W189" s="17"/>
    </row>
    <row r="190">
      <c r="A190" s="16"/>
      <c r="B190" s="16"/>
      <c r="C190" s="16"/>
      <c r="D190" s="16"/>
      <c r="E190" s="16"/>
      <c r="F190" s="17"/>
      <c r="G190" s="17"/>
      <c r="H190" s="17"/>
      <c r="I190" s="17"/>
      <c r="J190" s="17"/>
      <c r="K190" s="17"/>
      <c r="L190" s="17"/>
      <c r="M190" s="17"/>
      <c r="N190" s="17"/>
      <c r="O190" s="17"/>
      <c r="P190" s="17"/>
      <c r="Q190" s="17"/>
      <c r="R190" s="17"/>
      <c r="S190" s="17"/>
      <c r="T190" s="17"/>
      <c r="U190" s="17"/>
      <c r="V190" s="17"/>
      <c r="W190" s="17"/>
    </row>
    <row r="191">
      <c r="A191" s="3"/>
      <c r="B191" s="3"/>
      <c r="C191" s="3"/>
      <c r="D191" s="3"/>
      <c r="E191" s="3"/>
      <c r="F191" s="5"/>
      <c r="G191" s="5"/>
      <c r="H191" s="5"/>
      <c r="I191" s="5"/>
      <c r="J191" s="5"/>
      <c r="K191" s="5"/>
      <c r="L191" s="5"/>
      <c r="M191" s="5"/>
      <c r="N191" s="5"/>
      <c r="O191" s="5"/>
      <c r="P191" s="5"/>
      <c r="Q191" s="5"/>
      <c r="R191" s="5"/>
      <c r="S191" s="5"/>
      <c r="T191" s="5"/>
      <c r="U191" s="5"/>
      <c r="V191" s="5"/>
      <c r="W191" s="5"/>
    </row>
    <row r="192">
      <c r="A192" s="16"/>
      <c r="B192" s="16"/>
      <c r="C192" s="16"/>
      <c r="D192" s="16"/>
      <c r="E192" s="16"/>
      <c r="F192" s="17"/>
      <c r="G192" s="17"/>
      <c r="H192" s="17"/>
      <c r="I192" s="17"/>
      <c r="J192" s="17"/>
      <c r="K192" s="17"/>
      <c r="L192" s="17"/>
      <c r="M192" s="17"/>
      <c r="N192" s="17"/>
      <c r="O192" s="17"/>
      <c r="P192" s="17"/>
      <c r="Q192" s="17"/>
      <c r="R192" s="17"/>
      <c r="S192" s="17"/>
      <c r="T192" s="17"/>
      <c r="U192" s="17"/>
      <c r="V192" s="17"/>
      <c r="W192" s="17"/>
    </row>
    <row r="193">
      <c r="A193" s="20"/>
      <c r="B193" s="20"/>
      <c r="C193" s="21"/>
      <c r="D193" s="21"/>
      <c r="E193" s="3"/>
      <c r="F193" s="3"/>
      <c r="G193" s="22"/>
      <c r="H193" s="22"/>
      <c r="I193" s="22"/>
      <c r="J193" s="22"/>
      <c r="K193" s="22"/>
      <c r="L193" s="22"/>
      <c r="M193" s="22"/>
      <c r="N193" s="22"/>
      <c r="O193" s="22"/>
      <c r="P193" s="22"/>
      <c r="Q193" s="22"/>
      <c r="R193" s="22"/>
      <c r="S193" s="22"/>
      <c r="T193" s="22"/>
      <c r="U193" s="22"/>
      <c r="V193" s="22"/>
      <c r="W193" s="22"/>
    </row>
    <row r="194">
      <c r="A194" s="20"/>
      <c r="B194" s="20"/>
      <c r="C194" s="21"/>
      <c r="D194" s="21"/>
      <c r="E194" s="3"/>
      <c r="F194" s="22"/>
      <c r="G194" s="22"/>
      <c r="H194" s="22"/>
      <c r="I194" s="22"/>
      <c r="J194" s="22"/>
      <c r="K194" s="22"/>
      <c r="L194" s="22"/>
      <c r="M194" s="22"/>
      <c r="N194" s="22"/>
      <c r="O194" s="22"/>
      <c r="P194" s="22"/>
      <c r="Q194" s="22"/>
      <c r="R194" s="22"/>
      <c r="S194" s="22"/>
      <c r="T194" s="22"/>
      <c r="U194" s="22"/>
      <c r="V194" s="22"/>
      <c r="W194" s="22"/>
    </row>
    <row r="195">
      <c r="A195" s="3"/>
      <c r="B195" s="20"/>
      <c r="C195" s="3"/>
      <c r="D195" s="3"/>
      <c r="E195" s="3"/>
      <c r="F195" s="5"/>
      <c r="G195" s="5"/>
      <c r="H195" s="5"/>
      <c r="I195" s="5"/>
      <c r="J195" s="5"/>
      <c r="K195" s="5"/>
      <c r="L195" s="5"/>
      <c r="M195" s="5"/>
      <c r="N195" s="5"/>
      <c r="O195" s="5"/>
      <c r="P195" s="5"/>
      <c r="Q195" s="5"/>
      <c r="R195" s="5"/>
      <c r="S195" s="5"/>
      <c r="T195" s="5"/>
      <c r="U195" s="5"/>
      <c r="V195" s="5"/>
      <c r="W195" s="5"/>
    </row>
    <row r="196">
      <c r="A196" s="20"/>
      <c r="B196" s="20"/>
      <c r="C196" s="21"/>
      <c r="D196" s="21"/>
      <c r="E196" s="3"/>
      <c r="F196" s="22"/>
      <c r="G196" s="22"/>
      <c r="H196" s="22"/>
      <c r="I196" s="22"/>
      <c r="J196" s="22"/>
      <c r="K196" s="22"/>
      <c r="L196" s="22"/>
      <c r="M196" s="22"/>
      <c r="N196" s="22"/>
      <c r="O196" s="22"/>
      <c r="P196" s="22"/>
      <c r="Q196" s="22"/>
      <c r="R196" s="22"/>
      <c r="S196" s="22"/>
      <c r="T196" s="22"/>
      <c r="U196" s="22"/>
      <c r="V196" s="22"/>
      <c r="W196" s="22"/>
    </row>
    <row r="197">
      <c r="A197" s="3"/>
      <c r="B197" s="3"/>
      <c r="C197" s="3"/>
      <c r="D197" s="3"/>
      <c r="E197" s="3"/>
      <c r="F197" s="5"/>
      <c r="G197" s="5"/>
      <c r="H197" s="5"/>
      <c r="I197" s="5"/>
      <c r="J197" s="5"/>
      <c r="K197" s="5"/>
      <c r="L197" s="5"/>
      <c r="M197" s="5"/>
      <c r="N197" s="5"/>
      <c r="O197" s="5"/>
      <c r="P197" s="5"/>
      <c r="Q197" s="5"/>
      <c r="R197" s="5"/>
      <c r="S197" s="5"/>
      <c r="T197" s="5"/>
      <c r="U197" s="5"/>
      <c r="V197" s="5"/>
      <c r="W197" s="5"/>
    </row>
    <row r="198">
      <c r="A198" s="3"/>
      <c r="B198" s="3"/>
      <c r="C198" s="3"/>
      <c r="D198" s="3"/>
      <c r="E198" s="3"/>
      <c r="F198" s="5"/>
      <c r="G198" s="5"/>
      <c r="H198" s="5"/>
      <c r="I198" s="5"/>
      <c r="J198" s="5"/>
      <c r="K198" s="5"/>
      <c r="L198" s="5"/>
      <c r="M198" s="5"/>
      <c r="N198" s="5"/>
      <c r="O198" s="5"/>
      <c r="P198" s="5"/>
      <c r="Q198" s="5"/>
      <c r="R198" s="5"/>
      <c r="S198" s="5"/>
      <c r="T198" s="5"/>
      <c r="U198" s="5"/>
      <c r="V198" s="5"/>
      <c r="W198" s="5"/>
    </row>
    <row r="199">
      <c r="A199" s="16"/>
      <c r="B199" s="16"/>
      <c r="C199" s="16"/>
      <c r="D199" s="16"/>
      <c r="E199" s="16"/>
      <c r="F199" s="17"/>
      <c r="G199" s="17"/>
      <c r="H199" s="17"/>
      <c r="I199" s="17"/>
      <c r="J199" s="17"/>
      <c r="K199" s="17"/>
      <c r="L199" s="17"/>
      <c r="M199" s="17"/>
      <c r="N199" s="17"/>
      <c r="O199" s="17"/>
      <c r="P199" s="17"/>
      <c r="Q199" s="17"/>
      <c r="R199" s="17"/>
      <c r="S199" s="17"/>
      <c r="T199" s="17"/>
      <c r="U199" s="17"/>
      <c r="V199" s="17"/>
      <c r="W199" s="17"/>
    </row>
    <row r="200">
      <c r="A200" s="16"/>
      <c r="B200" s="16"/>
      <c r="C200" s="16"/>
      <c r="D200" s="16"/>
      <c r="E200" s="16"/>
      <c r="F200" s="17"/>
      <c r="G200" s="17"/>
      <c r="H200" s="17"/>
      <c r="I200" s="17"/>
      <c r="J200" s="17"/>
      <c r="K200" s="17"/>
      <c r="L200" s="17"/>
      <c r="M200" s="17"/>
      <c r="N200" s="17"/>
      <c r="O200" s="17"/>
      <c r="P200" s="17"/>
      <c r="Q200" s="17"/>
      <c r="R200" s="17"/>
      <c r="S200" s="17"/>
      <c r="T200" s="17"/>
      <c r="U200" s="17"/>
      <c r="V200" s="17"/>
      <c r="W200" s="17"/>
    </row>
    <row r="201">
      <c r="A201" s="16"/>
      <c r="B201" s="16"/>
      <c r="C201" s="16"/>
      <c r="D201" s="16"/>
      <c r="E201" s="16"/>
      <c r="F201" s="17"/>
      <c r="G201" s="17"/>
      <c r="H201" s="17"/>
      <c r="I201" s="17"/>
      <c r="J201" s="17"/>
      <c r="K201" s="17"/>
      <c r="L201" s="17"/>
      <c r="M201" s="17"/>
      <c r="N201" s="17"/>
      <c r="O201" s="17"/>
      <c r="P201" s="17"/>
      <c r="Q201" s="17"/>
      <c r="R201" s="17"/>
      <c r="S201" s="17"/>
      <c r="T201" s="17"/>
      <c r="U201" s="17"/>
      <c r="V201" s="17"/>
      <c r="W201" s="17"/>
    </row>
    <row r="202">
      <c r="A202" s="3"/>
      <c r="B202" s="3"/>
      <c r="C202" s="3"/>
      <c r="D202" s="3"/>
      <c r="E202" s="3"/>
      <c r="F202" s="5"/>
      <c r="G202" s="5"/>
      <c r="H202" s="5"/>
      <c r="I202" s="5"/>
      <c r="J202" s="5"/>
      <c r="K202" s="5"/>
      <c r="L202" s="5"/>
      <c r="M202" s="5"/>
      <c r="N202" s="5"/>
      <c r="O202" s="5"/>
      <c r="P202" s="5"/>
      <c r="Q202" s="5"/>
      <c r="R202" s="5"/>
      <c r="S202" s="5"/>
      <c r="T202" s="5"/>
      <c r="U202" s="5"/>
      <c r="V202" s="5"/>
      <c r="W202" s="5"/>
    </row>
    <row r="203">
      <c r="A203" s="16"/>
      <c r="B203" s="16"/>
      <c r="C203" s="16"/>
      <c r="D203" s="16"/>
      <c r="E203" s="16"/>
      <c r="F203" s="17"/>
      <c r="G203" s="17"/>
      <c r="H203" s="17"/>
      <c r="I203" s="17"/>
      <c r="J203" s="17"/>
      <c r="K203" s="17"/>
      <c r="L203" s="17"/>
      <c r="M203" s="17"/>
      <c r="N203" s="17"/>
      <c r="O203" s="17"/>
      <c r="P203" s="17"/>
      <c r="Q203" s="17"/>
      <c r="R203" s="17"/>
      <c r="S203" s="17"/>
      <c r="T203" s="17"/>
      <c r="U203" s="17"/>
      <c r="V203" s="17"/>
      <c r="W203" s="17"/>
    </row>
    <row r="204">
      <c r="A204" s="20"/>
      <c r="B204" s="20"/>
      <c r="C204" s="21"/>
      <c r="D204" s="21"/>
      <c r="E204" s="3"/>
      <c r="F204" s="3"/>
      <c r="G204" s="22"/>
      <c r="H204" s="22"/>
      <c r="I204" s="22"/>
      <c r="J204" s="22"/>
      <c r="K204" s="22"/>
      <c r="L204" s="22"/>
      <c r="M204" s="22"/>
      <c r="N204" s="22"/>
      <c r="O204" s="22"/>
      <c r="P204" s="22"/>
      <c r="Q204" s="22"/>
      <c r="R204" s="22"/>
      <c r="S204" s="22"/>
      <c r="T204" s="22"/>
      <c r="U204" s="22"/>
      <c r="V204" s="22"/>
      <c r="W204" s="22"/>
    </row>
    <row r="205">
      <c r="A205" s="20"/>
      <c r="B205" s="20"/>
      <c r="C205" s="21"/>
      <c r="D205" s="21"/>
      <c r="E205" s="3"/>
      <c r="F205" s="22"/>
      <c r="G205" s="22"/>
      <c r="H205" s="22"/>
      <c r="I205" s="22"/>
      <c r="J205" s="22"/>
      <c r="K205" s="22"/>
      <c r="L205" s="22"/>
      <c r="M205" s="22"/>
      <c r="N205" s="22"/>
      <c r="O205" s="22"/>
      <c r="P205" s="22"/>
      <c r="Q205" s="22"/>
      <c r="R205" s="22"/>
      <c r="S205" s="22"/>
      <c r="T205" s="22"/>
      <c r="U205" s="22"/>
      <c r="V205" s="22"/>
      <c r="W205" s="22"/>
    </row>
    <row r="206">
      <c r="A206" s="3"/>
      <c r="B206" s="3"/>
      <c r="C206" s="3"/>
      <c r="D206" s="3"/>
      <c r="E206" s="3"/>
      <c r="F206" s="5"/>
      <c r="G206" s="5"/>
      <c r="H206" s="5"/>
      <c r="I206" s="5"/>
      <c r="J206" s="5"/>
      <c r="K206" s="5"/>
      <c r="L206" s="5"/>
      <c r="M206" s="5"/>
      <c r="N206" s="5"/>
      <c r="O206" s="5"/>
      <c r="P206" s="5"/>
      <c r="Q206" s="5"/>
      <c r="R206" s="5"/>
      <c r="S206" s="5"/>
      <c r="T206" s="5"/>
      <c r="U206" s="5"/>
      <c r="V206" s="5"/>
      <c r="W206" s="5"/>
    </row>
    <row r="207">
      <c r="A207" s="20"/>
      <c r="B207" s="21"/>
      <c r="C207" s="21"/>
      <c r="D207" s="21"/>
      <c r="E207" s="3"/>
      <c r="F207" s="22"/>
      <c r="G207" s="22"/>
      <c r="H207" s="22"/>
      <c r="I207" s="22"/>
      <c r="J207" s="22"/>
      <c r="K207" s="22"/>
      <c r="L207" s="22"/>
      <c r="M207" s="22"/>
      <c r="N207" s="22"/>
      <c r="O207" s="22"/>
      <c r="P207" s="22"/>
      <c r="Q207" s="22"/>
      <c r="R207" s="22"/>
      <c r="S207" s="22"/>
      <c r="T207" s="22"/>
      <c r="U207" s="22"/>
      <c r="V207" s="22"/>
      <c r="W207" s="22"/>
    </row>
    <row r="208">
      <c r="A208" s="3"/>
      <c r="B208" s="3"/>
      <c r="C208" s="3"/>
      <c r="D208" s="3"/>
      <c r="E208" s="3"/>
      <c r="F208" s="5"/>
      <c r="G208" s="5"/>
      <c r="H208" s="5"/>
      <c r="I208" s="5"/>
      <c r="J208" s="5"/>
      <c r="K208" s="5"/>
      <c r="L208" s="5"/>
      <c r="M208" s="5"/>
      <c r="N208" s="5"/>
      <c r="O208" s="5"/>
      <c r="P208" s="5"/>
      <c r="Q208" s="5"/>
      <c r="R208" s="5"/>
      <c r="S208" s="5"/>
      <c r="T208" s="5"/>
      <c r="U208" s="5"/>
      <c r="V208" s="5"/>
      <c r="W208" s="5"/>
    </row>
    <row r="209">
      <c r="A209" s="3"/>
      <c r="B209" s="16"/>
      <c r="C209" s="16"/>
      <c r="D209" s="16"/>
      <c r="E209" s="3"/>
      <c r="F209" s="5"/>
      <c r="G209" s="5"/>
      <c r="H209" s="5"/>
      <c r="I209" s="5"/>
      <c r="J209" s="5"/>
      <c r="K209" s="5"/>
      <c r="L209" s="5"/>
      <c r="M209" s="5"/>
      <c r="N209" s="5"/>
      <c r="O209" s="5"/>
      <c r="P209" s="5"/>
      <c r="Q209" s="5"/>
      <c r="R209" s="5"/>
      <c r="S209" s="5"/>
      <c r="T209" s="5"/>
      <c r="U209" s="5"/>
      <c r="V209" s="5"/>
      <c r="W209" s="5"/>
    </row>
    <row r="210">
      <c r="A210" s="3"/>
      <c r="B210" s="3"/>
      <c r="C210" s="3"/>
      <c r="D210" s="3"/>
      <c r="E210" s="3"/>
      <c r="F210" s="5"/>
      <c r="G210" s="5"/>
      <c r="H210" s="5"/>
      <c r="I210" s="5"/>
      <c r="J210" s="5"/>
      <c r="K210" s="5"/>
      <c r="L210" s="5"/>
      <c r="M210" s="5"/>
      <c r="N210" s="5"/>
      <c r="O210" s="5"/>
      <c r="P210" s="5"/>
      <c r="Q210" s="5"/>
      <c r="R210" s="5"/>
      <c r="S210" s="5"/>
      <c r="T210" s="5"/>
      <c r="U210" s="5"/>
      <c r="V210" s="5"/>
      <c r="W210" s="5"/>
    </row>
    <row r="211">
      <c r="A211" s="16"/>
      <c r="B211" s="16"/>
      <c r="C211" s="16"/>
      <c r="D211" s="16"/>
      <c r="E211" s="16"/>
      <c r="F211" s="17"/>
      <c r="G211" s="17"/>
      <c r="H211" s="17"/>
      <c r="I211" s="17"/>
      <c r="J211" s="17"/>
      <c r="K211" s="17"/>
      <c r="L211" s="17"/>
      <c r="M211" s="17"/>
      <c r="N211" s="17"/>
      <c r="O211" s="17"/>
      <c r="P211" s="17"/>
      <c r="Q211" s="17"/>
      <c r="R211" s="17"/>
      <c r="S211" s="17"/>
      <c r="T211" s="17"/>
      <c r="U211" s="17"/>
      <c r="V211" s="17"/>
      <c r="W211" s="17"/>
    </row>
    <row r="212">
      <c r="A212" s="16"/>
      <c r="B212" s="16"/>
      <c r="C212" s="16"/>
      <c r="D212" s="16"/>
      <c r="E212" s="16"/>
      <c r="F212" s="17"/>
      <c r="G212" s="17"/>
      <c r="H212" s="17"/>
      <c r="I212" s="17"/>
      <c r="J212" s="17"/>
      <c r="K212" s="17"/>
      <c r="L212" s="17"/>
      <c r="M212" s="17"/>
      <c r="N212" s="17"/>
      <c r="O212" s="17"/>
      <c r="P212" s="17"/>
      <c r="Q212" s="17"/>
      <c r="R212" s="17"/>
      <c r="S212" s="17"/>
      <c r="T212" s="17"/>
      <c r="U212" s="17"/>
      <c r="V212" s="17"/>
      <c r="W212" s="17"/>
    </row>
    <row r="213">
      <c r="A213" s="16"/>
      <c r="B213" s="16"/>
      <c r="C213" s="16"/>
      <c r="D213" s="16"/>
      <c r="E213" s="16"/>
      <c r="F213" s="17"/>
      <c r="G213" s="17"/>
      <c r="H213" s="17"/>
      <c r="I213" s="17"/>
      <c r="J213" s="17"/>
      <c r="K213" s="17"/>
      <c r="L213" s="17"/>
      <c r="M213" s="17"/>
      <c r="N213" s="17"/>
      <c r="O213" s="17"/>
      <c r="P213" s="17"/>
      <c r="Q213" s="17"/>
      <c r="R213" s="17"/>
      <c r="S213" s="17"/>
      <c r="T213" s="17"/>
      <c r="U213" s="17"/>
      <c r="V213" s="17"/>
      <c r="W213" s="17"/>
    </row>
    <row r="214">
      <c r="A214" s="16"/>
      <c r="B214" s="16"/>
      <c r="C214" s="16"/>
      <c r="D214" s="16"/>
      <c r="E214" s="16"/>
      <c r="F214" s="17"/>
      <c r="G214" s="17"/>
      <c r="H214" s="17"/>
      <c r="I214" s="17"/>
      <c r="J214" s="17"/>
      <c r="K214" s="17"/>
      <c r="L214" s="17"/>
      <c r="M214" s="17"/>
      <c r="N214" s="17"/>
      <c r="O214" s="17"/>
      <c r="P214" s="17"/>
      <c r="Q214" s="17"/>
      <c r="R214" s="17"/>
      <c r="S214" s="17"/>
      <c r="T214" s="17"/>
      <c r="U214" s="17"/>
      <c r="V214" s="17"/>
      <c r="W214" s="17"/>
    </row>
    <row r="215">
      <c r="A215" s="20"/>
      <c r="B215" s="20"/>
      <c r="C215" s="21"/>
      <c r="D215" s="21"/>
      <c r="E215" s="3"/>
      <c r="F215" s="3"/>
      <c r="G215" s="22"/>
      <c r="H215" s="22"/>
      <c r="I215" s="22"/>
      <c r="J215" s="22"/>
      <c r="K215" s="22"/>
      <c r="L215" s="22"/>
      <c r="M215" s="22"/>
      <c r="N215" s="22"/>
      <c r="O215" s="22"/>
      <c r="P215" s="22"/>
      <c r="Q215" s="22"/>
      <c r="R215" s="22"/>
      <c r="S215" s="22"/>
      <c r="T215" s="22"/>
      <c r="U215" s="22"/>
      <c r="V215" s="22"/>
      <c r="W215" s="22"/>
    </row>
    <row r="216">
      <c r="A216" s="20"/>
      <c r="B216" s="20"/>
      <c r="C216" s="21"/>
      <c r="D216" s="21"/>
      <c r="E216" s="3"/>
      <c r="F216" s="22"/>
      <c r="G216" s="22"/>
      <c r="H216" s="22"/>
      <c r="I216" s="22"/>
      <c r="J216" s="22"/>
      <c r="K216" s="22"/>
      <c r="L216" s="22"/>
      <c r="M216" s="22"/>
      <c r="N216" s="22"/>
      <c r="O216" s="22"/>
      <c r="P216" s="22"/>
      <c r="Q216" s="22"/>
      <c r="R216" s="22"/>
      <c r="S216" s="22"/>
      <c r="T216" s="22"/>
      <c r="U216" s="22"/>
      <c r="V216" s="22"/>
      <c r="W216" s="22"/>
    </row>
    <row r="217">
      <c r="A217" s="3"/>
      <c r="B217" s="20"/>
      <c r="C217" s="3"/>
      <c r="D217" s="3"/>
      <c r="E217" s="3"/>
      <c r="F217" s="5"/>
      <c r="G217" s="5"/>
      <c r="H217" s="5"/>
      <c r="I217" s="5"/>
      <c r="J217" s="5"/>
      <c r="K217" s="5"/>
      <c r="L217" s="5"/>
      <c r="M217" s="5"/>
      <c r="N217" s="5"/>
      <c r="O217" s="5"/>
      <c r="P217" s="5"/>
      <c r="Q217" s="5"/>
      <c r="R217" s="5"/>
      <c r="S217" s="5"/>
      <c r="T217" s="5"/>
      <c r="U217" s="5"/>
      <c r="V217" s="5"/>
      <c r="W217" s="5"/>
    </row>
    <row r="218">
      <c r="A218" s="20"/>
      <c r="B218" s="20"/>
      <c r="C218" s="21"/>
      <c r="D218" s="21"/>
      <c r="E218" s="3"/>
      <c r="F218" s="22"/>
      <c r="G218" s="22"/>
      <c r="H218" s="22"/>
      <c r="I218" s="22"/>
      <c r="J218" s="22"/>
      <c r="K218" s="22"/>
      <c r="L218" s="22"/>
      <c r="M218" s="22"/>
      <c r="N218" s="22"/>
      <c r="O218" s="22"/>
      <c r="P218" s="22"/>
      <c r="Q218" s="22"/>
      <c r="R218" s="22"/>
      <c r="S218" s="22"/>
      <c r="T218" s="22"/>
      <c r="U218" s="22"/>
      <c r="V218" s="22"/>
      <c r="W218" s="22"/>
    </row>
    <row r="219">
      <c r="A219" s="3"/>
      <c r="B219" s="3"/>
      <c r="C219" s="3"/>
      <c r="D219" s="3"/>
      <c r="E219" s="3"/>
      <c r="F219" s="5"/>
      <c r="G219" s="5"/>
      <c r="H219" s="5"/>
      <c r="I219" s="5"/>
      <c r="J219" s="5"/>
      <c r="K219" s="5"/>
      <c r="L219" s="5"/>
      <c r="M219" s="5"/>
      <c r="N219" s="5"/>
      <c r="O219" s="5"/>
      <c r="P219" s="5"/>
      <c r="Q219" s="5"/>
      <c r="R219" s="5"/>
      <c r="S219" s="5"/>
      <c r="T219" s="5"/>
      <c r="U219" s="5"/>
      <c r="V219" s="5"/>
      <c r="W219" s="5"/>
    </row>
    <row r="220">
      <c r="A220" s="3"/>
      <c r="B220" s="16"/>
      <c r="C220" s="16"/>
      <c r="D220" s="16"/>
      <c r="E220" s="3"/>
      <c r="F220" s="5"/>
      <c r="G220" s="5"/>
      <c r="H220" s="5"/>
      <c r="I220" s="5"/>
      <c r="J220" s="5"/>
      <c r="K220" s="5"/>
      <c r="L220" s="5"/>
      <c r="M220" s="5"/>
      <c r="N220" s="5"/>
      <c r="O220" s="5"/>
      <c r="P220" s="5"/>
      <c r="Q220" s="5"/>
      <c r="R220" s="5"/>
      <c r="S220" s="5"/>
      <c r="T220" s="5"/>
      <c r="U220" s="5"/>
      <c r="V220" s="5"/>
      <c r="W220" s="5"/>
    </row>
    <row r="221">
      <c r="A221" s="3"/>
      <c r="B221" s="3"/>
      <c r="C221" s="3"/>
      <c r="D221" s="3"/>
      <c r="E221" s="23"/>
      <c r="F221" s="5"/>
      <c r="G221" s="5"/>
      <c r="H221" s="5"/>
      <c r="I221" s="5"/>
      <c r="J221" s="5"/>
      <c r="K221" s="5"/>
      <c r="L221" s="5"/>
      <c r="M221" s="5"/>
      <c r="N221" s="5"/>
      <c r="O221" s="5"/>
      <c r="P221" s="5"/>
      <c r="Q221" s="5"/>
      <c r="R221" s="5"/>
      <c r="S221" s="5"/>
      <c r="T221" s="5"/>
      <c r="U221" s="5"/>
      <c r="V221" s="5"/>
      <c r="W221" s="5"/>
    </row>
    <row r="222">
      <c r="A222" s="16"/>
      <c r="B222" s="16"/>
      <c r="C222" s="16"/>
      <c r="D222" s="16"/>
      <c r="E222" s="24"/>
      <c r="F222" s="17"/>
      <c r="G222" s="17"/>
      <c r="H222" s="17"/>
      <c r="I222" s="17"/>
      <c r="J222" s="17"/>
      <c r="K222" s="17"/>
      <c r="L222" s="17"/>
      <c r="M222" s="17"/>
      <c r="N222" s="17"/>
      <c r="O222" s="17"/>
      <c r="P222" s="17"/>
      <c r="Q222" s="17"/>
      <c r="R222" s="17"/>
      <c r="S222" s="17"/>
      <c r="T222" s="17"/>
      <c r="U222" s="17"/>
      <c r="V222" s="17"/>
      <c r="W222" s="17"/>
    </row>
    <row r="223">
      <c r="A223" s="16"/>
      <c r="B223" s="16"/>
      <c r="C223" s="16"/>
      <c r="D223" s="16"/>
      <c r="E223" s="24"/>
      <c r="F223" s="17"/>
      <c r="G223" s="17"/>
      <c r="H223" s="17"/>
      <c r="I223" s="17"/>
      <c r="J223" s="17"/>
      <c r="K223" s="17"/>
      <c r="L223" s="17"/>
      <c r="M223" s="17"/>
      <c r="N223" s="17"/>
      <c r="O223" s="17"/>
      <c r="P223" s="17"/>
      <c r="Q223" s="17"/>
      <c r="R223" s="17"/>
      <c r="S223" s="17"/>
      <c r="T223" s="17"/>
      <c r="U223" s="17"/>
      <c r="V223" s="17"/>
      <c r="W223" s="17"/>
    </row>
    <row r="224">
      <c r="A224" s="16"/>
      <c r="B224" s="16"/>
      <c r="C224" s="16"/>
      <c r="D224" s="16"/>
      <c r="E224" s="24"/>
      <c r="F224" s="17"/>
      <c r="G224" s="17"/>
      <c r="H224" s="17"/>
      <c r="I224" s="17"/>
      <c r="J224" s="17"/>
      <c r="K224" s="17"/>
      <c r="L224" s="17"/>
      <c r="M224" s="17"/>
      <c r="N224" s="17"/>
      <c r="O224" s="17"/>
      <c r="P224" s="17"/>
      <c r="Q224" s="17"/>
      <c r="R224" s="17"/>
      <c r="S224" s="17"/>
      <c r="T224" s="17"/>
      <c r="U224" s="17"/>
      <c r="V224" s="17"/>
      <c r="W224" s="17"/>
    </row>
    <row r="225">
      <c r="A225" s="16"/>
      <c r="B225" s="16"/>
      <c r="C225" s="16"/>
      <c r="D225" s="16"/>
      <c r="E225" s="24"/>
      <c r="F225" s="17"/>
      <c r="G225" s="17"/>
      <c r="H225" s="17"/>
      <c r="I225" s="17"/>
      <c r="J225" s="17"/>
      <c r="K225" s="17"/>
      <c r="L225" s="17"/>
      <c r="M225" s="17"/>
      <c r="N225" s="17"/>
      <c r="O225" s="17"/>
      <c r="P225" s="17"/>
      <c r="Q225" s="17"/>
      <c r="R225" s="17"/>
      <c r="S225" s="17"/>
      <c r="T225" s="17"/>
      <c r="U225" s="17"/>
      <c r="V225" s="17"/>
      <c r="W225" s="17"/>
    </row>
    <row r="226">
      <c r="A226" s="16"/>
      <c r="B226" s="16"/>
      <c r="C226" s="16"/>
      <c r="D226" s="16"/>
      <c r="E226" s="24"/>
      <c r="F226" s="17"/>
      <c r="G226" s="17"/>
      <c r="H226" s="17"/>
      <c r="I226" s="17"/>
      <c r="J226" s="17"/>
      <c r="K226" s="17"/>
      <c r="L226" s="17"/>
      <c r="M226" s="17"/>
      <c r="N226" s="17"/>
      <c r="O226" s="17"/>
      <c r="P226" s="17"/>
      <c r="Q226" s="17"/>
      <c r="R226" s="17"/>
      <c r="S226" s="17"/>
      <c r="T226" s="17"/>
      <c r="U226" s="17"/>
      <c r="V226" s="17"/>
      <c r="W226" s="17"/>
    </row>
    <row r="227">
      <c r="A227" s="16"/>
      <c r="B227" s="16"/>
      <c r="C227" s="16"/>
      <c r="D227" s="16"/>
      <c r="E227" s="24"/>
      <c r="F227" s="17"/>
      <c r="G227" s="17"/>
      <c r="H227" s="17"/>
      <c r="I227" s="17"/>
      <c r="J227" s="17"/>
      <c r="K227" s="17"/>
      <c r="L227" s="17"/>
      <c r="M227" s="17"/>
      <c r="N227" s="17"/>
      <c r="O227" s="17"/>
      <c r="P227" s="17"/>
      <c r="Q227" s="17"/>
      <c r="R227" s="17"/>
      <c r="S227" s="17"/>
      <c r="T227" s="17"/>
      <c r="U227" s="17"/>
      <c r="V227" s="17"/>
      <c r="W227" s="17"/>
    </row>
    <row r="228">
      <c r="A228" s="3"/>
      <c r="B228" s="3"/>
      <c r="C228" s="3"/>
      <c r="D228" s="3"/>
      <c r="E228" s="23"/>
      <c r="F228" s="5"/>
      <c r="G228" s="5"/>
      <c r="H228" s="5"/>
      <c r="I228" s="5"/>
      <c r="J228" s="5"/>
      <c r="K228" s="5"/>
      <c r="L228" s="5"/>
      <c r="M228" s="5"/>
      <c r="N228" s="5"/>
      <c r="O228" s="5"/>
      <c r="P228" s="5"/>
      <c r="Q228" s="5"/>
      <c r="R228" s="5"/>
      <c r="S228" s="5"/>
      <c r="T228" s="5"/>
      <c r="U228" s="5"/>
      <c r="V228" s="5"/>
      <c r="W228" s="5"/>
    </row>
    <row r="229">
      <c r="A229" s="20"/>
      <c r="B229" s="20"/>
      <c r="C229" s="21"/>
      <c r="D229" s="21"/>
      <c r="E229" s="23"/>
      <c r="F229" s="22"/>
      <c r="G229" s="22"/>
      <c r="H229" s="22"/>
      <c r="I229" s="22"/>
      <c r="J229" s="22"/>
      <c r="K229" s="22"/>
      <c r="L229" s="22"/>
      <c r="M229" s="22"/>
      <c r="N229" s="22"/>
      <c r="O229" s="22"/>
      <c r="P229" s="22"/>
      <c r="Q229" s="22"/>
      <c r="R229" s="22"/>
      <c r="S229" s="22"/>
      <c r="T229" s="22"/>
      <c r="U229" s="22"/>
      <c r="V229" s="22"/>
      <c r="W229" s="22"/>
    </row>
    <row r="230">
      <c r="A230" s="3"/>
      <c r="B230" s="3"/>
      <c r="C230" s="3"/>
      <c r="D230" s="3"/>
      <c r="E230" s="23"/>
      <c r="F230" s="5"/>
      <c r="G230" s="5"/>
      <c r="H230" s="5"/>
      <c r="I230" s="5"/>
      <c r="J230" s="5"/>
      <c r="K230" s="5"/>
      <c r="L230" s="5"/>
      <c r="M230" s="5"/>
      <c r="N230" s="5"/>
      <c r="O230" s="5"/>
      <c r="P230" s="5"/>
      <c r="Q230" s="5"/>
      <c r="R230" s="5"/>
      <c r="S230" s="5"/>
      <c r="T230" s="5"/>
      <c r="U230" s="5"/>
      <c r="V230" s="5"/>
      <c r="W230" s="5"/>
    </row>
    <row r="231">
      <c r="A231" s="3"/>
      <c r="B231" s="3"/>
      <c r="C231" s="3"/>
      <c r="D231" s="3"/>
      <c r="E231" s="23"/>
      <c r="F231" s="5"/>
      <c r="G231" s="5"/>
      <c r="H231" s="5"/>
      <c r="I231" s="5"/>
      <c r="J231" s="5"/>
      <c r="K231" s="5"/>
      <c r="L231" s="5"/>
      <c r="M231" s="5"/>
      <c r="N231" s="5"/>
      <c r="O231" s="5"/>
      <c r="P231" s="5"/>
      <c r="Q231" s="5"/>
      <c r="R231" s="5"/>
      <c r="S231" s="5"/>
      <c r="T231" s="5"/>
      <c r="U231" s="5"/>
      <c r="V231" s="5"/>
      <c r="W231" s="5"/>
    </row>
    <row r="232">
      <c r="A232" s="3"/>
      <c r="B232" s="3"/>
      <c r="C232" s="3"/>
      <c r="D232" s="3"/>
      <c r="E232" s="23"/>
      <c r="F232" s="5"/>
      <c r="G232" s="5"/>
      <c r="H232" s="5"/>
      <c r="I232" s="5"/>
      <c r="J232" s="5"/>
      <c r="K232" s="5"/>
      <c r="L232" s="5"/>
      <c r="M232" s="5"/>
      <c r="N232" s="5"/>
      <c r="O232" s="5"/>
      <c r="P232" s="5"/>
      <c r="Q232" s="5"/>
      <c r="R232" s="5"/>
      <c r="S232" s="5"/>
      <c r="T232" s="5"/>
      <c r="U232" s="5"/>
      <c r="V232" s="5"/>
      <c r="W232" s="5"/>
    </row>
    <row r="233">
      <c r="A233" s="3"/>
      <c r="B233" s="3"/>
      <c r="C233" s="3"/>
      <c r="D233" s="3"/>
      <c r="E233" s="23"/>
      <c r="F233" s="5"/>
      <c r="G233" s="5"/>
      <c r="H233" s="5"/>
      <c r="I233" s="5"/>
      <c r="J233" s="5"/>
      <c r="K233" s="5"/>
      <c r="L233" s="5"/>
      <c r="M233" s="5"/>
      <c r="N233" s="5"/>
      <c r="O233" s="5"/>
      <c r="P233" s="5"/>
      <c r="Q233" s="5"/>
      <c r="R233" s="5"/>
      <c r="S233" s="5"/>
      <c r="T233" s="5"/>
      <c r="U233" s="5"/>
      <c r="V233" s="5"/>
      <c r="W233" s="5"/>
    </row>
    <row r="234">
      <c r="A234" s="3"/>
      <c r="B234" s="3"/>
      <c r="C234" s="3"/>
      <c r="D234" s="3"/>
      <c r="E234" s="23"/>
      <c r="F234" s="5"/>
      <c r="G234" s="5"/>
      <c r="H234" s="5"/>
      <c r="I234" s="5"/>
      <c r="J234" s="5"/>
      <c r="K234" s="5"/>
      <c r="L234" s="5"/>
      <c r="M234" s="5"/>
      <c r="N234" s="5"/>
      <c r="O234" s="5"/>
      <c r="P234" s="5"/>
      <c r="Q234" s="5"/>
      <c r="R234" s="5"/>
      <c r="S234" s="5"/>
      <c r="T234" s="5"/>
      <c r="U234" s="5"/>
      <c r="V234" s="5"/>
      <c r="W234" s="5"/>
    </row>
    <row r="235">
      <c r="A235" s="3"/>
      <c r="B235" s="3"/>
      <c r="C235" s="3"/>
      <c r="D235" s="3"/>
      <c r="E235" s="23"/>
      <c r="F235" s="5"/>
      <c r="G235" s="5"/>
      <c r="H235" s="5"/>
      <c r="I235" s="5"/>
      <c r="J235" s="5"/>
      <c r="K235" s="5"/>
      <c r="L235" s="5"/>
      <c r="M235" s="5"/>
      <c r="N235" s="5"/>
      <c r="O235" s="5"/>
      <c r="P235" s="5"/>
      <c r="Q235" s="5"/>
      <c r="R235" s="5"/>
      <c r="S235" s="5"/>
      <c r="T235" s="5"/>
      <c r="U235" s="5"/>
      <c r="V235" s="5"/>
      <c r="W235" s="5"/>
    </row>
    <row r="236">
      <c r="A236" s="3"/>
      <c r="B236" s="3"/>
      <c r="C236" s="3"/>
      <c r="D236" s="3"/>
      <c r="E236" s="23"/>
      <c r="F236" s="5"/>
      <c r="G236" s="5"/>
      <c r="H236" s="5"/>
      <c r="I236" s="5"/>
      <c r="J236" s="5"/>
      <c r="K236" s="5"/>
      <c r="L236" s="5"/>
      <c r="M236" s="5"/>
      <c r="N236" s="5"/>
      <c r="O236" s="5"/>
      <c r="P236" s="5"/>
      <c r="Q236" s="5"/>
      <c r="R236" s="5"/>
      <c r="S236" s="5"/>
      <c r="T236" s="5"/>
      <c r="U236" s="5"/>
      <c r="V236" s="5"/>
      <c r="W236" s="5"/>
    </row>
    <row r="237">
      <c r="A237" s="16"/>
      <c r="B237" s="16"/>
      <c r="C237" s="16"/>
      <c r="D237" s="16"/>
      <c r="E237" s="24"/>
      <c r="F237" s="17"/>
      <c r="G237" s="17"/>
      <c r="H237" s="17"/>
      <c r="I237" s="17"/>
      <c r="J237" s="17"/>
      <c r="K237" s="17"/>
      <c r="L237" s="17"/>
      <c r="M237" s="17"/>
      <c r="N237" s="17"/>
      <c r="O237" s="17"/>
      <c r="P237" s="17"/>
      <c r="Q237" s="17"/>
      <c r="R237" s="17"/>
      <c r="S237" s="17"/>
      <c r="T237" s="17"/>
      <c r="U237" s="17"/>
      <c r="V237" s="17"/>
      <c r="W237" s="17"/>
    </row>
    <row r="238">
      <c r="A238" s="16"/>
      <c r="B238" s="16"/>
      <c r="C238" s="16"/>
      <c r="D238" s="16"/>
      <c r="E238" s="24"/>
      <c r="F238" s="17"/>
      <c r="G238" s="17"/>
      <c r="H238" s="17"/>
      <c r="I238" s="17"/>
      <c r="J238" s="17"/>
      <c r="K238" s="17"/>
      <c r="L238" s="17"/>
      <c r="M238" s="17"/>
      <c r="N238" s="17"/>
      <c r="O238" s="17"/>
      <c r="P238" s="17"/>
      <c r="Q238" s="17"/>
      <c r="R238" s="17"/>
      <c r="S238" s="17"/>
      <c r="T238" s="17"/>
      <c r="U238" s="17"/>
      <c r="V238" s="17"/>
      <c r="W238" s="17"/>
    </row>
    <row r="239">
      <c r="A239" s="3"/>
      <c r="B239" s="3"/>
      <c r="C239" s="3"/>
      <c r="D239" s="3"/>
      <c r="E239" s="23"/>
      <c r="F239" s="5"/>
      <c r="G239" s="5"/>
      <c r="H239" s="5"/>
      <c r="I239" s="5"/>
      <c r="J239" s="5"/>
      <c r="K239" s="5"/>
      <c r="L239" s="5"/>
      <c r="M239" s="5"/>
      <c r="N239" s="5"/>
      <c r="O239" s="5"/>
      <c r="P239" s="5"/>
      <c r="Q239" s="5"/>
      <c r="R239" s="5"/>
      <c r="S239" s="5"/>
      <c r="T239" s="5"/>
      <c r="U239" s="5"/>
      <c r="V239" s="5"/>
      <c r="W239" s="5"/>
    </row>
    <row r="240">
      <c r="A240" s="16"/>
      <c r="B240" s="16"/>
      <c r="C240" s="16"/>
      <c r="D240" s="16"/>
      <c r="E240" s="24"/>
      <c r="F240" s="17"/>
      <c r="G240" s="17"/>
      <c r="H240" s="17"/>
      <c r="I240" s="17"/>
      <c r="J240" s="17"/>
      <c r="K240" s="17"/>
      <c r="L240" s="17"/>
      <c r="M240" s="17"/>
      <c r="N240" s="17"/>
      <c r="O240" s="17"/>
      <c r="P240" s="17"/>
      <c r="Q240" s="17"/>
      <c r="R240" s="17"/>
      <c r="S240" s="17"/>
      <c r="T240" s="17"/>
      <c r="U240" s="17"/>
      <c r="V240" s="17"/>
      <c r="W240" s="17"/>
    </row>
    <row r="241">
      <c r="A241" s="3"/>
      <c r="B241" s="3"/>
      <c r="C241" s="3"/>
      <c r="D241" s="3"/>
      <c r="E241" s="23"/>
      <c r="F241" s="3"/>
      <c r="G241" s="5"/>
      <c r="H241" s="5"/>
      <c r="I241" s="5"/>
      <c r="J241" s="5"/>
      <c r="K241" s="5"/>
      <c r="L241" s="5"/>
      <c r="M241" s="5"/>
      <c r="N241" s="5"/>
      <c r="O241" s="5"/>
      <c r="P241" s="5"/>
      <c r="Q241" s="5"/>
      <c r="R241" s="5"/>
      <c r="S241" s="5"/>
      <c r="T241" s="5"/>
      <c r="U241" s="5"/>
      <c r="V241" s="5"/>
      <c r="W241" s="5"/>
    </row>
    <row r="242">
      <c r="A242" s="20"/>
      <c r="B242" s="20"/>
      <c r="C242" s="21"/>
      <c r="D242" s="21"/>
      <c r="E242" s="23"/>
      <c r="F242" s="22"/>
      <c r="G242" s="22"/>
      <c r="H242" s="22"/>
      <c r="I242" s="22"/>
      <c r="J242" s="22"/>
      <c r="K242" s="22"/>
      <c r="L242" s="22"/>
      <c r="M242" s="22"/>
      <c r="N242" s="22"/>
      <c r="O242" s="22"/>
      <c r="P242" s="22"/>
      <c r="Q242" s="22"/>
      <c r="R242" s="22"/>
      <c r="S242" s="22"/>
      <c r="T242" s="22"/>
      <c r="U242" s="22"/>
      <c r="V242" s="22"/>
      <c r="W242" s="22"/>
    </row>
    <row r="243" ht="28.5" customHeight="1">
      <c r="A243" s="3"/>
      <c r="B243" s="3"/>
      <c r="C243" s="3"/>
      <c r="D243" s="3"/>
      <c r="E243" s="23"/>
      <c r="F243" s="5"/>
      <c r="G243" s="5"/>
      <c r="H243" s="5"/>
      <c r="I243" s="5"/>
      <c r="J243" s="5"/>
      <c r="K243" s="5"/>
      <c r="L243" s="5"/>
      <c r="M243" s="5"/>
      <c r="N243" s="5"/>
      <c r="O243" s="5"/>
      <c r="P243" s="5"/>
      <c r="Q243" s="5"/>
      <c r="R243" s="5"/>
      <c r="S243" s="5"/>
      <c r="T243" s="5"/>
      <c r="U243" s="5"/>
      <c r="V243" s="5"/>
      <c r="W243" s="5"/>
    </row>
    <row r="244">
      <c r="A244" s="20"/>
      <c r="B244" s="20"/>
      <c r="C244" s="21"/>
      <c r="D244" s="21"/>
      <c r="E244" s="23"/>
      <c r="F244" s="22"/>
      <c r="G244" s="22"/>
      <c r="H244" s="22"/>
      <c r="I244" s="22"/>
      <c r="J244" s="22"/>
      <c r="K244" s="22"/>
      <c r="L244" s="22"/>
      <c r="M244" s="22"/>
      <c r="N244" s="22"/>
      <c r="O244" s="22"/>
      <c r="P244" s="22"/>
      <c r="Q244" s="22"/>
      <c r="R244" s="22"/>
      <c r="S244" s="22"/>
      <c r="T244" s="22"/>
      <c r="U244" s="22"/>
      <c r="V244" s="22"/>
      <c r="W244" s="22"/>
    </row>
    <row r="245">
      <c r="A245" s="3"/>
      <c r="B245" s="3"/>
      <c r="C245" s="3"/>
      <c r="D245" s="3"/>
      <c r="E245" s="23"/>
      <c r="F245" s="5"/>
      <c r="G245" s="5"/>
      <c r="H245" s="5"/>
      <c r="I245" s="5"/>
      <c r="J245" s="5"/>
      <c r="K245" s="5"/>
      <c r="L245" s="5"/>
      <c r="M245" s="5"/>
      <c r="N245" s="5"/>
      <c r="O245" s="5"/>
      <c r="P245" s="5"/>
      <c r="Q245" s="5"/>
      <c r="R245" s="5"/>
      <c r="S245" s="5"/>
      <c r="T245" s="5"/>
      <c r="U245" s="5"/>
      <c r="V245" s="5"/>
      <c r="W245" s="5"/>
    </row>
    <row r="246">
      <c r="A246" s="3"/>
      <c r="B246" s="16"/>
      <c r="C246" s="16"/>
      <c r="D246" s="16"/>
      <c r="E246" s="23"/>
      <c r="F246" s="5"/>
      <c r="G246" s="5"/>
      <c r="H246" s="5"/>
      <c r="I246" s="5"/>
      <c r="J246" s="5"/>
      <c r="K246" s="5"/>
      <c r="L246" s="5"/>
      <c r="M246" s="5"/>
      <c r="N246" s="5"/>
      <c r="O246" s="5"/>
      <c r="P246" s="5"/>
      <c r="Q246" s="5"/>
      <c r="R246" s="5"/>
      <c r="S246" s="5"/>
      <c r="T246" s="5"/>
      <c r="U246" s="5"/>
      <c r="V246" s="5"/>
      <c r="W246" s="5"/>
    </row>
    <row r="247">
      <c r="A247" s="3"/>
      <c r="B247" s="3"/>
      <c r="C247" s="3"/>
      <c r="D247" s="3"/>
      <c r="E247" s="23"/>
      <c r="F247" s="5"/>
      <c r="G247" s="5"/>
      <c r="H247" s="5"/>
      <c r="I247" s="5"/>
      <c r="J247" s="5"/>
      <c r="K247" s="5"/>
      <c r="L247" s="5"/>
      <c r="M247" s="5"/>
      <c r="N247" s="5"/>
      <c r="O247" s="5"/>
      <c r="P247" s="5"/>
      <c r="Q247" s="5"/>
      <c r="R247" s="5"/>
      <c r="S247" s="5"/>
      <c r="T247" s="5"/>
      <c r="U247" s="5"/>
      <c r="V247" s="5"/>
      <c r="W247" s="5"/>
    </row>
    <row r="248">
      <c r="A248" s="3"/>
      <c r="B248" s="3"/>
      <c r="C248" s="3"/>
      <c r="D248" s="3"/>
      <c r="E248" s="23"/>
      <c r="F248" s="5"/>
      <c r="G248" s="5"/>
      <c r="H248" s="5"/>
      <c r="I248" s="5"/>
      <c r="J248" s="5"/>
      <c r="K248" s="5"/>
      <c r="L248" s="5"/>
      <c r="M248" s="5"/>
      <c r="N248" s="5"/>
      <c r="O248" s="5"/>
      <c r="P248" s="5"/>
      <c r="Q248" s="5"/>
      <c r="R248" s="5"/>
      <c r="S248" s="5"/>
      <c r="T248" s="5"/>
      <c r="U248" s="5"/>
      <c r="V248" s="5"/>
      <c r="W248" s="5"/>
    </row>
    <row r="249">
      <c r="A249" s="3"/>
      <c r="B249" s="3"/>
      <c r="C249" s="3"/>
      <c r="D249" s="3"/>
      <c r="E249" s="23"/>
      <c r="F249" s="5"/>
      <c r="G249" s="5"/>
      <c r="H249" s="5"/>
      <c r="I249" s="5"/>
      <c r="J249" s="5"/>
      <c r="K249" s="5"/>
      <c r="L249" s="5"/>
      <c r="M249" s="5"/>
      <c r="N249" s="5"/>
      <c r="O249" s="5"/>
      <c r="P249" s="5"/>
      <c r="Q249" s="5"/>
      <c r="R249" s="5"/>
      <c r="S249" s="5"/>
      <c r="T249" s="5"/>
      <c r="U249" s="5"/>
      <c r="V249" s="5"/>
      <c r="W249" s="5"/>
    </row>
    <row r="250">
      <c r="A250" s="3"/>
      <c r="B250" s="3"/>
      <c r="C250" s="3"/>
      <c r="D250" s="3"/>
      <c r="E250" s="3"/>
      <c r="F250" s="5"/>
      <c r="G250" s="5"/>
      <c r="H250" s="5"/>
      <c r="I250" s="5"/>
      <c r="J250" s="5"/>
      <c r="K250" s="5"/>
      <c r="L250" s="5"/>
      <c r="M250" s="5"/>
      <c r="N250" s="5"/>
      <c r="O250" s="5"/>
      <c r="P250" s="5"/>
      <c r="Q250" s="5"/>
      <c r="R250" s="5"/>
      <c r="S250" s="5"/>
      <c r="T250" s="5"/>
      <c r="U250" s="5"/>
      <c r="V250" s="5"/>
      <c r="W250" s="5"/>
    </row>
    <row r="251">
      <c r="A251" s="3"/>
      <c r="B251" s="3"/>
      <c r="C251" s="5"/>
      <c r="D251" s="3"/>
      <c r="E251" s="5"/>
      <c r="F251" s="5"/>
      <c r="G251" s="5"/>
      <c r="H251" s="5"/>
      <c r="I251" s="5"/>
      <c r="J251" s="5"/>
      <c r="K251" s="5"/>
      <c r="L251" s="5"/>
      <c r="M251" s="5"/>
      <c r="N251" s="5"/>
      <c r="O251" s="5"/>
      <c r="P251" s="5"/>
      <c r="Q251" s="5"/>
      <c r="R251" s="5"/>
      <c r="S251" s="5"/>
      <c r="T251" s="5"/>
      <c r="U251" s="5"/>
      <c r="V251" s="5"/>
      <c r="W251" s="5"/>
    </row>
    <row r="252">
      <c r="A252" s="5"/>
      <c r="B252" s="3"/>
      <c r="C252" s="5"/>
      <c r="D252" s="5"/>
      <c r="E252" s="5"/>
      <c r="F252" s="5"/>
      <c r="G252" s="5"/>
      <c r="H252" s="5"/>
      <c r="I252" s="5"/>
      <c r="J252" s="5"/>
      <c r="K252" s="5"/>
      <c r="L252" s="5"/>
      <c r="M252" s="5"/>
      <c r="N252" s="5"/>
      <c r="O252" s="5"/>
      <c r="P252" s="5"/>
      <c r="Q252" s="5"/>
      <c r="R252" s="5"/>
      <c r="S252" s="5"/>
      <c r="T252" s="5"/>
      <c r="U252" s="5"/>
      <c r="V252" s="5"/>
      <c r="W252" s="5"/>
    </row>
    <row r="253">
      <c r="A253" s="5"/>
      <c r="B253" s="3"/>
      <c r="C253" s="5"/>
      <c r="D253" s="5"/>
      <c r="E253" s="5"/>
      <c r="F253" s="5"/>
      <c r="G253" s="5"/>
      <c r="H253" s="5"/>
      <c r="I253" s="5"/>
      <c r="J253" s="5"/>
      <c r="K253" s="5"/>
      <c r="L253" s="5"/>
      <c r="M253" s="5"/>
      <c r="N253" s="5"/>
      <c r="O253" s="5"/>
      <c r="P253" s="5"/>
      <c r="Q253" s="5"/>
      <c r="R253" s="5"/>
      <c r="S253" s="5"/>
      <c r="T253" s="5"/>
      <c r="U253" s="5"/>
      <c r="V253" s="5"/>
      <c r="W253" s="5"/>
    </row>
    <row r="254">
      <c r="A254" s="5"/>
      <c r="B254" s="3"/>
      <c r="C254" s="5"/>
      <c r="D254" s="5"/>
      <c r="E254" s="5"/>
      <c r="F254" s="5"/>
      <c r="G254" s="5"/>
      <c r="H254" s="5"/>
      <c r="I254" s="5"/>
      <c r="J254" s="5"/>
      <c r="K254" s="5"/>
      <c r="L254" s="5"/>
      <c r="M254" s="5"/>
      <c r="N254" s="5"/>
      <c r="O254" s="5"/>
      <c r="P254" s="5"/>
      <c r="Q254" s="5"/>
      <c r="R254" s="5"/>
      <c r="S254" s="5"/>
      <c r="T254" s="5"/>
      <c r="U254" s="5"/>
      <c r="V254" s="5"/>
      <c r="W254" s="5"/>
    </row>
    <row r="255">
      <c r="A255" s="5"/>
      <c r="B255" s="3"/>
      <c r="C255" s="5"/>
      <c r="D255" s="5"/>
      <c r="E255" s="5"/>
      <c r="F255" s="5"/>
      <c r="G255" s="5"/>
      <c r="H255" s="5"/>
      <c r="I255" s="5"/>
      <c r="J255" s="5"/>
      <c r="K255" s="5"/>
      <c r="L255" s="5"/>
      <c r="M255" s="5"/>
      <c r="N255" s="5"/>
      <c r="O255" s="5"/>
      <c r="P255" s="5"/>
      <c r="Q255" s="5"/>
      <c r="R255" s="5"/>
      <c r="S255" s="5"/>
      <c r="T255" s="5"/>
      <c r="U255" s="5"/>
      <c r="V255" s="5"/>
      <c r="W255" s="5"/>
    </row>
    <row r="256">
      <c r="A256" s="5"/>
      <c r="B256" s="3"/>
      <c r="C256" s="5"/>
      <c r="D256" s="5"/>
      <c r="E256" s="5"/>
      <c r="F256" s="5"/>
      <c r="G256" s="5"/>
      <c r="H256" s="5"/>
      <c r="I256" s="5"/>
      <c r="J256" s="5"/>
      <c r="K256" s="5"/>
      <c r="L256" s="5"/>
      <c r="M256" s="5"/>
      <c r="N256" s="5"/>
      <c r="O256" s="5"/>
      <c r="P256" s="5"/>
      <c r="Q256" s="5"/>
      <c r="R256" s="5"/>
      <c r="S256" s="5"/>
      <c r="T256" s="5"/>
      <c r="U256" s="5"/>
      <c r="V256" s="5"/>
      <c r="W256" s="5"/>
    </row>
    <row r="257">
      <c r="A257" s="5"/>
      <c r="B257" s="3"/>
      <c r="C257" s="5"/>
      <c r="D257" s="5"/>
      <c r="E257" s="5"/>
      <c r="F257" s="5"/>
      <c r="G257" s="5"/>
      <c r="H257" s="5"/>
      <c r="I257" s="5"/>
      <c r="J257" s="5"/>
      <c r="K257" s="5"/>
      <c r="L257" s="5"/>
      <c r="M257" s="5"/>
      <c r="N257" s="5"/>
      <c r="O257" s="5"/>
      <c r="P257" s="5"/>
      <c r="Q257" s="5"/>
      <c r="R257" s="5"/>
      <c r="S257" s="5"/>
      <c r="T257" s="5"/>
      <c r="U257" s="5"/>
      <c r="V257" s="5"/>
      <c r="W257" s="5"/>
    </row>
    <row r="258">
      <c r="A258" s="5"/>
      <c r="B258" s="3"/>
      <c r="C258" s="5"/>
      <c r="D258" s="5"/>
      <c r="E258" s="5"/>
      <c r="F258" s="5"/>
      <c r="G258" s="5"/>
      <c r="H258" s="5"/>
      <c r="I258" s="5"/>
      <c r="J258" s="5"/>
      <c r="K258" s="5"/>
      <c r="L258" s="5"/>
      <c r="M258" s="5"/>
      <c r="N258" s="5"/>
      <c r="O258" s="5"/>
      <c r="P258" s="5"/>
      <c r="Q258" s="5"/>
      <c r="R258" s="5"/>
      <c r="S258" s="5"/>
      <c r="T258" s="5"/>
      <c r="U258" s="5"/>
      <c r="V258" s="5"/>
      <c r="W258" s="5"/>
    </row>
    <row r="259">
      <c r="A259" s="5"/>
      <c r="B259" s="3"/>
      <c r="C259" s="5"/>
      <c r="D259" s="5"/>
      <c r="E259" s="5"/>
      <c r="F259" s="5"/>
      <c r="G259" s="5"/>
      <c r="H259" s="5"/>
      <c r="I259" s="5"/>
      <c r="J259" s="5"/>
      <c r="K259" s="5"/>
      <c r="L259" s="5"/>
      <c r="M259" s="5"/>
      <c r="N259" s="5"/>
      <c r="O259" s="5"/>
      <c r="P259" s="5"/>
      <c r="Q259" s="5"/>
      <c r="R259" s="5"/>
      <c r="S259" s="5"/>
      <c r="T259" s="5"/>
      <c r="U259" s="5"/>
      <c r="V259" s="5"/>
      <c r="W259" s="5"/>
    </row>
    <row r="260">
      <c r="A260" s="5"/>
      <c r="B260" s="3"/>
      <c r="C260" s="5"/>
      <c r="D260" s="5"/>
      <c r="E260" s="5"/>
      <c r="F260" s="5"/>
      <c r="G260" s="5"/>
      <c r="H260" s="5"/>
      <c r="I260" s="5"/>
      <c r="J260" s="5"/>
      <c r="K260" s="5"/>
      <c r="L260" s="5"/>
      <c r="M260" s="5"/>
      <c r="N260" s="5"/>
      <c r="O260" s="5"/>
      <c r="P260" s="5"/>
      <c r="Q260" s="5"/>
      <c r="R260" s="5"/>
      <c r="S260" s="5"/>
      <c r="T260" s="5"/>
      <c r="U260" s="5"/>
      <c r="V260" s="5"/>
      <c r="W260" s="5"/>
    </row>
    <row r="261">
      <c r="A261" s="5"/>
      <c r="B261" s="3"/>
      <c r="C261" s="5"/>
      <c r="D261" s="5"/>
      <c r="E261" s="5"/>
      <c r="F261" s="5"/>
      <c r="G261" s="5"/>
      <c r="H261" s="5"/>
      <c r="I261" s="5"/>
      <c r="J261" s="5"/>
      <c r="K261" s="5"/>
      <c r="L261" s="5"/>
      <c r="M261" s="5"/>
      <c r="N261" s="5"/>
      <c r="O261" s="5"/>
      <c r="P261" s="5"/>
      <c r="Q261" s="5"/>
      <c r="R261" s="5"/>
      <c r="S261" s="5"/>
      <c r="T261" s="5"/>
      <c r="U261" s="5"/>
      <c r="V261" s="5"/>
      <c r="W261" s="5"/>
    </row>
    <row r="262">
      <c r="A262" s="5"/>
      <c r="B262" s="3"/>
      <c r="C262" s="5"/>
      <c r="D262" s="5"/>
      <c r="E262" s="5"/>
      <c r="F262" s="5"/>
      <c r="G262" s="5"/>
      <c r="H262" s="5"/>
      <c r="I262" s="5"/>
      <c r="J262" s="5"/>
      <c r="K262" s="5"/>
      <c r="L262" s="5"/>
      <c r="M262" s="5"/>
      <c r="N262" s="5"/>
      <c r="O262" s="5"/>
      <c r="P262" s="5"/>
      <c r="Q262" s="5"/>
      <c r="R262" s="5"/>
      <c r="S262" s="5"/>
      <c r="T262" s="5"/>
      <c r="U262" s="5"/>
      <c r="V262" s="5"/>
      <c r="W262" s="5"/>
    </row>
    <row r="263">
      <c r="A263" s="5"/>
      <c r="B263" s="3"/>
      <c r="C263" s="5"/>
      <c r="D263" s="5"/>
      <c r="E263" s="5"/>
      <c r="F263" s="5"/>
      <c r="G263" s="5"/>
      <c r="H263" s="5"/>
      <c r="I263" s="5"/>
      <c r="J263" s="5"/>
      <c r="K263" s="5"/>
      <c r="L263" s="5"/>
      <c r="M263" s="5"/>
      <c r="N263" s="5"/>
      <c r="O263" s="5"/>
      <c r="P263" s="5"/>
      <c r="Q263" s="5"/>
      <c r="R263" s="5"/>
      <c r="S263" s="5"/>
      <c r="T263" s="5"/>
      <c r="U263" s="5"/>
      <c r="V263" s="5"/>
      <c r="W263" s="5"/>
    </row>
    <row r="264">
      <c r="A264" s="5"/>
      <c r="B264" s="3"/>
      <c r="C264" s="5"/>
      <c r="D264" s="5"/>
      <c r="E264" s="5"/>
      <c r="F264" s="5"/>
      <c r="G264" s="5"/>
      <c r="H264" s="5"/>
      <c r="I264" s="5"/>
      <c r="J264" s="5"/>
      <c r="K264" s="5"/>
      <c r="L264" s="5"/>
      <c r="M264" s="5"/>
      <c r="N264" s="5"/>
      <c r="O264" s="5"/>
      <c r="P264" s="5"/>
      <c r="Q264" s="5"/>
      <c r="R264" s="5"/>
      <c r="S264" s="5"/>
      <c r="T264" s="5"/>
      <c r="U264" s="5"/>
      <c r="V264" s="5"/>
      <c r="W264" s="5"/>
    </row>
    <row r="265">
      <c r="A265" s="5"/>
      <c r="B265" s="3"/>
      <c r="C265" s="5"/>
      <c r="D265" s="5"/>
      <c r="E265" s="5"/>
      <c r="F265" s="5"/>
      <c r="G265" s="5"/>
      <c r="H265" s="5"/>
      <c r="I265" s="5"/>
      <c r="J265" s="5"/>
      <c r="K265" s="5"/>
      <c r="L265" s="5"/>
      <c r="M265" s="5"/>
      <c r="N265" s="5"/>
      <c r="O265" s="5"/>
      <c r="P265" s="5"/>
      <c r="Q265" s="5"/>
      <c r="R265" s="5"/>
      <c r="S265" s="5"/>
      <c r="T265" s="5"/>
      <c r="U265" s="5"/>
      <c r="V265" s="5"/>
      <c r="W265" s="5"/>
    </row>
    <row r="266">
      <c r="A266" s="5"/>
      <c r="B266" s="3"/>
      <c r="C266" s="5"/>
      <c r="D266" s="5"/>
      <c r="E266" s="5"/>
      <c r="F266" s="5"/>
      <c r="G266" s="5"/>
      <c r="H266" s="5"/>
      <c r="I266" s="5"/>
      <c r="J266" s="5"/>
      <c r="K266" s="5"/>
      <c r="L266" s="5"/>
      <c r="M266" s="5"/>
      <c r="N266" s="5"/>
      <c r="O266" s="5"/>
      <c r="P266" s="5"/>
      <c r="Q266" s="5"/>
      <c r="R266" s="5"/>
      <c r="S266" s="5"/>
      <c r="T266" s="5"/>
      <c r="U266" s="5"/>
      <c r="V266" s="5"/>
      <c r="W266" s="5"/>
    </row>
    <row r="267">
      <c r="A267" s="5"/>
      <c r="B267" s="3"/>
      <c r="C267" s="5"/>
      <c r="D267" s="5"/>
      <c r="E267" s="5"/>
      <c r="F267" s="5"/>
      <c r="G267" s="5"/>
      <c r="H267" s="5"/>
      <c r="I267" s="5"/>
      <c r="J267" s="5"/>
      <c r="K267" s="5"/>
      <c r="L267" s="5"/>
      <c r="M267" s="5"/>
      <c r="N267" s="5"/>
      <c r="O267" s="5"/>
      <c r="P267" s="5"/>
      <c r="Q267" s="5"/>
      <c r="R267" s="5"/>
      <c r="S267" s="5"/>
      <c r="T267" s="5"/>
      <c r="U267" s="5"/>
      <c r="V267" s="5"/>
      <c r="W267" s="5"/>
    </row>
    <row r="268">
      <c r="A268" s="5"/>
      <c r="B268" s="3"/>
      <c r="C268" s="5"/>
      <c r="D268" s="5"/>
      <c r="E268" s="5"/>
      <c r="F268" s="5"/>
      <c r="G268" s="5"/>
      <c r="H268" s="5"/>
      <c r="I268" s="5"/>
      <c r="J268" s="5"/>
      <c r="K268" s="5"/>
      <c r="L268" s="5"/>
      <c r="M268" s="5"/>
      <c r="N268" s="5"/>
      <c r="O268" s="5"/>
      <c r="P268" s="5"/>
      <c r="Q268" s="5"/>
      <c r="R268" s="5"/>
      <c r="S268" s="5"/>
      <c r="T268" s="5"/>
      <c r="U268" s="5"/>
      <c r="V268" s="5"/>
      <c r="W268" s="5"/>
    </row>
    <row r="269">
      <c r="A269" s="5"/>
      <c r="B269" s="3"/>
      <c r="C269" s="5"/>
      <c r="D269" s="5"/>
      <c r="E269" s="5"/>
      <c r="F269" s="5"/>
      <c r="G269" s="5"/>
      <c r="H269" s="5"/>
      <c r="I269" s="5"/>
      <c r="J269" s="5"/>
      <c r="K269" s="5"/>
      <c r="L269" s="5"/>
      <c r="M269" s="5"/>
      <c r="N269" s="5"/>
      <c r="O269" s="5"/>
      <c r="P269" s="5"/>
      <c r="Q269" s="5"/>
      <c r="R269" s="5"/>
      <c r="S269" s="5"/>
      <c r="T269" s="5"/>
      <c r="U269" s="5"/>
      <c r="V269" s="5"/>
      <c r="W269" s="5"/>
    </row>
    <row r="270">
      <c r="A270" s="5"/>
      <c r="B270" s="3"/>
      <c r="C270" s="5"/>
      <c r="D270" s="5"/>
      <c r="E270" s="5"/>
      <c r="F270" s="5"/>
      <c r="G270" s="5"/>
      <c r="H270" s="5"/>
      <c r="I270" s="5"/>
      <c r="J270" s="5"/>
      <c r="K270" s="5"/>
      <c r="L270" s="5"/>
      <c r="M270" s="5"/>
      <c r="N270" s="5"/>
      <c r="O270" s="5"/>
      <c r="P270" s="5"/>
      <c r="Q270" s="5"/>
      <c r="R270" s="5"/>
      <c r="S270" s="5"/>
      <c r="T270" s="5"/>
      <c r="U270" s="5"/>
      <c r="V270" s="5"/>
      <c r="W270" s="5"/>
    </row>
    <row r="271">
      <c r="A271" s="5"/>
      <c r="B271" s="3"/>
      <c r="C271" s="5"/>
      <c r="D271" s="5"/>
      <c r="E271" s="5"/>
      <c r="F271" s="5"/>
      <c r="G271" s="5"/>
      <c r="H271" s="5"/>
      <c r="I271" s="5"/>
      <c r="J271" s="5"/>
      <c r="K271" s="5"/>
      <c r="L271" s="5"/>
      <c r="M271" s="5"/>
      <c r="N271" s="5"/>
      <c r="O271" s="5"/>
      <c r="P271" s="5"/>
      <c r="Q271" s="5"/>
      <c r="R271" s="5"/>
      <c r="S271" s="5"/>
      <c r="T271" s="5"/>
      <c r="U271" s="5"/>
      <c r="V271" s="5"/>
      <c r="W271" s="5"/>
    </row>
    <row r="272">
      <c r="A272" s="5"/>
      <c r="B272" s="3"/>
      <c r="C272" s="5"/>
      <c r="D272" s="5"/>
      <c r="E272" s="5"/>
      <c r="F272" s="5"/>
      <c r="G272" s="5"/>
      <c r="H272" s="5"/>
      <c r="I272" s="5"/>
      <c r="J272" s="5"/>
      <c r="K272" s="5"/>
      <c r="L272" s="5"/>
      <c r="M272" s="5"/>
      <c r="N272" s="5"/>
      <c r="O272" s="5"/>
      <c r="P272" s="5"/>
      <c r="Q272" s="5"/>
      <c r="R272" s="5"/>
      <c r="S272" s="5"/>
      <c r="T272" s="5"/>
      <c r="U272" s="5"/>
      <c r="V272" s="5"/>
      <c r="W272" s="5"/>
    </row>
    <row r="273">
      <c r="A273" s="5"/>
      <c r="B273" s="3"/>
      <c r="C273" s="5"/>
      <c r="D273" s="5"/>
      <c r="E273" s="5"/>
      <c r="F273" s="5"/>
      <c r="G273" s="5"/>
      <c r="H273" s="5"/>
      <c r="I273" s="5"/>
      <c r="J273" s="5"/>
      <c r="K273" s="5"/>
      <c r="L273" s="5"/>
      <c r="M273" s="5"/>
      <c r="N273" s="5"/>
      <c r="O273" s="5"/>
      <c r="P273" s="5"/>
      <c r="Q273" s="5"/>
      <c r="R273" s="5"/>
      <c r="S273" s="5"/>
      <c r="T273" s="5"/>
      <c r="U273" s="5"/>
      <c r="V273" s="5"/>
      <c r="W273" s="5"/>
    </row>
    <row r="274">
      <c r="A274" s="5"/>
      <c r="B274" s="3"/>
      <c r="C274" s="5"/>
      <c r="D274" s="5"/>
      <c r="E274" s="5"/>
      <c r="F274" s="5"/>
      <c r="G274" s="5"/>
      <c r="H274" s="5"/>
      <c r="I274" s="5"/>
      <c r="J274" s="5"/>
      <c r="K274" s="5"/>
      <c r="L274" s="5"/>
      <c r="M274" s="5"/>
      <c r="N274" s="5"/>
      <c r="O274" s="5"/>
      <c r="P274" s="5"/>
      <c r="Q274" s="5"/>
      <c r="R274" s="5"/>
      <c r="S274" s="5"/>
      <c r="T274" s="5"/>
      <c r="U274" s="5"/>
      <c r="V274" s="5"/>
      <c r="W274" s="5"/>
    </row>
    <row r="275">
      <c r="A275" s="5"/>
      <c r="B275" s="3"/>
      <c r="C275" s="5"/>
      <c r="D275" s="5"/>
      <c r="E275" s="5"/>
      <c r="F275" s="5"/>
      <c r="G275" s="5"/>
      <c r="H275" s="5"/>
      <c r="I275" s="5"/>
      <c r="J275" s="5"/>
      <c r="K275" s="5"/>
      <c r="L275" s="5"/>
      <c r="M275" s="5"/>
      <c r="N275" s="5"/>
      <c r="O275" s="5"/>
      <c r="P275" s="5"/>
      <c r="Q275" s="5"/>
      <c r="R275" s="5"/>
      <c r="S275" s="5"/>
      <c r="T275" s="5"/>
      <c r="U275" s="5"/>
      <c r="V275" s="5"/>
      <c r="W275" s="5"/>
    </row>
    <row r="276">
      <c r="A276" s="5"/>
      <c r="B276" s="3"/>
      <c r="C276" s="5"/>
      <c r="D276" s="5"/>
      <c r="E276" s="5"/>
      <c r="F276" s="5"/>
      <c r="G276" s="5"/>
      <c r="H276" s="5"/>
      <c r="I276" s="5"/>
      <c r="J276" s="5"/>
      <c r="K276" s="5"/>
      <c r="L276" s="5"/>
      <c r="M276" s="5"/>
      <c r="N276" s="5"/>
      <c r="O276" s="5"/>
      <c r="P276" s="5"/>
      <c r="Q276" s="5"/>
      <c r="R276" s="5"/>
      <c r="S276" s="5"/>
      <c r="T276" s="5"/>
      <c r="U276" s="5"/>
      <c r="V276" s="5"/>
      <c r="W276" s="5"/>
    </row>
    <row r="277">
      <c r="A277" s="5"/>
      <c r="B277" s="3"/>
      <c r="C277" s="5"/>
      <c r="D277" s="5"/>
      <c r="E277" s="5"/>
      <c r="F277" s="5"/>
      <c r="G277" s="5"/>
      <c r="H277" s="5"/>
      <c r="I277" s="5"/>
      <c r="J277" s="5"/>
      <c r="K277" s="5"/>
      <c r="L277" s="5"/>
      <c r="M277" s="5"/>
      <c r="N277" s="5"/>
      <c r="O277" s="5"/>
      <c r="P277" s="5"/>
      <c r="Q277" s="5"/>
      <c r="R277" s="5"/>
      <c r="S277" s="5"/>
      <c r="T277" s="5"/>
      <c r="U277" s="5"/>
      <c r="V277" s="5"/>
      <c r="W277" s="5"/>
    </row>
    <row r="278">
      <c r="A278" s="5"/>
      <c r="B278" s="3"/>
      <c r="C278" s="5"/>
      <c r="D278" s="5"/>
      <c r="E278" s="5"/>
      <c r="F278" s="5"/>
      <c r="G278" s="5"/>
      <c r="H278" s="5"/>
      <c r="I278" s="5"/>
      <c r="J278" s="5"/>
      <c r="K278" s="5"/>
      <c r="L278" s="5"/>
      <c r="M278" s="5"/>
      <c r="N278" s="5"/>
      <c r="O278" s="5"/>
      <c r="P278" s="5"/>
      <c r="Q278" s="5"/>
      <c r="R278" s="5"/>
      <c r="S278" s="5"/>
      <c r="T278" s="5"/>
      <c r="U278" s="5"/>
      <c r="V278" s="5"/>
      <c r="W278" s="5"/>
    </row>
    <row r="279">
      <c r="A279" s="5"/>
      <c r="B279" s="3"/>
      <c r="C279" s="5"/>
      <c r="D279" s="5"/>
      <c r="E279" s="5"/>
      <c r="F279" s="5"/>
      <c r="G279" s="5"/>
      <c r="H279" s="5"/>
      <c r="I279" s="5"/>
      <c r="J279" s="5"/>
      <c r="K279" s="5"/>
      <c r="L279" s="5"/>
      <c r="M279" s="5"/>
      <c r="N279" s="5"/>
      <c r="O279" s="5"/>
      <c r="P279" s="5"/>
      <c r="Q279" s="5"/>
      <c r="R279" s="5"/>
      <c r="S279" s="5"/>
      <c r="T279" s="5"/>
      <c r="U279" s="5"/>
      <c r="V279" s="5"/>
      <c r="W279" s="5"/>
    </row>
    <row r="280">
      <c r="A280" s="5"/>
      <c r="B280" s="3"/>
      <c r="C280" s="5"/>
      <c r="D280" s="5"/>
      <c r="E280" s="5"/>
      <c r="F280" s="5"/>
      <c r="G280" s="5"/>
      <c r="H280" s="5"/>
      <c r="I280" s="5"/>
      <c r="J280" s="5"/>
      <c r="K280" s="5"/>
      <c r="L280" s="5"/>
      <c r="M280" s="5"/>
      <c r="N280" s="5"/>
      <c r="O280" s="5"/>
      <c r="P280" s="5"/>
      <c r="Q280" s="5"/>
      <c r="R280" s="5"/>
      <c r="S280" s="5"/>
      <c r="T280" s="5"/>
      <c r="U280" s="5"/>
      <c r="V280" s="5"/>
      <c r="W280" s="5"/>
    </row>
    <row r="281">
      <c r="A281" s="5"/>
      <c r="B281" s="3"/>
      <c r="C281" s="5"/>
      <c r="D281" s="5"/>
      <c r="E281" s="5"/>
      <c r="F281" s="5"/>
      <c r="G281" s="5"/>
      <c r="H281" s="5"/>
      <c r="I281" s="5"/>
      <c r="J281" s="5"/>
      <c r="K281" s="5"/>
      <c r="L281" s="5"/>
      <c r="M281" s="5"/>
      <c r="N281" s="5"/>
      <c r="O281" s="5"/>
      <c r="P281" s="5"/>
      <c r="Q281" s="5"/>
      <c r="R281" s="5"/>
      <c r="S281" s="5"/>
      <c r="T281" s="5"/>
      <c r="U281" s="5"/>
      <c r="V281" s="5"/>
      <c r="W281" s="5"/>
    </row>
    <row r="282">
      <c r="A282" s="5"/>
      <c r="B282" s="3"/>
      <c r="C282" s="5"/>
      <c r="D282" s="5"/>
      <c r="E282" s="5"/>
      <c r="F282" s="5"/>
      <c r="G282" s="5"/>
      <c r="H282" s="5"/>
      <c r="I282" s="5"/>
      <c r="J282" s="5"/>
      <c r="K282" s="5"/>
      <c r="L282" s="5"/>
      <c r="M282" s="5"/>
      <c r="N282" s="5"/>
      <c r="O282" s="5"/>
      <c r="P282" s="5"/>
      <c r="Q282" s="5"/>
      <c r="R282" s="5"/>
      <c r="S282" s="5"/>
      <c r="T282" s="5"/>
      <c r="U282" s="5"/>
      <c r="V282" s="5"/>
      <c r="W282" s="5"/>
    </row>
    <row r="283">
      <c r="A283" s="5"/>
      <c r="B283" s="3"/>
      <c r="C283" s="5"/>
      <c r="D283" s="5"/>
      <c r="E283" s="5"/>
      <c r="F283" s="5"/>
      <c r="G283" s="5"/>
      <c r="H283" s="5"/>
      <c r="I283" s="5"/>
      <c r="J283" s="5"/>
      <c r="K283" s="5"/>
      <c r="L283" s="5"/>
      <c r="M283" s="5"/>
      <c r="N283" s="5"/>
      <c r="O283" s="5"/>
      <c r="P283" s="5"/>
      <c r="Q283" s="5"/>
      <c r="R283" s="5"/>
      <c r="S283" s="5"/>
      <c r="T283" s="5"/>
      <c r="U283" s="5"/>
      <c r="V283" s="5"/>
      <c r="W283" s="5"/>
    </row>
    <row r="284">
      <c r="A284" s="5"/>
      <c r="B284" s="3"/>
      <c r="C284" s="5"/>
      <c r="D284" s="5"/>
      <c r="E284" s="5"/>
      <c r="F284" s="5"/>
      <c r="G284" s="5"/>
      <c r="H284" s="5"/>
      <c r="I284" s="5"/>
      <c r="J284" s="5"/>
      <c r="K284" s="5"/>
      <c r="L284" s="5"/>
      <c r="M284" s="5"/>
      <c r="N284" s="5"/>
      <c r="O284" s="5"/>
      <c r="P284" s="5"/>
      <c r="Q284" s="5"/>
      <c r="R284" s="5"/>
      <c r="S284" s="5"/>
      <c r="T284" s="5"/>
      <c r="U284" s="5"/>
      <c r="V284" s="5"/>
      <c r="W284" s="5"/>
    </row>
    <row r="285">
      <c r="A285" s="5"/>
      <c r="B285" s="3"/>
      <c r="C285" s="5"/>
      <c r="D285" s="5"/>
      <c r="E285" s="5"/>
      <c r="F285" s="5"/>
      <c r="G285" s="5"/>
      <c r="H285" s="5"/>
      <c r="I285" s="5"/>
      <c r="J285" s="5"/>
      <c r="K285" s="5"/>
      <c r="L285" s="5"/>
      <c r="M285" s="5"/>
      <c r="N285" s="5"/>
      <c r="O285" s="5"/>
      <c r="P285" s="5"/>
      <c r="Q285" s="5"/>
      <c r="R285" s="5"/>
      <c r="S285" s="5"/>
      <c r="T285" s="5"/>
      <c r="U285" s="5"/>
      <c r="V285" s="5"/>
      <c r="W285" s="5"/>
    </row>
    <row r="286">
      <c r="A286" s="5"/>
      <c r="B286" s="3"/>
      <c r="C286" s="5"/>
      <c r="D286" s="5"/>
      <c r="E286" s="5"/>
      <c r="F286" s="5"/>
      <c r="G286" s="5"/>
      <c r="H286" s="5"/>
      <c r="I286" s="5"/>
      <c r="J286" s="5"/>
      <c r="K286" s="5"/>
      <c r="L286" s="5"/>
      <c r="M286" s="5"/>
      <c r="N286" s="5"/>
      <c r="O286" s="5"/>
      <c r="P286" s="5"/>
      <c r="Q286" s="5"/>
      <c r="R286" s="5"/>
      <c r="S286" s="5"/>
      <c r="T286" s="5"/>
      <c r="U286" s="5"/>
      <c r="V286" s="5"/>
      <c r="W286" s="5"/>
    </row>
    <row r="287">
      <c r="A287" s="5"/>
      <c r="B287" s="3"/>
      <c r="C287" s="5"/>
      <c r="D287" s="5"/>
      <c r="E287" s="5"/>
      <c r="F287" s="5"/>
      <c r="G287" s="5"/>
      <c r="H287" s="5"/>
      <c r="I287" s="5"/>
      <c r="J287" s="5"/>
      <c r="K287" s="5"/>
      <c r="L287" s="5"/>
      <c r="M287" s="5"/>
      <c r="N287" s="5"/>
      <c r="O287" s="5"/>
      <c r="P287" s="5"/>
      <c r="Q287" s="5"/>
      <c r="R287" s="5"/>
      <c r="S287" s="5"/>
      <c r="T287" s="5"/>
      <c r="U287" s="5"/>
      <c r="V287" s="5"/>
      <c r="W287" s="5"/>
    </row>
    <row r="288">
      <c r="A288" s="5"/>
      <c r="B288" s="3"/>
      <c r="C288" s="5"/>
      <c r="D288" s="5"/>
      <c r="E288" s="5"/>
      <c r="F288" s="5"/>
      <c r="G288" s="5"/>
      <c r="H288" s="5"/>
      <c r="I288" s="5"/>
      <c r="J288" s="5"/>
      <c r="K288" s="5"/>
      <c r="L288" s="5"/>
      <c r="M288" s="5"/>
      <c r="N288" s="5"/>
      <c r="O288" s="5"/>
      <c r="P288" s="5"/>
      <c r="Q288" s="5"/>
      <c r="R288" s="5"/>
      <c r="S288" s="5"/>
      <c r="T288" s="5"/>
      <c r="U288" s="5"/>
      <c r="V288" s="5"/>
      <c r="W288" s="5"/>
    </row>
    <row r="289">
      <c r="A289" s="5"/>
      <c r="B289" s="3"/>
      <c r="C289" s="5"/>
      <c r="D289" s="5"/>
      <c r="E289" s="5"/>
      <c r="F289" s="5"/>
      <c r="G289" s="5"/>
      <c r="H289" s="5"/>
      <c r="I289" s="5"/>
      <c r="J289" s="5"/>
      <c r="K289" s="5"/>
      <c r="L289" s="5"/>
      <c r="M289" s="5"/>
      <c r="N289" s="5"/>
      <c r="O289" s="5"/>
      <c r="P289" s="5"/>
      <c r="Q289" s="5"/>
      <c r="R289" s="5"/>
      <c r="S289" s="5"/>
      <c r="T289" s="5"/>
      <c r="U289" s="5"/>
      <c r="V289" s="5"/>
      <c r="W289" s="5"/>
    </row>
    <row r="290">
      <c r="A290" s="5"/>
      <c r="B290" s="3"/>
      <c r="C290" s="5"/>
      <c r="D290" s="5"/>
      <c r="E290" s="5"/>
      <c r="F290" s="5"/>
      <c r="G290" s="5"/>
      <c r="H290" s="5"/>
      <c r="I290" s="5"/>
      <c r="J290" s="5"/>
      <c r="K290" s="5"/>
      <c r="L290" s="5"/>
      <c r="M290" s="5"/>
      <c r="N290" s="5"/>
      <c r="O290" s="5"/>
      <c r="P290" s="5"/>
      <c r="Q290" s="5"/>
      <c r="R290" s="5"/>
      <c r="S290" s="5"/>
      <c r="T290" s="5"/>
      <c r="U290" s="5"/>
      <c r="V290" s="5"/>
      <c r="W290" s="5"/>
    </row>
    <row r="291">
      <c r="A291" s="5"/>
      <c r="B291" s="3"/>
      <c r="C291" s="5"/>
      <c r="D291" s="5"/>
      <c r="E291" s="5"/>
      <c r="F291" s="5"/>
      <c r="G291" s="5"/>
      <c r="H291" s="5"/>
      <c r="I291" s="5"/>
      <c r="J291" s="5"/>
      <c r="K291" s="5"/>
      <c r="L291" s="5"/>
      <c r="M291" s="5"/>
      <c r="N291" s="5"/>
      <c r="O291" s="5"/>
      <c r="P291" s="5"/>
      <c r="Q291" s="5"/>
      <c r="R291" s="5"/>
      <c r="S291" s="5"/>
      <c r="T291" s="5"/>
      <c r="U291" s="5"/>
      <c r="V291" s="5"/>
      <c r="W291" s="5"/>
    </row>
    <row r="292">
      <c r="A292" s="5"/>
      <c r="B292" s="3"/>
      <c r="C292" s="5"/>
      <c r="D292" s="5"/>
      <c r="E292" s="5"/>
      <c r="F292" s="5"/>
      <c r="G292" s="5"/>
      <c r="H292" s="5"/>
      <c r="I292" s="5"/>
      <c r="J292" s="5"/>
      <c r="K292" s="5"/>
      <c r="L292" s="5"/>
      <c r="M292" s="5"/>
      <c r="N292" s="5"/>
      <c r="O292" s="5"/>
      <c r="P292" s="5"/>
      <c r="Q292" s="5"/>
      <c r="R292" s="5"/>
      <c r="S292" s="5"/>
      <c r="T292" s="5"/>
      <c r="U292" s="5"/>
      <c r="V292" s="5"/>
      <c r="W292" s="5"/>
    </row>
    <row r="293">
      <c r="A293" s="5"/>
      <c r="B293" s="3"/>
      <c r="C293" s="5"/>
      <c r="D293" s="5"/>
      <c r="E293" s="5"/>
      <c r="F293" s="5"/>
      <c r="G293" s="5"/>
      <c r="H293" s="5"/>
      <c r="I293" s="5"/>
      <c r="J293" s="5"/>
      <c r="K293" s="5"/>
      <c r="L293" s="5"/>
      <c r="M293" s="5"/>
      <c r="N293" s="5"/>
      <c r="O293" s="5"/>
      <c r="P293" s="5"/>
      <c r="Q293" s="5"/>
      <c r="R293" s="5"/>
      <c r="S293" s="5"/>
      <c r="T293" s="5"/>
      <c r="U293" s="5"/>
      <c r="V293" s="5"/>
      <c r="W293" s="5"/>
    </row>
    <row r="294">
      <c r="A294" s="5"/>
      <c r="B294" s="3"/>
      <c r="C294" s="5"/>
      <c r="D294" s="5"/>
      <c r="E294" s="5"/>
      <c r="F294" s="5"/>
      <c r="G294" s="5"/>
      <c r="H294" s="5"/>
      <c r="I294" s="5"/>
      <c r="J294" s="5"/>
      <c r="K294" s="5"/>
      <c r="L294" s="5"/>
      <c r="M294" s="5"/>
      <c r="N294" s="5"/>
      <c r="O294" s="5"/>
      <c r="P294" s="5"/>
      <c r="Q294" s="5"/>
      <c r="R294" s="5"/>
      <c r="S294" s="5"/>
      <c r="T294" s="5"/>
      <c r="U294" s="5"/>
      <c r="V294" s="5"/>
      <c r="W294" s="5"/>
    </row>
    <row r="295">
      <c r="A295" s="5"/>
      <c r="B295" s="3"/>
      <c r="C295" s="5"/>
      <c r="D295" s="5"/>
      <c r="E295" s="5"/>
      <c r="F295" s="5"/>
      <c r="G295" s="5"/>
      <c r="H295" s="5"/>
      <c r="I295" s="5"/>
      <c r="J295" s="5"/>
      <c r="K295" s="5"/>
      <c r="L295" s="5"/>
      <c r="M295" s="5"/>
      <c r="N295" s="5"/>
      <c r="O295" s="5"/>
      <c r="P295" s="5"/>
      <c r="Q295" s="5"/>
      <c r="R295" s="5"/>
      <c r="S295" s="5"/>
      <c r="T295" s="5"/>
      <c r="U295" s="5"/>
      <c r="V295" s="5"/>
      <c r="W295" s="5"/>
    </row>
    <row r="296">
      <c r="A296" s="5"/>
      <c r="B296" s="3"/>
      <c r="C296" s="5"/>
      <c r="D296" s="5"/>
      <c r="E296" s="5"/>
      <c r="F296" s="5"/>
      <c r="G296" s="5"/>
      <c r="H296" s="5"/>
      <c r="I296" s="5"/>
      <c r="J296" s="5"/>
      <c r="K296" s="5"/>
      <c r="L296" s="5"/>
      <c r="M296" s="5"/>
      <c r="N296" s="5"/>
      <c r="O296" s="5"/>
      <c r="P296" s="5"/>
      <c r="Q296" s="5"/>
      <c r="R296" s="5"/>
      <c r="S296" s="5"/>
      <c r="T296" s="5"/>
      <c r="U296" s="5"/>
      <c r="V296" s="5"/>
      <c r="W296" s="5"/>
    </row>
    <row r="297">
      <c r="A297" s="5"/>
      <c r="B297" s="3"/>
      <c r="C297" s="5"/>
      <c r="D297" s="5"/>
      <c r="E297" s="5"/>
      <c r="F297" s="5"/>
      <c r="G297" s="5"/>
      <c r="H297" s="5"/>
      <c r="I297" s="5"/>
      <c r="J297" s="5"/>
      <c r="K297" s="5"/>
      <c r="L297" s="5"/>
      <c r="M297" s="5"/>
      <c r="N297" s="5"/>
      <c r="O297" s="5"/>
      <c r="P297" s="5"/>
      <c r="Q297" s="5"/>
      <c r="R297" s="5"/>
      <c r="S297" s="5"/>
      <c r="T297" s="5"/>
      <c r="U297" s="5"/>
      <c r="V297" s="5"/>
      <c r="W297" s="5"/>
    </row>
    <row r="298">
      <c r="A298" s="5"/>
      <c r="B298" s="3"/>
      <c r="C298" s="5"/>
      <c r="D298" s="5"/>
      <c r="E298" s="5"/>
      <c r="F298" s="5"/>
      <c r="G298" s="5"/>
      <c r="H298" s="5"/>
      <c r="I298" s="5"/>
      <c r="J298" s="5"/>
      <c r="K298" s="5"/>
      <c r="L298" s="5"/>
      <c r="M298" s="5"/>
      <c r="N298" s="5"/>
      <c r="O298" s="5"/>
      <c r="P298" s="5"/>
      <c r="Q298" s="5"/>
      <c r="R298" s="5"/>
      <c r="S298" s="5"/>
      <c r="T298" s="5"/>
      <c r="U298" s="5"/>
      <c r="V298" s="5"/>
      <c r="W298" s="5"/>
    </row>
    <row r="299">
      <c r="A299" s="5"/>
      <c r="B299" s="3"/>
      <c r="C299" s="5"/>
      <c r="D299" s="5"/>
      <c r="E299" s="5"/>
      <c r="F299" s="5"/>
      <c r="G299" s="5"/>
      <c r="H299" s="5"/>
      <c r="I299" s="5"/>
      <c r="J299" s="5"/>
      <c r="K299" s="5"/>
      <c r="L299" s="5"/>
      <c r="M299" s="5"/>
      <c r="N299" s="5"/>
      <c r="O299" s="5"/>
      <c r="P299" s="5"/>
      <c r="Q299" s="5"/>
      <c r="R299" s="5"/>
      <c r="S299" s="5"/>
      <c r="T299" s="5"/>
      <c r="U299" s="5"/>
      <c r="V299" s="5"/>
      <c r="W299" s="5"/>
    </row>
    <row r="300">
      <c r="A300" s="5"/>
      <c r="B300" s="3"/>
      <c r="C300" s="5"/>
      <c r="D300" s="5"/>
      <c r="E300" s="5"/>
      <c r="F300" s="5"/>
      <c r="G300" s="5"/>
      <c r="H300" s="5"/>
      <c r="I300" s="5"/>
      <c r="J300" s="5"/>
      <c r="K300" s="5"/>
      <c r="L300" s="5"/>
      <c r="M300" s="5"/>
      <c r="N300" s="5"/>
      <c r="O300" s="5"/>
      <c r="P300" s="5"/>
      <c r="Q300" s="5"/>
      <c r="R300" s="5"/>
      <c r="S300" s="5"/>
      <c r="T300" s="5"/>
      <c r="U300" s="5"/>
      <c r="V300" s="5"/>
      <c r="W300" s="5"/>
    </row>
    <row r="301">
      <c r="A301" s="5"/>
      <c r="B301" s="3"/>
      <c r="C301" s="5"/>
      <c r="D301" s="5"/>
      <c r="E301" s="5"/>
      <c r="F301" s="5"/>
      <c r="G301" s="5"/>
      <c r="H301" s="5"/>
      <c r="I301" s="5"/>
      <c r="J301" s="5"/>
      <c r="K301" s="5"/>
      <c r="L301" s="5"/>
      <c r="M301" s="5"/>
      <c r="N301" s="5"/>
      <c r="O301" s="5"/>
      <c r="P301" s="5"/>
      <c r="Q301" s="5"/>
      <c r="R301" s="5"/>
      <c r="S301" s="5"/>
      <c r="T301" s="5"/>
      <c r="U301" s="5"/>
      <c r="V301" s="5"/>
      <c r="W301" s="5"/>
    </row>
    <row r="302">
      <c r="A302" s="5"/>
      <c r="B302" s="3"/>
      <c r="C302" s="5"/>
      <c r="D302" s="5"/>
      <c r="E302" s="5"/>
      <c r="F302" s="5"/>
      <c r="G302" s="5"/>
      <c r="H302" s="5"/>
      <c r="I302" s="5"/>
      <c r="J302" s="5"/>
      <c r="K302" s="5"/>
      <c r="L302" s="5"/>
      <c r="M302" s="5"/>
      <c r="N302" s="5"/>
      <c r="O302" s="5"/>
      <c r="P302" s="5"/>
      <c r="Q302" s="5"/>
      <c r="R302" s="5"/>
      <c r="S302" s="5"/>
      <c r="T302" s="5"/>
      <c r="U302" s="5"/>
      <c r="V302" s="5"/>
      <c r="W302" s="5"/>
    </row>
    <row r="303">
      <c r="A303" s="5"/>
      <c r="B303" s="3"/>
      <c r="C303" s="5"/>
      <c r="D303" s="5"/>
      <c r="E303" s="5"/>
      <c r="F303" s="5"/>
      <c r="G303" s="5"/>
      <c r="H303" s="5"/>
      <c r="I303" s="5"/>
      <c r="J303" s="5"/>
      <c r="K303" s="5"/>
      <c r="L303" s="5"/>
      <c r="M303" s="5"/>
      <c r="N303" s="5"/>
      <c r="O303" s="5"/>
      <c r="P303" s="5"/>
      <c r="Q303" s="5"/>
      <c r="R303" s="5"/>
      <c r="S303" s="5"/>
      <c r="T303" s="5"/>
      <c r="U303" s="5"/>
      <c r="V303" s="5"/>
      <c r="W303" s="5"/>
    </row>
    <row r="304">
      <c r="A304" s="5"/>
      <c r="B304" s="3"/>
      <c r="C304" s="5"/>
      <c r="D304" s="5"/>
      <c r="E304" s="5"/>
      <c r="F304" s="5"/>
      <c r="G304" s="5"/>
      <c r="H304" s="5"/>
      <c r="I304" s="5"/>
      <c r="J304" s="5"/>
      <c r="K304" s="5"/>
      <c r="L304" s="5"/>
      <c r="M304" s="5"/>
      <c r="N304" s="5"/>
      <c r="O304" s="5"/>
      <c r="P304" s="5"/>
      <c r="Q304" s="5"/>
      <c r="R304" s="5"/>
      <c r="S304" s="5"/>
      <c r="T304" s="5"/>
      <c r="U304" s="5"/>
      <c r="V304" s="5"/>
      <c r="W304" s="5"/>
    </row>
    <row r="305">
      <c r="A305" s="5"/>
      <c r="B305" s="3"/>
      <c r="C305" s="5"/>
      <c r="D305" s="5"/>
      <c r="E305" s="5"/>
      <c r="F305" s="5"/>
      <c r="G305" s="5"/>
      <c r="H305" s="5"/>
      <c r="I305" s="5"/>
      <c r="J305" s="5"/>
      <c r="K305" s="5"/>
      <c r="L305" s="5"/>
      <c r="M305" s="5"/>
      <c r="N305" s="5"/>
      <c r="O305" s="5"/>
      <c r="P305" s="5"/>
      <c r="Q305" s="5"/>
      <c r="R305" s="5"/>
      <c r="S305" s="5"/>
      <c r="T305" s="5"/>
      <c r="U305" s="5"/>
      <c r="V305" s="5"/>
      <c r="W305" s="5"/>
    </row>
    <row r="306">
      <c r="A306" s="5"/>
      <c r="B306" s="3"/>
      <c r="C306" s="5"/>
      <c r="D306" s="5"/>
      <c r="E306" s="5"/>
      <c r="F306" s="5"/>
      <c r="G306" s="5"/>
      <c r="H306" s="5"/>
      <c r="I306" s="5"/>
      <c r="J306" s="5"/>
      <c r="K306" s="5"/>
      <c r="L306" s="5"/>
      <c r="M306" s="5"/>
      <c r="N306" s="5"/>
      <c r="O306" s="5"/>
      <c r="P306" s="5"/>
      <c r="Q306" s="5"/>
      <c r="R306" s="5"/>
      <c r="S306" s="5"/>
      <c r="T306" s="5"/>
      <c r="U306" s="5"/>
      <c r="V306" s="5"/>
      <c r="W306" s="5"/>
    </row>
    <row r="307">
      <c r="A307" s="5"/>
      <c r="B307" s="3"/>
      <c r="C307" s="5"/>
      <c r="D307" s="5"/>
      <c r="E307" s="5"/>
      <c r="F307" s="5"/>
      <c r="G307" s="5"/>
      <c r="H307" s="5"/>
      <c r="I307" s="5"/>
      <c r="J307" s="5"/>
      <c r="K307" s="5"/>
      <c r="L307" s="5"/>
      <c r="M307" s="5"/>
      <c r="N307" s="5"/>
      <c r="O307" s="5"/>
      <c r="P307" s="5"/>
      <c r="Q307" s="5"/>
      <c r="R307" s="5"/>
      <c r="S307" s="5"/>
      <c r="T307" s="5"/>
      <c r="U307" s="5"/>
      <c r="V307" s="5"/>
      <c r="W307" s="5"/>
    </row>
    <row r="308">
      <c r="A308" s="5"/>
      <c r="B308" s="3"/>
      <c r="C308" s="5"/>
      <c r="D308" s="5"/>
      <c r="E308" s="5"/>
      <c r="F308" s="5"/>
      <c r="G308" s="5"/>
      <c r="H308" s="5"/>
      <c r="I308" s="5"/>
      <c r="J308" s="5"/>
      <c r="K308" s="5"/>
      <c r="L308" s="5"/>
      <c r="M308" s="5"/>
      <c r="N308" s="5"/>
      <c r="O308" s="5"/>
      <c r="P308" s="5"/>
      <c r="Q308" s="5"/>
      <c r="R308" s="5"/>
      <c r="S308" s="5"/>
      <c r="T308" s="5"/>
      <c r="U308" s="5"/>
      <c r="V308" s="5"/>
      <c r="W308" s="5"/>
    </row>
    <row r="309">
      <c r="A309" s="5"/>
      <c r="B309" s="3"/>
      <c r="C309" s="5"/>
      <c r="D309" s="5"/>
      <c r="E309" s="5"/>
      <c r="F309" s="5"/>
      <c r="G309" s="5"/>
      <c r="H309" s="5"/>
      <c r="I309" s="5"/>
      <c r="J309" s="5"/>
      <c r="K309" s="5"/>
      <c r="L309" s="5"/>
      <c r="M309" s="5"/>
      <c r="N309" s="5"/>
      <c r="O309" s="5"/>
      <c r="P309" s="5"/>
      <c r="Q309" s="5"/>
      <c r="R309" s="5"/>
      <c r="S309" s="5"/>
      <c r="T309" s="5"/>
      <c r="U309" s="5"/>
      <c r="V309" s="5"/>
      <c r="W309" s="5"/>
    </row>
    <row r="310">
      <c r="A310" s="5"/>
      <c r="B310" s="3"/>
      <c r="C310" s="5"/>
      <c r="D310" s="5"/>
      <c r="E310" s="5"/>
      <c r="F310" s="5"/>
      <c r="G310" s="5"/>
      <c r="H310" s="5"/>
      <c r="I310" s="5"/>
      <c r="J310" s="5"/>
      <c r="K310" s="5"/>
      <c r="L310" s="5"/>
      <c r="M310" s="5"/>
      <c r="N310" s="5"/>
      <c r="O310" s="5"/>
      <c r="P310" s="5"/>
      <c r="Q310" s="5"/>
      <c r="R310" s="5"/>
      <c r="S310" s="5"/>
      <c r="T310" s="5"/>
      <c r="U310" s="5"/>
      <c r="V310" s="5"/>
      <c r="W310" s="5"/>
    </row>
    <row r="311">
      <c r="A311" s="5"/>
      <c r="B311" s="3"/>
      <c r="C311" s="5"/>
      <c r="D311" s="5"/>
      <c r="E311" s="5"/>
      <c r="F311" s="5"/>
      <c r="G311" s="5"/>
      <c r="H311" s="5"/>
      <c r="I311" s="5"/>
      <c r="J311" s="5"/>
      <c r="K311" s="5"/>
      <c r="L311" s="5"/>
      <c r="M311" s="5"/>
      <c r="N311" s="5"/>
      <c r="O311" s="5"/>
      <c r="P311" s="5"/>
      <c r="Q311" s="5"/>
      <c r="R311" s="5"/>
      <c r="S311" s="5"/>
      <c r="T311" s="5"/>
      <c r="U311" s="5"/>
      <c r="V311" s="5"/>
      <c r="W311" s="5"/>
    </row>
    <row r="312">
      <c r="A312" s="5"/>
      <c r="B312" s="3"/>
      <c r="C312" s="5"/>
      <c r="D312" s="5"/>
      <c r="E312" s="5"/>
      <c r="F312" s="5"/>
      <c r="G312" s="5"/>
      <c r="H312" s="5"/>
      <c r="I312" s="5"/>
      <c r="J312" s="5"/>
      <c r="K312" s="5"/>
      <c r="L312" s="5"/>
      <c r="M312" s="5"/>
      <c r="N312" s="5"/>
      <c r="O312" s="5"/>
      <c r="P312" s="5"/>
      <c r="Q312" s="5"/>
      <c r="R312" s="5"/>
      <c r="S312" s="5"/>
      <c r="T312" s="5"/>
      <c r="U312" s="5"/>
      <c r="V312" s="5"/>
      <c r="W312" s="5"/>
    </row>
    <row r="313">
      <c r="A313" s="5"/>
      <c r="B313" s="3"/>
      <c r="C313" s="5"/>
      <c r="D313" s="5"/>
      <c r="E313" s="5"/>
      <c r="F313" s="5"/>
      <c r="G313" s="5"/>
      <c r="H313" s="5"/>
      <c r="I313" s="5"/>
      <c r="J313" s="5"/>
      <c r="K313" s="5"/>
      <c r="L313" s="5"/>
      <c r="M313" s="5"/>
      <c r="N313" s="5"/>
      <c r="O313" s="5"/>
      <c r="P313" s="5"/>
      <c r="Q313" s="5"/>
      <c r="R313" s="5"/>
      <c r="S313" s="5"/>
      <c r="T313" s="5"/>
      <c r="U313" s="5"/>
      <c r="V313" s="5"/>
      <c r="W313" s="5"/>
    </row>
    <row r="314">
      <c r="A314" s="5"/>
      <c r="B314" s="3"/>
      <c r="C314" s="5"/>
      <c r="D314" s="5"/>
      <c r="E314" s="5"/>
      <c r="F314" s="5"/>
      <c r="G314" s="5"/>
      <c r="H314" s="5"/>
      <c r="I314" s="5"/>
      <c r="J314" s="5"/>
      <c r="K314" s="5"/>
      <c r="L314" s="5"/>
      <c r="M314" s="5"/>
      <c r="N314" s="5"/>
      <c r="O314" s="5"/>
      <c r="P314" s="5"/>
      <c r="Q314" s="5"/>
      <c r="R314" s="5"/>
      <c r="S314" s="5"/>
      <c r="T314" s="5"/>
      <c r="U314" s="5"/>
      <c r="V314" s="5"/>
      <c r="W314" s="5"/>
    </row>
    <row r="315">
      <c r="A315" s="5"/>
      <c r="B315" s="3"/>
      <c r="C315" s="5"/>
      <c r="D315" s="5"/>
      <c r="E315" s="5"/>
      <c r="F315" s="5"/>
      <c r="G315" s="5"/>
      <c r="H315" s="5"/>
      <c r="I315" s="5"/>
      <c r="J315" s="5"/>
      <c r="K315" s="5"/>
      <c r="L315" s="5"/>
      <c r="M315" s="5"/>
      <c r="N315" s="5"/>
      <c r="O315" s="5"/>
      <c r="P315" s="5"/>
      <c r="Q315" s="5"/>
      <c r="R315" s="5"/>
      <c r="S315" s="5"/>
      <c r="T315" s="5"/>
      <c r="U315" s="5"/>
      <c r="V315" s="5"/>
      <c r="W315" s="5"/>
    </row>
    <row r="316">
      <c r="A316" s="5"/>
      <c r="B316" s="3"/>
      <c r="C316" s="5"/>
      <c r="D316" s="5"/>
      <c r="E316" s="5"/>
      <c r="F316" s="5"/>
      <c r="G316" s="5"/>
      <c r="H316" s="5"/>
      <c r="I316" s="5"/>
      <c r="J316" s="5"/>
      <c r="K316" s="5"/>
      <c r="L316" s="5"/>
      <c r="M316" s="5"/>
      <c r="N316" s="5"/>
      <c r="O316" s="5"/>
      <c r="P316" s="5"/>
      <c r="Q316" s="5"/>
      <c r="R316" s="5"/>
      <c r="S316" s="5"/>
      <c r="T316" s="5"/>
      <c r="U316" s="5"/>
      <c r="V316" s="5"/>
      <c r="W316" s="5"/>
    </row>
    <row r="317">
      <c r="A317" s="5"/>
      <c r="B317" s="3"/>
      <c r="C317" s="5"/>
      <c r="D317" s="5"/>
      <c r="E317" s="5"/>
      <c r="F317" s="5"/>
      <c r="G317" s="5"/>
      <c r="H317" s="5"/>
      <c r="I317" s="5"/>
      <c r="J317" s="5"/>
      <c r="K317" s="5"/>
      <c r="L317" s="5"/>
      <c r="M317" s="5"/>
      <c r="N317" s="5"/>
      <c r="O317" s="5"/>
      <c r="P317" s="5"/>
      <c r="Q317" s="5"/>
      <c r="R317" s="5"/>
      <c r="S317" s="5"/>
      <c r="T317" s="5"/>
      <c r="U317" s="5"/>
      <c r="V317" s="5"/>
      <c r="W317" s="5"/>
    </row>
    <row r="318">
      <c r="A318" s="5"/>
      <c r="B318" s="3"/>
      <c r="C318" s="5"/>
      <c r="D318" s="5"/>
      <c r="E318" s="5"/>
      <c r="F318" s="5"/>
      <c r="G318" s="5"/>
      <c r="H318" s="5"/>
      <c r="I318" s="5"/>
      <c r="J318" s="5"/>
      <c r="K318" s="5"/>
      <c r="L318" s="5"/>
      <c r="M318" s="5"/>
      <c r="N318" s="5"/>
      <c r="O318" s="5"/>
      <c r="P318" s="5"/>
      <c r="Q318" s="5"/>
      <c r="R318" s="5"/>
      <c r="S318" s="5"/>
      <c r="T318" s="5"/>
      <c r="U318" s="5"/>
      <c r="V318" s="5"/>
      <c r="W318" s="5"/>
    </row>
    <row r="319">
      <c r="A319" s="5"/>
      <c r="B319" s="3"/>
      <c r="C319" s="5"/>
      <c r="D319" s="5"/>
      <c r="E319" s="5"/>
      <c r="F319" s="5"/>
      <c r="G319" s="5"/>
      <c r="H319" s="5"/>
      <c r="I319" s="5"/>
      <c r="J319" s="5"/>
      <c r="K319" s="5"/>
      <c r="L319" s="5"/>
      <c r="M319" s="5"/>
      <c r="N319" s="5"/>
      <c r="O319" s="5"/>
      <c r="P319" s="5"/>
      <c r="Q319" s="5"/>
      <c r="R319" s="5"/>
      <c r="S319" s="5"/>
      <c r="T319" s="5"/>
      <c r="U319" s="5"/>
      <c r="V319" s="5"/>
      <c r="W319" s="5"/>
    </row>
    <row r="320">
      <c r="A320" s="5"/>
      <c r="B320" s="3"/>
      <c r="C320" s="5"/>
      <c r="D320" s="5"/>
      <c r="E320" s="5"/>
      <c r="F320" s="5"/>
      <c r="G320" s="5"/>
      <c r="H320" s="5"/>
      <c r="I320" s="5"/>
      <c r="J320" s="5"/>
      <c r="K320" s="5"/>
      <c r="L320" s="5"/>
      <c r="M320" s="5"/>
      <c r="N320" s="5"/>
      <c r="O320" s="5"/>
      <c r="P320" s="5"/>
      <c r="Q320" s="5"/>
      <c r="R320" s="5"/>
      <c r="S320" s="5"/>
      <c r="T320" s="5"/>
      <c r="U320" s="5"/>
      <c r="V320" s="5"/>
      <c r="W320" s="5"/>
    </row>
    <row r="321">
      <c r="A321" s="5"/>
      <c r="B321" s="3"/>
      <c r="C321" s="5"/>
      <c r="D321" s="5"/>
      <c r="E321" s="5"/>
      <c r="F321" s="5"/>
      <c r="G321" s="5"/>
      <c r="H321" s="5"/>
      <c r="I321" s="5"/>
      <c r="J321" s="5"/>
      <c r="K321" s="5"/>
      <c r="L321" s="5"/>
      <c r="M321" s="5"/>
      <c r="N321" s="5"/>
      <c r="O321" s="5"/>
      <c r="P321" s="5"/>
      <c r="Q321" s="5"/>
      <c r="R321" s="5"/>
      <c r="S321" s="5"/>
      <c r="T321" s="5"/>
      <c r="U321" s="5"/>
      <c r="V321" s="5"/>
      <c r="W321" s="5"/>
    </row>
    <row r="322">
      <c r="A322" s="5"/>
      <c r="B322" s="3"/>
      <c r="C322" s="5"/>
      <c r="D322" s="5"/>
      <c r="E322" s="5"/>
      <c r="F322" s="5"/>
      <c r="G322" s="5"/>
      <c r="H322" s="5"/>
      <c r="I322" s="5"/>
      <c r="J322" s="5"/>
      <c r="K322" s="5"/>
      <c r="L322" s="5"/>
      <c r="M322" s="5"/>
      <c r="N322" s="5"/>
      <c r="O322" s="5"/>
      <c r="P322" s="5"/>
      <c r="Q322" s="5"/>
      <c r="R322" s="5"/>
      <c r="S322" s="5"/>
      <c r="T322" s="5"/>
      <c r="U322" s="5"/>
      <c r="V322" s="5"/>
      <c r="W322" s="5"/>
    </row>
    <row r="323">
      <c r="A323" s="5"/>
      <c r="B323" s="3"/>
      <c r="C323" s="5"/>
      <c r="D323" s="5"/>
      <c r="E323" s="5"/>
      <c r="F323" s="5"/>
      <c r="G323" s="5"/>
      <c r="H323" s="5"/>
      <c r="I323" s="5"/>
      <c r="J323" s="5"/>
      <c r="K323" s="5"/>
      <c r="L323" s="5"/>
      <c r="M323" s="5"/>
      <c r="N323" s="5"/>
      <c r="O323" s="5"/>
      <c r="P323" s="5"/>
      <c r="Q323" s="5"/>
      <c r="R323" s="5"/>
      <c r="S323" s="5"/>
      <c r="T323" s="5"/>
      <c r="U323" s="5"/>
      <c r="V323" s="5"/>
      <c r="W323" s="5"/>
    </row>
    <row r="324">
      <c r="A324" s="5"/>
      <c r="B324" s="3"/>
      <c r="C324" s="5"/>
      <c r="D324" s="5"/>
      <c r="E324" s="5"/>
      <c r="F324" s="5"/>
      <c r="G324" s="5"/>
      <c r="H324" s="5"/>
      <c r="I324" s="5"/>
      <c r="J324" s="5"/>
      <c r="K324" s="5"/>
      <c r="L324" s="5"/>
      <c r="M324" s="5"/>
      <c r="N324" s="5"/>
      <c r="O324" s="5"/>
      <c r="P324" s="5"/>
      <c r="Q324" s="5"/>
      <c r="R324" s="5"/>
      <c r="S324" s="5"/>
      <c r="T324" s="5"/>
      <c r="U324" s="5"/>
      <c r="V324" s="5"/>
      <c r="W324" s="5"/>
    </row>
    <row r="325">
      <c r="A325" s="5"/>
      <c r="B325" s="3"/>
      <c r="C325" s="5"/>
      <c r="D325" s="5"/>
      <c r="E325" s="5"/>
      <c r="F325" s="5"/>
      <c r="G325" s="5"/>
      <c r="H325" s="5"/>
      <c r="I325" s="5"/>
      <c r="J325" s="5"/>
      <c r="K325" s="5"/>
      <c r="L325" s="5"/>
      <c r="M325" s="5"/>
      <c r="N325" s="5"/>
      <c r="O325" s="5"/>
      <c r="P325" s="5"/>
      <c r="Q325" s="5"/>
      <c r="R325" s="5"/>
      <c r="S325" s="5"/>
      <c r="T325" s="5"/>
      <c r="U325" s="5"/>
      <c r="V325" s="5"/>
      <c r="W325" s="5"/>
    </row>
    <row r="326">
      <c r="A326" s="5"/>
      <c r="B326" s="3"/>
      <c r="C326" s="5"/>
      <c r="D326" s="5"/>
      <c r="E326" s="5"/>
      <c r="F326" s="5"/>
      <c r="G326" s="5"/>
      <c r="H326" s="5"/>
      <c r="I326" s="5"/>
      <c r="J326" s="5"/>
      <c r="K326" s="5"/>
      <c r="L326" s="5"/>
      <c r="M326" s="5"/>
      <c r="N326" s="5"/>
      <c r="O326" s="5"/>
      <c r="P326" s="5"/>
      <c r="Q326" s="5"/>
      <c r="R326" s="5"/>
      <c r="S326" s="5"/>
      <c r="T326" s="5"/>
      <c r="U326" s="5"/>
      <c r="V326" s="5"/>
      <c r="W326" s="5"/>
    </row>
    <row r="327">
      <c r="A327" s="5"/>
      <c r="B327" s="3"/>
      <c r="C327" s="5"/>
      <c r="D327" s="5"/>
      <c r="E327" s="5"/>
      <c r="F327" s="5"/>
      <c r="G327" s="5"/>
      <c r="H327" s="5"/>
      <c r="I327" s="5"/>
      <c r="J327" s="5"/>
      <c r="K327" s="5"/>
      <c r="L327" s="5"/>
      <c r="M327" s="5"/>
      <c r="N327" s="5"/>
      <c r="O327" s="5"/>
      <c r="P327" s="5"/>
      <c r="Q327" s="5"/>
      <c r="R327" s="5"/>
      <c r="S327" s="5"/>
      <c r="T327" s="5"/>
      <c r="U327" s="5"/>
      <c r="V327" s="5"/>
      <c r="W327" s="5"/>
    </row>
    <row r="328">
      <c r="A328" s="5"/>
      <c r="B328" s="3"/>
      <c r="C328" s="5"/>
      <c r="D328" s="5"/>
      <c r="E328" s="5"/>
      <c r="F328" s="5"/>
      <c r="G328" s="5"/>
      <c r="H328" s="5"/>
      <c r="I328" s="5"/>
      <c r="J328" s="5"/>
      <c r="K328" s="5"/>
      <c r="L328" s="5"/>
      <c r="M328" s="5"/>
      <c r="N328" s="5"/>
      <c r="O328" s="5"/>
      <c r="P328" s="5"/>
      <c r="Q328" s="5"/>
      <c r="R328" s="5"/>
      <c r="S328" s="5"/>
      <c r="T328" s="5"/>
      <c r="U328" s="5"/>
      <c r="V328" s="5"/>
      <c r="W328" s="5"/>
    </row>
    <row r="329">
      <c r="A329" s="5"/>
      <c r="B329" s="3"/>
      <c r="C329" s="5"/>
      <c r="D329" s="5"/>
      <c r="E329" s="5"/>
      <c r="F329" s="5"/>
      <c r="G329" s="5"/>
      <c r="H329" s="5"/>
      <c r="I329" s="5"/>
      <c r="J329" s="5"/>
      <c r="K329" s="5"/>
      <c r="L329" s="5"/>
      <c r="M329" s="5"/>
      <c r="N329" s="5"/>
      <c r="O329" s="5"/>
      <c r="P329" s="5"/>
      <c r="Q329" s="5"/>
      <c r="R329" s="5"/>
      <c r="S329" s="5"/>
      <c r="T329" s="5"/>
      <c r="U329" s="5"/>
      <c r="V329" s="5"/>
      <c r="W329" s="5"/>
    </row>
    <row r="330">
      <c r="A330" s="5"/>
      <c r="B330" s="3"/>
      <c r="C330" s="5"/>
      <c r="D330" s="5"/>
      <c r="E330" s="5"/>
      <c r="F330" s="5"/>
      <c r="G330" s="5"/>
      <c r="H330" s="5"/>
      <c r="I330" s="5"/>
      <c r="J330" s="5"/>
      <c r="K330" s="5"/>
      <c r="L330" s="5"/>
      <c r="M330" s="5"/>
      <c r="N330" s="5"/>
      <c r="O330" s="5"/>
      <c r="P330" s="5"/>
      <c r="Q330" s="5"/>
      <c r="R330" s="5"/>
      <c r="S330" s="5"/>
      <c r="T330" s="5"/>
      <c r="U330" s="5"/>
      <c r="V330" s="5"/>
      <c r="W330" s="5"/>
    </row>
    <row r="331">
      <c r="A331" s="5"/>
      <c r="B331" s="3"/>
      <c r="C331" s="5"/>
      <c r="D331" s="5"/>
      <c r="E331" s="5"/>
      <c r="F331" s="5"/>
      <c r="G331" s="5"/>
      <c r="H331" s="5"/>
      <c r="I331" s="5"/>
      <c r="J331" s="5"/>
      <c r="K331" s="5"/>
      <c r="L331" s="5"/>
      <c r="M331" s="5"/>
      <c r="N331" s="5"/>
      <c r="O331" s="5"/>
      <c r="P331" s="5"/>
      <c r="Q331" s="5"/>
      <c r="R331" s="5"/>
      <c r="S331" s="5"/>
      <c r="T331" s="5"/>
      <c r="U331" s="5"/>
      <c r="V331" s="5"/>
      <c r="W331" s="5"/>
    </row>
    <row r="332">
      <c r="A332" s="5"/>
      <c r="B332" s="3"/>
      <c r="C332" s="5"/>
      <c r="D332" s="5"/>
      <c r="E332" s="5"/>
      <c r="F332" s="5"/>
      <c r="G332" s="5"/>
      <c r="H332" s="5"/>
      <c r="I332" s="5"/>
      <c r="J332" s="5"/>
      <c r="K332" s="5"/>
      <c r="L332" s="5"/>
      <c r="M332" s="5"/>
      <c r="N332" s="5"/>
      <c r="O332" s="5"/>
      <c r="P332" s="5"/>
      <c r="Q332" s="5"/>
      <c r="R332" s="5"/>
      <c r="S332" s="5"/>
      <c r="T332" s="5"/>
      <c r="U332" s="5"/>
      <c r="V332" s="5"/>
      <c r="W332" s="5"/>
    </row>
    <row r="333">
      <c r="A333" s="5"/>
      <c r="B333" s="3"/>
      <c r="C333" s="5"/>
      <c r="D333" s="5"/>
      <c r="E333" s="5"/>
      <c r="F333" s="5"/>
      <c r="G333" s="5"/>
      <c r="H333" s="5"/>
      <c r="I333" s="5"/>
      <c r="J333" s="5"/>
      <c r="K333" s="5"/>
      <c r="L333" s="5"/>
      <c r="M333" s="5"/>
      <c r="N333" s="5"/>
      <c r="O333" s="5"/>
      <c r="P333" s="5"/>
      <c r="Q333" s="5"/>
      <c r="R333" s="5"/>
      <c r="S333" s="5"/>
      <c r="T333" s="5"/>
      <c r="U333" s="5"/>
      <c r="V333" s="5"/>
      <c r="W333" s="5"/>
    </row>
    <row r="334">
      <c r="A334" s="5"/>
      <c r="B334" s="3"/>
      <c r="C334" s="5"/>
      <c r="D334" s="5"/>
      <c r="E334" s="5"/>
      <c r="F334" s="5"/>
      <c r="G334" s="5"/>
      <c r="H334" s="5"/>
      <c r="I334" s="5"/>
      <c r="J334" s="5"/>
      <c r="K334" s="5"/>
      <c r="L334" s="5"/>
      <c r="M334" s="5"/>
      <c r="N334" s="5"/>
      <c r="O334" s="5"/>
      <c r="P334" s="5"/>
      <c r="Q334" s="5"/>
      <c r="R334" s="5"/>
      <c r="S334" s="5"/>
      <c r="T334" s="5"/>
      <c r="U334" s="5"/>
      <c r="V334" s="5"/>
      <c r="W334" s="5"/>
    </row>
    <row r="335">
      <c r="A335" s="5"/>
      <c r="B335" s="3"/>
      <c r="C335" s="5"/>
      <c r="D335" s="5"/>
      <c r="E335" s="5"/>
      <c r="F335" s="5"/>
      <c r="G335" s="5"/>
      <c r="H335" s="5"/>
      <c r="I335" s="5"/>
      <c r="J335" s="5"/>
      <c r="K335" s="5"/>
      <c r="L335" s="5"/>
      <c r="M335" s="5"/>
      <c r="N335" s="5"/>
      <c r="O335" s="5"/>
      <c r="P335" s="5"/>
      <c r="Q335" s="5"/>
      <c r="R335" s="5"/>
      <c r="S335" s="5"/>
      <c r="T335" s="5"/>
      <c r="U335" s="5"/>
      <c r="V335" s="5"/>
      <c r="W335" s="5"/>
    </row>
    <row r="336">
      <c r="A336" s="5"/>
      <c r="B336" s="3"/>
      <c r="C336" s="5"/>
      <c r="D336" s="5"/>
      <c r="E336" s="5"/>
      <c r="F336" s="5"/>
      <c r="G336" s="5"/>
      <c r="H336" s="5"/>
      <c r="I336" s="5"/>
      <c r="J336" s="5"/>
      <c r="K336" s="5"/>
      <c r="L336" s="5"/>
      <c r="M336" s="5"/>
      <c r="N336" s="5"/>
      <c r="O336" s="5"/>
      <c r="P336" s="5"/>
      <c r="Q336" s="5"/>
      <c r="R336" s="5"/>
      <c r="S336" s="5"/>
      <c r="T336" s="5"/>
      <c r="U336" s="5"/>
      <c r="V336" s="5"/>
      <c r="W336" s="5"/>
    </row>
    <row r="337">
      <c r="A337" s="5"/>
      <c r="B337" s="3"/>
      <c r="C337" s="5"/>
      <c r="D337" s="5"/>
      <c r="E337" s="5"/>
      <c r="F337" s="5"/>
      <c r="G337" s="5"/>
      <c r="H337" s="5"/>
      <c r="I337" s="5"/>
      <c r="J337" s="5"/>
      <c r="K337" s="5"/>
      <c r="L337" s="5"/>
      <c r="M337" s="5"/>
      <c r="N337" s="5"/>
      <c r="O337" s="5"/>
      <c r="P337" s="5"/>
      <c r="Q337" s="5"/>
      <c r="R337" s="5"/>
      <c r="S337" s="5"/>
      <c r="T337" s="5"/>
      <c r="U337" s="5"/>
      <c r="V337" s="5"/>
      <c r="W337" s="5"/>
    </row>
    <row r="338">
      <c r="A338" s="5"/>
      <c r="B338" s="3"/>
      <c r="C338" s="5"/>
      <c r="D338" s="5"/>
      <c r="E338" s="5"/>
      <c r="F338" s="5"/>
      <c r="G338" s="5"/>
      <c r="H338" s="5"/>
      <c r="I338" s="5"/>
      <c r="J338" s="5"/>
      <c r="K338" s="5"/>
      <c r="L338" s="5"/>
      <c r="M338" s="5"/>
      <c r="N338" s="5"/>
      <c r="O338" s="5"/>
      <c r="P338" s="5"/>
      <c r="Q338" s="5"/>
      <c r="R338" s="5"/>
      <c r="S338" s="5"/>
      <c r="T338" s="5"/>
      <c r="U338" s="5"/>
      <c r="V338" s="5"/>
      <c r="W338" s="5"/>
    </row>
    <row r="339">
      <c r="A339" s="5"/>
      <c r="B339" s="3"/>
      <c r="C339" s="5"/>
      <c r="D339" s="5"/>
      <c r="E339" s="5"/>
      <c r="F339" s="5"/>
      <c r="G339" s="5"/>
      <c r="H339" s="5"/>
      <c r="I339" s="5"/>
      <c r="J339" s="5"/>
      <c r="K339" s="5"/>
      <c r="L339" s="5"/>
      <c r="M339" s="5"/>
      <c r="N339" s="5"/>
      <c r="O339" s="5"/>
      <c r="P339" s="5"/>
      <c r="Q339" s="5"/>
      <c r="R339" s="5"/>
      <c r="S339" s="5"/>
      <c r="T339" s="5"/>
      <c r="U339" s="5"/>
      <c r="V339" s="5"/>
      <c r="W339" s="5"/>
    </row>
    <row r="340">
      <c r="A340" s="5"/>
      <c r="B340" s="3"/>
      <c r="C340" s="5"/>
      <c r="D340" s="5"/>
      <c r="E340" s="5"/>
      <c r="F340" s="5"/>
      <c r="G340" s="5"/>
      <c r="H340" s="5"/>
      <c r="I340" s="5"/>
      <c r="J340" s="5"/>
      <c r="K340" s="5"/>
      <c r="L340" s="5"/>
      <c r="M340" s="5"/>
      <c r="N340" s="5"/>
      <c r="O340" s="5"/>
      <c r="P340" s="5"/>
      <c r="Q340" s="5"/>
      <c r="R340" s="5"/>
      <c r="S340" s="5"/>
      <c r="T340" s="5"/>
      <c r="U340" s="5"/>
      <c r="V340" s="5"/>
      <c r="W340" s="5"/>
    </row>
    <row r="341">
      <c r="A341" s="5"/>
      <c r="B341" s="3"/>
      <c r="C341" s="5"/>
      <c r="D341" s="5"/>
      <c r="E341" s="5"/>
      <c r="F341" s="5"/>
      <c r="G341" s="5"/>
      <c r="H341" s="5"/>
      <c r="I341" s="5"/>
      <c r="J341" s="5"/>
      <c r="K341" s="5"/>
      <c r="L341" s="5"/>
      <c r="M341" s="5"/>
      <c r="N341" s="5"/>
      <c r="O341" s="5"/>
      <c r="P341" s="5"/>
      <c r="Q341" s="5"/>
      <c r="R341" s="5"/>
      <c r="S341" s="5"/>
      <c r="T341" s="5"/>
      <c r="U341" s="5"/>
      <c r="V341" s="5"/>
      <c r="W341" s="5"/>
    </row>
    <row r="342">
      <c r="A342" s="5"/>
      <c r="B342" s="3"/>
      <c r="C342" s="5"/>
      <c r="D342" s="5"/>
      <c r="E342" s="5"/>
      <c r="F342" s="5"/>
      <c r="G342" s="5"/>
      <c r="H342" s="5"/>
      <c r="I342" s="5"/>
      <c r="J342" s="5"/>
      <c r="K342" s="5"/>
      <c r="L342" s="5"/>
      <c r="M342" s="5"/>
      <c r="N342" s="5"/>
      <c r="O342" s="5"/>
      <c r="P342" s="5"/>
      <c r="Q342" s="5"/>
      <c r="R342" s="5"/>
      <c r="S342" s="5"/>
      <c r="T342" s="5"/>
      <c r="U342" s="5"/>
      <c r="V342" s="5"/>
      <c r="W342" s="5"/>
    </row>
    <row r="343">
      <c r="A343" s="5"/>
      <c r="B343" s="3"/>
      <c r="C343" s="5"/>
      <c r="D343" s="5"/>
      <c r="E343" s="5"/>
      <c r="F343" s="5"/>
      <c r="G343" s="5"/>
      <c r="H343" s="5"/>
      <c r="I343" s="5"/>
      <c r="J343" s="5"/>
      <c r="K343" s="5"/>
      <c r="L343" s="5"/>
      <c r="M343" s="5"/>
      <c r="N343" s="5"/>
      <c r="O343" s="5"/>
      <c r="P343" s="5"/>
      <c r="Q343" s="5"/>
      <c r="R343" s="5"/>
      <c r="S343" s="5"/>
      <c r="T343" s="5"/>
      <c r="U343" s="5"/>
      <c r="V343" s="5"/>
      <c r="W343" s="5"/>
    </row>
    <row r="344">
      <c r="A344" s="5"/>
      <c r="B344" s="3"/>
      <c r="C344" s="5"/>
      <c r="D344" s="5"/>
      <c r="E344" s="5"/>
      <c r="F344" s="5"/>
      <c r="G344" s="5"/>
      <c r="H344" s="5"/>
      <c r="I344" s="5"/>
      <c r="J344" s="5"/>
      <c r="K344" s="5"/>
      <c r="L344" s="5"/>
      <c r="M344" s="5"/>
      <c r="N344" s="5"/>
      <c r="O344" s="5"/>
      <c r="P344" s="5"/>
      <c r="Q344" s="5"/>
      <c r="R344" s="5"/>
      <c r="S344" s="5"/>
      <c r="T344" s="5"/>
      <c r="U344" s="5"/>
      <c r="V344" s="5"/>
      <c r="W344" s="5"/>
    </row>
    <row r="345">
      <c r="A345" s="5"/>
      <c r="B345" s="3"/>
      <c r="C345" s="5"/>
      <c r="D345" s="5"/>
      <c r="E345" s="5"/>
      <c r="F345" s="5"/>
      <c r="G345" s="5"/>
      <c r="H345" s="5"/>
      <c r="I345" s="5"/>
      <c r="J345" s="5"/>
      <c r="K345" s="5"/>
      <c r="L345" s="5"/>
      <c r="M345" s="5"/>
      <c r="N345" s="5"/>
      <c r="O345" s="5"/>
      <c r="P345" s="5"/>
      <c r="Q345" s="5"/>
      <c r="R345" s="5"/>
      <c r="S345" s="5"/>
      <c r="T345" s="5"/>
      <c r="U345" s="5"/>
      <c r="V345" s="5"/>
      <c r="W345" s="5"/>
    </row>
    <row r="346">
      <c r="A346" s="5"/>
      <c r="B346" s="3"/>
      <c r="C346" s="5"/>
      <c r="D346" s="5"/>
      <c r="E346" s="5"/>
      <c r="F346" s="5"/>
      <c r="G346" s="5"/>
      <c r="H346" s="5"/>
      <c r="I346" s="5"/>
      <c r="J346" s="5"/>
      <c r="K346" s="5"/>
      <c r="L346" s="5"/>
      <c r="M346" s="5"/>
      <c r="N346" s="5"/>
      <c r="O346" s="5"/>
      <c r="P346" s="5"/>
      <c r="Q346" s="5"/>
      <c r="R346" s="5"/>
      <c r="S346" s="5"/>
      <c r="T346" s="5"/>
      <c r="U346" s="5"/>
      <c r="V346" s="5"/>
      <c r="W346" s="5"/>
    </row>
    <row r="347">
      <c r="A347" s="5"/>
      <c r="B347" s="3"/>
      <c r="C347" s="5"/>
      <c r="D347" s="5"/>
      <c r="E347" s="5"/>
      <c r="F347" s="5"/>
      <c r="G347" s="5"/>
      <c r="H347" s="5"/>
      <c r="I347" s="5"/>
      <c r="J347" s="5"/>
      <c r="K347" s="5"/>
      <c r="L347" s="5"/>
      <c r="M347" s="5"/>
      <c r="N347" s="5"/>
      <c r="O347" s="5"/>
      <c r="P347" s="5"/>
      <c r="Q347" s="5"/>
      <c r="R347" s="5"/>
      <c r="S347" s="5"/>
      <c r="T347" s="5"/>
      <c r="U347" s="5"/>
      <c r="V347" s="5"/>
      <c r="W347" s="5"/>
    </row>
    <row r="348">
      <c r="A348" s="5"/>
      <c r="B348" s="3"/>
      <c r="C348" s="5"/>
      <c r="D348" s="5"/>
      <c r="E348" s="5"/>
      <c r="F348" s="5"/>
      <c r="G348" s="5"/>
      <c r="H348" s="5"/>
      <c r="I348" s="5"/>
      <c r="J348" s="5"/>
      <c r="K348" s="5"/>
      <c r="L348" s="5"/>
      <c r="M348" s="5"/>
      <c r="N348" s="5"/>
      <c r="O348" s="5"/>
      <c r="P348" s="5"/>
      <c r="Q348" s="5"/>
      <c r="R348" s="5"/>
      <c r="S348" s="5"/>
      <c r="T348" s="5"/>
      <c r="U348" s="5"/>
      <c r="V348" s="5"/>
      <c r="W348" s="5"/>
    </row>
    <row r="349">
      <c r="A349" s="5"/>
      <c r="B349" s="3"/>
      <c r="C349" s="5"/>
      <c r="D349" s="5"/>
      <c r="E349" s="5"/>
      <c r="F349" s="5"/>
      <c r="G349" s="5"/>
      <c r="H349" s="5"/>
      <c r="I349" s="5"/>
      <c r="J349" s="5"/>
      <c r="K349" s="5"/>
      <c r="L349" s="5"/>
      <c r="M349" s="5"/>
      <c r="N349" s="5"/>
      <c r="O349" s="5"/>
      <c r="P349" s="5"/>
      <c r="Q349" s="5"/>
      <c r="R349" s="5"/>
      <c r="S349" s="5"/>
      <c r="T349" s="5"/>
      <c r="U349" s="5"/>
      <c r="V349" s="5"/>
      <c r="W349" s="5"/>
    </row>
    <row r="350">
      <c r="A350" s="5"/>
      <c r="B350" s="3"/>
      <c r="C350" s="5"/>
      <c r="D350" s="5"/>
      <c r="E350" s="5"/>
      <c r="F350" s="5"/>
      <c r="G350" s="5"/>
      <c r="H350" s="5"/>
      <c r="I350" s="5"/>
      <c r="J350" s="5"/>
      <c r="K350" s="5"/>
      <c r="L350" s="5"/>
      <c r="M350" s="5"/>
      <c r="N350" s="5"/>
      <c r="O350" s="5"/>
      <c r="P350" s="5"/>
      <c r="Q350" s="5"/>
      <c r="R350" s="5"/>
      <c r="S350" s="5"/>
      <c r="T350" s="5"/>
      <c r="U350" s="5"/>
      <c r="V350" s="5"/>
      <c r="W350" s="5"/>
    </row>
    <row r="351">
      <c r="A351" s="5"/>
      <c r="B351" s="3"/>
      <c r="C351" s="5"/>
      <c r="D351" s="5"/>
      <c r="E351" s="5"/>
      <c r="F351" s="5"/>
      <c r="G351" s="5"/>
      <c r="H351" s="5"/>
      <c r="I351" s="5"/>
      <c r="J351" s="5"/>
      <c r="K351" s="5"/>
      <c r="L351" s="5"/>
      <c r="M351" s="5"/>
      <c r="N351" s="5"/>
      <c r="O351" s="5"/>
      <c r="P351" s="5"/>
      <c r="Q351" s="5"/>
      <c r="R351" s="5"/>
      <c r="S351" s="5"/>
      <c r="T351" s="5"/>
      <c r="U351" s="5"/>
      <c r="V351" s="5"/>
      <c r="W351" s="5"/>
    </row>
    <row r="352">
      <c r="A352" s="5"/>
      <c r="B352" s="3"/>
      <c r="C352" s="5"/>
      <c r="D352" s="5"/>
      <c r="E352" s="5"/>
      <c r="F352" s="5"/>
      <c r="G352" s="5"/>
      <c r="H352" s="5"/>
      <c r="I352" s="5"/>
      <c r="J352" s="5"/>
      <c r="K352" s="5"/>
      <c r="L352" s="5"/>
      <c r="M352" s="5"/>
      <c r="N352" s="5"/>
      <c r="O352" s="5"/>
      <c r="P352" s="5"/>
      <c r="Q352" s="5"/>
      <c r="R352" s="5"/>
      <c r="S352" s="5"/>
      <c r="T352" s="5"/>
      <c r="U352" s="5"/>
      <c r="V352" s="5"/>
      <c r="W352" s="5"/>
    </row>
    <row r="353">
      <c r="A353" s="5"/>
      <c r="B353" s="3"/>
      <c r="C353" s="5"/>
      <c r="D353" s="5"/>
      <c r="E353" s="5"/>
      <c r="F353" s="5"/>
      <c r="G353" s="5"/>
      <c r="H353" s="5"/>
      <c r="I353" s="5"/>
      <c r="J353" s="5"/>
      <c r="K353" s="5"/>
      <c r="L353" s="5"/>
      <c r="M353" s="5"/>
      <c r="N353" s="5"/>
      <c r="O353" s="5"/>
      <c r="P353" s="5"/>
      <c r="Q353" s="5"/>
      <c r="R353" s="5"/>
      <c r="S353" s="5"/>
      <c r="T353" s="5"/>
      <c r="U353" s="5"/>
      <c r="V353" s="5"/>
      <c r="W353" s="5"/>
    </row>
    <row r="354">
      <c r="A354" s="5"/>
      <c r="B354" s="3"/>
      <c r="C354" s="5"/>
      <c r="D354" s="5"/>
      <c r="E354" s="5"/>
      <c r="F354" s="5"/>
      <c r="G354" s="5"/>
      <c r="H354" s="5"/>
      <c r="I354" s="5"/>
      <c r="J354" s="5"/>
      <c r="K354" s="5"/>
      <c r="L354" s="5"/>
      <c r="M354" s="5"/>
      <c r="N354" s="5"/>
      <c r="O354" s="5"/>
      <c r="P354" s="5"/>
      <c r="Q354" s="5"/>
      <c r="R354" s="5"/>
      <c r="S354" s="5"/>
      <c r="T354" s="5"/>
      <c r="U354" s="5"/>
      <c r="V354" s="5"/>
      <c r="W354" s="5"/>
    </row>
    <row r="355">
      <c r="A355" s="5"/>
      <c r="B355" s="3"/>
      <c r="C355" s="5"/>
      <c r="D355" s="5"/>
      <c r="E355" s="5"/>
      <c r="F355" s="5"/>
      <c r="G355" s="5"/>
      <c r="H355" s="5"/>
      <c r="I355" s="5"/>
      <c r="J355" s="5"/>
      <c r="K355" s="5"/>
      <c r="L355" s="5"/>
      <c r="M355" s="5"/>
      <c r="N355" s="5"/>
      <c r="O355" s="5"/>
      <c r="P355" s="5"/>
      <c r="Q355" s="5"/>
      <c r="R355" s="5"/>
      <c r="S355" s="5"/>
      <c r="T355" s="5"/>
      <c r="U355" s="5"/>
      <c r="V355" s="5"/>
      <c r="W355" s="5"/>
    </row>
    <row r="356">
      <c r="A356" s="5"/>
      <c r="B356" s="3"/>
      <c r="C356" s="5"/>
      <c r="D356" s="5"/>
      <c r="E356" s="5"/>
      <c r="F356" s="5"/>
      <c r="G356" s="5"/>
      <c r="H356" s="5"/>
      <c r="I356" s="5"/>
      <c r="J356" s="5"/>
      <c r="K356" s="5"/>
      <c r="L356" s="5"/>
      <c r="M356" s="5"/>
      <c r="N356" s="5"/>
      <c r="O356" s="5"/>
      <c r="P356" s="5"/>
      <c r="Q356" s="5"/>
      <c r="R356" s="5"/>
      <c r="S356" s="5"/>
      <c r="T356" s="5"/>
      <c r="U356" s="5"/>
      <c r="V356" s="5"/>
      <c r="W356" s="5"/>
    </row>
    <row r="357">
      <c r="A357" s="5"/>
      <c r="B357" s="3"/>
      <c r="C357" s="5"/>
      <c r="D357" s="5"/>
      <c r="E357" s="5"/>
      <c r="F357" s="5"/>
      <c r="G357" s="5"/>
      <c r="H357" s="5"/>
      <c r="I357" s="5"/>
      <c r="J357" s="5"/>
      <c r="K357" s="5"/>
      <c r="L357" s="5"/>
      <c r="M357" s="5"/>
      <c r="N357" s="5"/>
      <c r="O357" s="5"/>
      <c r="P357" s="5"/>
      <c r="Q357" s="5"/>
      <c r="R357" s="5"/>
      <c r="S357" s="5"/>
      <c r="T357" s="5"/>
      <c r="U357" s="5"/>
      <c r="V357" s="5"/>
      <c r="W357" s="5"/>
    </row>
    <row r="358">
      <c r="A358" s="5"/>
      <c r="B358" s="3"/>
      <c r="C358" s="5"/>
      <c r="D358" s="5"/>
      <c r="E358" s="5"/>
      <c r="F358" s="5"/>
      <c r="G358" s="5"/>
      <c r="H358" s="5"/>
      <c r="I358" s="5"/>
      <c r="J358" s="5"/>
      <c r="K358" s="5"/>
      <c r="L358" s="5"/>
      <c r="M358" s="5"/>
      <c r="N358" s="5"/>
      <c r="O358" s="5"/>
      <c r="P358" s="5"/>
      <c r="Q358" s="5"/>
      <c r="R358" s="5"/>
      <c r="S358" s="5"/>
      <c r="T358" s="5"/>
      <c r="U358" s="5"/>
      <c r="V358" s="5"/>
      <c r="W358" s="5"/>
    </row>
    <row r="359">
      <c r="A359" s="5"/>
      <c r="B359" s="3"/>
      <c r="C359" s="5"/>
      <c r="D359" s="5"/>
      <c r="E359" s="5"/>
      <c r="F359" s="5"/>
      <c r="G359" s="5"/>
      <c r="H359" s="5"/>
      <c r="I359" s="5"/>
      <c r="J359" s="5"/>
      <c r="K359" s="5"/>
      <c r="L359" s="5"/>
      <c r="M359" s="5"/>
      <c r="N359" s="5"/>
      <c r="O359" s="5"/>
      <c r="P359" s="5"/>
      <c r="Q359" s="5"/>
      <c r="R359" s="5"/>
      <c r="S359" s="5"/>
      <c r="T359" s="5"/>
      <c r="U359" s="5"/>
      <c r="V359" s="5"/>
      <c r="W359" s="5"/>
    </row>
    <row r="360">
      <c r="A360" s="5"/>
      <c r="B360" s="3"/>
      <c r="C360" s="5"/>
      <c r="D360" s="5"/>
      <c r="E360" s="5"/>
      <c r="F360" s="5"/>
      <c r="G360" s="5"/>
      <c r="H360" s="5"/>
      <c r="I360" s="5"/>
      <c r="J360" s="5"/>
      <c r="K360" s="5"/>
      <c r="L360" s="5"/>
      <c r="M360" s="5"/>
      <c r="N360" s="5"/>
      <c r="O360" s="5"/>
      <c r="P360" s="5"/>
      <c r="Q360" s="5"/>
      <c r="R360" s="5"/>
      <c r="S360" s="5"/>
      <c r="T360" s="5"/>
      <c r="U360" s="5"/>
      <c r="V360" s="5"/>
      <c r="W360" s="5"/>
    </row>
    <row r="361">
      <c r="A361" s="5"/>
      <c r="B361" s="3"/>
      <c r="C361" s="5"/>
      <c r="D361" s="5"/>
      <c r="E361" s="5"/>
      <c r="F361" s="5"/>
      <c r="G361" s="5"/>
      <c r="H361" s="5"/>
      <c r="I361" s="5"/>
      <c r="J361" s="5"/>
      <c r="K361" s="5"/>
      <c r="L361" s="5"/>
      <c r="M361" s="5"/>
      <c r="N361" s="5"/>
      <c r="O361" s="5"/>
      <c r="P361" s="5"/>
      <c r="Q361" s="5"/>
      <c r="R361" s="5"/>
      <c r="S361" s="5"/>
      <c r="T361" s="5"/>
      <c r="U361" s="5"/>
      <c r="V361" s="5"/>
      <c r="W361" s="5"/>
    </row>
    <row r="362">
      <c r="A362" s="5"/>
      <c r="B362" s="3"/>
      <c r="C362" s="5"/>
      <c r="D362" s="5"/>
      <c r="E362" s="5"/>
      <c r="F362" s="5"/>
      <c r="G362" s="5"/>
      <c r="H362" s="5"/>
      <c r="I362" s="5"/>
      <c r="J362" s="5"/>
      <c r="K362" s="5"/>
      <c r="L362" s="5"/>
      <c r="M362" s="5"/>
      <c r="N362" s="5"/>
      <c r="O362" s="5"/>
      <c r="P362" s="5"/>
      <c r="Q362" s="5"/>
      <c r="R362" s="5"/>
      <c r="S362" s="5"/>
      <c r="T362" s="5"/>
      <c r="U362" s="5"/>
      <c r="V362" s="5"/>
      <c r="W362" s="5"/>
    </row>
    <row r="363">
      <c r="A363" s="5"/>
      <c r="B363" s="3"/>
      <c r="C363" s="5"/>
      <c r="D363" s="5"/>
      <c r="E363" s="5"/>
      <c r="F363" s="5"/>
      <c r="G363" s="5"/>
      <c r="H363" s="5"/>
      <c r="I363" s="5"/>
      <c r="J363" s="5"/>
      <c r="K363" s="5"/>
      <c r="L363" s="5"/>
      <c r="M363" s="5"/>
      <c r="N363" s="5"/>
      <c r="O363" s="5"/>
      <c r="P363" s="5"/>
      <c r="Q363" s="5"/>
      <c r="R363" s="5"/>
      <c r="S363" s="5"/>
      <c r="T363" s="5"/>
      <c r="U363" s="5"/>
      <c r="V363" s="5"/>
      <c r="W363" s="5"/>
    </row>
    <row r="364">
      <c r="A364" s="5"/>
      <c r="B364" s="3"/>
      <c r="C364" s="5"/>
      <c r="D364" s="5"/>
      <c r="E364" s="5"/>
      <c r="F364" s="5"/>
      <c r="G364" s="5"/>
      <c r="H364" s="5"/>
      <c r="I364" s="5"/>
      <c r="J364" s="5"/>
      <c r="K364" s="5"/>
      <c r="L364" s="5"/>
      <c r="M364" s="5"/>
      <c r="N364" s="5"/>
      <c r="O364" s="5"/>
      <c r="P364" s="5"/>
      <c r="Q364" s="5"/>
      <c r="R364" s="5"/>
      <c r="S364" s="5"/>
      <c r="T364" s="5"/>
      <c r="U364" s="5"/>
      <c r="V364" s="5"/>
      <c r="W364" s="5"/>
    </row>
    <row r="365">
      <c r="A365" s="5"/>
      <c r="B365" s="3"/>
      <c r="C365" s="5"/>
      <c r="D365" s="5"/>
      <c r="E365" s="5"/>
      <c r="F365" s="5"/>
      <c r="G365" s="5"/>
      <c r="H365" s="5"/>
      <c r="I365" s="5"/>
      <c r="J365" s="5"/>
      <c r="K365" s="5"/>
      <c r="L365" s="5"/>
      <c r="M365" s="5"/>
      <c r="N365" s="5"/>
      <c r="O365" s="5"/>
      <c r="P365" s="5"/>
      <c r="Q365" s="5"/>
      <c r="R365" s="5"/>
      <c r="S365" s="5"/>
      <c r="T365" s="5"/>
      <c r="U365" s="5"/>
      <c r="V365" s="5"/>
      <c r="W365" s="5"/>
    </row>
    <row r="366">
      <c r="A366" s="5"/>
      <c r="B366" s="3"/>
      <c r="C366" s="5"/>
      <c r="D366" s="5"/>
      <c r="E366" s="5"/>
      <c r="F366" s="5"/>
      <c r="G366" s="5"/>
      <c r="H366" s="5"/>
      <c r="I366" s="5"/>
      <c r="J366" s="5"/>
      <c r="K366" s="5"/>
      <c r="L366" s="5"/>
      <c r="M366" s="5"/>
      <c r="N366" s="5"/>
      <c r="O366" s="5"/>
      <c r="P366" s="5"/>
      <c r="Q366" s="5"/>
      <c r="R366" s="5"/>
      <c r="S366" s="5"/>
      <c r="T366" s="5"/>
      <c r="U366" s="5"/>
      <c r="V366" s="5"/>
      <c r="W366" s="5"/>
    </row>
    <row r="367">
      <c r="A367" s="5"/>
      <c r="B367" s="3"/>
      <c r="C367" s="5"/>
      <c r="D367" s="5"/>
      <c r="E367" s="5"/>
      <c r="F367" s="5"/>
      <c r="G367" s="5"/>
      <c r="H367" s="5"/>
      <c r="I367" s="5"/>
      <c r="J367" s="5"/>
      <c r="K367" s="5"/>
      <c r="L367" s="5"/>
      <c r="M367" s="5"/>
      <c r="N367" s="5"/>
      <c r="O367" s="5"/>
      <c r="P367" s="5"/>
      <c r="Q367" s="5"/>
      <c r="R367" s="5"/>
      <c r="S367" s="5"/>
      <c r="T367" s="5"/>
      <c r="U367" s="5"/>
      <c r="V367" s="5"/>
      <c r="W367" s="5"/>
    </row>
    <row r="368">
      <c r="A368" s="5"/>
      <c r="B368" s="3"/>
      <c r="C368" s="5"/>
      <c r="D368" s="5"/>
      <c r="E368" s="5"/>
      <c r="F368" s="5"/>
      <c r="G368" s="5"/>
      <c r="H368" s="5"/>
      <c r="I368" s="5"/>
      <c r="J368" s="5"/>
      <c r="K368" s="5"/>
      <c r="L368" s="5"/>
      <c r="M368" s="5"/>
      <c r="N368" s="5"/>
      <c r="O368" s="5"/>
      <c r="P368" s="5"/>
      <c r="Q368" s="5"/>
      <c r="R368" s="5"/>
      <c r="S368" s="5"/>
      <c r="T368" s="5"/>
      <c r="U368" s="5"/>
      <c r="V368" s="5"/>
      <c r="W368" s="5"/>
    </row>
    <row r="369">
      <c r="A369" s="5"/>
      <c r="B369" s="3"/>
      <c r="C369" s="5"/>
      <c r="D369" s="5"/>
      <c r="E369" s="5"/>
      <c r="F369" s="5"/>
      <c r="G369" s="5"/>
      <c r="H369" s="5"/>
      <c r="I369" s="5"/>
      <c r="J369" s="5"/>
      <c r="K369" s="5"/>
      <c r="L369" s="5"/>
      <c r="M369" s="5"/>
      <c r="N369" s="5"/>
      <c r="O369" s="5"/>
      <c r="P369" s="5"/>
      <c r="Q369" s="5"/>
      <c r="R369" s="5"/>
      <c r="S369" s="5"/>
      <c r="T369" s="5"/>
      <c r="U369" s="5"/>
      <c r="V369" s="5"/>
      <c r="W369" s="5"/>
    </row>
    <row r="370">
      <c r="A370" s="5"/>
      <c r="B370" s="3"/>
      <c r="C370" s="5"/>
      <c r="D370" s="5"/>
      <c r="E370" s="5"/>
      <c r="F370" s="5"/>
      <c r="G370" s="5"/>
      <c r="H370" s="5"/>
      <c r="I370" s="5"/>
      <c r="J370" s="5"/>
      <c r="K370" s="5"/>
      <c r="L370" s="5"/>
      <c r="M370" s="5"/>
      <c r="N370" s="5"/>
      <c r="O370" s="5"/>
      <c r="P370" s="5"/>
      <c r="Q370" s="5"/>
      <c r="R370" s="5"/>
      <c r="S370" s="5"/>
      <c r="T370" s="5"/>
      <c r="U370" s="5"/>
      <c r="V370" s="5"/>
      <c r="W370" s="5"/>
    </row>
    <row r="371">
      <c r="A371" s="5"/>
      <c r="B371" s="3"/>
      <c r="C371" s="5"/>
      <c r="D371" s="5"/>
      <c r="E371" s="5"/>
      <c r="F371" s="5"/>
      <c r="G371" s="5"/>
      <c r="H371" s="5"/>
      <c r="I371" s="5"/>
      <c r="J371" s="5"/>
      <c r="K371" s="5"/>
      <c r="L371" s="5"/>
      <c r="M371" s="5"/>
      <c r="N371" s="5"/>
      <c r="O371" s="5"/>
      <c r="P371" s="5"/>
      <c r="Q371" s="5"/>
      <c r="R371" s="5"/>
      <c r="S371" s="5"/>
      <c r="T371" s="5"/>
      <c r="U371" s="5"/>
      <c r="V371" s="5"/>
      <c r="W371" s="5"/>
    </row>
    <row r="372">
      <c r="A372" s="5"/>
      <c r="B372" s="3"/>
      <c r="C372" s="5"/>
      <c r="D372" s="5"/>
      <c r="E372" s="5"/>
      <c r="F372" s="5"/>
      <c r="G372" s="5"/>
      <c r="H372" s="5"/>
      <c r="I372" s="5"/>
      <c r="J372" s="5"/>
      <c r="K372" s="5"/>
      <c r="L372" s="5"/>
      <c r="M372" s="5"/>
      <c r="N372" s="5"/>
      <c r="O372" s="5"/>
      <c r="P372" s="5"/>
      <c r="Q372" s="5"/>
      <c r="R372" s="5"/>
      <c r="S372" s="5"/>
      <c r="T372" s="5"/>
      <c r="U372" s="5"/>
      <c r="V372" s="5"/>
      <c r="W372" s="5"/>
    </row>
    <row r="373">
      <c r="A373" s="5"/>
      <c r="B373" s="3"/>
      <c r="C373" s="5"/>
      <c r="D373" s="5"/>
      <c r="E373" s="5"/>
      <c r="F373" s="5"/>
      <c r="G373" s="5"/>
      <c r="H373" s="5"/>
      <c r="I373" s="5"/>
      <c r="J373" s="5"/>
      <c r="K373" s="5"/>
      <c r="L373" s="5"/>
      <c r="M373" s="5"/>
      <c r="N373" s="5"/>
      <c r="O373" s="5"/>
      <c r="P373" s="5"/>
      <c r="Q373" s="5"/>
      <c r="R373" s="5"/>
      <c r="S373" s="5"/>
      <c r="T373" s="5"/>
      <c r="U373" s="5"/>
      <c r="V373" s="5"/>
      <c r="W373" s="5"/>
    </row>
    <row r="374">
      <c r="A374" s="5"/>
      <c r="B374" s="3"/>
      <c r="C374" s="5"/>
      <c r="D374" s="5"/>
      <c r="E374" s="5"/>
      <c r="F374" s="5"/>
      <c r="G374" s="5"/>
      <c r="H374" s="5"/>
      <c r="I374" s="5"/>
      <c r="J374" s="5"/>
      <c r="K374" s="5"/>
      <c r="L374" s="5"/>
      <c r="M374" s="5"/>
      <c r="N374" s="5"/>
      <c r="O374" s="5"/>
      <c r="P374" s="5"/>
      <c r="Q374" s="5"/>
      <c r="R374" s="5"/>
      <c r="S374" s="5"/>
      <c r="T374" s="5"/>
      <c r="U374" s="5"/>
      <c r="V374" s="5"/>
      <c r="W374" s="5"/>
    </row>
    <row r="375">
      <c r="A375" s="5"/>
      <c r="B375" s="3"/>
      <c r="C375" s="5"/>
      <c r="D375" s="5"/>
      <c r="E375" s="5"/>
      <c r="F375" s="5"/>
      <c r="G375" s="5"/>
      <c r="H375" s="5"/>
      <c r="I375" s="5"/>
      <c r="J375" s="5"/>
      <c r="K375" s="5"/>
      <c r="L375" s="5"/>
      <c r="M375" s="5"/>
      <c r="N375" s="5"/>
      <c r="O375" s="5"/>
      <c r="P375" s="5"/>
      <c r="Q375" s="5"/>
      <c r="R375" s="5"/>
      <c r="S375" s="5"/>
      <c r="T375" s="5"/>
      <c r="U375" s="5"/>
      <c r="V375" s="5"/>
      <c r="W375" s="5"/>
    </row>
    <row r="376">
      <c r="A376" s="5"/>
      <c r="B376" s="3"/>
      <c r="C376" s="5"/>
      <c r="D376" s="5"/>
      <c r="E376" s="5"/>
      <c r="F376" s="5"/>
      <c r="G376" s="5"/>
      <c r="H376" s="5"/>
      <c r="I376" s="5"/>
      <c r="J376" s="5"/>
      <c r="K376" s="5"/>
      <c r="L376" s="5"/>
      <c r="M376" s="5"/>
      <c r="N376" s="5"/>
      <c r="O376" s="5"/>
      <c r="P376" s="5"/>
      <c r="Q376" s="5"/>
      <c r="R376" s="5"/>
      <c r="S376" s="5"/>
      <c r="T376" s="5"/>
      <c r="U376" s="5"/>
      <c r="V376" s="5"/>
      <c r="W376" s="5"/>
    </row>
    <row r="377">
      <c r="A377" s="5"/>
      <c r="B377" s="3"/>
      <c r="C377" s="5"/>
      <c r="D377" s="5"/>
      <c r="E377" s="5"/>
      <c r="F377" s="5"/>
      <c r="G377" s="5"/>
      <c r="H377" s="5"/>
      <c r="I377" s="5"/>
      <c r="J377" s="5"/>
      <c r="K377" s="5"/>
      <c r="L377" s="5"/>
      <c r="M377" s="5"/>
      <c r="N377" s="5"/>
      <c r="O377" s="5"/>
      <c r="P377" s="5"/>
      <c r="Q377" s="5"/>
      <c r="R377" s="5"/>
      <c r="S377" s="5"/>
      <c r="T377" s="5"/>
      <c r="U377" s="5"/>
      <c r="V377" s="5"/>
      <c r="W377" s="5"/>
    </row>
    <row r="378">
      <c r="A378" s="5"/>
      <c r="B378" s="3"/>
      <c r="C378" s="5"/>
      <c r="D378" s="5"/>
      <c r="E378" s="5"/>
      <c r="F378" s="5"/>
      <c r="G378" s="5"/>
      <c r="H378" s="5"/>
      <c r="I378" s="5"/>
      <c r="J378" s="5"/>
      <c r="K378" s="5"/>
      <c r="L378" s="5"/>
      <c r="M378" s="5"/>
      <c r="N378" s="5"/>
      <c r="O378" s="5"/>
      <c r="P378" s="5"/>
      <c r="Q378" s="5"/>
      <c r="R378" s="5"/>
      <c r="S378" s="5"/>
      <c r="T378" s="5"/>
      <c r="U378" s="5"/>
      <c r="V378" s="5"/>
      <c r="W378" s="5"/>
    </row>
    <row r="379">
      <c r="A379" s="5"/>
      <c r="B379" s="3"/>
      <c r="C379" s="5"/>
      <c r="D379" s="5"/>
      <c r="E379" s="5"/>
      <c r="F379" s="5"/>
      <c r="G379" s="5"/>
      <c r="H379" s="5"/>
      <c r="I379" s="5"/>
      <c r="J379" s="5"/>
      <c r="K379" s="5"/>
      <c r="L379" s="5"/>
      <c r="M379" s="5"/>
      <c r="N379" s="5"/>
      <c r="O379" s="5"/>
      <c r="P379" s="5"/>
      <c r="Q379" s="5"/>
      <c r="R379" s="5"/>
      <c r="S379" s="5"/>
      <c r="T379" s="5"/>
      <c r="U379" s="5"/>
      <c r="V379" s="5"/>
      <c r="W379" s="5"/>
    </row>
    <row r="380">
      <c r="A380" s="5"/>
      <c r="B380" s="3"/>
      <c r="C380" s="5"/>
      <c r="D380" s="5"/>
      <c r="E380" s="5"/>
      <c r="F380" s="5"/>
      <c r="G380" s="5"/>
      <c r="H380" s="5"/>
      <c r="I380" s="5"/>
      <c r="J380" s="5"/>
      <c r="K380" s="5"/>
      <c r="L380" s="5"/>
      <c r="M380" s="5"/>
      <c r="N380" s="5"/>
      <c r="O380" s="5"/>
      <c r="P380" s="5"/>
      <c r="Q380" s="5"/>
      <c r="R380" s="5"/>
      <c r="S380" s="5"/>
      <c r="T380" s="5"/>
      <c r="U380" s="5"/>
      <c r="V380" s="5"/>
      <c r="W380" s="5"/>
    </row>
    <row r="381">
      <c r="A381" s="5"/>
      <c r="B381" s="3"/>
      <c r="C381" s="5"/>
      <c r="D381" s="5"/>
      <c r="E381" s="5"/>
      <c r="F381" s="5"/>
      <c r="G381" s="5"/>
      <c r="H381" s="5"/>
      <c r="I381" s="5"/>
      <c r="J381" s="5"/>
      <c r="K381" s="5"/>
      <c r="L381" s="5"/>
      <c r="M381" s="5"/>
      <c r="N381" s="5"/>
      <c r="O381" s="5"/>
      <c r="P381" s="5"/>
      <c r="Q381" s="5"/>
      <c r="R381" s="5"/>
      <c r="S381" s="5"/>
      <c r="T381" s="5"/>
      <c r="U381" s="5"/>
      <c r="V381" s="5"/>
      <c r="W381" s="5"/>
    </row>
    <row r="382">
      <c r="A382" s="5"/>
      <c r="B382" s="3"/>
      <c r="C382" s="5"/>
      <c r="D382" s="5"/>
      <c r="E382" s="5"/>
      <c r="F382" s="5"/>
      <c r="G382" s="5"/>
      <c r="H382" s="5"/>
      <c r="I382" s="5"/>
      <c r="J382" s="5"/>
      <c r="K382" s="5"/>
      <c r="L382" s="5"/>
      <c r="M382" s="5"/>
      <c r="N382" s="5"/>
      <c r="O382" s="5"/>
      <c r="P382" s="5"/>
      <c r="Q382" s="5"/>
      <c r="R382" s="5"/>
      <c r="S382" s="5"/>
      <c r="T382" s="5"/>
      <c r="U382" s="5"/>
      <c r="V382" s="5"/>
      <c r="W382" s="5"/>
    </row>
    <row r="383">
      <c r="A383" s="5"/>
      <c r="B383" s="3"/>
      <c r="C383" s="5"/>
      <c r="D383" s="5"/>
      <c r="E383" s="5"/>
      <c r="F383" s="5"/>
      <c r="G383" s="5"/>
      <c r="H383" s="5"/>
      <c r="I383" s="5"/>
      <c r="J383" s="5"/>
      <c r="K383" s="5"/>
      <c r="L383" s="5"/>
      <c r="M383" s="5"/>
      <c r="N383" s="5"/>
      <c r="O383" s="5"/>
      <c r="P383" s="5"/>
      <c r="Q383" s="5"/>
      <c r="R383" s="5"/>
      <c r="S383" s="5"/>
      <c r="T383" s="5"/>
      <c r="U383" s="5"/>
      <c r="V383" s="5"/>
      <c r="W383" s="5"/>
    </row>
    <row r="384">
      <c r="A384" s="5"/>
      <c r="B384" s="3"/>
      <c r="C384" s="5"/>
      <c r="D384" s="5"/>
      <c r="E384" s="5"/>
      <c r="F384" s="5"/>
      <c r="G384" s="5"/>
      <c r="H384" s="5"/>
      <c r="I384" s="5"/>
      <c r="J384" s="5"/>
      <c r="K384" s="5"/>
      <c r="L384" s="5"/>
      <c r="M384" s="5"/>
      <c r="N384" s="5"/>
      <c r="O384" s="5"/>
      <c r="P384" s="5"/>
      <c r="Q384" s="5"/>
      <c r="R384" s="5"/>
      <c r="S384" s="5"/>
      <c r="T384" s="5"/>
      <c r="U384" s="5"/>
      <c r="V384" s="5"/>
      <c r="W384" s="5"/>
    </row>
    <row r="385">
      <c r="A385" s="5"/>
      <c r="B385" s="3"/>
      <c r="C385" s="5"/>
      <c r="D385" s="5"/>
      <c r="E385" s="5"/>
      <c r="F385" s="5"/>
      <c r="G385" s="5"/>
      <c r="H385" s="5"/>
      <c r="I385" s="5"/>
      <c r="J385" s="5"/>
      <c r="K385" s="5"/>
      <c r="L385" s="5"/>
      <c r="M385" s="5"/>
      <c r="N385" s="5"/>
      <c r="O385" s="5"/>
      <c r="P385" s="5"/>
      <c r="Q385" s="5"/>
      <c r="R385" s="5"/>
      <c r="S385" s="5"/>
      <c r="T385" s="5"/>
      <c r="U385" s="5"/>
      <c r="V385" s="5"/>
      <c r="W385" s="5"/>
    </row>
    <row r="386">
      <c r="A386" s="5"/>
      <c r="B386" s="3"/>
      <c r="C386" s="5"/>
      <c r="D386" s="5"/>
      <c r="E386" s="5"/>
      <c r="F386" s="5"/>
      <c r="G386" s="5"/>
      <c r="H386" s="5"/>
      <c r="I386" s="5"/>
      <c r="J386" s="5"/>
      <c r="K386" s="5"/>
      <c r="L386" s="5"/>
      <c r="M386" s="5"/>
      <c r="N386" s="5"/>
      <c r="O386" s="5"/>
      <c r="P386" s="5"/>
      <c r="Q386" s="5"/>
      <c r="R386" s="5"/>
      <c r="S386" s="5"/>
      <c r="T386" s="5"/>
      <c r="U386" s="5"/>
      <c r="V386" s="5"/>
      <c r="W386" s="5"/>
    </row>
    <row r="387">
      <c r="A387" s="5"/>
      <c r="B387" s="3"/>
      <c r="C387" s="5"/>
      <c r="D387" s="5"/>
      <c r="E387" s="5"/>
      <c r="F387" s="5"/>
      <c r="G387" s="5"/>
      <c r="H387" s="5"/>
      <c r="I387" s="5"/>
      <c r="J387" s="5"/>
      <c r="K387" s="5"/>
      <c r="L387" s="5"/>
      <c r="M387" s="5"/>
      <c r="N387" s="5"/>
      <c r="O387" s="5"/>
      <c r="P387" s="5"/>
      <c r="Q387" s="5"/>
      <c r="R387" s="5"/>
      <c r="S387" s="5"/>
      <c r="T387" s="5"/>
      <c r="U387" s="5"/>
      <c r="V387" s="5"/>
      <c r="W387" s="5"/>
    </row>
    <row r="388">
      <c r="A388" s="5"/>
      <c r="B388" s="3"/>
      <c r="C388" s="5"/>
      <c r="D388" s="5"/>
      <c r="E388" s="5"/>
      <c r="F388" s="5"/>
      <c r="G388" s="5"/>
      <c r="H388" s="5"/>
      <c r="I388" s="5"/>
      <c r="J388" s="5"/>
      <c r="K388" s="5"/>
      <c r="L388" s="5"/>
      <c r="M388" s="5"/>
      <c r="N388" s="5"/>
      <c r="O388" s="5"/>
      <c r="P388" s="5"/>
      <c r="Q388" s="5"/>
      <c r="R388" s="5"/>
      <c r="S388" s="5"/>
      <c r="T388" s="5"/>
      <c r="U388" s="5"/>
      <c r="V388" s="5"/>
      <c r="W388" s="5"/>
    </row>
    <row r="389">
      <c r="A389" s="5"/>
      <c r="B389" s="3"/>
      <c r="C389" s="5"/>
      <c r="D389" s="5"/>
      <c r="E389" s="5"/>
      <c r="F389" s="5"/>
      <c r="G389" s="5"/>
      <c r="H389" s="5"/>
      <c r="I389" s="5"/>
      <c r="J389" s="5"/>
      <c r="K389" s="5"/>
      <c r="L389" s="5"/>
      <c r="M389" s="5"/>
      <c r="N389" s="5"/>
      <c r="O389" s="5"/>
      <c r="P389" s="5"/>
      <c r="Q389" s="5"/>
      <c r="R389" s="5"/>
      <c r="S389" s="5"/>
      <c r="T389" s="5"/>
      <c r="U389" s="5"/>
      <c r="V389" s="5"/>
      <c r="W389" s="5"/>
    </row>
    <row r="390">
      <c r="A390" s="5"/>
      <c r="B390" s="3"/>
      <c r="C390" s="5"/>
      <c r="D390" s="5"/>
      <c r="E390" s="5"/>
      <c r="F390" s="5"/>
      <c r="G390" s="5"/>
      <c r="H390" s="5"/>
      <c r="I390" s="5"/>
      <c r="J390" s="5"/>
      <c r="K390" s="5"/>
      <c r="L390" s="5"/>
      <c r="M390" s="5"/>
      <c r="N390" s="5"/>
      <c r="O390" s="5"/>
      <c r="P390" s="5"/>
      <c r="Q390" s="5"/>
      <c r="R390" s="5"/>
      <c r="S390" s="5"/>
      <c r="T390" s="5"/>
      <c r="U390" s="5"/>
      <c r="V390" s="5"/>
      <c r="W390" s="5"/>
    </row>
    <row r="391">
      <c r="A391" s="5"/>
      <c r="B391" s="3"/>
      <c r="C391" s="5"/>
      <c r="D391" s="5"/>
      <c r="E391" s="5"/>
      <c r="F391" s="5"/>
      <c r="G391" s="5"/>
      <c r="H391" s="5"/>
      <c r="I391" s="5"/>
      <c r="J391" s="5"/>
      <c r="K391" s="5"/>
      <c r="L391" s="5"/>
      <c r="M391" s="5"/>
      <c r="N391" s="5"/>
      <c r="O391" s="5"/>
      <c r="P391" s="5"/>
      <c r="Q391" s="5"/>
      <c r="R391" s="5"/>
      <c r="S391" s="5"/>
      <c r="T391" s="5"/>
      <c r="U391" s="5"/>
      <c r="V391" s="5"/>
      <c r="W391" s="5"/>
    </row>
    <row r="392">
      <c r="A392" s="5"/>
      <c r="B392" s="3"/>
      <c r="C392" s="5"/>
      <c r="D392" s="5"/>
      <c r="E392" s="5"/>
      <c r="F392" s="5"/>
      <c r="G392" s="5"/>
      <c r="H392" s="5"/>
      <c r="I392" s="5"/>
      <c r="J392" s="5"/>
      <c r="K392" s="5"/>
      <c r="L392" s="5"/>
      <c r="M392" s="5"/>
      <c r="N392" s="5"/>
      <c r="O392" s="5"/>
      <c r="P392" s="5"/>
      <c r="Q392" s="5"/>
      <c r="R392" s="5"/>
      <c r="S392" s="5"/>
      <c r="T392" s="5"/>
      <c r="U392" s="5"/>
      <c r="V392" s="5"/>
      <c r="W392" s="5"/>
    </row>
    <row r="393">
      <c r="A393" s="5"/>
      <c r="B393" s="3"/>
      <c r="C393" s="5"/>
      <c r="D393" s="5"/>
      <c r="E393" s="5"/>
      <c r="F393" s="5"/>
      <c r="G393" s="5"/>
      <c r="H393" s="5"/>
      <c r="I393" s="5"/>
      <c r="J393" s="5"/>
      <c r="K393" s="5"/>
      <c r="L393" s="5"/>
      <c r="M393" s="5"/>
      <c r="N393" s="5"/>
      <c r="O393" s="5"/>
      <c r="P393" s="5"/>
      <c r="Q393" s="5"/>
      <c r="R393" s="5"/>
      <c r="S393" s="5"/>
      <c r="T393" s="5"/>
      <c r="U393" s="5"/>
      <c r="V393" s="5"/>
      <c r="W393" s="5"/>
    </row>
    <row r="394">
      <c r="A394" s="5"/>
      <c r="B394" s="3"/>
      <c r="C394" s="5"/>
      <c r="D394" s="5"/>
      <c r="E394" s="5"/>
      <c r="F394" s="5"/>
      <c r="G394" s="5"/>
      <c r="H394" s="5"/>
      <c r="I394" s="5"/>
      <c r="J394" s="5"/>
      <c r="K394" s="5"/>
      <c r="L394" s="5"/>
      <c r="M394" s="5"/>
      <c r="N394" s="5"/>
      <c r="O394" s="5"/>
      <c r="P394" s="5"/>
      <c r="Q394" s="5"/>
      <c r="R394" s="5"/>
      <c r="S394" s="5"/>
      <c r="T394" s="5"/>
      <c r="U394" s="5"/>
      <c r="V394" s="5"/>
      <c r="W394" s="5"/>
    </row>
    <row r="395">
      <c r="A395" s="5"/>
      <c r="B395" s="3"/>
      <c r="C395" s="5"/>
      <c r="D395" s="5"/>
      <c r="E395" s="5"/>
      <c r="F395" s="5"/>
      <c r="G395" s="5"/>
      <c r="H395" s="5"/>
      <c r="I395" s="5"/>
      <c r="J395" s="5"/>
      <c r="K395" s="5"/>
      <c r="L395" s="5"/>
      <c r="M395" s="5"/>
      <c r="N395" s="5"/>
      <c r="O395" s="5"/>
      <c r="P395" s="5"/>
      <c r="Q395" s="5"/>
      <c r="R395" s="5"/>
      <c r="S395" s="5"/>
      <c r="T395" s="5"/>
      <c r="U395" s="5"/>
      <c r="V395" s="5"/>
      <c r="W395" s="5"/>
    </row>
    <row r="396">
      <c r="A396" s="5"/>
      <c r="B396" s="3"/>
      <c r="C396" s="5"/>
      <c r="D396" s="5"/>
      <c r="E396" s="5"/>
      <c r="F396" s="5"/>
      <c r="G396" s="5"/>
      <c r="H396" s="5"/>
      <c r="I396" s="5"/>
      <c r="J396" s="5"/>
      <c r="K396" s="5"/>
      <c r="L396" s="5"/>
      <c r="M396" s="5"/>
      <c r="N396" s="5"/>
      <c r="O396" s="5"/>
      <c r="P396" s="5"/>
      <c r="Q396" s="5"/>
      <c r="R396" s="5"/>
      <c r="S396" s="5"/>
      <c r="T396" s="5"/>
      <c r="U396" s="5"/>
      <c r="V396" s="5"/>
      <c r="W396" s="5"/>
    </row>
    <row r="397">
      <c r="A397" s="5"/>
      <c r="B397" s="3"/>
      <c r="C397" s="5"/>
      <c r="D397" s="5"/>
      <c r="E397" s="5"/>
      <c r="F397" s="5"/>
      <c r="G397" s="5"/>
      <c r="H397" s="5"/>
      <c r="I397" s="5"/>
      <c r="J397" s="5"/>
      <c r="K397" s="5"/>
      <c r="L397" s="5"/>
      <c r="M397" s="5"/>
      <c r="N397" s="5"/>
      <c r="O397" s="5"/>
      <c r="P397" s="5"/>
      <c r="Q397" s="5"/>
      <c r="R397" s="5"/>
      <c r="S397" s="5"/>
      <c r="T397" s="5"/>
      <c r="U397" s="5"/>
      <c r="V397" s="5"/>
      <c r="W397" s="5"/>
    </row>
    <row r="398">
      <c r="A398" s="5"/>
      <c r="B398" s="3"/>
      <c r="C398" s="5"/>
      <c r="D398" s="5"/>
      <c r="E398" s="5"/>
      <c r="F398" s="5"/>
      <c r="G398" s="5"/>
      <c r="H398" s="5"/>
      <c r="I398" s="5"/>
      <c r="J398" s="5"/>
      <c r="K398" s="5"/>
      <c r="L398" s="5"/>
      <c r="M398" s="5"/>
      <c r="N398" s="5"/>
      <c r="O398" s="5"/>
      <c r="P398" s="5"/>
      <c r="Q398" s="5"/>
      <c r="R398" s="5"/>
      <c r="S398" s="5"/>
      <c r="T398" s="5"/>
      <c r="U398" s="5"/>
      <c r="V398" s="5"/>
      <c r="W398" s="5"/>
    </row>
    <row r="399">
      <c r="A399" s="5"/>
      <c r="B399" s="3"/>
      <c r="C399" s="5"/>
      <c r="D399" s="5"/>
      <c r="E399" s="5"/>
      <c r="F399" s="5"/>
      <c r="G399" s="5"/>
      <c r="H399" s="5"/>
      <c r="I399" s="5"/>
      <c r="J399" s="5"/>
      <c r="K399" s="5"/>
      <c r="L399" s="5"/>
      <c r="M399" s="5"/>
      <c r="N399" s="5"/>
      <c r="O399" s="5"/>
      <c r="P399" s="5"/>
      <c r="Q399" s="5"/>
      <c r="R399" s="5"/>
      <c r="S399" s="5"/>
      <c r="T399" s="5"/>
      <c r="U399" s="5"/>
      <c r="V399" s="5"/>
      <c r="W399" s="5"/>
    </row>
    <row r="400">
      <c r="A400" s="5"/>
      <c r="B400" s="3"/>
      <c r="C400" s="5"/>
      <c r="D400" s="5"/>
      <c r="E400" s="5"/>
      <c r="F400" s="5"/>
      <c r="G400" s="5"/>
      <c r="H400" s="5"/>
      <c r="I400" s="5"/>
      <c r="J400" s="5"/>
      <c r="K400" s="5"/>
      <c r="L400" s="5"/>
      <c r="M400" s="5"/>
      <c r="N400" s="5"/>
      <c r="O400" s="5"/>
      <c r="P400" s="5"/>
      <c r="Q400" s="5"/>
      <c r="R400" s="5"/>
      <c r="S400" s="5"/>
      <c r="T400" s="5"/>
      <c r="U400" s="5"/>
      <c r="V400" s="5"/>
      <c r="W400" s="5"/>
    </row>
    <row r="401">
      <c r="A401" s="5"/>
      <c r="B401" s="3"/>
      <c r="C401" s="5"/>
      <c r="D401" s="5"/>
      <c r="E401" s="5"/>
      <c r="F401" s="5"/>
      <c r="G401" s="5"/>
      <c r="H401" s="5"/>
      <c r="I401" s="5"/>
      <c r="J401" s="5"/>
      <c r="K401" s="5"/>
      <c r="L401" s="5"/>
      <c r="M401" s="5"/>
      <c r="N401" s="5"/>
      <c r="O401" s="5"/>
      <c r="P401" s="5"/>
      <c r="Q401" s="5"/>
      <c r="R401" s="5"/>
      <c r="S401" s="5"/>
      <c r="T401" s="5"/>
      <c r="U401" s="5"/>
      <c r="V401" s="5"/>
      <c r="W401" s="5"/>
    </row>
    <row r="402">
      <c r="A402" s="5"/>
      <c r="B402" s="3"/>
      <c r="C402" s="5"/>
      <c r="D402" s="5"/>
      <c r="E402" s="5"/>
      <c r="F402" s="5"/>
      <c r="G402" s="5"/>
      <c r="H402" s="5"/>
      <c r="I402" s="5"/>
      <c r="J402" s="5"/>
      <c r="K402" s="5"/>
      <c r="L402" s="5"/>
      <c r="M402" s="5"/>
      <c r="N402" s="5"/>
      <c r="O402" s="5"/>
      <c r="P402" s="5"/>
      <c r="Q402" s="5"/>
      <c r="R402" s="5"/>
      <c r="S402" s="5"/>
      <c r="T402" s="5"/>
      <c r="U402" s="5"/>
      <c r="V402" s="5"/>
      <c r="W402" s="5"/>
    </row>
    <row r="403">
      <c r="A403" s="5"/>
      <c r="B403" s="3"/>
      <c r="C403" s="5"/>
      <c r="D403" s="5"/>
      <c r="E403" s="5"/>
      <c r="F403" s="5"/>
      <c r="G403" s="5"/>
      <c r="H403" s="5"/>
      <c r="I403" s="5"/>
      <c r="J403" s="5"/>
      <c r="K403" s="5"/>
      <c r="L403" s="5"/>
      <c r="M403" s="5"/>
      <c r="N403" s="5"/>
      <c r="O403" s="5"/>
      <c r="P403" s="5"/>
      <c r="Q403" s="5"/>
      <c r="R403" s="5"/>
      <c r="S403" s="5"/>
      <c r="T403" s="5"/>
      <c r="U403" s="5"/>
      <c r="V403" s="5"/>
      <c r="W403" s="5"/>
    </row>
    <row r="404">
      <c r="A404" s="5"/>
      <c r="B404" s="3"/>
      <c r="C404" s="5"/>
      <c r="D404" s="5"/>
      <c r="E404" s="5"/>
      <c r="F404" s="5"/>
      <c r="G404" s="5"/>
      <c r="H404" s="5"/>
      <c r="I404" s="5"/>
      <c r="J404" s="5"/>
      <c r="K404" s="5"/>
      <c r="L404" s="5"/>
      <c r="M404" s="5"/>
      <c r="N404" s="5"/>
      <c r="O404" s="5"/>
      <c r="P404" s="5"/>
      <c r="Q404" s="5"/>
      <c r="R404" s="5"/>
      <c r="S404" s="5"/>
      <c r="T404" s="5"/>
      <c r="U404" s="5"/>
      <c r="V404" s="5"/>
      <c r="W404" s="5"/>
    </row>
    <row r="405">
      <c r="A405" s="5"/>
      <c r="B405" s="3"/>
      <c r="C405" s="5"/>
      <c r="D405" s="5"/>
      <c r="E405" s="5"/>
      <c r="F405" s="5"/>
      <c r="G405" s="5"/>
      <c r="H405" s="5"/>
      <c r="I405" s="5"/>
      <c r="J405" s="5"/>
      <c r="K405" s="5"/>
      <c r="L405" s="5"/>
      <c r="M405" s="5"/>
      <c r="N405" s="5"/>
      <c r="O405" s="5"/>
      <c r="P405" s="5"/>
      <c r="Q405" s="5"/>
      <c r="R405" s="5"/>
      <c r="S405" s="5"/>
      <c r="T405" s="5"/>
      <c r="U405" s="5"/>
      <c r="V405" s="5"/>
      <c r="W405" s="5"/>
    </row>
    <row r="406">
      <c r="A406" s="5"/>
      <c r="B406" s="3"/>
      <c r="C406" s="5"/>
      <c r="D406" s="5"/>
      <c r="E406" s="5"/>
      <c r="F406" s="5"/>
      <c r="G406" s="5"/>
      <c r="H406" s="5"/>
      <c r="I406" s="5"/>
      <c r="J406" s="5"/>
      <c r="K406" s="5"/>
      <c r="L406" s="5"/>
      <c r="M406" s="5"/>
      <c r="N406" s="5"/>
      <c r="O406" s="5"/>
      <c r="P406" s="5"/>
      <c r="Q406" s="5"/>
      <c r="R406" s="5"/>
      <c r="S406" s="5"/>
      <c r="T406" s="5"/>
      <c r="U406" s="5"/>
      <c r="V406" s="5"/>
      <c r="W406" s="5"/>
    </row>
    <row r="407">
      <c r="A407" s="5"/>
      <c r="B407" s="3"/>
      <c r="C407" s="5"/>
      <c r="D407" s="5"/>
      <c r="E407" s="5"/>
      <c r="F407" s="5"/>
      <c r="G407" s="5"/>
      <c r="H407" s="5"/>
      <c r="I407" s="5"/>
      <c r="J407" s="5"/>
      <c r="K407" s="5"/>
      <c r="L407" s="5"/>
      <c r="M407" s="5"/>
      <c r="N407" s="5"/>
      <c r="O407" s="5"/>
      <c r="P407" s="5"/>
      <c r="Q407" s="5"/>
      <c r="R407" s="5"/>
      <c r="S407" s="5"/>
      <c r="T407" s="5"/>
      <c r="U407" s="5"/>
      <c r="V407" s="5"/>
      <c r="W407" s="5"/>
    </row>
    <row r="408">
      <c r="A408" s="5"/>
      <c r="B408" s="3"/>
      <c r="C408" s="5"/>
      <c r="D408" s="5"/>
      <c r="E408" s="5"/>
      <c r="F408" s="5"/>
      <c r="G408" s="5"/>
      <c r="H408" s="5"/>
      <c r="I408" s="5"/>
      <c r="J408" s="5"/>
      <c r="K408" s="5"/>
      <c r="L408" s="5"/>
      <c r="M408" s="5"/>
      <c r="N408" s="5"/>
      <c r="O408" s="5"/>
      <c r="P408" s="5"/>
      <c r="Q408" s="5"/>
      <c r="R408" s="5"/>
      <c r="S408" s="5"/>
      <c r="T408" s="5"/>
      <c r="U408" s="5"/>
      <c r="V408" s="5"/>
      <c r="W408" s="5"/>
    </row>
    <row r="409">
      <c r="A409" s="5"/>
      <c r="B409" s="3"/>
      <c r="C409" s="5"/>
      <c r="D409" s="5"/>
      <c r="E409" s="5"/>
      <c r="F409" s="5"/>
      <c r="G409" s="5"/>
      <c r="H409" s="5"/>
      <c r="I409" s="5"/>
      <c r="J409" s="5"/>
      <c r="K409" s="5"/>
      <c r="L409" s="5"/>
      <c r="M409" s="5"/>
      <c r="N409" s="5"/>
      <c r="O409" s="5"/>
      <c r="P409" s="5"/>
      <c r="Q409" s="5"/>
      <c r="R409" s="5"/>
      <c r="S409" s="5"/>
      <c r="T409" s="5"/>
      <c r="U409" s="5"/>
      <c r="V409" s="5"/>
      <c r="W409" s="5"/>
    </row>
    <row r="410">
      <c r="A410" s="5"/>
      <c r="B410" s="3"/>
      <c r="C410" s="5"/>
      <c r="D410" s="3"/>
      <c r="E410" s="5"/>
      <c r="F410" s="5"/>
      <c r="G410" s="5"/>
      <c r="H410" s="5"/>
      <c r="I410" s="5"/>
      <c r="J410" s="5"/>
      <c r="K410" s="5"/>
      <c r="L410" s="5"/>
      <c r="M410" s="5"/>
      <c r="N410" s="5"/>
      <c r="O410" s="5"/>
      <c r="P410" s="5"/>
      <c r="Q410" s="5"/>
      <c r="R410" s="5"/>
      <c r="S410" s="5"/>
      <c r="T410" s="5"/>
      <c r="U410" s="5"/>
      <c r="V410" s="5"/>
      <c r="W410" s="5"/>
    </row>
    <row r="411">
      <c r="A411" s="5"/>
      <c r="B411" s="3"/>
      <c r="C411" s="5"/>
      <c r="D411" s="3"/>
      <c r="E411" s="5"/>
      <c r="F411" s="5"/>
      <c r="G411" s="5"/>
      <c r="H411" s="5"/>
      <c r="I411" s="5"/>
      <c r="J411" s="5"/>
      <c r="K411" s="5"/>
      <c r="L411" s="5"/>
      <c r="M411" s="5"/>
      <c r="N411" s="5"/>
      <c r="O411" s="5"/>
      <c r="P411" s="5"/>
      <c r="Q411" s="5"/>
      <c r="R411" s="5"/>
      <c r="S411" s="5"/>
      <c r="T411" s="5"/>
      <c r="U411" s="5"/>
      <c r="V411" s="5"/>
      <c r="W411" s="5"/>
    </row>
    <row r="412">
      <c r="A412" s="5"/>
      <c r="B412" s="3"/>
      <c r="C412" s="5"/>
      <c r="D412" s="3"/>
      <c r="E412" s="5"/>
      <c r="F412" s="5"/>
      <c r="G412" s="5"/>
      <c r="H412" s="5"/>
      <c r="I412" s="5"/>
      <c r="J412" s="5"/>
      <c r="K412" s="5"/>
      <c r="L412" s="5"/>
      <c r="M412" s="5"/>
      <c r="N412" s="5"/>
      <c r="O412" s="5"/>
      <c r="P412" s="5"/>
      <c r="Q412" s="5"/>
      <c r="R412" s="5"/>
      <c r="S412" s="5"/>
      <c r="T412" s="5"/>
      <c r="U412" s="5"/>
      <c r="V412" s="5"/>
      <c r="W412" s="5"/>
    </row>
    <row r="413">
      <c r="A413" s="5"/>
      <c r="B413" s="3"/>
      <c r="C413" s="5"/>
      <c r="D413" s="3"/>
      <c r="E413" s="5"/>
      <c r="F413" s="5"/>
      <c r="G413" s="5"/>
      <c r="H413" s="5"/>
      <c r="I413" s="5"/>
      <c r="J413" s="5"/>
      <c r="K413" s="5"/>
      <c r="L413" s="5"/>
      <c r="M413" s="5"/>
      <c r="N413" s="5"/>
      <c r="O413" s="5"/>
      <c r="P413" s="5"/>
      <c r="Q413" s="5"/>
      <c r="R413" s="5"/>
      <c r="S413" s="5"/>
      <c r="T413" s="5"/>
      <c r="U413" s="5"/>
      <c r="V413" s="5"/>
      <c r="W413" s="5"/>
    </row>
    <row r="414">
      <c r="A414" s="5"/>
      <c r="B414" s="3"/>
      <c r="C414" s="5"/>
      <c r="D414" s="3"/>
      <c r="E414" s="5"/>
      <c r="F414" s="5"/>
      <c r="G414" s="5"/>
      <c r="H414" s="5"/>
      <c r="I414" s="5"/>
      <c r="J414" s="5"/>
      <c r="K414" s="5"/>
      <c r="L414" s="5"/>
      <c r="M414" s="5"/>
      <c r="N414" s="5"/>
      <c r="O414" s="5"/>
      <c r="P414" s="5"/>
      <c r="Q414" s="5"/>
      <c r="R414" s="5"/>
      <c r="S414" s="5"/>
      <c r="T414" s="5"/>
      <c r="U414" s="5"/>
      <c r="V414" s="5"/>
      <c r="W414" s="5"/>
    </row>
    <row r="415">
      <c r="A415" s="5"/>
      <c r="B415" s="3"/>
      <c r="C415" s="5"/>
      <c r="D415" s="3"/>
      <c r="E415" s="5"/>
      <c r="F415" s="5"/>
      <c r="G415" s="5"/>
      <c r="H415" s="5"/>
      <c r="I415" s="5"/>
      <c r="J415" s="5"/>
      <c r="K415" s="5"/>
      <c r="L415" s="5"/>
      <c r="M415" s="5"/>
      <c r="N415" s="5"/>
      <c r="O415" s="5"/>
      <c r="P415" s="5"/>
      <c r="Q415" s="5"/>
      <c r="R415" s="5"/>
      <c r="S415" s="5"/>
      <c r="T415" s="5"/>
      <c r="U415" s="5"/>
      <c r="V415" s="5"/>
      <c r="W415" s="5"/>
    </row>
    <row r="416">
      <c r="A416" s="5"/>
      <c r="B416" s="3"/>
      <c r="C416" s="5"/>
      <c r="D416" s="3"/>
      <c r="E416" s="5"/>
      <c r="F416" s="5"/>
      <c r="G416" s="5"/>
      <c r="H416" s="5"/>
      <c r="I416" s="5"/>
      <c r="J416" s="5"/>
      <c r="K416" s="5"/>
      <c r="L416" s="5"/>
      <c r="M416" s="5"/>
      <c r="N416" s="5"/>
      <c r="O416" s="5"/>
      <c r="P416" s="5"/>
      <c r="Q416" s="5"/>
      <c r="R416" s="5"/>
      <c r="S416" s="5"/>
      <c r="T416" s="5"/>
      <c r="U416" s="5"/>
      <c r="V416" s="5"/>
      <c r="W416" s="5"/>
    </row>
    <row r="417">
      <c r="A417" s="5"/>
      <c r="B417" s="3"/>
      <c r="C417" s="5"/>
      <c r="D417" s="3"/>
      <c r="E417" s="5"/>
      <c r="F417" s="5"/>
      <c r="G417" s="5"/>
      <c r="H417" s="5"/>
      <c r="I417" s="5"/>
      <c r="J417" s="5"/>
      <c r="K417" s="5"/>
      <c r="L417" s="5"/>
      <c r="M417" s="5"/>
      <c r="N417" s="5"/>
      <c r="O417" s="5"/>
      <c r="P417" s="5"/>
      <c r="Q417" s="5"/>
      <c r="R417" s="5"/>
      <c r="S417" s="5"/>
      <c r="T417" s="5"/>
      <c r="U417" s="5"/>
      <c r="V417" s="5"/>
      <c r="W417" s="5"/>
    </row>
    <row r="418">
      <c r="A418" s="5"/>
      <c r="B418" s="3"/>
      <c r="C418" s="5"/>
      <c r="D418" s="3"/>
      <c r="E418" s="5"/>
      <c r="F418" s="5"/>
      <c r="G418" s="5"/>
      <c r="H418" s="5"/>
      <c r="I418" s="5"/>
      <c r="J418" s="5"/>
      <c r="K418" s="5"/>
      <c r="L418" s="5"/>
      <c r="M418" s="5"/>
      <c r="N418" s="5"/>
      <c r="O418" s="5"/>
      <c r="P418" s="5"/>
      <c r="Q418" s="5"/>
      <c r="R418" s="5"/>
      <c r="S418" s="5"/>
      <c r="T418" s="5"/>
      <c r="U418" s="5"/>
      <c r="V418" s="5"/>
      <c r="W418" s="5"/>
    </row>
    <row r="419">
      <c r="A419" s="5"/>
      <c r="B419" s="3"/>
      <c r="C419" s="5"/>
      <c r="D419" s="5"/>
      <c r="E419" s="5"/>
      <c r="F419" s="5"/>
      <c r="G419" s="5"/>
      <c r="H419" s="5"/>
      <c r="I419" s="5"/>
      <c r="J419" s="5"/>
      <c r="K419" s="5"/>
      <c r="L419" s="5"/>
      <c r="M419" s="5"/>
      <c r="N419" s="5"/>
      <c r="O419" s="5"/>
      <c r="P419" s="5"/>
      <c r="Q419" s="5"/>
      <c r="R419" s="5"/>
      <c r="S419" s="5"/>
      <c r="T419" s="5"/>
      <c r="U419" s="5"/>
      <c r="V419" s="5"/>
      <c r="W419" s="5"/>
    </row>
    <row r="420">
      <c r="A420" s="5"/>
      <c r="B420" s="3"/>
      <c r="C420" s="5"/>
      <c r="D420" s="5"/>
      <c r="E420" s="5"/>
      <c r="F420" s="5"/>
      <c r="G420" s="5"/>
      <c r="H420" s="5"/>
      <c r="I420" s="5"/>
      <c r="J420" s="5"/>
      <c r="K420" s="5"/>
      <c r="L420" s="5"/>
      <c r="M420" s="5"/>
      <c r="N420" s="5"/>
      <c r="O420" s="5"/>
      <c r="P420" s="5"/>
      <c r="Q420" s="5"/>
      <c r="R420" s="5"/>
      <c r="S420" s="5"/>
      <c r="T420" s="5"/>
      <c r="U420" s="5"/>
      <c r="V420" s="5"/>
      <c r="W420" s="5"/>
    </row>
    <row r="421">
      <c r="A421" s="5"/>
      <c r="B421" s="3"/>
      <c r="C421" s="5"/>
      <c r="D421" s="5"/>
      <c r="E421" s="5"/>
      <c r="F421" s="5"/>
      <c r="G421" s="5"/>
      <c r="H421" s="5"/>
      <c r="I421" s="5"/>
      <c r="J421" s="5"/>
      <c r="K421" s="5"/>
      <c r="L421" s="5"/>
      <c r="M421" s="5"/>
      <c r="N421" s="5"/>
      <c r="O421" s="5"/>
      <c r="P421" s="5"/>
      <c r="Q421" s="5"/>
      <c r="R421" s="5"/>
      <c r="S421" s="5"/>
      <c r="T421" s="5"/>
      <c r="U421" s="5"/>
      <c r="V421" s="5"/>
      <c r="W421" s="5"/>
    </row>
    <row r="422">
      <c r="A422" s="5"/>
      <c r="B422" s="3"/>
      <c r="C422" s="5"/>
      <c r="D422" s="5"/>
      <c r="E422" s="5"/>
      <c r="F422" s="5"/>
      <c r="G422" s="5"/>
      <c r="H422" s="5"/>
      <c r="I422" s="5"/>
      <c r="J422" s="5"/>
      <c r="K422" s="5"/>
      <c r="L422" s="5"/>
      <c r="M422" s="5"/>
      <c r="N422" s="5"/>
      <c r="O422" s="5"/>
      <c r="P422" s="5"/>
      <c r="Q422" s="5"/>
      <c r="R422" s="5"/>
      <c r="S422" s="5"/>
      <c r="T422" s="5"/>
      <c r="U422" s="5"/>
      <c r="V422" s="5"/>
      <c r="W422" s="5"/>
    </row>
    <row r="423">
      <c r="A423" s="5"/>
      <c r="B423" s="3"/>
      <c r="C423" s="5"/>
      <c r="D423" s="5"/>
      <c r="E423" s="5"/>
      <c r="F423" s="5"/>
      <c r="G423" s="5"/>
      <c r="H423" s="5"/>
      <c r="I423" s="5"/>
      <c r="J423" s="5"/>
      <c r="K423" s="5"/>
      <c r="L423" s="5"/>
      <c r="M423" s="5"/>
      <c r="N423" s="5"/>
      <c r="O423" s="5"/>
      <c r="P423" s="5"/>
      <c r="Q423" s="5"/>
      <c r="R423" s="5"/>
      <c r="S423" s="5"/>
      <c r="T423" s="5"/>
      <c r="U423" s="5"/>
      <c r="V423" s="5"/>
      <c r="W423" s="5"/>
    </row>
    <row r="424">
      <c r="A424" s="5"/>
      <c r="B424" s="3"/>
      <c r="C424" s="5"/>
      <c r="D424" s="5"/>
      <c r="E424" s="5"/>
      <c r="F424" s="5"/>
      <c r="G424" s="5"/>
      <c r="H424" s="5"/>
      <c r="I424" s="5"/>
      <c r="J424" s="5"/>
      <c r="K424" s="5"/>
      <c r="L424" s="5"/>
      <c r="M424" s="5"/>
      <c r="N424" s="5"/>
      <c r="O424" s="5"/>
      <c r="P424" s="5"/>
      <c r="Q424" s="5"/>
      <c r="R424" s="5"/>
      <c r="S424" s="5"/>
      <c r="T424" s="5"/>
      <c r="U424" s="5"/>
      <c r="V424" s="5"/>
      <c r="W424" s="5"/>
    </row>
    <row r="425">
      <c r="A425" s="5"/>
      <c r="B425" s="3"/>
      <c r="C425" s="5"/>
      <c r="D425" s="5"/>
      <c r="E425" s="5"/>
      <c r="F425" s="5"/>
      <c r="G425" s="5"/>
      <c r="H425" s="5"/>
      <c r="I425" s="5"/>
      <c r="J425" s="5"/>
      <c r="K425" s="5"/>
      <c r="L425" s="5"/>
      <c r="M425" s="5"/>
      <c r="N425" s="5"/>
      <c r="O425" s="5"/>
      <c r="P425" s="5"/>
      <c r="Q425" s="5"/>
      <c r="R425" s="5"/>
      <c r="S425" s="5"/>
      <c r="T425" s="5"/>
      <c r="U425" s="5"/>
      <c r="V425" s="5"/>
      <c r="W425" s="5"/>
    </row>
    <row r="426">
      <c r="A426" s="5"/>
      <c r="B426" s="3"/>
      <c r="C426" s="5"/>
      <c r="D426" s="5"/>
      <c r="E426" s="5"/>
      <c r="F426" s="5"/>
      <c r="G426" s="5"/>
      <c r="H426" s="5"/>
      <c r="I426" s="5"/>
      <c r="J426" s="5"/>
      <c r="K426" s="5"/>
      <c r="L426" s="5"/>
      <c r="M426" s="5"/>
      <c r="N426" s="5"/>
      <c r="O426" s="5"/>
      <c r="P426" s="5"/>
      <c r="Q426" s="5"/>
      <c r="R426" s="5"/>
      <c r="S426" s="5"/>
      <c r="T426" s="5"/>
      <c r="U426" s="5"/>
      <c r="V426" s="5"/>
      <c r="W426" s="5"/>
    </row>
    <row r="427">
      <c r="A427" s="5"/>
      <c r="B427" s="3"/>
      <c r="C427" s="5"/>
      <c r="D427" s="5"/>
      <c r="E427" s="5"/>
      <c r="F427" s="5"/>
      <c r="G427" s="5"/>
      <c r="H427" s="5"/>
      <c r="I427" s="5"/>
      <c r="J427" s="5"/>
      <c r="K427" s="5"/>
      <c r="L427" s="5"/>
      <c r="M427" s="5"/>
      <c r="N427" s="5"/>
      <c r="O427" s="5"/>
      <c r="P427" s="5"/>
      <c r="Q427" s="5"/>
      <c r="R427" s="5"/>
      <c r="S427" s="5"/>
      <c r="T427" s="5"/>
      <c r="U427" s="5"/>
      <c r="V427" s="5"/>
      <c r="W427" s="5"/>
    </row>
    <row r="428">
      <c r="A428" s="5"/>
      <c r="B428" s="3"/>
      <c r="C428" s="5"/>
      <c r="D428" s="3"/>
      <c r="E428" s="5"/>
      <c r="F428" s="5"/>
      <c r="G428" s="5"/>
      <c r="H428" s="5"/>
      <c r="I428" s="5"/>
      <c r="J428" s="5"/>
      <c r="K428" s="5"/>
      <c r="L428" s="5"/>
      <c r="M428" s="5"/>
      <c r="N428" s="5"/>
      <c r="O428" s="5"/>
      <c r="P428" s="5"/>
      <c r="Q428" s="5"/>
      <c r="R428" s="5"/>
      <c r="S428" s="5"/>
      <c r="T428" s="5"/>
      <c r="U428" s="5"/>
      <c r="V428" s="5"/>
      <c r="W428" s="5"/>
    </row>
    <row r="429">
      <c r="A429" s="5"/>
      <c r="B429" s="3"/>
      <c r="C429" s="5"/>
      <c r="D429" s="3"/>
      <c r="E429" s="5"/>
      <c r="F429" s="5"/>
      <c r="G429" s="5"/>
      <c r="H429" s="5"/>
      <c r="I429" s="5"/>
      <c r="J429" s="5"/>
      <c r="K429" s="5"/>
      <c r="L429" s="5"/>
      <c r="M429" s="5"/>
      <c r="N429" s="5"/>
      <c r="O429" s="5"/>
      <c r="P429" s="5"/>
      <c r="Q429" s="5"/>
      <c r="R429" s="5"/>
      <c r="S429" s="5"/>
      <c r="T429" s="5"/>
      <c r="U429" s="5"/>
      <c r="V429" s="5"/>
      <c r="W429" s="5"/>
    </row>
    <row r="430">
      <c r="A430" s="5"/>
      <c r="B430" s="3"/>
      <c r="C430" s="5"/>
      <c r="D430" s="3"/>
      <c r="E430" s="5"/>
      <c r="F430" s="5"/>
      <c r="G430" s="5"/>
      <c r="H430" s="5"/>
      <c r="I430" s="5"/>
      <c r="J430" s="5"/>
      <c r="K430" s="5"/>
      <c r="L430" s="5"/>
      <c r="M430" s="5"/>
      <c r="N430" s="5"/>
      <c r="O430" s="5"/>
      <c r="P430" s="5"/>
      <c r="Q430" s="5"/>
      <c r="R430" s="5"/>
      <c r="S430" s="5"/>
      <c r="T430" s="5"/>
      <c r="U430" s="5"/>
      <c r="V430" s="5"/>
      <c r="W430" s="5"/>
    </row>
    <row r="431">
      <c r="A431" s="5"/>
      <c r="B431" s="3"/>
      <c r="C431" s="5"/>
      <c r="D431" s="3"/>
      <c r="E431" s="5"/>
      <c r="F431" s="5"/>
      <c r="G431" s="5"/>
      <c r="H431" s="5"/>
      <c r="I431" s="5"/>
      <c r="J431" s="5"/>
      <c r="K431" s="5"/>
      <c r="L431" s="5"/>
      <c r="M431" s="5"/>
      <c r="N431" s="5"/>
      <c r="O431" s="5"/>
      <c r="P431" s="5"/>
      <c r="Q431" s="5"/>
      <c r="R431" s="5"/>
      <c r="S431" s="5"/>
      <c r="T431" s="5"/>
      <c r="U431" s="5"/>
      <c r="V431" s="5"/>
      <c r="W431" s="5"/>
    </row>
    <row r="432">
      <c r="A432" s="5"/>
      <c r="B432" s="3"/>
      <c r="C432" s="5"/>
      <c r="D432" s="3"/>
      <c r="E432" s="5"/>
      <c r="F432" s="5"/>
      <c r="G432" s="5"/>
      <c r="H432" s="5"/>
      <c r="I432" s="5"/>
      <c r="J432" s="5"/>
      <c r="K432" s="5"/>
      <c r="L432" s="5"/>
      <c r="M432" s="5"/>
      <c r="N432" s="5"/>
      <c r="O432" s="5"/>
      <c r="P432" s="5"/>
      <c r="Q432" s="5"/>
      <c r="R432" s="5"/>
      <c r="S432" s="5"/>
      <c r="T432" s="5"/>
      <c r="U432" s="5"/>
      <c r="V432" s="5"/>
      <c r="W432" s="5"/>
    </row>
    <row r="433">
      <c r="A433" s="5"/>
      <c r="B433" s="3"/>
      <c r="C433" s="5"/>
      <c r="D433" s="3"/>
      <c r="E433" s="5"/>
      <c r="F433" s="5"/>
      <c r="G433" s="5"/>
      <c r="H433" s="5"/>
      <c r="I433" s="5"/>
      <c r="J433" s="5"/>
      <c r="K433" s="5"/>
      <c r="L433" s="5"/>
      <c r="M433" s="5"/>
      <c r="N433" s="5"/>
      <c r="O433" s="5"/>
      <c r="P433" s="5"/>
      <c r="Q433" s="5"/>
      <c r="R433" s="5"/>
      <c r="S433" s="5"/>
      <c r="T433" s="5"/>
      <c r="U433" s="5"/>
      <c r="V433" s="5"/>
      <c r="W433" s="5"/>
    </row>
    <row r="434">
      <c r="A434" s="5"/>
      <c r="B434" s="3"/>
      <c r="C434" s="5"/>
      <c r="D434" s="3"/>
      <c r="E434" s="5"/>
      <c r="F434" s="5"/>
      <c r="G434" s="5"/>
      <c r="H434" s="5"/>
      <c r="I434" s="5"/>
      <c r="J434" s="5"/>
      <c r="K434" s="5"/>
      <c r="L434" s="5"/>
      <c r="M434" s="5"/>
      <c r="N434" s="5"/>
      <c r="O434" s="5"/>
      <c r="P434" s="5"/>
      <c r="Q434" s="5"/>
      <c r="R434" s="5"/>
      <c r="S434" s="5"/>
      <c r="T434" s="5"/>
      <c r="U434" s="5"/>
      <c r="V434" s="5"/>
      <c r="W434" s="5"/>
    </row>
    <row r="435">
      <c r="A435" s="5"/>
      <c r="B435" s="3"/>
      <c r="C435" s="5"/>
      <c r="D435" s="3"/>
      <c r="E435" s="5"/>
      <c r="F435" s="5"/>
      <c r="G435" s="5"/>
      <c r="H435" s="5"/>
      <c r="I435" s="5"/>
      <c r="J435" s="5"/>
      <c r="K435" s="5"/>
      <c r="L435" s="5"/>
      <c r="M435" s="5"/>
      <c r="N435" s="5"/>
      <c r="O435" s="5"/>
      <c r="P435" s="5"/>
      <c r="Q435" s="5"/>
      <c r="R435" s="5"/>
      <c r="S435" s="5"/>
      <c r="T435" s="5"/>
      <c r="U435" s="5"/>
      <c r="V435" s="5"/>
      <c r="W435" s="5"/>
    </row>
    <row r="436">
      <c r="A436" s="5"/>
      <c r="B436" s="3"/>
      <c r="C436" s="5"/>
      <c r="D436" s="3"/>
      <c r="E436" s="5"/>
      <c r="F436" s="5"/>
      <c r="G436" s="5"/>
      <c r="H436" s="5"/>
      <c r="I436" s="5"/>
      <c r="J436" s="5"/>
      <c r="K436" s="5"/>
      <c r="L436" s="5"/>
      <c r="M436" s="5"/>
      <c r="N436" s="5"/>
      <c r="O436" s="5"/>
      <c r="P436" s="5"/>
      <c r="Q436" s="5"/>
      <c r="R436" s="5"/>
      <c r="S436" s="5"/>
      <c r="T436" s="5"/>
      <c r="U436" s="5"/>
      <c r="V436" s="5"/>
      <c r="W436" s="5"/>
    </row>
    <row r="437">
      <c r="A437" s="5"/>
      <c r="B437" s="3"/>
      <c r="C437" s="5"/>
      <c r="D437" s="5"/>
      <c r="E437" s="5"/>
      <c r="F437" s="5"/>
      <c r="G437" s="5"/>
      <c r="H437" s="5"/>
      <c r="I437" s="5"/>
      <c r="J437" s="5"/>
      <c r="K437" s="5"/>
      <c r="L437" s="5"/>
      <c r="M437" s="5"/>
      <c r="N437" s="5"/>
      <c r="O437" s="5"/>
      <c r="P437" s="5"/>
      <c r="Q437" s="5"/>
      <c r="R437" s="5"/>
      <c r="S437" s="5"/>
      <c r="T437" s="5"/>
      <c r="U437" s="5"/>
      <c r="V437" s="5"/>
      <c r="W437" s="5"/>
    </row>
    <row r="438">
      <c r="A438" s="5"/>
      <c r="B438" s="3"/>
      <c r="C438" s="5"/>
      <c r="D438" s="5"/>
      <c r="E438" s="5"/>
      <c r="F438" s="5"/>
      <c r="G438" s="5"/>
      <c r="H438" s="5"/>
      <c r="I438" s="5"/>
      <c r="J438" s="5"/>
      <c r="K438" s="5"/>
      <c r="L438" s="5"/>
      <c r="M438" s="5"/>
      <c r="N438" s="5"/>
      <c r="O438" s="5"/>
      <c r="P438" s="5"/>
      <c r="Q438" s="5"/>
      <c r="R438" s="5"/>
      <c r="S438" s="5"/>
      <c r="T438" s="5"/>
      <c r="U438" s="5"/>
      <c r="V438" s="5"/>
      <c r="W438" s="5"/>
    </row>
    <row r="439">
      <c r="A439" s="5"/>
      <c r="B439" s="3"/>
      <c r="C439" s="5"/>
      <c r="D439" s="5"/>
      <c r="E439" s="5"/>
      <c r="F439" s="5"/>
      <c r="G439" s="5"/>
      <c r="H439" s="5"/>
      <c r="I439" s="5"/>
      <c r="J439" s="5"/>
      <c r="K439" s="5"/>
      <c r="L439" s="5"/>
      <c r="M439" s="5"/>
      <c r="N439" s="5"/>
      <c r="O439" s="5"/>
      <c r="P439" s="5"/>
      <c r="Q439" s="5"/>
      <c r="R439" s="5"/>
      <c r="S439" s="5"/>
      <c r="T439" s="5"/>
      <c r="U439" s="5"/>
      <c r="V439" s="5"/>
      <c r="W439" s="5"/>
    </row>
    <row r="440">
      <c r="A440" s="5"/>
      <c r="B440" s="3"/>
      <c r="C440" s="5"/>
      <c r="D440" s="5"/>
      <c r="E440" s="5"/>
      <c r="F440" s="5"/>
      <c r="G440" s="5"/>
      <c r="H440" s="5"/>
      <c r="I440" s="5"/>
      <c r="J440" s="5"/>
      <c r="K440" s="5"/>
      <c r="L440" s="5"/>
      <c r="M440" s="5"/>
      <c r="N440" s="5"/>
      <c r="O440" s="5"/>
      <c r="P440" s="5"/>
      <c r="Q440" s="5"/>
      <c r="R440" s="5"/>
      <c r="S440" s="5"/>
      <c r="T440" s="5"/>
      <c r="U440" s="5"/>
      <c r="V440" s="5"/>
      <c r="W440" s="5"/>
    </row>
    <row r="441">
      <c r="A441" s="5"/>
      <c r="B441" s="3"/>
      <c r="C441" s="5"/>
      <c r="D441" s="5"/>
      <c r="E441" s="5"/>
      <c r="F441" s="5"/>
      <c r="G441" s="5"/>
      <c r="H441" s="5"/>
      <c r="I441" s="5"/>
      <c r="J441" s="5"/>
      <c r="K441" s="5"/>
      <c r="L441" s="5"/>
      <c r="M441" s="5"/>
      <c r="N441" s="5"/>
      <c r="O441" s="5"/>
      <c r="P441" s="5"/>
      <c r="Q441" s="5"/>
      <c r="R441" s="5"/>
      <c r="S441" s="5"/>
      <c r="T441" s="5"/>
      <c r="U441" s="5"/>
      <c r="V441" s="5"/>
      <c r="W441" s="5"/>
    </row>
    <row r="442">
      <c r="A442" s="5"/>
      <c r="B442" s="3"/>
      <c r="C442" s="5"/>
      <c r="D442" s="5"/>
      <c r="E442" s="5"/>
      <c r="F442" s="5"/>
      <c r="G442" s="5"/>
      <c r="H442" s="5"/>
      <c r="I442" s="5"/>
      <c r="J442" s="5"/>
      <c r="K442" s="5"/>
      <c r="L442" s="5"/>
      <c r="M442" s="5"/>
      <c r="N442" s="5"/>
      <c r="O442" s="5"/>
      <c r="P442" s="5"/>
      <c r="Q442" s="5"/>
      <c r="R442" s="5"/>
      <c r="S442" s="5"/>
      <c r="T442" s="5"/>
      <c r="U442" s="5"/>
      <c r="V442" s="5"/>
      <c r="W442" s="5"/>
    </row>
    <row r="443">
      <c r="A443" s="5"/>
      <c r="B443" s="3"/>
      <c r="C443" s="5"/>
      <c r="D443" s="5"/>
      <c r="E443" s="5"/>
      <c r="F443" s="5"/>
      <c r="G443" s="5"/>
      <c r="H443" s="5"/>
      <c r="I443" s="5"/>
      <c r="J443" s="5"/>
      <c r="K443" s="5"/>
      <c r="L443" s="5"/>
      <c r="M443" s="5"/>
      <c r="N443" s="5"/>
      <c r="O443" s="5"/>
      <c r="P443" s="5"/>
      <c r="Q443" s="5"/>
      <c r="R443" s="5"/>
      <c r="S443" s="5"/>
      <c r="T443" s="5"/>
      <c r="U443" s="5"/>
      <c r="V443" s="5"/>
      <c r="W443" s="5"/>
    </row>
    <row r="444">
      <c r="A444" s="5"/>
      <c r="B444" s="3"/>
      <c r="C444" s="5"/>
      <c r="D444" s="5"/>
      <c r="E444" s="5"/>
      <c r="F444" s="5"/>
      <c r="G444" s="5"/>
      <c r="H444" s="5"/>
      <c r="I444" s="5"/>
      <c r="J444" s="5"/>
      <c r="K444" s="5"/>
      <c r="L444" s="5"/>
      <c r="M444" s="5"/>
      <c r="N444" s="5"/>
      <c r="O444" s="5"/>
      <c r="P444" s="5"/>
      <c r="Q444" s="5"/>
      <c r="R444" s="5"/>
      <c r="S444" s="5"/>
      <c r="T444" s="5"/>
      <c r="U444" s="5"/>
      <c r="V444" s="5"/>
      <c r="W444" s="5"/>
    </row>
    <row r="445">
      <c r="A445" s="5"/>
      <c r="B445" s="3"/>
      <c r="C445" s="5"/>
      <c r="D445" s="5"/>
      <c r="E445" s="5"/>
      <c r="F445" s="5"/>
      <c r="G445" s="5"/>
      <c r="H445" s="5"/>
      <c r="I445" s="5"/>
      <c r="J445" s="5"/>
      <c r="K445" s="5"/>
      <c r="L445" s="5"/>
      <c r="M445" s="5"/>
      <c r="N445" s="5"/>
      <c r="O445" s="5"/>
      <c r="P445" s="5"/>
      <c r="Q445" s="5"/>
      <c r="R445" s="5"/>
      <c r="S445" s="5"/>
      <c r="T445" s="5"/>
      <c r="U445" s="5"/>
      <c r="V445" s="5"/>
      <c r="W445" s="5"/>
    </row>
    <row r="446">
      <c r="A446" s="5"/>
      <c r="B446" s="3"/>
      <c r="C446" s="5"/>
      <c r="D446" s="5"/>
      <c r="E446" s="5"/>
      <c r="F446" s="5"/>
      <c r="G446" s="5"/>
      <c r="H446" s="5"/>
      <c r="I446" s="5"/>
      <c r="J446" s="5"/>
      <c r="K446" s="5"/>
      <c r="L446" s="5"/>
      <c r="M446" s="5"/>
      <c r="N446" s="5"/>
      <c r="O446" s="5"/>
      <c r="P446" s="5"/>
      <c r="Q446" s="5"/>
      <c r="R446" s="5"/>
      <c r="S446" s="5"/>
      <c r="T446" s="5"/>
      <c r="U446" s="5"/>
      <c r="V446" s="5"/>
      <c r="W446" s="5"/>
    </row>
    <row r="447">
      <c r="A447" s="5"/>
      <c r="B447" s="3"/>
      <c r="C447" s="5"/>
      <c r="D447" s="5"/>
      <c r="E447" s="5"/>
      <c r="F447" s="5"/>
      <c r="G447" s="5"/>
      <c r="H447" s="5"/>
      <c r="I447" s="5"/>
      <c r="J447" s="5"/>
      <c r="K447" s="5"/>
      <c r="L447" s="5"/>
      <c r="M447" s="5"/>
      <c r="N447" s="5"/>
      <c r="O447" s="5"/>
      <c r="P447" s="5"/>
      <c r="Q447" s="5"/>
      <c r="R447" s="5"/>
      <c r="S447" s="5"/>
      <c r="T447" s="5"/>
      <c r="U447" s="5"/>
      <c r="V447" s="5"/>
      <c r="W447" s="5"/>
    </row>
    <row r="448">
      <c r="A448" s="5"/>
      <c r="B448" s="3"/>
      <c r="C448" s="5"/>
      <c r="D448" s="5"/>
      <c r="E448" s="5"/>
      <c r="F448" s="5"/>
      <c r="G448" s="5"/>
      <c r="H448" s="5"/>
      <c r="I448" s="5"/>
      <c r="J448" s="5"/>
      <c r="K448" s="5"/>
      <c r="L448" s="5"/>
      <c r="M448" s="5"/>
      <c r="N448" s="5"/>
      <c r="O448" s="5"/>
      <c r="P448" s="5"/>
      <c r="Q448" s="5"/>
      <c r="R448" s="5"/>
      <c r="S448" s="5"/>
      <c r="T448" s="5"/>
      <c r="U448" s="5"/>
      <c r="V448" s="5"/>
      <c r="W448" s="5"/>
    </row>
    <row r="449">
      <c r="A449" s="5"/>
      <c r="B449" s="3"/>
      <c r="C449" s="5"/>
      <c r="D449" s="5"/>
      <c r="E449" s="5"/>
      <c r="F449" s="5"/>
      <c r="G449" s="5"/>
      <c r="H449" s="5"/>
      <c r="I449" s="5"/>
      <c r="J449" s="5"/>
      <c r="K449" s="5"/>
      <c r="L449" s="5"/>
      <c r="M449" s="5"/>
      <c r="N449" s="5"/>
      <c r="O449" s="5"/>
      <c r="P449" s="5"/>
      <c r="Q449" s="5"/>
      <c r="R449" s="5"/>
      <c r="S449" s="5"/>
      <c r="T449" s="5"/>
      <c r="U449" s="5"/>
      <c r="V449" s="5"/>
      <c r="W449" s="5"/>
    </row>
    <row r="450">
      <c r="A450" s="5"/>
      <c r="B450" s="3"/>
      <c r="C450" s="5"/>
      <c r="D450" s="5"/>
      <c r="E450" s="5"/>
      <c r="F450" s="5"/>
      <c r="G450" s="5"/>
      <c r="H450" s="5"/>
      <c r="I450" s="5"/>
      <c r="J450" s="5"/>
      <c r="K450" s="5"/>
      <c r="L450" s="5"/>
      <c r="M450" s="5"/>
      <c r="N450" s="5"/>
      <c r="O450" s="5"/>
      <c r="P450" s="5"/>
      <c r="Q450" s="5"/>
      <c r="R450" s="5"/>
      <c r="S450" s="5"/>
      <c r="T450" s="5"/>
      <c r="U450" s="5"/>
      <c r="V450" s="5"/>
      <c r="W450" s="5"/>
    </row>
    <row r="451">
      <c r="A451" s="5"/>
      <c r="B451" s="3"/>
      <c r="C451" s="5"/>
      <c r="D451" s="5"/>
      <c r="E451" s="5"/>
      <c r="F451" s="5"/>
      <c r="G451" s="5"/>
      <c r="H451" s="5"/>
      <c r="I451" s="5"/>
      <c r="J451" s="5"/>
      <c r="K451" s="5"/>
      <c r="L451" s="5"/>
      <c r="M451" s="5"/>
      <c r="N451" s="5"/>
      <c r="O451" s="5"/>
      <c r="P451" s="5"/>
      <c r="Q451" s="5"/>
      <c r="R451" s="5"/>
      <c r="S451" s="5"/>
      <c r="T451" s="5"/>
      <c r="U451" s="5"/>
      <c r="V451" s="5"/>
      <c r="W451" s="5"/>
    </row>
    <row r="452">
      <c r="A452" s="5"/>
      <c r="B452" s="3"/>
      <c r="C452" s="5"/>
      <c r="D452" s="5"/>
      <c r="E452" s="5"/>
      <c r="F452" s="5"/>
      <c r="G452" s="5"/>
      <c r="H452" s="5"/>
      <c r="I452" s="5"/>
      <c r="J452" s="5"/>
      <c r="K452" s="5"/>
      <c r="L452" s="5"/>
      <c r="M452" s="5"/>
      <c r="N452" s="5"/>
      <c r="O452" s="5"/>
      <c r="P452" s="5"/>
      <c r="Q452" s="5"/>
      <c r="R452" s="5"/>
      <c r="S452" s="5"/>
      <c r="T452" s="5"/>
      <c r="U452" s="5"/>
      <c r="V452" s="5"/>
      <c r="W452" s="5"/>
    </row>
    <row r="453">
      <c r="A453" s="5"/>
      <c r="B453" s="3"/>
      <c r="C453" s="5"/>
      <c r="D453" s="5"/>
      <c r="E453" s="5"/>
      <c r="F453" s="5"/>
      <c r="G453" s="5"/>
      <c r="H453" s="5"/>
      <c r="I453" s="5"/>
      <c r="J453" s="5"/>
      <c r="K453" s="5"/>
      <c r="L453" s="5"/>
      <c r="M453" s="5"/>
      <c r="N453" s="5"/>
      <c r="O453" s="5"/>
      <c r="P453" s="5"/>
      <c r="Q453" s="5"/>
      <c r="R453" s="5"/>
      <c r="S453" s="5"/>
      <c r="T453" s="5"/>
      <c r="U453" s="5"/>
      <c r="V453" s="5"/>
      <c r="W453" s="5"/>
    </row>
    <row r="454">
      <c r="A454" s="5"/>
      <c r="B454" s="3"/>
      <c r="C454" s="5"/>
      <c r="D454" s="5"/>
      <c r="E454" s="5"/>
      <c r="F454" s="5"/>
      <c r="G454" s="5"/>
      <c r="H454" s="5"/>
      <c r="I454" s="5"/>
      <c r="J454" s="5"/>
      <c r="K454" s="5"/>
      <c r="L454" s="5"/>
      <c r="M454" s="5"/>
      <c r="N454" s="5"/>
      <c r="O454" s="5"/>
      <c r="P454" s="5"/>
      <c r="Q454" s="5"/>
      <c r="R454" s="5"/>
      <c r="S454" s="5"/>
      <c r="T454" s="5"/>
      <c r="U454" s="5"/>
      <c r="V454" s="5"/>
      <c r="W454" s="5"/>
    </row>
    <row r="455">
      <c r="A455" s="5"/>
      <c r="B455" s="3"/>
      <c r="C455" s="5"/>
      <c r="D455" s="5"/>
      <c r="E455" s="5"/>
      <c r="F455" s="5"/>
      <c r="G455" s="5"/>
      <c r="H455" s="5"/>
      <c r="I455" s="5"/>
      <c r="J455" s="5"/>
      <c r="K455" s="5"/>
      <c r="L455" s="5"/>
      <c r="M455" s="5"/>
      <c r="N455" s="5"/>
      <c r="O455" s="5"/>
      <c r="P455" s="5"/>
      <c r="Q455" s="5"/>
      <c r="R455" s="5"/>
      <c r="S455" s="5"/>
      <c r="T455" s="5"/>
      <c r="U455" s="5"/>
      <c r="V455" s="5"/>
      <c r="W455" s="5"/>
    </row>
    <row r="456">
      <c r="A456" s="5"/>
      <c r="B456" s="3"/>
      <c r="C456" s="5"/>
      <c r="D456" s="5"/>
      <c r="E456" s="5"/>
      <c r="F456" s="5"/>
      <c r="G456" s="5"/>
      <c r="H456" s="5"/>
      <c r="I456" s="5"/>
      <c r="J456" s="5"/>
      <c r="K456" s="5"/>
      <c r="L456" s="5"/>
      <c r="M456" s="5"/>
      <c r="N456" s="5"/>
      <c r="O456" s="5"/>
      <c r="P456" s="5"/>
      <c r="Q456" s="5"/>
      <c r="R456" s="5"/>
      <c r="S456" s="5"/>
      <c r="T456" s="5"/>
      <c r="U456" s="5"/>
      <c r="V456" s="5"/>
      <c r="W456" s="5"/>
    </row>
    <row r="457">
      <c r="A457" s="5"/>
      <c r="B457" s="3"/>
      <c r="C457" s="5"/>
      <c r="D457" s="5"/>
      <c r="E457" s="5"/>
      <c r="F457" s="5"/>
      <c r="G457" s="5"/>
      <c r="H457" s="5"/>
      <c r="I457" s="5"/>
      <c r="J457" s="5"/>
      <c r="K457" s="5"/>
      <c r="L457" s="5"/>
      <c r="M457" s="5"/>
      <c r="N457" s="5"/>
      <c r="O457" s="5"/>
      <c r="P457" s="5"/>
      <c r="Q457" s="5"/>
      <c r="R457" s="5"/>
      <c r="S457" s="5"/>
      <c r="T457" s="5"/>
      <c r="U457" s="5"/>
      <c r="V457" s="5"/>
      <c r="W457" s="5"/>
    </row>
    <row r="458">
      <c r="A458" s="5"/>
      <c r="B458" s="3"/>
      <c r="C458" s="5"/>
      <c r="D458" s="5"/>
      <c r="E458" s="5"/>
      <c r="F458" s="5"/>
      <c r="G458" s="5"/>
      <c r="H458" s="5"/>
      <c r="I458" s="5"/>
      <c r="J458" s="5"/>
      <c r="K458" s="5"/>
      <c r="L458" s="5"/>
      <c r="M458" s="5"/>
      <c r="N458" s="5"/>
      <c r="O458" s="5"/>
      <c r="P458" s="5"/>
      <c r="Q458" s="5"/>
      <c r="R458" s="5"/>
      <c r="S458" s="5"/>
      <c r="T458" s="5"/>
      <c r="U458" s="5"/>
      <c r="V458" s="5"/>
      <c r="W458" s="5"/>
    </row>
    <row r="459">
      <c r="A459" s="5"/>
      <c r="B459" s="3"/>
      <c r="C459" s="5"/>
      <c r="D459" s="5"/>
      <c r="E459" s="5"/>
      <c r="F459" s="5"/>
      <c r="G459" s="5"/>
      <c r="H459" s="5"/>
      <c r="I459" s="5"/>
      <c r="J459" s="5"/>
      <c r="K459" s="5"/>
      <c r="L459" s="5"/>
      <c r="M459" s="5"/>
      <c r="N459" s="5"/>
      <c r="O459" s="5"/>
      <c r="P459" s="5"/>
      <c r="Q459" s="5"/>
      <c r="R459" s="5"/>
      <c r="S459" s="5"/>
      <c r="T459" s="5"/>
      <c r="U459" s="5"/>
      <c r="V459" s="5"/>
      <c r="W459" s="5"/>
    </row>
    <row r="460">
      <c r="A460" s="5"/>
      <c r="B460" s="3"/>
      <c r="C460" s="5"/>
      <c r="D460" s="5"/>
      <c r="E460" s="5"/>
      <c r="F460" s="5"/>
      <c r="G460" s="5"/>
      <c r="H460" s="5"/>
      <c r="I460" s="5"/>
      <c r="J460" s="5"/>
      <c r="K460" s="5"/>
      <c r="L460" s="5"/>
      <c r="M460" s="5"/>
      <c r="N460" s="5"/>
      <c r="O460" s="5"/>
      <c r="P460" s="5"/>
      <c r="Q460" s="5"/>
      <c r="R460" s="5"/>
      <c r="S460" s="5"/>
      <c r="T460" s="5"/>
      <c r="U460" s="5"/>
      <c r="V460" s="5"/>
      <c r="W460" s="5"/>
    </row>
    <row r="461">
      <c r="A461" s="5"/>
      <c r="B461" s="3"/>
      <c r="C461" s="5"/>
      <c r="D461" s="5"/>
      <c r="E461" s="5"/>
      <c r="F461" s="5"/>
      <c r="G461" s="5"/>
      <c r="H461" s="5"/>
      <c r="I461" s="5"/>
      <c r="J461" s="5"/>
      <c r="K461" s="5"/>
      <c r="L461" s="5"/>
      <c r="M461" s="5"/>
      <c r="N461" s="5"/>
      <c r="O461" s="5"/>
      <c r="P461" s="5"/>
      <c r="Q461" s="5"/>
      <c r="R461" s="5"/>
      <c r="S461" s="5"/>
      <c r="T461" s="5"/>
      <c r="U461" s="5"/>
      <c r="V461" s="5"/>
      <c r="W461" s="5"/>
    </row>
    <row r="462">
      <c r="A462" s="5"/>
      <c r="B462" s="3"/>
      <c r="C462" s="5"/>
      <c r="D462" s="5"/>
      <c r="E462" s="5"/>
      <c r="F462" s="5"/>
      <c r="G462" s="5"/>
      <c r="H462" s="5"/>
      <c r="I462" s="5"/>
      <c r="J462" s="5"/>
      <c r="K462" s="5"/>
      <c r="L462" s="5"/>
      <c r="M462" s="5"/>
      <c r="N462" s="5"/>
      <c r="O462" s="5"/>
      <c r="P462" s="5"/>
      <c r="Q462" s="5"/>
      <c r="R462" s="5"/>
      <c r="S462" s="5"/>
      <c r="T462" s="5"/>
      <c r="U462" s="5"/>
      <c r="V462" s="5"/>
      <c r="W462" s="5"/>
    </row>
    <row r="463">
      <c r="A463" s="5"/>
      <c r="B463" s="3"/>
      <c r="C463" s="5"/>
      <c r="D463" s="5"/>
      <c r="E463" s="5"/>
      <c r="F463" s="5"/>
      <c r="G463" s="5"/>
      <c r="H463" s="5"/>
      <c r="I463" s="5"/>
      <c r="J463" s="5"/>
      <c r="K463" s="5"/>
      <c r="L463" s="5"/>
      <c r="M463" s="5"/>
      <c r="N463" s="5"/>
      <c r="O463" s="5"/>
      <c r="P463" s="5"/>
      <c r="Q463" s="5"/>
      <c r="R463" s="5"/>
      <c r="S463" s="5"/>
      <c r="T463" s="5"/>
      <c r="U463" s="5"/>
      <c r="V463" s="5"/>
      <c r="W463" s="5"/>
    </row>
    <row r="464">
      <c r="A464" s="5"/>
      <c r="B464" s="3"/>
      <c r="C464" s="5"/>
      <c r="D464" s="5"/>
      <c r="E464" s="5"/>
      <c r="F464" s="5"/>
      <c r="G464" s="5"/>
      <c r="H464" s="5"/>
      <c r="I464" s="5"/>
      <c r="J464" s="5"/>
      <c r="K464" s="5"/>
      <c r="L464" s="5"/>
      <c r="M464" s="5"/>
      <c r="N464" s="5"/>
      <c r="O464" s="5"/>
      <c r="P464" s="5"/>
      <c r="Q464" s="5"/>
      <c r="R464" s="5"/>
      <c r="S464" s="5"/>
      <c r="T464" s="5"/>
      <c r="U464" s="5"/>
      <c r="V464" s="5"/>
      <c r="W464" s="5"/>
    </row>
    <row r="465">
      <c r="A465" s="5"/>
      <c r="B465" s="3"/>
      <c r="C465" s="5"/>
      <c r="D465" s="5"/>
      <c r="E465" s="5"/>
      <c r="F465" s="5"/>
      <c r="G465" s="5"/>
      <c r="H465" s="5"/>
      <c r="I465" s="5"/>
      <c r="J465" s="5"/>
      <c r="K465" s="5"/>
      <c r="L465" s="5"/>
      <c r="M465" s="5"/>
      <c r="N465" s="5"/>
      <c r="O465" s="5"/>
      <c r="P465" s="5"/>
      <c r="Q465" s="5"/>
      <c r="R465" s="5"/>
      <c r="S465" s="5"/>
      <c r="T465" s="5"/>
      <c r="U465" s="5"/>
      <c r="V465" s="5"/>
      <c r="W465" s="5"/>
    </row>
    <row r="466">
      <c r="A466" s="5"/>
      <c r="B466" s="3"/>
      <c r="C466" s="5"/>
      <c r="D466" s="5"/>
      <c r="E466" s="5"/>
      <c r="F466" s="5"/>
      <c r="G466" s="5"/>
      <c r="H466" s="5"/>
      <c r="I466" s="5"/>
      <c r="J466" s="5"/>
      <c r="K466" s="5"/>
      <c r="L466" s="5"/>
      <c r="M466" s="5"/>
      <c r="N466" s="5"/>
      <c r="O466" s="5"/>
      <c r="P466" s="5"/>
      <c r="Q466" s="5"/>
      <c r="R466" s="5"/>
      <c r="S466" s="5"/>
      <c r="T466" s="5"/>
      <c r="U466" s="5"/>
      <c r="V466" s="5"/>
      <c r="W466" s="5"/>
    </row>
    <row r="467">
      <c r="A467" s="5"/>
      <c r="B467" s="3"/>
      <c r="C467" s="5"/>
      <c r="D467" s="5"/>
      <c r="E467" s="5"/>
      <c r="F467" s="5"/>
      <c r="G467" s="5"/>
      <c r="H467" s="5"/>
      <c r="I467" s="5"/>
      <c r="J467" s="5"/>
      <c r="K467" s="5"/>
      <c r="L467" s="5"/>
      <c r="M467" s="5"/>
      <c r="N467" s="5"/>
      <c r="O467" s="5"/>
      <c r="P467" s="5"/>
      <c r="Q467" s="5"/>
      <c r="R467" s="5"/>
      <c r="S467" s="5"/>
      <c r="T467" s="5"/>
      <c r="U467" s="5"/>
      <c r="V467" s="5"/>
      <c r="W467" s="5"/>
    </row>
    <row r="468">
      <c r="A468" s="5"/>
      <c r="B468" s="3"/>
      <c r="C468" s="5"/>
      <c r="D468" s="5"/>
      <c r="E468" s="5"/>
      <c r="F468" s="5"/>
      <c r="G468" s="5"/>
      <c r="H468" s="5"/>
      <c r="I468" s="5"/>
      <c r="J468" s="5"/>
      <c r="K468" s="5"/>
      <c r="L468" s="5"/>
      <c r="M468" s="5"/>
      <c r="N468" s="5"/>
      <c r="O468" s="5"/>
      <c r="P468" s="5"/>
      <c r="Q468" s="5"/>
      <c r="R468" s="5"/>
      <c r="S468" s="5"/>
      <c r="T468" s="5"/>
      <c r="U468" s="5"/>
      <c r="V468" s="5"/>
      <c r="W468" s="5"/>
    </row>
    <row r="469">
      <c r="A469" s="5"/>
      <c r="B469" s="3"/>
      <c r="C469" s="5"/>
      <c r="D469" s="5"/>
      <c r="E469" s="5"/>
      <c r="F469" s="5"/>
      <c r="G469" s="5"/>
      <c r="H469" s="5"/>
      <c r="I469" s="5"/>
      <c r="J469" s="5"/>
      <c r="K469" s="5"/>
      <c r="L469" s="5"/>
      <c r="M469" s="5"/>
      <c r="N469" s="5"/>
      <c r="O469" s="5"/>
      <c r="P469" s="5"/>
      <c r="Q469" s="5"/>
      <c r="R469" s="5"/>
      <c r="S469" s="5"/>
      <c r="T469" s="5"/>
      <c r="U469" s="5"/>
      <c r="V469" s="5"/>
      <c r="W469" s="5"/>
    </row>
    <row r="470">
      <c r="A470" s="5"/>
      <c r="B470" s="3"/>
      <c r="C470" s="5"/>
      <c r="D470" s="5"/>
      <c r="E470" s="5"/>
      <c r="F470" s="5"/>
      <c r="G470" s="5"/>
      <c r="H470" s="5"/>
      <c r="I470" s="5"/>
      <c r="J470" s="5"/>
      <c r="K470" s="5"/>
      <c r="L470" s="5"/>
      <c r="M470" s="5"/>
      <c r="N470" s="5"/>
      <c r="O470" s="5"/>
      <c r="P470" s="5"/>
      <c r="Q470" s="5"/>
      <c r="R470" s="5"/>
      <c r="S470" s="5"/>
      <c r="T470" s="5"/>
      <c r="U470" s="5"/>
      <c r="V470" s="5"/>
      <c r="W470" s="5"/>
    </row>
    <row r="471">
      <c r="A471" s="5"/>
      <c r="B471" s="3"/>
      <c r="C471" s="5"/>
      <c r="D471" s="5"/>
      <c r="E471" s="5"/>
      <c r="F471" s="5"/>
      <c r="G471" s="5"/>
      <c r="H471" s="5"/>
      <c r="I471" s="5"/>
      <c r="J471" s="5"/>
      <c r="K471" s="5"/>
      <c r="L471" s="5"/>
      <c r="M471" s="5"/>
      <c r="N471" s="5"/>
      <c r="O471" s="5"/>
      <c r="P471" s="5"/>
      <c r="Q471" s="5"/>
      <c r="R471" s="5"/>
      <c r="S471" s="5"/>
      <c r="T471" s="5"/>
      <c r="U471" s="5"/>
      <c r="V471" s="5"/>
      <c r="W471" s="5"/>
    </row>
    <row r="472">
      <c r="A472" s="5"/>
      <c r="B472" s="3"/>
      <c r="C472" s="5"/>
      <c r="D472" s="5"/>
      <c r="E472" s="5"/>
      <c r="F472" s="5"/>
      <c r="G472" s="5"/>
      <c r="H472" s="5"/>
      <c r="I472" s="5"/>
      <c r="J472" s="5"/>
      <c r="K472" s="5"/>
      <c r="L472" s="5"/>
      <c r="M472" s="5"/>
      <c r="N472" s="5"/>
      <c r="O472" s="5"/>
      <c r="P472" s="5"/>
      <c r="Q472" s="5"/>
      <c r="R472" s="5"/>
      <c r="S472" s="5"/>
      <c r="T472" s="5"/>
      <c r="U472" s="5"/>
      <c r="V472" s="5"/>
      <c r="W472" s="5"/>
    </row>
    <row r="473">
      <c r="A473" s="5"/>
      <c r="B473" s="3"/>
      <c r="C473" s="5"/>
      <c r="D473" s="5"/>
      <c r="E473" s="5"/>
      <c r="F473" s="5"/>
      <c r="G473" s="5"/>
      <c r="H473" s="5"/>
      <c r="I473" s="5"/>
      <c r="J473" s="5"/>
      <c r="K473" s="5"/>
      <c r="L473" s="5"/>
      <c r="M473" s="5"/>
      <c r="N473" s="5"/>
      <c r="O473" s="5"/>
      <c r="P473" s="5"/>
      <c r="Q473" s="5"/>
      <c r="R473" s="5"/>
      <c r="S473" s="5"/>
      <c r="T473" s="5"/>
      <c r="U473" s="5"/>
      <c r="V473" s="5"/>
      <c r="W473" s="5"/>
    </row>
    <row r="474">
      <c r="A474" s="5"/>
      <c r="B474" s="3"/>
      <c r="C474" s="5"/>
      <c r="D474" s="5"/>
      <c r="E474" s="5"/>
      <c r="F474" s="5"/>
      <c r="G474" s="5"/>
      <c r="H474" s="5"/>
      <c r="I474" s="5"/>
      <c r="J474" s="5"/>
      <c r="K474" s="5"/>
      <c r="L474" s="5"/>
      <c r="M474" s="5"/>
      <c r="N474" s="5"/>
      <c r="O474" s="5"/>
      <c r="P474" s="5"/>
      <c r="Q474" s="5"/>
      <c r="R474" s="5"/>
      <c r="S474" s="5"/>
      <c r="T474" s="5"/>
      <c r="U474" s="5"/>
      <c r="V474" s="5"/>
      <c r="W474" s="5"/>
    </row>
    <row r="475">
      <c r="A475" s="5"/>
      <c r="B475" s="3"/>
      <c r="C475" s="5"/>
      <c r="D475" s="5"/>
      <c r="E475" s="5"/>
      <c r="F475" s="5"/>
      <c r="G475" s="5"/>
      <c r="H475" s="5"/>
      <c r="I475" s="5"/>
      <c r="J475" s="5"/>
      <c r="K475" s="5"/>
      <c r="L475" s="5"/>
      <c r="M475" s="5"/>
      <c r="N475" s="5"/>
      <c r="O475" s="5"/>
      <c r="P475" s="5"/>
      <c r="Q475" s="5"/>
      <c r="R475" s="5"/>
      <c r="S475" s="5"/>
      <c r="T475" s="5"/>
      <c r="U475" s="5"/>
      <c r="V475" s="5"/>
      <c r="W475" s="5"/>
    </row>
    <row r="476">
      <c r="A476" s="5"/>
      <c r="B476" s="3"/>
      <c r="C476" s="5"/>
      <c r="D476" s="5"/>
      <c r="E476" s="5"/>
      <c r="F476" s="5"/>
      <c r="G476" s="5"/>
      <c r="H476" s="5"/>
      <c r="I476" s="5"/>
      <c r="J476" s="5"/>
      <c r="K476" s="5"/>
      <c r="L476" s="5"/>
      <c r="M476" s="5"/>
      <c r="N476" s="5"/>
      <c r="O476" s="5"/>
      <c r="P476" s="5"/>
      <c r="Q476" s="5"/>
      <c r="R476" s="5"/>
      <c r="S476" s="5"/>
      <c r="T476" s="5"/>
      <c r="U476" s="5"/>
      <c r="V476" s="5"/>
      <c r="W476" s="5"/>
    </row>
    <row r="477">
      <c r="A477" s="5"/>
      <c r="B477" s="3"/>
      <c r="C477" s="5"/>
      <c r="D477" s="5"/>
      <c r="E477" s="5"/>
      <c r="F477" s="5"/>
      <c r="G477" s="5"/>
      <c r="H477" s="5"/>
      <c r="I477" s="5"/>
      <c r="J477" s="5"/>
      <c r="K477" s="5"/>
      <c r="L477" s="5"/>
      <c r="M477" s="5"/>
      <c r="N477" s="5"/>
      <c r="O477" s="5"/>
      <c r="P477" s="5"/>
      <c r="Q477" s="5"/>
      <c r="R477" s="5"/>
      <c r="S477" s="5"/>
      <c r="T477" s="5"/>
      <c r="U477" s="5"/>
      <c r="V477" s="5"/>
      <c r="W477" s="5"/>
    </row>
    <row r="478">
      <c r="A478" s="5"/>
      <c r="B478" s="3"/>
      <c r="C478" s="5"/>
      <c r="D478" s="5"/>
      <c r="E478" s="5"/>
      <c r="F478" s="5"/>
      <c r="G478" s="5"/>
      <c r="H478" s="5"/>
      <c r="I478" s="5"/>
      <c r="J478" s="5"/>
      <c r="K478" s="5"/>
      <c r="L478" s="5"/>
      <c r="M478" s="5"/>
      <c r="N478" s="5"/>
      <c r="O478" s="5"/>
      <c r="P478" s="5"/>
      <c r="Q478" s="5"/>
      <c r="R478" s="5"/>
      <c r="S478" s="5"/>
      <c r="T478" s="5"/>
      <c r="U478" s="5"/>
      <c r="V478" s="5"/>
      <c r="W478" s="5"/>
    </row>
    <row r="479">
      <c r="A479" s="5"/>
      <c r="B479" s="3"/>
      <c r="C479" s="5"/>
      <c r="D479" s="5"/>
      <c r="E479" s="5"/>
      <c r="F479" s="5"/>
      <c r="G479" s="5"/>
      <c r="H479" s="5"/>
      <c r="I479" s="5"/>
      <c r="J479" s="5"/>
      <c r="K479" s="5"/>
      <c r="L479" s="5"/>
      <c r="M479" s="5"/>
      <c r="N479" s="5"/>
      <c r="O479" s="5"/>
      <c r="P479" s="5"/>
      <c r="Q479" s="5"/>
      <c r="R479" s="5"/>
      <c r="S479" s="5"/>
      <c r="T479" s="5"/>
      <c r="U479" s="5"/>
      <c r="V479" s="5"/>
      <c r="W479" s="5"/>
    </row>
    <row r="480">
      <c r="A480" s="5"/>
      <c r="B480" s="3"/>
      <c r="C480" s="5"/>
      <c r="D480" s="5"/>
      <c r="E480" s="5"/>
      <c r="F480" s="5"/>
      <c r="G480" s="5"/>
      <c r="H480" s="5"/>
      <c r="I480" s="5"/>
      <c r="J480" s="5"/>
      <c r="K480" s="5"/>
      <c r="L480" s="5"/>
      <c r="M480" s="5"/>
      <c r="N480" s="5"/>
      <c r="O480" s="5"/>
      <c r="P480" s="5"/>
      <c r="Q480" s="5"/>
      <c r="R480" s="5"/>
      <c r="S480" s="5"/>
      <c r="T480" s="5"/>
      <c r="U480" s="5"/>
      <c r="V480" s="5"/>
      <c r="W480" s="5"/>
    </row>
    <row r="481">
      <c r="A481" s="5"/>
      <c r="B481" s="3"/>
      <c r="C481" s="5"/>
      <c r="D481" s="5"/>
      <c r="E481" s="5"/>
      <c r="F481" s="5"/>
      <c r="G481" s="5"/>
      <c r="H481" s="5"/>
      <c r="I481" s="5"/>
      <c r="J481" s="5"/>
      <c r="K481" s="5"/>
      <c r="L481" s="5"/>
      <c r="M481" s="5"/>
      <c r="N481" s="5"/>
      <c r="O481" s="5"/>
      <c r="P481" s="5"/>
      <c r="Q481" s="5"/>
      <c r="R481" s="5"/>
      <c r="S481" s="5"/>
      <c r="T481" s="5"/>
      <c r="U481" s="5"/>
      <c r="V481" s="5"/>
      <c r="W481" s="5"/>
    </row>
    <row r="482">
      <c r="A482" s="5"/>
      <c r="B482" s="3"/>
      <c r="C482" s="5"/>
      <c r="D482" s="5"/>
      <c r="E482" s="5"/>
      <c r="F482" s="5"/>
      <c r="G482" s="5"/>
      <c r="H482" s="5"/>
      <c r="I482" s="5"/>
      <c r="J482" s="5"/>
      <c r="K482" s="5"/>
      <c r="L482" s="5"/>
      <c r="M482" s="5"/>
      <c r="N482" s="5"/>
      <c r="O482" s="5"/>
      <c r="P482" s="5"/>
      <c r="Q482" s="5"/>
      <c r="R482" s="5"/>
      <c r="S482" s="5"/>
      <c r="T482" s="5"/>
      <c r="U482" s="5"/>
      <c r="V482" s="5"/>
      <c r="W482" s="5"/>
    </row>
    <row r="483">
      <c r="A483" s="5"/>
      <c r="B483" s="3"/>
      <c r="C483" s="5"/>
      <c r="D483" s="5"/>
      <c r="E483" s="5"/>
      <c r="F483" s="5"/>
      <c r="G483" s="5"/>
      <c r="H483" s="5"/>
      <c r="I483" s="5"/>
      <c r="J483" s="5"/>
      <c r="K483" s="5"/>
      <c r="L483" s="5"/>
      <c r="M483" s="5"/>
      <c r="N483" s="5"/>
      <c r="O483" s="5"/>
      <c r="P483" s="5"/>
      <c r="Q483" s="5"/>
      <c r="R483" s="5"/>
      <c r="S483" s="5"/>
      <c r="T483" s="5"/>
      <c r="U483" s="5"/>
      <c r="V483" s="5"/>
      <c r="W483" s="5"/>
    </row>
    <row r="484">
      <c r="A484" s="5"/>
      <c r="B484" s="3"/>
      <c r="C484" s="5"/>
      <c r="D484" s="5"/>
      <c r="E484" s="5"/>
      <c r="F484" s="5"/>
      <c r="G484" s="5"/>
      <c r="H484" s="5"/>
      <c r="I484" s="5"/>
      <c r="J484" s="5"/>
      <c r="K484" s="5"/>
      <c r="L484" s="5"/>
      <c r="M484" s="5"/>
      <c r="N484" s="5"/>
      <c r="O484" s="5"/>
      <c r="P484" s="5"/>
      <c r="Q484" s="5"/>
      <c r="R484" s="5"/>
      <c r="S484" s="5"/>
      <c r="T484" s="5"/>
      <c r="U484" s="5"/>
      <c r="V484" s="5"/>
      <c r="W484" s="5"/>
    </row>
    <row r="485">
      <c r="A485" s="5"/>
      <c r="B485" s="3"/>
      <c r="C485" s="5"/>
      <c r="D485" s="5"/>
      <c r="E485" s="5"/>
      <c r="F485" s="5"/>
      <c r="G485" s="5"/>
      <c r="H485" s="5"/>
      <c r="I485" s="5"/>
      <c r="J485" s="5"/>
      <c r="K485" s="5"/>
      <c r="L485" s="5"/>
      <c r="M485" s="5"/>
      <c r="N485" s="5"/>
      <c r="O485" s="5"/>
      <c r="P485" s="5"/>
      <c r="Q485" s="5"/>
      <c r="R485" s="5"/>
      <c r="S485" s="5"/>
      <c r="T485" s="5"/>
      <c r="U485" s="5"/>
      <c r="V485" s="5"/>
      <c r="W485" s="5"/>
    </row>
    <row r="486">
      <c r="A486" s="5"/>
      <c r="B486" s="3"/>
      <c r="C486" s="5"/>
      <c r="D486" s="5"/>
      <c r="E486" s="5"/>
      <c r="F486" s="5"/>
      <c r="G486" s="5"/>
      <c r="H486" s="5"/>
      <c r="I486" s="5"/>
      <c r="J486" s="5"/>
      <c r="K486" s="5"/>
      <c r="L486" s="5"/>
      <c r="M486" s="5"/>
      <c r="N486" s="5"/>
      <c r="O486" s="5"/>
      <c r="P486" s="5"/>
      <c r="Q486" s="5"/>
      <c r="R486" s="5"/>
      <c r="S486" s="5"/>
      <c r="T486" s="5"/>
      <c r="U486" s="5"/>
      <c r="V486" s="5"/>
      <c r="W486" s="5"/>
    </row>
    <row r="487">
      <c r="A487" s="5"/>
      <c r="B487" s="3"/>
      <c r="C487" s="5"/>
      <c r="D487" s="5"/>
      <c r="E487" s="5"/>
      <c r="F487" s="5"/>
      <c r="G487" s="5"/>
      <c r="H487" s="5"/>
      <c r="I487" s="5"/>
      <c r="J487" s="5"/>
      <c r="K487" s="5"/>
      <c r="L487" s="5"/>
      <c r="M487" s="5"/>
      <c r="N487" s="5"/>
      <c r="O487" s="5"/>
      <c r="P487" s="5"/>
      <c r="Q487" s="5"/>
      <c r="R487" s="5"/>
      <c r="S487" s="5"/>
      <c r="T487" s="5"/>
      <c r="U487" s="5"/>
      <c r="V487" s="5"/>
      <c r="W487" s="5"/>
    </row>
    <row r="488">
      <c r="A488" s="5"/>
      <c r="B488" s="3"/>
      <c r="C488" s="5"/>
      <c r="D488" s="5"/>
      <c r="E488" s="5"/>
      <c r="F488" s="5"/>
      <c r="G488" s="5"/>
      <c r="H488" s="5"/>
      <c r="I488" s="5"/>
      <c r="J488" s="5"/>
      <c r="K488" s="5"/>
      <c r="L488" s="5"/>
      <c r="M488" s="5"/>
      <c r="N488" s="5"/>
      <c r="O488" s="5"/>
      <c r="P488" s="5"/>
      <c r="Q488" s="5"/>
      <c r="R488" s="5"/>
      <c r="S488" s="5"/>
      <c r="T488" s="5"/>
      <c r="U488" s="5"/>
      <c r="V488" s="5"/>
      <c r="W488" s="5"/>
    </row>
    <row r="489">
      <c r="A489" s="5"/>
      <c r="B489" s="3"/>
      <c r="C489" s="5"/>
      <c r="D489" s="5"/>
      <c r="E489" s="5"/>
      <c r="F489" s="5"/>
      <c r="G489" s="5"/>
      <c r="H489" s="5"/>
      <c r="I489" s="5"/>
      <c r="J489" s="5"/>
      <c r="K489" s="5"/>
      <c r="L489" s="5"/>
      <c r="M489" s="5"/>
      <c r="N489" s="5"/>
      <c r="O489" s="5"/>
      <c r="P489" s="5"/>
      <c r="Q489" s="5"/>
      <c r="R489" s="5"/>
      <c r="S489" s="5"/>
      <c r="T489" s="5"/>
      <c r="U489" s="5"/>
      <c r="V489" s="5"/>
      <c r="W489" s="5"/>
    </row>
    <row r="490">
      <c r="A490" s="5"/>
      <c r="B490" s="3"/>
      <c r="C490" s="5"/>
      <c r="D490" s="5"/>
      <c r="E490" s="5"/>
      <c r="F490" s="5"/>
      <c r="G490" s="5"/>
      <c r="H490" s="5"/>
      <c r="I490" s="5"/>
      <c r="J490" s="5"/>
      <c r="K490" s="5"/>
      <c r="L490" s="5"/>
      <c r="M490" s="5"/>
      <c r="N490" s="5"/>
      <c r="O490" s="5"/>
      <c r="P490" s="5"/>
      <c r="Q490" s="5"/>
      <c r="R490" s="5"/>
      <c r="S490" s="5"/>
      <c r="T490" s="5"/>
      <c r="U490" s="5"/>
      <c r="V490" s="5"/>
      <c r="W490" s="5"/>
    </row>
    <row r="491">
      <c r="A491" s="5"/>
      <c r="B491" s="3"/>
      <c r="C491" s="5"/>
      <c r="D491" s="5"/>
      <c r="E491" s="5"/>
      <c r="F491" s="5"/>
      <c r="G491" s="5"/>
      <c r="H491" s="5"/>
      <c r="I491" s="5"/>
      <c r="J491" s="5"/>
      <c r="K491" s="5"/>
      <c r="L491" s="5"/>
      <c r="M491" s="5"/>
      <c r="N491" s="5"/>
      <c r="O491" s="5"/>
      <c r="P491" s="5"/>
      <c r="Q491" s="5"/>
      <c r="R491" s="5"/>
      <c r="S491" s="5"/>
      <c r="T491" s="5"/>
      <c r="U491" s="5"/>
      <c r="V491" s="5"/>
      <c r="W491" s="5"/>
    </row>
    <row r="492">
      <c r="A492" s="5"/>
      <c r="B492" s="3"/>
      <c r="C492" s="5"/>
      <c r="D492" s="5"/>
      <c r="E492" s="5"/>
      <c r="F492" s="5"/>
      <c r="G492" s="5"/>
      <c r="H492" s="5"/>
      <c r="I492" s="5"/>
      <c r="J492" s="5"/>
      <c r="K492" s="5"/>
      <c r="L492" s="5"/>
      <c r="M492" s="5"/>
      <c r="N492" s="5"/>
      <c r="O492" s="5"/>
      <c r="P492" s="5"/>
      <c r="Q492" s="5"/>
      <c r="R492" s="5"/>
      <c r="S492" s="5"/>
      <c r="T492" s="5"/>
      <c r="U492" s="5"/>
      <c r="V492" s="5"/>
      <c r="W492" s="5"/>
    </row>
    <row r="493">
      <c r="A493" s="5"/>
      <c r="B493" s="3"/>
      <c r="C493" s="5"/>
      <c r="D493" s="5"/>
      <c r="E493" s="5"/>
      <c r="F493" s="5"/>
      <c r="G493" s="5"/>
      <c r="H493" s="5"/>
      <c r="I493" s="5"/>
      <c r="J493" s="5"/>
      <c r="K493" s="5"/>
      <c r="L493" s="5"/>
      <c r="M493" s="5"/>
      <c r="N493" s="5"/>
      <c r="O493" s="5"/>
      <c r="P493" s="5"/>
      <c r="Q493" s="5"/>
      <c r="R493" s="5"/>
      <c r="S493" s="5"/>
      <c r="T493" s="5"/>
      <c r="U493" s="5"/>
      <c r="V493" s="5"/>
      <c r="W493" s="5"/>
    </row>
    <row r="494">
      <c r="A494" s="5"/>
      <c r="B494" s="3"/>
      <c r="C494" s="5"/>
      <c r="D494" s="5"/>
      <c r="E494" s="5"/>
      <c r="F494" s="5"/>
      <c r="G494" s="5"/>
      <c r="H494" s="5"/>
      <c r="I494" s="5"/>
      <c r="J494" s="5"/>
      <c r="K494" s="5"/>
      <c r="L494" s="5"/>
      <c r="M494" s="5"/>
      <c r="N494" s="5"/>
      <c r="O494" s="5"/>
      <c r="P494" s="5"/>
      <c r="Q494" s="5"/>
      <c r="R494" s="5"/>
      <c r="S494" s="5"/>
      <c r="T494" s="5"/>
      <c r="U494" s="5"/>
      <c r="V494" s="5"/>
      <c r="W494" s="5"/>
    </row>
    <row r="495">
      <c r="A495" s="5"/>
      <c r="B495" s="3"/>
      <c r="C495" s="5"/>
      <c r="D495" s="5"/>
      <c r="E495" s="5"/>
      <c r="F495" s="5"/>
      <c r="G495" s="5"/>
      <c r="H495" s="5"/>
      <c r="I495" s="5"/>
      <c r="J495" s="5"/>
      <c r="K495" s="5"/>
      <c r="L495" s="5"/>
      <c r="M495" s="5"/>
      <c r="N495" s="5"/>
      <c r="O495" s="5"/>
      <c r="P495" s="5"/>
      <c r="Q495" s="5"/>
      <c r="R495" s="5"/>
      <c r="S495" s="5"/>
      <c r="T495" s="5"/>
      <c r="U495" s="5"/>
      <c r="V495" s="5"/>
      <c r="W495" s="5"/>
    </row>
    <row r="496">
      <c r="A496" s="5"/>
      <c r="B496" s="3"/>
      <c r="C496" s="5"/>
      <c r="D496" s="5"/>
      <c r="E496" s="5"/>
      <c r="F496" s="5"/>
      <c r="G496" s="5"/>
      <c r="H496" s="5"/>
      <c r="I496" s="5"/>
      <c r="J496" s="5"/>
      <c r="K496" s="5"/>
      <c r="L496" s="5"/>
      <c r="M496" s="5"/>
      <c r="N496" s="5"/>
      <c r="O496" s="5"/>
      <c r="P496" s="5"/>
      <c r="Q496" s="5"/>
      <c r="R496" s="5"/>
      <c r="S496" s="5"/>
      <c r="T496" s="5"/>
      <c r="U496" s="5"/>
      <c r="V496" s="5"/>
      <c r="W496" s="5"/>
    </row>
    <row r="497">
      <c r="A497" s="5"/>
      <c r="B497" s="3"/>
      <c r="C497" s="5"/>
      <c r="D497" s="5"/>
      <c r="E497" s="5"/>
      <c r="F497" s="5"/>
      <c r="G497" s="5"/>
      <c r="H497" s="5"/>
      <c r="I497" s="5"/>
      <c r="J497" s="5"/>
      <c r="K497" s="5"/>
      <c r="L497" s="5"/>
      <c r="M497" s="5"/>
      <c r="N497" s="5"/>
      <c r="O497" s="5"/>
      <c r="P497" s="5"/>
      <c r="Q497" s="5"/>
      <c r="R497" s="5"/>
      <c r="S497" s="5"/>
      <c r="T497" s="5"/>
      <c r="U497" s="5"/>
      <c r="V497" s="5"/>
      <c r="W497" s="5"/>
    </row>
    <row r="498">
      <c r="A498" s="5"/>
      <c r="B498" s="3"/>
      <c r="C498" s="5"/>
      <c r="D498" s="5"/>
      <c r="E498" s="5"/>
      <c r="F498" s="5"/>
      <c r="G498" s="5"/>
      <c r="H498" s="5"/>
      <c r="I498" s="5"/>
      <c r="J498" s="5"/>
      <c r="K498" s="5"/>
      <c r="L498" s="5"/>
      <c r="M498" s="5"/>
      <c r="N498" s="5"/>
      <c r="O498" s="5"/>
      <c r="P498" s="5"/>
      <c r="Q498" s="5"/>
      <c r="R498" s="5"/>
      <c r="S498" s="5"/>
      <c r="T498" s="5"/>
      <c r="U498" s="5"/>
      <c r="V498" s="5"/>
      <c r="W498" s="5"/>
    </row>
    <row r="499">
      <c r="A499" s="5"/>
      <c r="B499" s="3"/>
      <c r="C499" s="5"/>
      <c r="D499" s="5"/>
      <c r="E499" s="5"/>
      <c r="F499" s="5"/>
      <c r="G499" s="5"/>
      <c r="H499" s="5"/>
      <c r="I499" s="5"/>
      <c r="J499" s="5"/>
      <c r="K499" s="5"/>
      <c r="L499" s="5"/>
      <c r="M499" s="5"/>
      <c r="N499" s="5"/>
      <c r="O499" s="5"/>
      <c r="P499" s="5"/>
      <c r="Q499" s="5"/>
      <c r="R499" s="5"/>
      <c r="S499" s="5"/>
      <c r="T499" s="5"/>
      <c r="U499" s="5"/>
      <c r="V499" s="5"/>
      <c r="W499" s="5"/>
    </row>
    <row r="500">
      <c r="A500" s="5"/>
      <c r="B500" s="3"/>
      <c r="C500" s="5"/>
      <c r="D500" s="5"/>
      <c r="E500" s="5"/>
      <c r="F500" s="5"/>
      <c r="G500" s="5"/>
      <c r="H500" s="5"/>
      <c r="I500" s="5"/>
      <c r="J500" s="5"/>
      <c r="K500" s="5"/>
      <c r="L500" s="5"/>
      <c r="M500" s="5"/>
      <c r="N500" s="5"/>
      <c r="O500" s="5"/>
      <c r="P500" s="5"/>
      <c r="Q500" s="5"/>
      <c r="R500" s="5"/>
      <c r="S500" s="5"/>
      <c r="T500" s="5"/>
      <c r="U500" s="5"/>
      <c r="V500" s="5"/>
      <c r="W500" s="5"/>
    </row>
    <row r="501">
      <c r="A501" s="5"/>
      <c r="B501" s="3"/>
      <c r="C501" s="5"/>
      <c r="D501" s="5"/>
      <c r="E501" s="5"/>
      <c r="F501" s="5"/>
      <c r="G501" s="5"/>
      <c r="H501" s="5"/>
      <c r="I501" s="5"/>
      <c r="J501" s="5"/>
      <c r="K501" s="5"/>
      <c r="L501" s="5"/>
      <c r="M501" s="5"/>
      <c r="N501" s="5"/>
      <c r="O501" s="5"/>
      <c r="P501" s="5"/>
      <c r="Q501" s="5"/>
      <c r="R501" s="5"/>
      <c r="S501" s="5"/>
      <c r="T501" s="5"/>
      <c r="U501" s="5"/>
      <c r="V501" s="5"/>
      <c r="W501" s="5"/>
    </row>
    <row r="502">
      <c r="A502" s="5"/>
      <c r="B502" s="3"/>
      <c r="C502" s="5"/>
      <c r="D502" s="5"/>
      <c r="E502" s="5"/>
      <c r="F502" s="5"/>
      <c r="G502" s="5"/>
      <c r="H502" s="5"/>
      <c r="I502" s="5"/>
      <c r="J502" s="5"/>
      <c r="K502" s="5"/>
      <c r="L502" s="5"/>
      <c r="M502" s="5"/>
      <c r="N502" s="5"/>
      <c r="O502" s="5"/>
      <c r="P502" s="5"/>
      <c r="Q502" s="5"/>
      <c r="R502" s="5"/>
      <c r="S502" s="5"/>
      <c r="T502" s="5"/>
      <c r="U502" s="5"/>
      <c r="V502" s="5"/>
      <c r="W502" s="5"/>
    </row>
    <row r="503">
      <c r="A503" s="5"/>
      <c r="B503" s="3"/>
      <c r="C503" s="5"/>
      <c r="D503" s="5"/>
      <c r="E503" s="5"/>
      <c r="F503" s="5"/>
      <c r="G503" s="5"/>
      <c r="H503" s="5"/>
      <c r="I503" s="5"/>
      <c r="J503" s="5"/>
      <c r="K503" s="5"/>
      <c r="L503" s="5"/>
      <c r="M503" s="5"/>
      <c r="N503" s="5"/>
      <c r="O503" s="5"/>
      <c r="P503" s="5"/>
      <c r="Q503" s="5"/>
      <c r="R503" s="5"/>
      <c r="S503" s="5"/>
      <c r="T503" s="5"/>
      <c r="U503" s="5"/>
      <c r="V503" s="5"/>
      <c r="W503" s="5"/>
    </row>
    <row r="504">
      <c r="A504" s="5"/>
      <c r="B504" s="3"/>
      <c r="C504" s="5"/>
      <c r="D504" s="5"/>
      <c r="E504" s="5"/>
      <c r="F504" s="5"/>
      <c r="G504" s="5"/>
      <c r="H504" s="5"/>
      <c r="I504" s="5"/>
      <c r="J504" s="5"/>
      <c r="K504" s="5"/>
      <c r="L504" s="5"/>
      <c r="M504" s="5"/>
      <c r="N504" s="5"/>
      <c r="O504" s="5"/>
      <c r="P504" s="5"/>
      <c r="Q504" s="5"/>
      <c r="R504" s="5"/>
      <c r="S504" s="5"/>
      <c r="T504" s="5"/>
      <c r="U504" s="5"/>
      <c r="V504" s="5"/>
      <c r="W504" s="5"/>
    </row>
    <row r="505">
      <c r="A505" s="5"/>
      <c r="B505" s="3"/>
      <c r="C505" s="5"/>
      <c r="D505" s="5"/>
      <c r="E505" s="5"/>
      <c r="F505" s="5"/>
      <c r="G505" s="5"/>
      <c r="H505" s="5"/>
      <c r="I505" s="5"/>
      <c r="J505" s="5"/>
      <c r="K505" s="5"/>
      <c r="L505" s="5"/>
      <c r="M505" s="5"/>
      <c r="N505" s="5"/>
      <c r="O505" s="5"/>
      <c r="P505" s="5"/>
      <c r="Q505" s="5"/>
      <c r="R505" s="5"/>
      <c r="S505" s="5"/>
      <c r="T505" s="5"/>
      <c r="U505" s="5"/>
      <c r="V505" s="5"/>
      <c r="W505" s="5"/>
    </row>
    <row r="506">
      <c r="A506" s="5"/>
      <c r="B506" s="3"/>
      <c r="C506" s="5"/>
      <c r="D506" s="5"/>
      <c r="E506" s="5"/>
      <c r="F506" s="5"/>
      <c r="G506" s="5"/>
      <c r="H506" s="5"/>
      <c r="I506" s="5"/>
      <c r="J506" s="5"/>
      <c r="K506" s="5"/>
      <c r="L506" s="5"/>
      <c r="M506" s="5"/>
      <c r="N506" s="5"/>
      <c r="O506" s="5"/>
      <c r="P506" s="5"/>
      <c r="Q506" s="5"/>
      <c r="R506" s="5"/>
      <c r="S506" s="5"/>
      <c r="T506" s="5"/>
      <c r="U506" s="5"/>
      <c r="V506" s="5"/>
      <c r="W506" s="5"/>
    </row>
    <row r="507">
      <c r="A507" s="5"/>
      <c r="B507" s="3"/>
      <c r="C507" s="5"/>
      <c r="D507" s="5"/>
      <c r="E507" s="5"/>
      <c r="F507" s="5"/>
      <c r="G507" s="5"/>
      <c r="H507" s="5"/>
      <c r="I507" s="5"/>
      <c r="J507" s="5"/>
      <c r="K507" s="5"/>
      <c r="L507" s="5"/>
      <c r="M507" s="5"/>
      <c r="N507" s="5"/>
      <c r="O507" s="5"/>
      <c r="P507" s="5"/>
      <c r="Q507" s="5"/>
      <c r="R507" s="5"/>
      <c r="S507" s="5"/>
      <c r="T507" s="5"/>
      <c r="U507" s="5"/>
      <c r="V507" s="5"/>
      <c r="W507" s="5"/>
    </row>
    <row r="508">
      <c r="A508" s="5"/>
      <c r="B508" s="3"/>
      <c r="C508" s="5"/>
      <c r="D508" s="5"/>
      <c r="E508" s="5"/>
      <c r="F508" s="5"/>
      <c r="G508" s="5"/>
      <c r="H508" s="5"/>
      <c r="I508" s="5"/>
      <c r="J508" s="5"/>
      <c r="K508" s="5"/>
      <c r="L508" s="5"/>
      <c r="M508" s="5"/>
      <c r="N508" s="5"/>
      <c r="O508" s="5"/>
      <c r="P508" s="5"/>
      <c r="Q508" s="5"/>
      <c r="R508" s="5"/>
      <c r="S508" s="5"/>
      <c r="T508" s="5"/>
      <c r="U508" s="5"/>
      <c r="V508" s="5"/>
      <c r="W508" s="5"/>
    </row>
    <row r="509">
      <c r="A509" s="5"/>
      <c r="B509" s="3"/>
      <c r="C509" s="5"/>
      <c r="D509" s="5"/>
      <c r="E509" s="5"/>
      <c r="F509" s="5"/>
      <c r="G509" s="5"/>
      <c r="H509" s="5"/>
      <c r="I509" s="5"/>
      <c r="J509" s="5"/>
      <c r="K509" s="5"/>
      <c r="L509" s="5"/>
      <c r="M509" s="5"/>
      <c r="N509" s="5"/>
      <c r="O509" s="5"/>
      <c r="P509" s="5"/>
      <c r="Q509" s="5"/>
      <c r="R509" s="5"/>
      <c r="S509" s="5"/>
      <c r="T509" s="5"/>
      <c r="U509" s="5"/>
      <c r="V509" s="5"/>
      <c r="W509" s="5"/>
    </row>
    <row r="510">
      <c r="A510" s="5"/>
      <c r="B510" s="3"/>
      <c r="C510" s="5"/>
      <c r="D510" s="5"/>
      <c r="E510" s="5"/>
      <c r="F510" s="5"/>
      <c r="G510" s="5"/>
      <c r="H510" s="5"/>
      <c r="I510" s="5"/>
      <c r="J510" s="5"/>
      <c r="K510" s="5"/>
      <c r="L510" s="5"/>
      <c r="M510" s="5"/>
      <c r="N510" s="5"/>
      <c r="O510" s="5"/>
      <c r="P510" s="5"/>
      <c r="Q510" s="5"/>
      <c r="R510" s="5"/>
      <c r="S510" s="5"/>
      <c r="T510" s="5"/>
      <c r="U510" s="5"/>
      <c r="V510" s="5"/>
      <c r="W510" s="5"/>
    </row>
    <row r="511">
      <c r="A511" s="5"/>
      <c r="B511" s="3"/>
      <c r="C511" s="5"/>
      <c r="D511" s="5"/>
      <c r="E511" s="5"/>
      <c r="F511" s="5"/>
      <c r="G511" s="5"/>
      <c r="H511" s="5"/>
      <c r="I511" s="5"/>
      <c r="J511" s="5"/>
      <c r="K511" s="5"/>
      <c r="L511" s="5"/>
      <c r="M511" s="5"/>
      <c r="N511" s="5"/>
      <c r="O511" s="5"/>
      <c r="P511" s="5"/>
      <c r="Q511" s="5"/>
      <c r="R511" s="5"/>
      <c r="S511" s="5"/>
      <c r="T511" s="5"/>
      <c r="U511" s="5"/>
      <c r="V511" s="5"/>
      <c r="W511" s="5"/>
    </row>
    <row r="512">
      <c r="A512" s="5"/>
      <c r="B512" s="3"/>
      <c r="C512" s="5"/>
      <c r="D512" s="5"/>
      <c r="E512" s="5"/>
      <c r="F512" s="5"/>
      <c r="G512" s="5"/>
      <c r="H512" s="5"/>
      <c r="I512" s="5"/>
      <c r="J512" s="5"/>
      <c r="K512" s="5"/>
      <c r="L512" s="5"/>
      <c r="M512" s="5"/>
      <c r="N512" s="5"/>
      <c r="O512" s="5"/>
      <c r="P512" s="5"/>
      <c r="Q512" s="5"/>
      <c r="R512" s="5"/>
      <c r="S512" s="5"/>
      <c r="T512" s="5"/>
      <c r="U512" s="5"/>
      <c r="V512" s="5"/>
      <c r="W512" s="5"/>
    </row>
    <row r="513">
      <c r="A513" s="5"/>
      <c r="B513" s="3"/>
      <c r="C513" s="5"/>
      <c r="D513" s="5"/>
      <c r="E513" s="5"/>
      <c r="F513" s="5"/>
      <c r="G513" s="5"/>
      <c r="H513" s="5"/>
      <c r="I513" s="5"/>
      <c r="J513" s="5"/>
      <c r="K513" s="5"/>
      <c r="L513" s="5"/>
      <c r="M513" s="5"/>
      <c r="N513" s="5"/>
      <c r="O513" s="5"/>
      <c r="P513" s="5"/>
      <c r="Q513" s="5"/>
      <c r="R513" s="5"/>
      <c r="S513" s="5"/>
      <c r="T513" s="5"/>
      <c r="U513" s="5"/>
      <c r="V513" s="5"/>
      <c r="W513" s="5"/>
    </row>
    <row r="514">
      <c r="A514" s="5"/>
      <c r="B514" s="3"/>
      <c r="C514" s="5"/>
      <c r="D514" s="5"/>
      <c r="E514" s="5"/>
      <c r="F514" s="5"/>
      <c r="G514" s="5"/>
      <c r="H514" s="5"/>
      <c r="I514" s="5"/>
      <c r="J514" s="5"/>
      <c r="K514" s="5"/>
      <c r="L514" s="5"/>
      <c r="M514" s="5"/>
      <c r="N514" s="5"/>
      <c r="O514" s="5"/>
      <c r="P514" s="5"/>
      <c r="Q514" s="5"/>
      <c r="R514" s="5"/>
      <c r="S514" s="5"/>
      <c r="T514" s="5"/>
      <c r="U514" s="5"/>
      <c r="V514" s="5"/>
      <c r="W514" s="5"/>
    </row>
    <row r="515">
      <c r="A515" s="5"/>
      <c r="B515" s="3"/>
      <c r="C515" s="5"/>
      <c r="D515" s="5"/>
      <c r="E515" s="5"/>
      <c r="F515" s="5"/>
      <c r="G515" s="5"/>
      <c r="H515" s="5"/>
      <c r="I515" s="5"/>
      <c r="J515" s="5"/>
      <c r="K515" s="5"/>
      <c r="L515" s="5"/>
      <c r="M515" s="5"/>
      <c r="N515" s="5"/>
      <c r="O515" s="5"/>
      <c r="P515" s="5"/>
      <c r="Q515" s="5"/>
      <c r="R515" s="5"/>
      <c r="S515" s="5"/>
      <c r="T515" s="5"/>
      <c r="U515" s="5"/>
      <c r="V515" s="5"/>
      <c r="W515" s="5"/>
    </row>
    <row r="516">
      <c r="A516" s="5"/>
      <c r="B516" s="3"/>
      <c r="C516" s="5"/>
      <c r="D516" s="5"/>
      <c r="E516" s="5"/>
      <c r="F516" s="5"/>
      <c r="G516" s="5"/>
      <c r="H516" s="5"/>
      <c r="I516" s="5"/>
      <c r="J516" s="5"/>
      <c r="K516" s="5"/>
      <c r="L516" s="5"/>
      <c r="M516" s="5"/>
      <c r="N516" s="5"/>
      <c r="O516" s="5"/>
      <c r="P516" s="5"/>
      <c r="Q516" s="5"/>
      <c r="R516" s="5"/>
      <c r="S516" s="5"/>
      <c r="T516" s="5"/>
      <c r="U516" s="5"/>
      <c r="V516" s="5"/>
      <c r="W516" s="5"/>
    </row>
    <row r="517">
      <c r="A517" s="5"/>
      <c r="B517" s="3"/>
      <c r="C517" s="5"/>
      <c r="D517" s="5"/>
      <c r="E517" s="5"/>
      <c r="F517" s="5"/>
      <c r="G517" s="5"/>
      <c r="H517" s="5"/>
      <c r="I517" s="5"/>
      <c r="J517" s="5"/>
      <c r="K517" s="5"/>
      <c r="L517" s="5"/>
      <c r="M517" s="5"/>
      <c r="N517" s="5"/>
      <c r="O517" s="5"/>
      <c r="P517" s="5"/>
      <c r="Q517" s="5"/>
      <c r="R517" s="5"/>
      <c r="S517" s="5"/>
      <c r="T517" s="5"/>
      <c r="U517" s="5"/>
      <c r="V517" s="5"/>
      <c r="W517" s="5"/>
    </row>
    <row r="518">
      <c r="A518" s="5"/>
      <c r="B518" s="3"/>
      <c r="C518" s="5"/>
      <c r="D518" s="5"/>
      <c r="E518" s="5"/>
      <c r="F518" s="5"/>
      <c r="G518" s="5"/>
      <c r="H518" s="5"/>
      <c r="I518" s="5"/>
      <c r="J518" s="5"/>
      <c r="K518" s="5"/>
      <c r="L518" s="5"/>
      <c r="M518" s="5"/>
      <c r="N518" s="5"/>
      <c r="O518" s="5"/>
      <c r="P518" s="5"/>
      <c r="Q518" s="5"/>
      <c r="R518" s="5"/>
      <c r="S518" s="5"/>
      <c r="T518" s="5"/>
      <c r="U518" s="5"/>
      <c r="V518" s="5"/>
      <c r="W518" s="5"/>
    </row>
    <row r="519">
      <c r="A519" s="5"/>
      <c r="B519" s="3"/>
      <c r="C519" s="5"/>
      <c r="D519" s="5"/>
      <c r="E519" s="5"/>
      <c r="F519" s="5"/>
      <c r="G519" s="5"/>
      <c r="H519" s="5"/>
      <c r="I519" s="5"/>
      <c r="J519" s="5"/>
      <c r="K519" s="5"/>
      <c r="L519" s="5"/>
      <c r="M519" s="5"/>
      <c r="N519" s="5"/>
      <c r="O519" s="5"/>
      <c r="P519" s="5"/>
      <c r="Q519" s="5"/>
      <c r="R519" s="5"/>
      <c r="S519" s="5"/>
      <c r="T519" s="5"/>
      <c r="U519" s="5"/>
      <c r="V519" s="5"/>
      <c r="W519" s="5"/>
    </row>
    <row r="520">
      <c r="A520" s="5"/>
      <c r="B520" s="3"/>
      <c r="C520" s="5"/>
      <c r="D520" s="5"/>
      <c r="E520" s="5"/>
      <c r="F520" s="5"/>
      <c r="G520" s="5"/>
      <c r="H520" s="5"/>
      <c r="I520" s="5"/>
      <c r="J520" s="5"/>
      <c r="K520" s="5"/>
      <c r="L520" s="5"/>
      <c r="M520" s="5"/>
      <c r="N520" s="5"/>
      <c r="O520" s="5"/>
      <c r="P520" s="5"/>
      <c r="Q520" s="5"/>
      <c r="R520" s="5"/>
      <c r="S520" s="5"/>
      <c r="T520" s="5"/>
      <c r="U520" s="5"/>
      <c r="V520" s="5"/>
      <c r="W520" s="5"/>
    </row>
    <row r="521">
      <c r="A521" s="5"/>
      <c r="B521" s="3"/>
      <c r="C521" s="5"/>
      <c r="D521" s="5"/>
      <c r="E521" s="5"/>
      <c r="F521" s="5"/>
      <c r="G521" s="5"/>
      <c r="H521" s="5"/>
      <c r="I521" s="5"/>
      <c r="J521" s="5"/>
      <c r="K521" s="5"/>
      <c r="L521" s="5"/>
      <c r="M521" s="5"/>
      <c r="N521" s="5"/>
      <c r="O521" s="5"/>
      <c r="P521" s="5"/>
      <c r="Q521" s="5"/>
      <c r="R521" s="5"/>
      <c r="S521" s="5"/>
      <c r="T521" s="5"/>
      <c r="U521" s="5"/>
      <c r="V521" s="5"/>
      <c r="W521" s="5"/>
    </row>
    <row r="522">
      <c r="A522" s="5"/>
      <c r="B522" s="3"/>
      <c r="C522" s="5"/>
      <c r="D522" s="5"/>
      <c r="E522" s="5"/>
      <c r="F522" s="5"/>
      <c r="G522" s="5"/>
      <c r="H522" s="5"/>
      <c r="I522" s="5"/>
      <c r="J522" s="5"/>
      <c r="K522" s="5"/>
      <c r="L522" s="5"/>
      <c r="M522" s="5"/>
      <c r="N522" s="5"/>
      <c r="O522" s="5"/>
      <c r="P522" s="5"/>
      <c r="Q522" s="5"/>
      <c r="R522" s="5"/>
      <c r="S522" s="5"/>
      <c r="T522" s="5"/>
      <c r="U522" s="5"/>
      <c r="V522" s="5"/>
      <c r="W522" s="5"/>
    </row>
    <row r="523">
      <c r="A523" s="5"/>
      <c r="B523" s="3"/>
      <c r="C523" s="5"/>
      <c r="D523" s="5"/>
      <c r="E523" s="5"/>
      <c r="F523" s="5"/>
      <c r="G523" s="5"/>
      <c r="H523" s="5"/>
      <c r="I523" s="5"/>
      <c r="J523" s="5"/>
      <c r="K523" s="5"/>
      <c r="L523" s="5"/>
      <c r="M523" s="5"/>
      <c r="N523" s="5"/>
      <c r="O523" s="5"/>
      <c r="P523" s="5"/>
      <c r="Q523" s="5"/>
      <c r="R523" s="5"/>
      <c r="S523" s="5"/>
      <c r="T523" s="5"/>
      <c r="U523" s="5"/>
      <c r="V523" s="5"/>
      <c r="W523" s="5"/>
    </row>
    <row r="524">
      <c r="A524" s="5"/>
      <c r="B524" s="3"/>
      <c r="C524" s="5"/>
      <c r="D524" s="5"/>
      <c r="E524" s="5"/>
      <c r="F524" s="5"/>
      <c r="G524" s="5"/>
      <c r="H524" s="5"/>
      <c r="I524" s="5"/>
      <c r="J524" s="5"/>
      <c r="K524" s="5"/>
      <c r="L524" s="5"/>
      <c r="M524" s="5"/>
      <c r="N524" s="5"/>
      <c r="O524" s="5"/>
      <c r="P524" s="5"/>
      <c r="Q524" s="5"/>
      <c r="R524" s="5"/>
      <c r="S524" s="5"/>
      <c r="T524" s="5"/>
      <c r="U524" s="5"/>
      <c r="V524" s="5"/>
      <c r="W524" s="5"/>
    </row>
    <row r="525">
      <c r="A525" s="5"/>
      <c r="B525" s="3"/>
      <c r="C525" s="5"/>
      <c r="D525" s="5"/>
      <c r="E525" s="5"/>
      <c r="F525" s="5"/>
      <c r="G525" s="5"/>
      <c r="H525" s="5"/>
      <c r="I525" s="5"/>
      <c r="J525" s="5"/>
      <c r="K525" s="5"/>
      <c r="L525" s="5"/>
      <c r="M525" s="5"/>
      <c r="N525" s="5"/>
      <c r="O525" s="5"/>
      <c r="P525" s="5"/>
      <c r="Q525" s="5"/>
      <c r="R525" s="5"/>
      <c r="S525" s="5"/>
      <c r="T525" s="5"/>
      <c r="U525" s="5"/>
      <c r="V525" s="5"/>
      <c r="W525" s="5"/>
    </row>
    <row r="526">
      <c r="A526" s="5"/>
      <c r="B526" s="3"/>
      <c r="C526" s="5"/>
      <c r="D526" s="5"/>
      <c r="E526" s="5"/>
      <c r="F526" s="5"/>
      <c r="G526" s="5"/>
      <c r="H526" s="5"/>
      <c r="I526" s="5"/>
      <c r="J526" s="5"/>
      <c r="K526" s="5"/>
      <c r="L526" s="5"/>
      <c r="M526" s="5"/>
      <c r="N526" s="5"/>
      <c r="O526" s="5"/>
      <c r="P526" s="5"/>
      <c r="Q526" s="5"/>
      <c r="R526" s="5"/>
      <c r="S526" s="5"/>
      <c r="T526" s="5"/>
      <c r="U526" s="5"/>
      <c r="V526" s="5"/>
      <c r="W526" s="5"/>
    </row>
    <row r="527">
      <c r="A527" s="5"/>
      <c r="B527" s="3"/>
      <c r="C527" s="5"/>
      <c r="D527" s="5"/>
      <c r="E527" s="5"/>
      <c r="F527" s="5"/>
      <c r="G527" s="5"/>
      <c r="H527" s="5"/>
      <c r="I527" s="5"/>
      <c r="J527" s="5"/>
      <c r="K527" s="5"/>
      <c r="L527" s="5"/>
      <c r="M527" s="5"/>
      <c r="N527" s="5"/>
      <c r="O527" s="5"/>
      <c r="P527" s="5"/>
      <c r="Q527" s="5"/>
      <c r="R527" s="5"/>
      <c r="S527" s="5"/>
      <c r="T527" s="5"/>
      <c r="U527" s="5"/>
      <c r="V527" s="5"/>
      <c r="W527" s="5"/>
    </row>
    <row r="528">
      <c r="A528" s="5"/>
      <c r="B528" s="3"/>
      <c r="C528" s="5"/>
      <c r="D528" s="5"/>
      <c r="E528" s="5"/>
      <c r="F528" s="5"/>
      <c r="G528" s="5"/>
      <c r="H528" s="5"/>
      <c r="I528" s="5"/>
      <c r="J528" s="5"/>
      <c r="K528" s="5"/>
      <c r="L528" s="5"/>
      <c r="M528" s="5"/>
      <c r="N528" s="5"/>
      <c r="O528" s="5"/>
      <c r="P528" s="5"/>
      <c r="Q528" s="5"/>
      <c r="R528" s="5"/>
      <c r="S528" s="5"/>
      <c r="T528" s="5"/>
      <c r="U528" s="5"/>
      <c r="V528" s="5"/>
      <c r="W528" s="5"/>
    </row>
    <row r="529">
      <c r="A529" s="5"/>
      <c r="B529" s="3"/>
      <c r="C529" s="5"/>
      <c r="D529" s="5"/>
      <c r="E529" s="5"/>
      <c r="F529" s="5"/>
      <c r="G529" s="5"/>
      <c r="H529" s="5"/>
      <c r="I529" s="5"/>
      <c r="J529" s="5"/>
      <c r="K529" s="5"/>
      <c r="L529" s="5"/>
      <c r="M529" s="5"/>
      <c r="N529" s="5"/>
      <c r="O529" s="5"/>
      <c r="P529" s="5"/>
      <c r="Q529" s="5"/>
      <c r="R529" s="5"/>
      <c r="S529" s="5"/>
      <c r="T529" s="5"/>
      <c r="U529" s="5"/>
      <c r="V529" s="5"/>
      <c r="W529" s="5"/>
    </row>
    <row r="530">
      <c r="A530" s="5"/>
      <c r="B530" s="3"/>
      <c r="C530" s="5"/>
      <c r="D530" s="5"/>
      <c r="E530" s="5"/>
      <c r="F530" s="5"/>
      <c r="G530" s="5"/>
      <c r="H530" s="5"/>
      <c r="I530" s="5"/>
      <c r="J530" s="5"/>
      <c r="K530" s="5"/>
      <c r="L530" s="5"/>
      <c r="M530" s="5"/>
      <c r="N530" s="5"/>
      <c r="O530" s="5"/>
      <c r="P530" s="5"/>
      <c r="Q530" s="5"/>
      <c r="R530" s="5"/>
      <c r="S530" s="5"/>
      <c r="T530" s="5"/>
      <c r="U530" s="5"/>
      <c r="V530" s="5"/>
      <c r="W530" s="5"/>
    </row>
    <row r="531">
      <c r="A531" s="5"/>
      <c r="B531" s="3"/>
      <c r="C531" s="5"/>
      <c r="D531" s="5"/>
      <c r="E531" s="5"/>
      <c r="F531" s="5"/>
      <c r="G531" s="5"/>
      <c r="H531" s="5"/>
      <c r="I531" s="5"/>
      <c r="J531" s="5"/>
      <c r="K531" s="5"/>
      <c r="L531" s="5"/>
      <c r="M531" s="5"/>
      <c r="N531" s="5"/>
      <c r="O531" s="5"/>
      <c r="P531" s="5"/>
      <c r="Q531" s="5"/>
      <c r="R531" s="5"/>
      <c r="S531" s="5"/>
      <c r="T531" s="5"/>
      <c r="U531" s="5"/>
      <c r="V531" s="5"/>
      <c r="W531" s="5"/>
    </row>
    <row r="532">
      <c r="A532" s="5"/>
      <c r="B532" s="3"/>
      <c r="C532" s="5"/>
      <c r="D532" s="5"/>
      <c r="E532" s="5"/>
      <c r="F532" s="5"/>
      <c r="G532" s="5"/>
      <c r="H532" s="5"/>
      <c r="I532" s="5"/>
      <c r="J532" s="5"/>
      <c r="K532" s="5"/>
      <c r="L532" s="5"/>
      <c r="M532" s="5"/>
      <c r="N532" s="5"/>
      <c r="O532" s="5"/>
      <c r="P532" s="5"/>
      <c r="Q532" s="5"/>
      <c r="R532" s="5"/>
      <c r="S532" s="5"/>
      <c r="T532" s="5"/>
      <c r="U532" s="5"/>
      <c r="V532" s="5"/>
      <c r="W532" s="5"/>
    </row>
    <row r="533">
      <c r="A533" s="5"/>
      <c r="B533" s="3"/>
      <c r="C533" s="5"/>
      <c r="D533" s="5"/>
      <c r="E533" s="5"/>
      <c r="F533" s="5"/>
      <c r="G533" s="5"/>
      <c r="H533" s="5"/>
      <c r="I533" s="5"/>
      <c r="J533" s="5"/>
      <c r="K533" s="5"/>
      <c r="L533" s="5"/>
      <c r="M533" s="5"/>
      <c r="N533" s="5"/>
      <c r="O533" s="5"/>
      <c r="P533" s="5"/>
      <c r="Q533" s="5"/>
      <c r="R533" s="5"/>
      <c r="S533" s="5"/>
      <c r="T533" s="5"/>
      <c r="U533" s="5"/>
      <c r="V533" s="5"/>
      <c r="W533" s="5"/>
    </row>
    <row r="534">
      <c r="A534" s="5"/>
      <c r="B534" s="3"/>
      <c r="C534" s="5"/>
      <c r="D534" s="5"/>
      <c r="E534" s="5"/>
      <c r="F534" s="5"/>
      <c r="G534" s="5"/>
      <c r="H534" s="5"/>
      <c r="I534" s="5"/>
      <c r="J534" s="5"/>
      <c r="K534" s="5"/>
      <c r="L534" s="5"/>
      <c r="M534" s="5"/>
      <c r="N534" s="5"/>
      <c r="O534" s="5"/>
      <c r="P534" s="5"/>
      <c r="Q534" s="5"/>
      <c r="R534" s="5"/>
      <c r="S534" s="5"/>
      <c r="T534" s="5"/>
      <c r="U534" s="5"/>
      <c r="V534" s="5"/>
      <c r="W534" s="5"/>
    </row>
    <row r="535">
      <c r="A535" s="5"/>
      <c r="B535" s="3"/>
      <c r="C535" s="5"/>
      <c r="D535" s="5"/>
      <c r="E535" s="5"/>
      <c r="F535" s="5"/>
      <c r="G535" s="5"/>
      <c r="H535" s="5"/>
      <c r="I535" s="5"/>
      <c r="J535" s="5"/>
      <c r="K535" s="5"/>
      <c r="L535" s="5"/>
      <c r="M535" s="5"/>
      <c r="N535" s="5"/>
      <c r="O535" s="5"/>
      <c r="P535" s="5"/>
      <c r="Q535" s="5"/>
      <c r="R535" s="5"/>
      <c r="S535" s="5"/>
      <c r="T535" s="5"/>
      <c r="U535" s="5"/>
      <c r="V535" s="5"/>
      <c r="W535" s="5"/>
    </row>
    <row r="536">
      <c r="A536" s="5"/>
      <c r="B536" s="3"/>
      <c r="C536" s="5"/>
      <c r="D536" s="5"/>
      <c r="E536" s="5"/>
      <c r="F536" s="5"/>
      <c r="G536" s="5"/>
      <c r="H536" s="5"/>
      <c r="I536" s="5"/>
      <c r="J536" s="5"/>
      <c r="K536" s="5"/>
      <c r="L536" s="5"/>
      <c r="M536" s="5"/>
      <c r="N536" s="5"/>
      <c r="O536" s="5"/>
      <c r="P536" s="5"/>
      <c r="Q536" s="5"/>
      <c r="R536" s="5"/>
      <c r="S536" s="5"/>
      <c r="T536" s="5"/>
      <c r="U536" s="5"/>
      <c r="V536" s="5"/>
      <c r="W536" s="5"/>
    </row>
    <row r="537">
      <c r="A537" s="5"/>
      <c r="B537" s="3"/>
      <c r="C537" s="5"/>
      <c r="D537" s="5"/>
      <c r="E537" s="5"/>
      <c r="F537" s="5"/>
      <c r="G537" s="5"/>
      <c r="H537" s="5"/>
      <c r="I537" s="5"/>
      <c r="J537" s="5"/>
      <c r="K537" s="5"/>
      <c r="L537" s="5"/>
      <c r="M537" s="5"/>
      <c r="N537" s="5"/>
      <c r="O537" s="5"/>
      <c r="P537" s="5"/>
      <c r="Q537" s="5"/>
      <c r="R537" s="5"/>
      <c r="S537" s="5"/>
      <c r="T537" s="5"/>
      <c r="U537" s="5"/>
      <c r="V537" s="5"/>
      <c r="W537" s="5"/>
    </row>
    <row r="538">
      <c r="A538" s="5"/>
      <c r="B538" s="3"/>
      <c r="C538" s="5"/>
      <c r="D538" s="5"/>
      <c r="E538" s="5"/>
      <c r="F538" s="5"/>
      <c r="G538" s="5"/>
      <c r="H538" s="5"/>
      <c r="I538" s="5"/>
      <c r="J538" s="5"/>
      <c r="K538" s="5"/>
      <c r="L538" s="5"/>
      <c r="M538" s="5"/>
      <c r="N538" s="5"/>
      <c r="O538" s="5"/>
      <c r="P538" s="5"/>
      <c r="Q538" s="5"/>
      <c r="R538" s="5"/>
      <c r="S538" s="5"/>
      <c r="T538" s="5"/>
      <c r="U538" s="5"/>
      <c r="V538" s="5"/>
      <c r="W538" s="5"/>
    </row>
    <row r="539">
      <c r="A539" s="5"/>
      <c r="B539" s="3"/>
      <c r="C539" s="5"/>
      <c r="D539" s="5"/>
      <c r="E539" s="5"/>
      <c r="F539" s="5"/>
      <c r="G539" s="5"/>
      <c r="H539" s="5"/>
      <c r="I539" s="5"/>
      <c r="J539" s="5"/>
      <c r="K539" s="5"/>
      <c r="L539" s="5"/>
      <c r="M539" s="5"/>
      <c r="N539" s="5"/>
      <c r="O539" s="5"/>
      <c r="P539" s="5"/>
      <c r="Q539" s="5"/>
      <c r="R539" s="5"/>
      <c r="S539" s="5"/>
      <c r="T539" s="5"/>
      <c r="U539" s="5"/>
      <c r="V539" s="5"/>
      <c r="W539" s="5"/>
    </row>
    <row r="540">
      <c r="A540" s="5"/>
      <c r="B540" s="3"/>
      <c r="C540" s="5"/>
      <c r="D540" s="5"/>
      <c r="E540" s="5"/>
      <c r="F540" s="5"/>
      <c r="G540" s="5"/>
      <c r="H540" s="5"/>
      <c r="I540" s="5"/>
      <c r="J540" s="5"/>
      <c r="K540" s="5"/>
      <c r="L540" s="5"/>
      <c r="M540" s="5"/>
      <c r="N540" s="5"/>
      <c r="O540" s="5"/>
      <c r="P540" s="5"/>
      <c r="Q540" s="5"/>
      <c r="R540" s="5"/>
      <c r="S540" s="5"/>
      <c r="T540" s="5"/>
      <c r="U540" s="5"/>
      <c r="V540" s="5"/>
      <c r="W540" s="5"/>
    </row>
    <row r="541">
      <c r="A541" s="5"/>
      <c r="B541" s="3"/>
      <c r="C541" s="5"/>
      <c r="D541" s="5"/>
      <c r="E541" s="5"/>
      <c r="F541" s="5"/>
      <c r="G541" s="5"/>
      <c r="H541" s="5"/>
      <c r="I541" s="5"/>
      <c r="J541" s="5"/>
      <c r="K541" s="5"/>
      <c r="L541" s="5"/>
      <c r="M541" s="5"/>
      <c r="N541" s="5"/>
      <c r="O541" s="5"/>
      <c r="P541" s="5"/>
      <c r="Q541" s="5"/>
      <c r="R541" s="5"/>
      <c r="S541" s="5"/>
      <c r="T541" s="5"/>
      <c r="U541" s="5"/>
      <c r="V541" s="5"/>
      <c r="W541" s="5"/>
    </row>
    <row r="542">
      <c r="A542" s="5"/>
      <c r="B542" s="3"/>
      <c r="C542" s="5"/>
      <c r="D542" s="5"/>
      <c r="E542" s="5"/>
      <c r="F542" s="5"/>
      <c r="G542" s="5"/>
      <c r="H542" s="5"/>
      <c r="I542" s="5"/>
      <c r="J542" s="5"/>
      <c r="K542" s="5"/>
      <c r="L542" s="5"/>
      <c r="M542" s="5"/>
      <c r="N542" s="5"/>
      <c r="O542" s="5"/>
      <c r="P542" s="5"/>
      <c r="Q542" s="5"/>
      <c r="R542" s="5"/>
      <c r="S542" s="5"/>
      <c r="T542" s="5"/>
      <c r="U542" s="5"/>
      <c r="V542" s="5"/>
      <c r="W542" s="5"/>
    </row>
    <row r="543">
      <c r="A543" s="5"/>
      <c r="B543" s="3"/>
      <c r="C543" s="5"/>
      <c r="D543" s="5"/>
      <c r="E543" s="5"/>
      <c r="F543" s="5"/>
      <c r="G543" s="5"/>
      <c r="H543" s="5"/>
      <c r="I543" s="5"/>
      <c r="J543" s="5"/>
      <c r="K543" s="5"/>
      <c r="L543" s="5"/>
      <c r="M543" s="5"/>
      <c r="N543" s="5"/>
      <c r="O543" s="5"/>
      <c r="P543" s="5"/>
      <c r="Q543" s="5"/>
      <c r="R543" s="5"/>
      <c r="S543" s="5"/>
      <c r="T543" s="5"/>
      <c r="U543" s="5"/>
      <c r="V543" s="5"/>
      <c r="W543" s="5"/>
    </row>
    <row r="544">
      <c r="A544" s="5"/>
      <c r="B544" s="3"/>
      <c r="C544" s="5"/>
      <c r="D544" s="5"/>
      <c r="E544" s="5"/>
      <c r="F544" s="5"/>
      <c r="G544" s="5"/>
      <c r="H544" s="5"/>
      <c r="I544" s="5"/>
      <c r="J544" s="5"/>
      <c r="K544" s="5"/>
      <c r="L544" s="5"/>
      <c r="M544" s="5"/>
      <c r="N544" s="5"/>
      <c r="O544" s="5"/>
      <c r="P544" s="5"/>
      <c r="Q544" s="5"/>
      <c r="R544" s="5"/>
      <c r="S544" s="5"/>
      <c r="T544" s="5"/>
      <c r="U544" s="5"/>
      <c r="V544" s="5"/>
      <c r="W544" s="5"/>
    </row>
    <row r="545">
      <c r="A545" s="5"/>
      <c r="B545" s="3"/>
      <c r="C545" s="5"/>
      <c r="D545" s="5"/>
      <c r="E545" s="5"/>
      <c r="F545" s="5"/>
      <c r="G545" s="5"/>
      <c r="H545" s="5"/>
      <c r="I545" s="5"/>
      <c r="J545" s="5"/>
      <c r="K545" s="5"/>
      <c r="L545" s="5"/>
      <c r="M545" s="5"/>
      <c r="N545" s="5"/>
      <c r="O545" s="5"/>
      <c r="P545" s="5"/>
      <c r="Q545" s="5"/>
      <c r="R545" s="5"/>
      <c r="S545" s="5"/>
      <c r="T545" s="5"/>
      <c r="U545" s="5"/>
      <c r="V545" s="5"/>
      <c r="W545" s="5"/>
    </row>
    <row r="546">
      <c r="A546" s="5"/>
      <c r="B546" s="3"/>
      <c r="C546" s="5"/>
      <c r="D546" s="5"/>
      <c r="E546" s="5"/>
      <c r="F546" s="5"/>
      <c r="G546" s="5"/>
      <c r="H546" s="5"/>
      <c r="I546" s="5"/>
      <c r="J546" s="5"/>
      <c r="K546" s="5"/>
      <c r="L546" s="5"/>
      <c r="M546" s="5"/>
      <c r="N546" s="5"/>
      <c r="O546" s="5"/>
      <c r="P546" s="5"/>
      <c r="Q546" s="5"/>
      <c r="R546" s="5"/>
      <c r="S546" s="5"/>
      <c r="T546" s="5"/>
      <c r="U546" s="5"/>
      <c r="V546" s="5"/>
      <c r="W546" s="5"/>
    </row>
    <row r="547">
      <c r="A547" s="5"/>
      <c r="B547" s="3"/>
      <c r="C547" s="5"/>
      <c r="D547" s="5"/>
      <c r="E547" s="5"/>
      <c r="F547" s="5"/>
      <c r="G547" s="5"/>
      <c r="H547" s="5"/>
      <c r="I547" s="5"/>
      <c r="J547" s="5"/>
      <c r="K547" s="5"/>
      <c r="L547" s="5"/>
      <c r="M547" s="5"/>
      <c r="N547" s="5"/>
      <c r="O547" s="5"/>
      <c r="P547" s="5"/>
      <c r="Q547" s="5"/>
      <c r="R547" s="5"/>
      <c r="S547" s="5"/>
      <c r="T547" s="5"/>
      <c r="U547" s="5"/>
      <c r="V547" s="5"/>
      <c r="W547" s="5"/>
    </row>
    <row r="548">
      <c r="A548" s="5"/>
      <c r="B548" s="3"/>
      <c r="C548" s="5"/>
      <c r="D548" s="5"/>
      <c r="E548" s="5"/>
      <c r="F548" s="5"/>
      <c r="G548" s="5"/>
      <c r="H548" s="5"/>
      <c r="I548" s="5"/>
      <c r="J548" s="5"/>
      <c r="K548" s="5"/>
      <c r="L548" s="5"/>
      <c r="M548" s="5"/>
      <c r="N548" s="5"/>
      <c r="O548" s="5"/>
      <c r="P548" s="5"/>
      <c r="Q548" s="5"/>
      <c r="R548" s="5"/>
      <c r="S548" s="5"/>
      <c r="T548" s="5"/>
      <c r="U548" s="5"/>
      <c r="V548" s="5"/>
      <c r="W548" s="5"/>
    </row>
    <row r="549">
      <c r="A549" s="5"/>
      <c r="B549" s="3"/>
      <c r="C549" s="5"/>
      <c r="D549" s="5"/>
      <c r="E549" s="5"/>
      <c r="F549" s="5"/>
      <c r="G549" s="5"/>
      <c r="H549" s="5"/>
      <c r="I549" s="5"/>
      <c r="J549" s="5"/>
      <c r="K549" s="5"/>
      <c r="L549" s="5"/>
      <c r="M549" s="5"/>
      <c r="N549" s="5"/>
      <c r="O549" s="5"/>
      <c r="P549" s="5"/>
      <c r="Q549" s="5"/>
      <c r="R549" s="5"/>
      <c r="S549" s="5"/>
      <c r="T549" s="5"/>
      <c r="U549" s="5"/>
      <c r="V549" s="5"/>
      <c r="W549" s="5"/>
    </row>
    <row r="550">
      <c r="A550" s="5"/>
      <c r="B550" s="3"/>
      <c r="C550" s="5"/>
      <c r="D550" s="5"/>
      <c r="E550" s="5"/>
      <c r="F550" s="5"/>
      <c r="G550" s="5"/>
      <c r="H550" s="5"/>
      <c r="I550" s="5"/>
      <c r="J550" s="5"/>
      <c r="K550" s="5"/>
      <c r="L550" s="5"/>
      <c r="M550" s="5"/>
      <c r="N550" s="5"/>
      <c r="O550" s="5"/>
      <c r="P550" s="5"/>
      <c r="Q550" s="5"/>
      <c r="R550" s="5"/>
      <c r="S550" s="5"/>
      <c r="T550" s="5"/>
      <c r="U550" s="5"/>
      <c r="V550" s="5"/>
      <c r="W550" s="5"/>
    </row>
    <row r="551">
      <c r="A551" s="5"/>
      <c r="B551" s="3"/>
      <c r="C551" s="5"/>
      <c r="D551" s="5"/>
      <c r="E551" s="5"/>
      <c r="F551" s="5"/>
      <c r="G551" s="5"/>
      <c r="H551" s="5"/>
      <c r="I551" s="5"/>
      <c r="J551" s="5"/>
      <c r="K551" s="5"/>
      <c r="L551" s="5"/>
      <c r="M551" s="5"/>
      <c r="N551" s="5"/>
      <c r="O551" s="5"/>
      <c r="P551" s="5"/>
      <c r="Q551" s="5"/>
      <c r="R551" s="5"/>
      <c r="S551" s="5"/>
      <c r="T551" s="5"/>
      <c r="U551" s="5"/>
      <c r="V551" s="5"/>
      <c r="W551" s="5"/>
    </row>
    <row r="552">
      <c r="A552" s="5"/>
      <c r="B552" s="3"/>
      <c r="C552" s="5"/>
      <c r="D552" s="5"/>
      <c r="E552" s="5"/>
      <c r="F552" s="5"/>
      <c r="G552" s="5"/>
      <c r="H552" s="5"/>
      <c r="I552" s="5"/>
      <c r="J552" s="5"/>
      <c r="K552" s="5"/>
      <c r="L552" s="5"/>
      <c r="M552" s="5"/>
      <c r="N552" s="5"/>
      <c r="O552" s="5"/>
      <c r="P552" s="5"/>
      <c r="Q552" s="5"/>
      <c r="R552" s="5"/>
      <c r="S552" s="5"/>
      <c r="T552" s="5"/>
      <c r="U552" s="5"/>
      <c r="V552" s="5"/>
      <c r="W552" s="5"/>
    </row>
    <row r="553">
      <c r="A553" s="5"/>
      <c r="B553" s="3"/>
      <c r="C553" s="5"/>
      <c r="D553" s="5"/>
      <c r="E553" s="5"/>
      <c r="F553" s="5"/>
      <c r="G553" s="5"/>
      <c r="H553" s="5"/>
      <c r="I553" s="5"/>
      <c r="J553" s="5"/>
      <c r="K553" s="5"/>
      <c r="L553" s="5"/>
      <c r="M553" s="5"/>
      <c r="N553" s="5"/>
      <c r="O553" s="5"/>
      <c r="P553" s="5"/>
      <c r="Q553" s="5"/>
      <c r="R553" s="5"/>
      <c r="S553" s="5"/>
      <c r="T553" s="5"/>
      <c r="U553" s="5"/>
      <c r="V553" s="5"/>
      <c r="W553" s="5"/>
    </row>
    <row r="554">
      <c r="A554" s="5"/>
      <c r="B554" s="3"/>
      <c r="C554" s="5"/>
      <c r="D554" s="5"/>
      <c r="E554" s="5"/>
      <c r="F554" s="5"/>
      <c r="G554" s="5"/>
      <c r="H554" s="5"/>
      <c r="I554" s="5"/>
      <c r="J554" s="5"/>
      <c r="K554" s="5"/>
      <c r="L554" s="5"/>
      <c r="M554" s="5"/>
      <c r="N554" s="5"/>
      <c r="O554" s="5"/>
      <c r="P554" s="5"/>
      <c r="Q554" s="5"/>
      <c r="R554" s="5"/>
      <c r="S554" s="5"/>
      <c r="T554" s="5"/>
      <c r="U554" s="5"/>
      <c r="V554" s="5"/>
      <c r="W554" s="5"/>
    </row>
    <row r="555">
      <c r="A555" s="5"/>
      <c r="B555" s="3"/>
      <c r="C555" s="5"/>
      <c r="D555" s="5"/>
      <c r="E555" s="5"/>
      <c r="F555" s="5"/>
      <c r="G555" s="5"/>
      <c r="H555" s="5"/>
      <c r="I555" s="5"/>
      <c r="J555" s="5"/>
      <c r="K555" s="5"/>
      <c r="L555" s="5"/>
      <c r="M555" s="5"/>
      <c r="N555" s="5"/>
      <c r="O555" s="5"/>
      <c r="P555" s="5"/>
      <c r="Q555" s="5"/>
      <c r="R555" s="5"/>
      <c r="S555" s="5"/>
      <c r="T555" s="5"/>
      <c r="U555" s="5"/>
      <c r="V555" s="5"/>
      <c r="W555" s="5"/>
    </row>
    <row r="556">
      <c r="A556" s="5"/>
      <c r="B556" s="3"/>
      <c r="C556" s="5"/>
      <c r="D556" s="5"/>
      <c r="E556" s="5"/>
      <c r="F556" s="5"/>
      <c r="G556" s="5"/>
      <c r="H556" s="5"/>
      <c r="I556" s="5"/>
      <c r="J556" s="5"/>
      <c r="K556" s="5"/>
      <c r="L556" s="5"/>
      <c r="M556" s="5"/>
      <c r="N556" s="5"/>
      <c r="O556" s="5"/>
      <c r="P556" s="5"/>
      <c r="Q556" s="5"/>
      <c r="R556" s="5"/>
      <c r="S556" s="5"/>
      <c r="T556" s="5"/>
      <c r="U556" s="5"/>
      <c r="V556" s="5"/>
      <c r="W556" s="5"/>
    </row>
    <row r="557">
      <c r="A557" s="5"/>
      <c r="B557" s="3"/>
      <c r="C557" s="5"/>
      <c r="D557" s="5"/>
      <c r="E557" s="5"/>
      <c r="F557" s="5"/>
      <c r="G557" s="5"/>
      <c r="H557" s="5"/>
      <c r="I557" s="5"/>
      <c r="J557" s="5"/>
      <c r="K557" s="5"/>
      <c r="L557" s="5"/>
      <c r="M557" s="5"/>
      <c r="N557" s="5"/>
      <c r="O557" s="5"/>
      <c r="P557" s="5"/>
      <c r="Q557" s="5"/>
      <c r="R557" s="5"/>
      <c r="S557" s="5"/>
      <c r="T557" s="5"/>
      <c r="U557" s="5"/>
      <c r="V557" s="5"/>
      <c r="W557" s="5"/>
    </row>
    <row r="558">
      <c r="A558" s="5"/>
      <c r="B558" s="3"/>
      <c r="C558" s="5"/>
      <c r="D558" s="5"/>
      <c r="E558" s="5"/>
      <c r="F558" s="5"/>
      <c r="G558" s="5"/>
      <c r="H558" s="5"/>
      <c r="I558" s="5"/>
      <c r="J558" s="5"/>
      <c r="K558" s="5"/>
      <c r="L558" s="5"/>
      <c r="M558" s="5"/>
      <c r="N558" s="5"/>
      <c r="O558" s="5"/>
      <c r="P558" s="5"/>
      <c r="Q558" s="5"/>
      <c r="R558" s="5"/>
      <c r="S558" s="5"/>
      <c r="T558" s="5"/>
      <c r="U558" s="5"/>
      <c r="V558" s="5"/>
      <c r="W558" s="5"/>
    </row>
    <row r="559">
      <c r="A559" s="5"/>
      <c r="B559" s="3"/>
      <c r="C559" s="5"/>
      <c r="D559" s="5"/>
      <c r="E559" s="5"/>
      <c r="F559" s="5"/>
      <c r="G559" s="5"/>
      <c r="H559" s="5"/>
      <c r="I559" s="5"/>
      <c r="J559" s="5"/>
      <c r="K559" s="5"/>
      <c r="L559" s="5"/>
      <c r="M559" s="5"/>
      <c r="N559" s="5"/>
      <c r="O559" s="5"/>
      <c r="P559" s="5"/>
      <c r="Q559" s="5"/>
      <c r="R559" s="5"/>
      <c r="S559" s="5"/>
      <c r="T559" s="5"/>
      <c r="U559" s="5"/>
      <c r="V559" s="5"/>
      <c r="W559" s="5"/>
    </row>
    <row r="560">
      <c r="A560" s="5"/>
      <c r="B560" s="3"/>
      <c r="C560" s="5"/>
      <c r="D560" s="5"/>
      <c r="E560" s="5"/>
      <c r="F560" s="5"/>
      <c r="G560" s="5"/>
      <c r="H560" s="5"/>
      <c r="I560" s="5"/>
      <c r="J560" s="5"/>
      <c r="K560" s="5"/>
      <c r="L560" s="5"/>
      <c r="M560" s="5"/>
      <c r="N560" s="5"/>
      <c r="O560" s="5"/>
      <c r="P560" s="5"/>
      <c r="Q560" s="5"/>
      <c r="R560" s="5"/>
      <c r="S560" s="5"/>
      <c r="T560" s="5"/>
      <c r="U560" s="5"/>
      <c r="V560" s="5"/>
      <c r="W560" s="5"/>
    </row>
    <row r="561">
      <c r="A561" s="5"/>
      <c r="B561" s="3"/>
      <c r="C561" s="5"/>
      <c r="D561" s="5"/>
      <c r="E561" s="5"/>
      <c r="F561" s="5"/>
      <c r="G561" s="5"/>
      <c r="H561" s="5"/>
      <c r="I561" s="5"/>
      <c r="J561" s="5"/>
      <c r="K561" s="5"/>
      <c r="L561" s="5"/>
      <c r="M561" s="5"/>
      <c r="N561" s="5"/>
      <c r="O561" s="5"/>
      <c r="P561" s="5"/>
      <c r="Q561" s="5"/>
      <c r="R561" s="5"/>
      <c r="S561" s="5"/>
      <c r="T561" s="5"/>
      <c r="U561" s="5"/>
      <c r="V561" s="5"/>
      <c r="W561" s="5"/>
    </row>
    <row r="562">
      <c r="A562" s="5"/>
      <c r="B562" s="3"/>
      <c r="C562" s="5"/>
      <c r="D562" s="5"/>
      <c r="E562" s="5"/>
      <c r="F562" s="5"/>
      <c r="G562" s="5"/>
      <c r="H562" s="5"/>
      <c r="I562" s="5"/>
      <c r="J562" s="5"/>
      <c r="K562" s="5"/>
      <c r="L562" s="5"/>
      <c r="M562" s="5"/>
      <c r="N562" s="5"/>
      <c r="O562" s="5"/>
      <c r="P562" s="5"/>
      <c r="Q562" s="5"/>
      <c r="R562" s="5"/>
      <c r="S562" s="5"/>
      <c r="T562" s="5"/>
      <c r="U562" s="5"/>
      <c r="V562" s="5"/>
      <c r="W562" s="5"/>
    </row>
    <row r="563">
      <c r="A563" s="5"/>
      <c r="B563" s="3"/>
      <c r="C563" s="5"/>
      <c r="D563" s="5"/>
      <c r="E563" s="5"/>
      <c r="F563" s="5"/>
      <c r="G563" s="5"/>
      <c r="H563" s="5"/>
      <c r="I563" s="5"/>
      <c r="J563" s="5"/>
      <c r="K563" s="5"/>
      <c r="L563" s="5"/>
      <c r="M563" s="5"/>
      <c r="N563" s="5"/>
      <c r="O563" s="5"/>
      <c r="P563" s="5"/>
      <c r="Q563" s="5"/>
      <c r="R563" s="5"/>
      <c r="S563" s="5"/>
      <c r="T563" s="5"/>
      <c r="U563" s="5"/>
      <c r="V563" s="5"/>
      <c r="W563" s="5"/>
    </row>
    <row r="564">
      <c r="A564" s="5"/>
      <c r="B564" s="3"/>
      <c r="C564" s="5"/>
      <c r="D564" s="5"/>
      <c r="E564" s="5"/>
      <c r="F564" s="5"/>
      <c r="G564" s="5"/>
      <c r="H564" s="5"/>
      <c r="I564" s="5"/>
      <c r="J564" s="5"/>
      <c r="K564" s="5"/>
      <c r="L564" s="5"/>
      <c r="M564" s="5"/>
      <c r="N564" s="5"/>
      <c r="O564" s="5"/>
      <c r="P564" s="5"/>
      <c r="Q564" s="5"/>
      <c r="R564" s="5"/>
      <c r="S564" s="5"/>
      <c r="T564" s="5"/>
      <c r="U564" s="5"/>
      <c r="V564" s="5"/>
      <c r="W564" s="5"/>
    </row>
    <row r="565">
      <c r="A565" s="5"/>
      <c r="B565" s="3"/>
      <c r="C565" s="5"/>
      <c r="D565" s="5"/>
      <c r="E565" s="5"/>
      <c r="F565" s="5"/>
      <c r="G565" s="5"/>
      <c r="H565" s="5"/>
      <c r="I565" s="5"/>
      <c r="J565" s="5"/>
      <c r="K565" s="5"/>
      <c r="L565" s="5"/>
      <c r="M565" s="5"/>
      <c r="N565" s="5"/>
      <c r="O565" s="5"/>
      <c r="P565" s="5"/>
      <c r="Q565" s="5"/>
      <c r="R565" s="5"/>
      <c r="S565" s="5"/>
      <c r="T565" s="5"/>
      <c r="U565" s="5"/>
      <c r="V565" s="5"/>
      <c r="W565" s="5"/>
    </row>
    <row r="566">
      <c r="A566" s="5"/>
      <c r="B566" s="3"/>
      <c r="C566" s="5"/>
      <c r="D566" s="5"/>
      <c r="E566" s="5"/>
      <c r="F566" s="5"/>
      <c r="G566" s="5"/>
      <c r="H566" s="5"/>
      <c r="I566" s="5"/>
      <c r="J566" s="5"/>
      <c r="K566" s="5"/>
      <c r="L566" s="5"/>
      <c r="M566" s="5"/>
      <c r="N566" s="5"/>
      <c r="O566" s="5"/>
      <c r="P566" s="5"/>
      <c r="Q566" s="5"/>
      <c r="R566" s="5"/>
      <c r="S566" s="5"/>
      <c r="T566" s="5"/>
      <c r="U566" s="5"/>
      <c r="V566" s="5"/>
      <c r="W566" s="5"/>
    </row>
    <row r="567">
      <c r="A567" s="5"/>
      <c r="B567" s="3"/>
      <c r="C567" s="5"/>
      <c r="D567" s="5"/>
      <c r="E567" s="5"/>
      <c r="F567" s="5"/>
      <c r="G567" s="5"/>
      <c r="H567" s="5"/>
      <c r="I567" s="5"/>
      <c r="J567" s="5"/>
      <c r="K567" s="5"/>
      <c r="L567" s="5"/>
      <c r="M567" s="5"/>
      <c r="N567" s="5"/>
      <c r="O567" s="5"/>
      <c r="P567" s="5"/>
      <c r="Q567" s="5"/>
      <c r="R567" s="5"/>
      <c r="S567" s="5"/>
      <c r="T567" s="5"/>
      <c r="U567" s="5"/>
      <c r="V567" s="5"/>
      <c r="W567" s="5"/>
    </row>
    <row r="568">
      <c r="A568" s="5"/>
      <c r="B568" s="3"/>
      <c r="C568" s="5"/>
      <c r="D568" s="5"/>
      <c r="E568" s="5"/>
      <c r="F568" s="5"/>
      <c r="G568" s="5"/>
      <c r="H568" s="5"/>
      <c r="I568" s="5"/>
      <c r="J568" s="5"/>
      <c r="K568" s="5"/>
      <c r="L568" s="5"/>
      <c r="M568" s="5"/>
      <c r="N568" s="5"/>
      <c r="O568" s="5"/>
      <c r="P568" s="5"/>
      <c r="Q568" s="5"/>
      <c r="R568" s="5"/>
      <c r="S568" s="5"/>
      <c r="T568" s="5"/>
      <c r="U568" s="5"/>
      <c r="V568" s="5"/>
      <c r="W568" s="5"/>
    </row>
    <row r="569">
      <c r="A569" s="5"/>
      <c r="B569" s="3"/>
      <c r="C569" s="5"/>
      <c r="D569" s="5"/>
      <c r="E569" s="5"/>
      <c r="F569" s="5"/>
      <c r="G569" s="5"/>
      <c r="H569" s="5"/>
      <c r="I569" s="5"/>
      <c r="J569" s="5"/>
      <c r="K569" s="5"/>
      <c r="L569" s="5"/>
      <c r="M569" s="5"/>
      <c r="N569" s="5"/>
      <c r="O569" s="5"/>
      <c r="P569" s="5"/>
      <c r="Q569" s="5"/>
      <c r="R569" s="5"/>
      <c r="S569" s="5"/>
      <c r="T569" s="5"/>
      <c r="U569" s="5"/>
      <c r="V569" s="5"/>
      <c r="W569" s="5"/>
    </row>
    <row r="570">
      <c r="A570" s="5"/>
      <c r="B570" s="3"/>
      <c r="C570" s="5"/>
      <c r="D570" s="5"/>
      <c r="E570" s="5"/>
      <c r="F570" s="5"/>
      <c r="G570" s="5"/>
      <c r="H570" s="5"/>
      <c r="I570" s="5"/>
      <c r="J570" s="5"/>
      <c r="K570" s="5"/>
      <c r="L570" s="5"/>
      <c r="M570" s="5"/>
      <c r="N570" s="5"/>
      <c r="O570" s="5"/>
      <c r="P570" s="5"/>
      <c r="Q570" s="5"/>
      <c r="R570" s="5"/>
      <c r="S570" s="5"/>
      <c r="T570" s="5"/>
      <c r="U570" s="5"/>
      <c r="V570" s="5"/>
      <c r="W570" s="5"/>
    </row>
    <row r="571">
      <c r="A571" s="5"/>
      <c r="B571" s="3"/>
      <c r="C571" s="5"/>
      <c r="D571" s="5"/>
      <c r="E571" s="5"/>
      <c r="F571" s="5"/>
      <c r="G571" s="5"/>
      <c r="H571" s="5"/>
      <c r="I571" s="5"/>
      <c r="J571" s="5"/>
      <c r="K571" s="5"/>
      <c r="L571" s="5"/>
      <c r="M571" s="5"/>
      <c r="N571" s="5"/>
      <c r="O571" s="5"/>
      <c r="P571" s="5"/>
      <c r="Q571" s="5"/>
      <c r="R571" s="5"/>
      <c r="S571" s="5"/>
      <c r="T571" s="5"/>
      <c r="U571" s="5"/>
      <c r="V571" s="5"/>
      <c r="W571" s="5"/>
    </row>
    <row r="572">
      <c r="A572" s="5"/>
      <c r="B572" s="3"/>
      <c r="C572" s="5"/>
      <c r="D572" s="5"/>
      <c r="E572" s="5"/>
      <c r="F572" s="5"/>
      <c r="G572" s="5"/>
      <c r="H572" s="5"/>
      <c r="I572" s="5"/>
      <c r="J572" s="5"/>
      <c r="K572" s="5"/>
      <c r="L572" s="5"/>
      <c r="M572" s="5"/>
      <c r="N572" s="5"/>
      <c r="O572" s="5"/>
      <c r="P572" s="5"/>
      <c r="Q572" s="5"/>
      <c r="R572" s="5"/>
      <c r="S572" s="5"/>
      <c r="T572" s="5"/>
      <c r="U572" s="5"/>
      <c r="V572" s="5"/>
      <c r="W572" s="5"/>
    </row>
    <row r="573">
      <c r="A573" s="5"/>
      <c r="B573" s="3"/>
      <c r="C573" s="5"/>
      <c r="D573" s="5"/>
      <c r="E573" s="5"/>
      <c r="F573" s="5"/>
      <c r="G573" s="5"/>
      <c r="H573" s="5"/>
      <c r="I573" s="5"/>
      <c r="J573" s="5"/>
      <c r="K573" s="5"/>
      <c r="L573" s="5"/>
      <c r="M573" s="5"/>
      <c r="N573" s="5"/>
      <c r="O573" s="5"/>
      <c r="P573" s="5"/>
      <c r="Q573" s="5"/>
      <c r="R573" s="5"/>
      <c r="S573" s="5"/>
      <c r="T573" s="5"/>
      <c r="U573" s="5"/>
      <c r="V573" s="5"/>
      <c r="W573" s="5"/>
    </row>
    <row r="574">
      <c r="A574" s="5"/>
      <c r="B574" s="3"/>
      <c r="C574" s="5"/>
      <c r="D574" s="5"/>
      <c r="E574" s="5"/>
      <c r="F574" s="5"/>
      <c r="G574" s="5"/>
      <c r="H574" s="5"/>
      <c r="I574" s="5"/>
      <c r="J574" s="5"/>
      <c r="K574" s="5"/>
      <c r="L574" s="5"/>
      <c r="M574" s="5"/>
      <c r="N574" s="5"/>
      <c r="O574" s="5"/>
      <c r="P574" s="5"/>
      <c r="Q574" s="5"/>
      <c r="R574" s="5"/>
      <c r="S574" s="5"/>
      <c r="T574" s="5"/>
      <c r="U574" s="5"/>
      <c r="V574" s="5"/>
      <c r="W574" s="5"/>
    </row>
    <row r="575">
      <c r="A575" s="5"/>
      <c r="B575" s="3"/>
      <c r="C575" s="5"/>
      <c r="D575" s="5"/>
      <c r="E575" s="5"/>
      <c r="F575" s="5"/>
      <c r="G575" s="5"/>
      <c r="H575" s="5"/>
      <c r="I575" s="5"/>
      <c r="J575" s="5"/>
      <c r="K575" s="5"/>
      <c r="L575" s="5"/>
      <c r="M575" s="5"/>
      <c r="N575" s="5"/>
      <c r="O575" s="5"/>
      <c r="P575" s="5"/>
      <c r="Q575" s="5"/>
      <c r="R575" s="5"/>
      <c r="S575" s="5"/>
      <c r="T575" s="5"/>
      <c r="U575" s="5"/>
      <c r="V575" s="5"/>
      <c r="W575" s="5"/>
    </row>
    <row r="576">
      <c r="A576" s="5"/>
      <c r="B576" s="3"/>
      <c r="C576" s="5"/>
      <c r="D576" s="5"/>
      <c r="E576" s="5"/>
      <c r="F576" s="5"/>
      <c r="G576" s="5"/>
      <c r="H576" s="5"/>
      <c r="I576" s="5"/>
      <c r="J576" s="5"/>
      <c r="K576" s="5"/>
      <c r="L576" s="5"/>
      <c r="M576" s="5"/>
      <c r="N576" s="5"/>
      <c r="O576" s="5"/>
      <c r="P576" s="5"/>
      <c r="Q576" s="5"/>
      <c r="R576" s="5"/>
      <c r="S576" s="5"/>
      <c r="T576" s="5"/>
      <c r="U576" s="5"/>
      <c r="V576" s="5"/>
      <c r="W576" s="5"/>
    </row>
    <row r="577">
      <c r="A577" s="5"/>
      <c r="B577" s="3"/>
      <c r="C577" s="5"/>
      <c r="D577" s="5"/>
      <c r="E577" s="5"/>
      <c r="F577" s="5"/>
      <c r="G577" s="5"/>
      <c r="H577" s="5"/>
      <c r="I577" s="5"/>
      <c r="J577" s="5"/>
      <c r="K577" s="5"/>
      <c r="L577" s="5"/>
      <c r="M577" s="5"/>
      <c r="N577" s="5"/>
      <c r="O577" s="5"/>
      <c r="P577" s="5"/>
      <c r="Q577" s="5"/>
      <c r="R577" s="5"/>
      <c r="S577" s="5"/>
      <c r="T577" s="5"/>
      <c r="U577" s="5"/>
      <c r="V577" s="5"/>
      <c r="W577" s="5"/>
    </row>
    <row r="578">
      <c r="A578" s="5"/>
      <c r="B578" s="3"/>
      <c r="C578" s="5"/>
      <c r="D578" s="5"/>
      <c r="E578" s="5"/>
      <c r="F578" s="5"/>
      <c r="G578" s="5"/>
      <c r="H578" s="5"/>
      <c r="I578" s="5"/>
      <c r="J578" s="5"/>
      <c r="K578" s="5"/>
      <c r="L578" s="5"/>
      <c r="M578" s="5"/>
      <c r="N578" s="5"/>
      <c r="O578" s="5"/>
      <c r="P578" s="5"/>
      <c r="Q578" s="5"/>
      <c r="R578" s="5"/>
      <c r="S578" s="5"/>
      <c r="T578" s="5"/>
      <c r="U578" s="5"/>
      <c r="V578" s="5"/>
      <c r="W578" s="5"/>
    </row>
    <row r="579">
      <c r="A579" s="5"/>
      <c r="B579" s="3"/>
      <c r="C579" s="5"/>
      <c r="D579" s="5"/>
      <c r="E579" s="5"/>
      <c r="F579" s="5"/>
      <c r="G579" s="5"/>
      <c r="H579" s="5"/>
      <c r="I579" s="5"/>
      <c r="J579" s="5"/>
      <c r="K579" s="5"/>
      <c r="L579" s="5"/>
      <c r="M579" s="5"/>
      <c r="N579" s="5"/>
      <c r="O579" s="5"/>
      <c r="P579" s="5"/>
      <c r="Q579" s="5"/>
      <c r="R579" s="5"/>
      <c r="S579" s="5"/>
      <c r="T579" s="5"/>
      <c r="U579" s="5"/>
      <c r="V579" s="5"/>
      <c r="W579" s="5"/>
    </row>
    <row r="580">
      <c r="A580" s="5"/>
      <c r="B580" s="3"/>
      <c r="C580" s="5"/>
      <c r="D580" s="5"/>
      <c r="E580" s="5"/>
      <c r="F580" s="5"/>
      <c r="G580" s="5"/>
      <c r="H580" s="5"/>
      <c r="I580" s="5"/>
      <c r="J580" s="5"/>
      <c r="K580" s="5"/>
      <c r="L580" s="5"/>
      <c r="M580" s="5"/>
      <c r="N580" s="5"/>
      <c r="O580" s="5"/>
      <c r="P580" s="5"/>
      <c r="Q580" s="5"/>
      <c r="R580" s="5"/>
      <c r="S580" s="5"/>
      <c r="T580" s="5"/>
      <c r="U580" s="5"/>
      <c r="V580" s="5"/>
      <c r="W580" s="5"/>
    </row>
    <row r="581">
      <c r="A581" s="5"/>
      <c r="B581" s="3"/>
      <c r="C581" s="5"/>
      <c r="D581" s="5"/>
      <c r="E581" s="5"/>
      <c r="F581" s="5"/>
      <c r="G581" s="5"/>
      <c r="H581" s="5"/>
      <c r="I581" s="5"/>
      <c r="J581" s="5"/>
      <c r="K581" s="5"/>
      <c r="L581" s="5"/>
      <c r="M581" s="5"/>
      <c r="N581" s="5"/>
      <c r="O581" s="5"/>
      <c r="P581" s="5"/>
      <c r="Q581" s="5"/>
      <c r="R581" s="5"/>
      <c r="S581" s="5"/>
      <c r="T581" s="5"/>
      <c r="U581" s="5"/>
      <c r="V581" s="5"/>
      <c r="W581" s="5"/>
    </row>
    <row r="582">
      <c r="A582" s="5"/>
      <c r="B582" s="3"/>
      <c r="C582" s="5"/>
      <c r="D582" s="5"/>
      <c r="E582" s="5"/>
      <c r="F582" s="5"/>
      <c r="G582" s="5"/>
      <c r="H582" s="5"/>
      <c r="I582" s="5"/>
      <c r="J582" s="5"/>
      <c r="K582" s="5"/>
      <c r="L582" s="5"/>
      <c r="M582" s="5"/>
      <c r="N582" s="5"/>
      <c r="O582" s="5"/>
      <c r="P582" s="5"/>
      <c r="Q582" s="5"/>
      <c r="R582" s="5"/>
      <c r="S582" s="5"/>
      <c r="T582" s="5"/>
      <c r="U582" s="5"/>
      <c r="V582" s="5"/>
      <c r="W582" s="5"/>
    </row>
    <row r="583">
      <c r="A583" s="5"/>
      <c r="B583" s="3"/>
      <c r="C583" s="5"/>
      <c r="D583" s="5"/>
      <c r="E583" s="5"/>
      <c r="F583" s="5"/>
      <c r="G583" s="5"/>
      <c r="H583" s="5"/>
      <c r="I583" s="5"/>
      <c r="J583" s="5"/>
      <c r="K583" s="5"/>
      <c r="L583" s="5"/>
      <c r="M583" s="5"/>
      <c r="N583" s="5"/>
      <c r="O583" s="5"/>
      <c r="P583" s="5"/>
      <c r="Q583" s="5"/>
      <c r="R583" s="5"/>
      <c r="S583" s="5"/>
      <c r="T583" s="5"/>
      <c r="U583" s="5"/>
      <c r="V583" s="5"/>
      <c r="W583" s="5"/>
    </row>
    <row r="584">
      <c r="A584" s="5"/>
      <c r="B584" s="3"/>
      <c r="C584" s="5"/>
      <c r="D584" s="5"/>
      <c r="E584" s="5"/>
      <c r="F584" s="5"/>
      <c r="G584" s="5"/>
      <c r="H584" s="5"/>
      <c r="I584" s="5"/>
      <c r="J584" s="5"/>
      <c r="K584" s="5"/>
      <c r="L584" s="5"/>
      <c r="M584" s="5"/>
      <c r="N584" s="5"/>
      <c r="O584" s="5"/>
      <c r="P584" s="5"/>
      <c r="Q584" s="5"/>
      <c r="R584" s="5"/>
      <c r="S584" s="5"/>
      <c r="T584" s="5"/>
      <c r="U584" s="5"/>
      <c r="V584" s="5"/>
      <c r="W584" s="5"/>
    </row>
    <row r="585">
      <c r="A585" s="5"/>
      <c r="B585" s="3"/>
      <c r="C585" s="5"/>
      <c r="D585" s="5"/>
      <c r="E585" s="5"/>
      <c r="F585" s="5"/>
      <c r="G585" s="5"/>
      <c r="H585" s="5"/>
      <c r="I585" s="5"/>
      <c r="J585" s="5"/>
      <c r="K585" s="5"/>
      <c r="L585" s="5"/>
      <c r="M585" s="5"/>
      <c r="N585" s="5"/>
      <c r="O585" s="5"/>
      <c r="P585" s="5"/>
      <c r="Q585" s="5"/>
      <c r="R585" s="5"/>
      <c r="S585" s="5"/>
      <c r="T585" s="5"/>
      <c r="U585" s="5"/>
      <c r="V585" s="5"/>
      <c r="W585" s="5"/>
    </row>
    <row r="586">
      <c r="A586" s="5"/>
      <c r="B586" s="3"/>
      <c r="C586" s="5"/>
      <c r="D586" s="5"/>
      <c r="E586" s="5"/>
      <c r="F586" s="5"/>
      <c r="G586" s="5"/>
      <c r="H586" s="5"/>
      <c r="I586" s="5"/>
      <c r="J586" s="5"/>
      <c r="K586" s="5"/>
      <c r="L586" s="5"/>
      <c r="M586" s="5"/>
      <c r="N586" s="5"/>
      <c r="O586" s="5"/>
      <c r="P586" s="5"/>
      <c r="Q586" s="5"/>
      <c r="R586" s="5"/>
      <c r="S586" s="5"/>
      <c r="T586" s="5"/>
      <c r="U586" s="5"/>
      <c r="V586" s="5"/>
      <c r="W586" s="5"/>
    </row>
    <row r="587">
      <c r="A587" s="5"/>
      <c r="B587" s="3"/>
      <c r="C587" s="5"/>
      <c r="D587" s="5"/>
      <c r="E587" s="5"/>
      <c r="F587" s="5"/>
      <c r="G587" s="5"/>
      <c r="H587" s="5"/>
      <c r="I587" s="5"/>
      <c r="J587" s="5"/>
      <c r="K587" s="5"/>
      <c r="L587" s="5"/>
      <c r="M587" s="5"/>
      <c r="N587" s="5"/>
      <c r="O587" s="5"/>
      <c r="P587" s="5"/>
      <c r="Q587" s="5"/>
      <c r="R587" s="5"/>
      <c r="S587" s="5"/>
      <c r="T587" s="5"/>
      <c r="U587" s="5"/>
      <c r="V587" s="5"/>
      <c r="W587" s="5"/>
    </row>
    <row r="588">
      <c r="A588" s="5"/>
      <c r="B588" s="3"/>
      <c r="C588" s="5"/>
      <c r="D588" s="5"/>
      <c r="E588" s="5"/>
      <c r="F588" s="5"/>
      <c r="G588" s="5"/>
      <c r="H588" s="5"/>
      <c r="I588" s="5"/>
      <c r="J588" s="5"/>
      <c r="K588" s="5"/>
      <c r="L588" s="5"/>
      <c r="M588" s="5"/>
      <c r="N588" s="5"/>
      <c r="O588" s="5"/>
      <c r="P588" s="5"/>
      <c r="Q588" s="5"/>
      <c r="R588" s="5"/>
      <c r="S588" s="5"/>
      <c r="T588" s="5"/>
      <c r="U588" s="5"/>
      <c r="V588" s="5"/>
      <c r="W588" s="5"/>
    </row>
    <row r="589">
      <c r="A589" s="5"/>
      <c r="B589" s="3"/>
      <c r="C589" s="5"/>
      <c r="D589" s="5"/>
      <c r="E589" s="5"/>
      <c r="F589" s="5"/>
      <c r="G589" s="5"/>
      <c r="H589" s="5"/>
      <c r="I589" s="5"/>
      <c r="J589" s="5"/>
      <c r="K589" s="5"/>
      <c r="L589" s="5"/>
      <c r="M589" s="5"/>
      <c r="N589" s="5"/>
      <c r="O589" s="5"/>
      <c r="P589" s="5"/>
      <c r="Q589" s="5"/>
      <c r="R589" s="5"/>
      <c r="S589" s="5"/>
      <c r="T589" s="5"/>
      <c r="U589" s="5"/>
      <c r="V589" s="5"/>
      <c r="W589" s="5"/>
    </row>
    <row r="590">
      <c r="A590" s="5"/>
      <c r="B590" s="3"/>
      <c r="C590" s="5"/>
      <c r="D590" s="5"/>
      <c r="E590" s="5"/>
      <c r="F590" s="5"/>
      <c r="G590" s="5"/>
      <c r="H590" s="5"/>
      <c r="I590" s="5"/>
      <c r="J590" s="5"/>
      <c r="K590" s="5"/>
      <c r="L590" s="5"/>
      <c r="M590" s="5"/>
      <c r="N590" s="5"/>
      <c r="O590" s="5"/>
      <c r="P590" s="5"/>
      <c r="Q590" s="5"/>
      <c r="R590" s="5"/>
      <c r="S590" s="5"/>
      <c r="T590" s="5"/>
      <c r="U590" s="5"/>
      <c r="V590" s="5"/>
      <c r="W590" s="5"/>
    </row>
    <row r="591">
      <c r="A591" s="5"/>
      <c r="B591" s="3"/>
      <c r="C591" s="5"/>
      <c r="D591" s="5"/>
      <c r="E591" s="5"/>
      <c r="F591" s="5"/>
      <c r="G591" s="5"/>
      <c r="H591" s="5"/>
      <c r="I591" s="5"/>
      <c r="J591" s="5"/>
      <c r="K591" s="5"/>
      <c r="L591" s="5"/>
      <c r="M591" s="5"/>
      <c r="N591" s="5"/>
      <c r="O591" s="5"/>
      <c r="P591" s="5"/>
      <c r="Q591" s="5"/>
      <c r="R591" s="5"/>
      <c r="S591" s="5"/>
      <c r="T591" s="5"/>
      <c r="U591" s="5"/>
      <c r="V591" s="5"/>
      <c r="W591" s="5"/>
    </row>
    <row r="592">
      <c r="A592" s="5"/>
      <c r="B592" s="3"/>
      <c r="C592" s="5"/>
      <c r="D592" s="5"/>
      <c r="E592" s="5"/>
      <c r="F592" s="5"/>
      <c r="G592" s="5"/>
      <c r="H592" s="5"/>
      <c r="I592" s="5"/>
      <c r="J592" s="5"/>
      <c r="K592" s="5"/>
      <c r="L592" s="5"/>
      <c r="M592" s="5"/>
      <c r="N592" s="5"/>
      <c r="O592" s="5"/>
      <c r="P592" s="5"/>
      <c r="Q592" s="5"/>
      <c r="R592" s="5"/>
      <c r="S592" s="5"/>
      <c r="T592" s="5"/>
      <c r="U592" s="5"/>
      <c r="V592" s="5"/>
      <c r="W592" s="5"/>
    </row>
    <row r="593">
      <c r="A593" s="5"/>
      <c r="B593" s="3"/>
      <c r="C593" s="5"/>
      <c r="D593" s="5"/>
      <c r="E593" s="5"/>
      <c r="F593" s="5"/>
      <c r="G593" s="5"/>
      <c r="H593" s="5"/>
      <c r="I593" s="5"/>
      <c r="J593" s="5"/>
      <c r="K593" s="5"/>
      <c r="L593" s="5"/>
      <c r="M593" s="5"/>
      <c r="N593" s="5"/>
      <c r="O593" s="5"/>
      <c r="P593" s="5"/>
      <c r="Q593" s="5"/>
      <c r="R593" s="5"/>
      <c r="S593" s="5"/>
      <c r="T593" s="5"/>
      <c r="U593" s="5"/>
      <c r="V593" s="5"/>
      <c r="W593" s="5"/>
    </row>
    <row r="594">
      <c r="A594" s="5"/>
      <c r="B594" s="3"/>
      <c r="C594" s="5"/>
      <c r="D594" s="5"/>
      <c r="E594" s="5"/>
      <c r="F594" s="5"/>
      <c r="G594" s="5"/>
      <c r="H594" s="5"/>
      <c r="I594" s="5"/>
      <c r="J594" s="5"/>
      <c r="K594" s="5"/>
      <c r="L594" s="5"/>
      <c r="M594" s="5"/>
      <c r="N594" s="5"/>
      <c r="O594" s="5"/>
      <c r="P594" s="5"/>
      <c r="Q594" s="5"/>
      <c r="R594" s="5"/>
      <c r="S594" s="5"/>
      <c r="T594" s="5"/>
      <c r="U594" s="5"/>
      <c r="V594" s="5"/>
      <c r="W594" s="5"/>
    </row>
    <row r="595">
      <c r="A595" s="5"/>
      <c r="B595" s="3"/>
      <c r="C595" s="5"/>
      <c r="D595" s="5"/>
      <c r="E595" s="5"/>
      <c r="F595" s="5"/>
      <c r="G595" s="5"/>
      <c r="H595" s="5"/>
      <c r="I595" s="5"/>
      <c r="J595" s="5"/>
      <c r="K595" s="5"/>
      <c r="L595" s="5"/>
      <c r="M595" s="5"/>
      <c r="N595" s="5"/>
      <c r="O595" s="5"/>
      <c r="P595" s="5"/>
      <c r="Q595" s="5"/>
      <c r="R595" s="5"/>
      <c r="S595" s="5"/>
      <c r="T595" s="5"/>
      <c r="U595" s="5"/>
      <c r="V595" s="5"/>
      <c r="W595" s="5"/>
    </row>
    <row r="596">
      <c r="A596" s="5"/>
      <c r="B596" s="3"/>
      <c r="C596" s="5"/>
      <c r="D596" s="5"/>
      <c r="E596" s="5"/>
      <c r="F596" s="5"/>
      <c r="G596" s="5"/>
      <c r="H596" s="5"/>
      <c r="I596" s="5"/>
      <c r="J596" s="5"/>
      <c r="K596" s="5"/>
      <c r="L596" s="5"/>
      <c r="M596" s="5"/>
      <c r="N596" s="5"/>
      <c r="O596" s="5"/>
      <c r="P596" s="5"/>
      <c r="Q596" s="5"/>
      <c r="R596" s="5"/>
      <c r="S596" s="5"/>
      <c r="T596" s="5"/>
      <c r="U596" s="5"/>
      <c r="V596" s="5"/>
      <c r="W596" s="5"/>
    </row>
    <row r="597">
      <c r="A597" s="5"/>
      <c r="B597" s="3"/>
      <c r="C597" s="5"/>
      <c r="D597" s="5"/>
      <c r="E597" s="5"/>
      <c r="F597" s="5"/>
      <c r="G597" s="5"/>
      <c r="H597" s="5"/>
      <c r="I597" s="5"/>
      <c r="J597" s="5"/>
      <c r="K597" s="5"/>
      <c r="L597" s="5"/>
      <c r="M597" s="5"/>
      <c r="N597" s="5"/>
      <c r="O597" s="5"/>
      <c r="P597" s="5"/>
      <c r="Q597" s="5"/>
      <c r="R597" s="5"/>
      <c r="S597" s="5"/>
      <c r="T597" s="5"/>
      <c r="U597" s="5"/>
      <c r="V597" s="5"/>
      <c r="W597" s="5"/>
    </row>
    <row r="598">
      <c r="A598" s="5"/>
      <c r="B598" s="3"/>
      <c r="C598" s="5"/>
      <c r="D598" s="5"/>
      <c r="E598" s="5"/>
      <c r="F598" s="5"/>
      <c r="G598" s="5"/>
      <c r="H598" s="5"/>
      <c r="I598" s="5"/>
      <c r="J598" s="5"/>
      <c r="K598" s="5"/>
      <c r="L598" s="5"/>
      <c r="M598" s="5"/>
      <c r="N598" s="5"/>
      <c r="O598" s="5"/>
      <c r="P598" s="5"/>
      <c r="Q598" s="5"/>
      <c r="R598" s="5"/>
      <c r="S598" s="5"/>
      <c r="T598" s="5"/>
      <c r="U598" s="5"/>
      <c r="V598" s="5"/>
      <c r="W598" s="5"/>
    </row>
    <row r="599">
      <c r="A599" s="5"/>
      <c r="B599" s="3"/>
      <c r="C599" s="5"/>
      <c r="D599" s="5"/>
      <c r="E599" s="5"/>
      <c r="F599" s="5"/>
      <c r="G599" s="5"/>
      <c r="H599" s="5"/>
      <c r="I599" s="5"/>
      <c r="J599" s="5"/>
      <c r="K599" s="5"/>
      <c r="L599" s="5"/>
      <c r="M599" s="5"/>
      <c r="N599" s="5"/>
      <c r="O599" s="5"/>
      <c r="P599" s="5"/>
      <c r="Q599" s="5"/>
      <c r="R599" s="5"/>
      <c r="S599" s="5"/>
      <c r="T599" s="5"/>
      <c r="U599" s="5"/>
      <c r="V599" s="5"/>
      <c r="W599" s="5"/>
    </row>
    <row r="600">
      <c r="A600" s="5"/>
      <c r="B600" s="3"/>
      <c r="C600" s="5"/>
      <c r="D600" s="5"/>
      <c r="E600" s="5"/>
      <c r="F600" s="5"/>
      <c r="G600" s="5"/>
      <c r="H600" s="5"/>
      <c r="I600" s="5"/>
      <c r="J600" s="5"/>
      <c r="K600" s="5"/>
      <c r="L600" s="5"/>
      <c r="M600" s="5"/>
      <c r="N600" s="5"/>
      <c r="O600" s="5"/>
      <c r="P600" s="5"/>
      <c r="Q600" s="5"/>
      <c r="R600" s="5"/>
      <c r="S600" s="5"/>
      <c r="T600" s="5"/>
      <c r="U600" s="5"/>
      <c r="V600" s="5"/>
      <c r="W600" s="5"/>
    </row>
    <row r="601">
      <c r="A601" s="5"/>
      <c r="B601" s="3"/>
      <c r="C601" s="5"/>
      <c r="D601" s="5"/>
      <c r="E601" s="5"/>
      <c r="F601" s="5"/>
      <c r="G601" s="5"/>
      <c r="H601" s="5"/>
      <c r="I601" s="5"/>
      <c r="J601" s="5"/>
      <c r="K601" s="5"/>
      <c r="L601" s="5"/>
      <c r="M601" s="5"/>
      <c r="N601" s="5"/>
      <c r="O601" s="5"/>
      <c r="P601" s="5"/>
      <c r="Q601" s="5"/>
      <c r="R601" s="5"/>
      <c r="S601" s="5"/>
      <c r="T601" s="5"/>
      <c r="U601" s="5"/>
      <c r="V601" s="5"/>
      <c r="W601" s="5"/>
    </row>
    <row r="602">
      <c r="A602" s="5"/>
      <c r="B602" s="3"/>
      <c r="C602" s="5"/>
      <c r="D602" s="5"/>
      <c r="E602" s="5"/>
      <c r="F602" s="5"/>
      <c r="G602" s="5"/>
      <c r="H602" s="5"/>
      <c r="I602" s="5"/>
      <c r="J602" s="5"/>
      <c r="K602" s="5"/>
      <c r="L602" s="5"/>
      <c r="M602" s="5"/>
      <c r="N602" s="5"/>
      <c r="O602" s="5"/>
      <c r="P602" s="5"/>
      <c r="Q602" s="5"/>
      <c r="R602" s="5"/>
      <c r="S602" s="5"/>
      <c r="T602" s="5"/>
      <c r="U602" s="5"/>
      <c r="V602" s="5"/>
      <c r="W602" s="5"/>
    </row>
    <row r="603">
      <c r="A603" s="5"/>
      <c r="B603" s="3"/>
      <c r="C603" s="5"/>
      <c r="D603" s="5"/>
      <c r="E603" s="5"/>
      <c r="F603" s="5"/>
      <c r="G603" s="5"/>
      <c r="H603" s="5"/>
      <c r="I603" s="5"/>
      <c r="J603" s="5"/>
      <c r="K603" s="5"/>
      <c r="L603" s="5"/>
      <c r="M603" s="5"/>
      <c r="N603" s="5"/>
      <c r="O603" s="5"/>
      <c r="P603" s="5"/>
      <c r="Q603" s="5"/>
      <c r="R603" s="5"/>
      <c r="S603" s="5"/>
      <c r="T603" s="5"/>
      <c r="U603" s="5"/>
      <c r="V603" s="5"/>
      <c r="W603" s="5"/>
    </row>
    <row r="604">
      <c r="A604" s="5"/>
      <c r="B604" s="3"/>
      <c r="C604" s="5"/>
      <c r="D604" s="5"/>
      <c r="E604" s="5"/>
      <c r="F604" s="5"/>
      <c r="G604" s="5"/>
      <c r="H604" s="5"/>
      <c r="I604" s="5"/>
      <c r="J604" s="5"/>
      <c r="K604" s="5"/>
      <c r="L604" s="5"/>
      <c r="M604" s="5"/>
      <c r="N604" s="5"/>
      <c r="O604" s="5"/>
      <c r="P604" s="5"/>
      <c r="Q604" s="5"/>
      <c r="R604" s="5"/>
      <c r="S604" s="5"/>
      <c r="T604" s="5"/>
      <c r="U604" s="5"/>
      <c r="V604" s="5"/>
      <c r="W604" s="5"/>
    </row>
    <row r="605">
      <c r="A605" s="5"/>
      <c r="B605" s="3"/>
      <c r="C605" s="5"/>
      <c r="D605" s="5"/>
      <c r="E605" s="5"/>
      <c r="F605" s="5"/>
      <c r="G605" s="5"/>
      <c r="H605" s="5"/>
      <c r="I605" s="5"/>
      <c r="J605" s="5"/>
      <c r="K605" s="5"/>
      <c r="L605" s="5"/>
      <c r="M605" s="5"/>
      <c r="N605" s="5"/>
      <c r="O605" s="5"/>
      <c r="P605" s="5"/>
      <c r="Q605" s="5"/>
      <c r="R605" s="5"/>
      <c r="S605" s="5"/>
      <c r="T605" s="5"/>
      <c r="U605" s="5"/>
      <c r="V605" s="5"/>
      <c r="W605" s="5"/>
    </row>
    <row r="606">
      <c r="A606" s="5"/>
      <c r="B606" s="3"/>
      <c r="C606" s="5"/>
      <c r="D606" s="5"/>
      <c r="E606" s="5"/>
      <c r="F606" s="5"/>
      <c r="G606" s="5"/>
      <c r="H606" s="5"/>
      <c r="I606" s="5"/>
      <c r="J606" s="5"/>
      <c r="K606" s="5"/>
      <c r="L606" s="5"/>
      <c r="M606" s="5"/>
      <c r="N606" s="5"/>
      <c r="O606" s="5"/>
      <c r="P606" s="5"/>
      <c r="Q606" s="5"/>
      <c r="R606" s="5"/>
      <c r="S606" s="5"/>
      <c r="T606" s="5"/>
      <c r="U606" s="5"/>
      <c r="V606" s="5"/>
      <c r="W606" s="5"/>
    </row>
    <row r="607">
      <c r="A607" s="5"/>
      <c r="B607" s="3"/>
      <c r="C607" s="5"/>
      <c r="D607" s="5"/>
      <c r="E607" s="5"/>
      <c r="F607" s="5"/>
      <c r="G607" s="5"/>
      <c r="H607" s="5"/>
      <c r="I607" s="5"/>
      <c r="J607" s="5"/>
      <c r="K607" s="5"/>
      <c r="L607" s="5"/>
      <c r="M607" s="5"/>
      <c r="N607" s="5"/>
      <c r="O607" s="5"/>
      <c r="P607" s="5"/>
      <c r="Q607" s="5"/>
      <c r="R607" s="5"/>
      <c r="S607" s="5"/>
      <c r="T607" s="5"/>
      <c r="U607" s="5"/>
      <c r="V607" s="5"/>
      <c r="W607" s="5"/>
    </row>
    <row r="608">
      <c r="A608" s="5"/>
      <c r="B608" s="3"/>
      <c r="C608" s="5"/>
      <c r="D608" s="5"/>
      <c r="E608" s="5"/>
      <c r="F608" s="5"/>
      <c r="G608" s="5"/>
      <c r="H608" s="5"/>
      <c r="I608" s="5"/>
      <c r="J608" s="5"/>
      <c r="K608" s="5"/>
      <c r="L608" s="5"/>
      <c r="M608" s="5"/>
      <c r="N608" s="5"/>
      <c r="O608" s="5"/>
      <c r="P608" s="5"/>
      <c r="Q608" s="5"/>
      <c r="R608" s="5"/>
      <c r="S608" s="5"/>
      <c r="T608" s="5"/>
      <c r="U608" s="5"/>
      <c r="V608" s="5"/>
      <c r="W608" s="5"/>
    </row>
    <row r="609">
      <c r="A609" s="5"/>
      <c r="B609" s="3"/>
      <c r="C609" s="5"/>
      <c r="D609" s="5"/>
      <c r="E609" s="5"/>
      <c r="F609" s="5"/>
      <c r="G609" s="5"/>
      <c r="H609" s="5"/>
      <c r="I609" s="5"/>
      <c r="J609" s="5"/>
      <c r="K609" s="5"/>
      <c r="L609" s="5"/>
      <c r="M609" s="5"/>
      <c r="N609" s="5"/>
      <c r="O609" s="5"/>
      <c r="P609" s="5"/>
      <c r="Q609" s="5"/>
      <c r="R609" s="5"/>
      <c r="S609" s="5"/>
      <c r="T609" s="5"/>
      <c r="U609" s="5"/>
      <c r="V609" s="5"/>
      <c r="W609" s="5"/>
    </row>
    <row r="610">
      <c r="A610" s="5"/>
      <c r="B610" s="3"/>
      <c r="C610" s="5"/>
      <c r="D610" s="5"/>
      <c r="E610" s="5"/>
      <c r="F610" s="5"/>
      <c r="G610" s="5"/>
      <c r="H610" s="5"/>
      <c r="I610" s="5"/>
      <c r="J610" s="5"/>
      <c r="K610" s="5"/>
      <c r="L610" s="5"/>
      <c r="M610" s="5"/>
      <c r="N610" s="5"/>
      <c r="O610" s="5"/>
      <c r="P610" s="5"/>
      <c r="Q610" s="5"/>
      <c r="R610" s="5"/>
      <c r="S610" s="5"/>
      <c r="T610" s="5"/>
      <c r="U610" s="5"/>
      <c r="V610" s="5"/>
      <c r="W610" s="5"/>
    </row>
    <row r="611">
      <c r="A611" s="5"/>
      <c r="B611" s="3"/>
      <c r="C611" s="5"/>
      <c r="D611" s="5"/>
      <c r="E611" s="5"/>
      <c r="F611" s="5"/>
      <c r="G611" s="5"/>
      <c r="H611" s="5"/>
      <c r="I611" s="5"/>
      <c r="J611" s="5"/>
      <c r="K611" s="5"/>
      <c r="L611" s="5"/>
      <c r="M611" s="5"/>
      <c r="N611" s="5"/>
      <c r="O611" s="5"/>
      <c r="P611" s="5"/>
      <c r="Q611" s="5"/>
      <c r="R611" s="5"/>
      <c r="S611" s="5"/>
      <c r="T611" s="5"/>
      <c r="U611" s="5"/>
      <c r="V611" s="5"/>
      <c r="W611" s="5"/>
    </row>
    <row r="612">
      <c r="A612" s="5"/>
      <c r="B612" s="3"/>
      <c r="C612" s="5"/>
      <c r="D612" s="5"/>
      <c r="E612" s="5"/>
      <c r="F612" s="5"/>
      <c r="G612" s="5"/>
      <c r="H612" s="5"/>
      <c r="I612" s="5"/>
      <c r="J612" s="5"/>
      <c r="K612" s="5"/>
      <c r="L612" s="5"/>
      <c r="M612" s="5"/>
      <c r="N612" s="5"/>
      <c r="O612" s="5"/>
      <c r="P612" s="5"/>
      <c r="Q612" s="5"/>
      <c r="R612" s="5"/>
      <c r="S612" s="5"/>
      <c r="T612" s="5"/>
      <c r="U612" s="5"/>
      <c r="V612" s="5"/>
      <c r="W612" s="5"/>
    </row>
    <row r="613">
      <c r="A613" s="5"/>
      <c r="B613" s="3"/>
      <c r="C613" s="5"/>
      <c r="D613" s="5"/>
      <c r="E613" s="5"/>
      <c r="F613" s="5"/>
      <c r="G613" s="5"/>
      <c r="H613" s="5"/>
      <c r="I613" s="5"/>
      <c r="J613" s="5"/>
      <c r="K613" s="5"/>
      <c r="L613" s="5"/>
      <c r="M613" s="5"/>
      <c r="N613" s="5"/>
      <c r="O613" s="5"/>
      <c r="P613" s="5"/>
      <c r="Q613" s="5"/>
      <c r="R613" s="5"/>
      <c r="S613" s="5"/>
      <c r="T613" s="5"/>
      <c r="U613" s="5"/>
      <c r="V613" s="5"/>
      <c r="W613" s="5"/>
    </row>
    <row r="614">
      <c r="A614" s="5"/>
      <c r="B614" s="3"/>
      <c r="C614" s="5"/>
      <c r="D614" s="5"/>
      <c r="E614" s="5"/>
      <c r="F614" s="5"/>
      <c r="G614" s="5"/>
      <c r="H614" s="5"/>
      <c r="I614" s="5"/>
      <c r="J614" s="5"/>
      <c r="K614" s="5"/>
      <c r="L614" s="5"/>
      <c r="M614" s="5"/>
      <c r="N614" s="5"/>
      <c r="O614" s="5"/>
      <c r="P614" s="5"/>
      <c r="Q614" s="5"/>
      <c r="R614" s="5"/>
      <c r="S614" s="5"/>
      <c r="T614" s="5"/>
      <c r="U614" s="5"/>
      <c r="V614" s="5"/>
      <c r="W614" s="5"/>
    </row>
    <row r="615">
      <c r="A615" s="5"/>
      <c r="B615" s="3"/>
      <c r="C615" s="5"/>
      <c r="D615" s="5"/>
      <c r="E615" s="5"/>
      <c r="F615" s="5"/>
      <c r="G615" s="5"/>
      <c r="H615" s="5"/>
      <c r="I615" s="5"/>
      <c r="J615" s="5"/>
      <c r="K615" s="5"/>
      <c r="L615" s="5"/>
      <c r="M615" s="5"/>
      <c r="N615" s="5"/>
      <c r="O615" s="5"/>
      <c r="P615" s="5"/>
      <c r="Q615" s="5"/>
      <c r="R615" s="5"/>
      <c r="S615" s="5"/>
      <c r="T615" s="5"/>
      <c r="U615" s="5"/>
      <c r="V615" s="5"/>
      <c r="W615" s="5"/>
    </row>
    <row r="616">
      <c r="A616" s="5"/>
      <c r="B616" s="3"/>
      <c r="C616" s="5"/>
      <c r="D616" s="5"/>
      <c r="E616" s="5"/>
      <c r="F616" s="5"/>
      <c r="G616" s="5"/>
      <c r="H616" s="5"/>
      <c r="I616" s="5"/>
      <c r="J616" s="5"/>
      <c r="K616" s="5"/>
      <c r="L616" s="5"/>
      <c r="M616" s="5"/>
      <c r="N616" s="5"/>
      <c r="O616" s="5"/>
      <c r="P616" s="5"/>
      <c r="Q616" s="5"/>
      <c r="R616" s="5"/>
      <c r="S616" s="5"/>
      <c r="T616" s="5"/>
      <c r="U616" s="5"/>
      <c r="V616" s="5"/>
      <c r="W616" s="5"/>
    </row>
    <row r="617">
      <c r="A617" s="5"/>
      <c r="B617" s="3"/>
      <c r="C617" s="5"/>
      <c r="D617" s="5"/>
      <c r="E617" s="5"/>
      <c r="F617" s="5"/>
      <c r="G617" s="5"/>
      <c r="H617" s="5"/>
      <c r="I617" s="5"/>
      <c r="J617" s="5"/>
      <c r="K617" s="5"/>
      <c r="L617" s="5"/>
      <c r="M617" s="5"/>
      <c r="N617" s="5"/>
      <c r="O617" s="5"/>
      <c r="P617" s="5"/>
      <c r="Q617" s="5"/>
      <c r="R617" s="5"/>
      <c r="S617" s="5"/>
      <c r="T617" s="5"/>
      <c r="U617" s="5"/>
      <c r="V617" s="5"/>
      <c r="W617" s="5"/>
    </row>
    <row r="618">
      <c r="A618" s="5"/>
      <c r="B618" s="3"/>
      <c r="C618" s="5"/>
      <c r="D618" s="5"/>
      <c r="E618" s="5"/>
      <c r="F618" s="5"/>
      <c r="G618" s="5"/>
      <c r="H618" s="5"/>
      <c r="I618" s="5"/>
      <c r="J618" s="5"/>
      <c r="K618" s="5"/>
      <c r="L618" s="5"/>
      <c r="M618" s="5"/>
      <c r="N618" s="5"/>
      <c r="O618" s="5"/>
      <c r="P618" s="5"/>
      <c r="Q618" s="5"/>
      <c r="R618" s="5"/>
      <c r="S618" s="5"/>
      <c r="T618" s="5"/>
      <c r="U618" s="5"/>
      <c r="V618" s="5"/>
      <c r="W618" s="5"/>
    </row>
    <row r="619">
      <c r="A619" s="5"/>
      <c r="B619" s="3"/>
      <c r="C619" s="5"/>
      <c r="D619" s="5"/>
      <c r="E619" s="5"/>
      <c r="F619" s="5"/>
      <c r="G619" s="5"/>
      <c r="H619" s="5"/>
      <c r="I619" s="5"/>
      <c r="J619" s="5"/>
      <c r="K619" s="5"/>
      <c r="L619" s="5"/>
      <c r="M619" s="5"/>
      <c r="N619" s="5"/>
      <c r="O619" s="5"/>
      <c r="P619" s="5"/>
      <c r="Q619" s="5"/>
      <c r="R619" s="5"/>
      <c r="S619" s="5"/>
      <c r="T619" s="5"/>
      <c r="U619" s="5"/>
      <c r="V619" s="5"/>
      <c r="W619" s="5"/>
    </row>
    <row r="620">
      <c r="A620" s="5"/>
      <c r="B620" s="3"/>
      <c r="C620" s="5"/>
      <c r="D620" s="5"/>
      <c r="E620" s="5"/>
      <c r="F620" s="5"/>
      <c r="G620" s="5"/>
      <c r="H620" s="5"/>
      <c r="I620" s="5"/>
      <c r="J620" s="5"/>
      <c r="K620" s="5"/>
      <c r="L620" s="5"/>
      <c r="M620" s="5"/>
      <c r="N620" s="5"/>
      <c r="O620" s="5"/>
      <c r="P620" s="5"/>
      <c r="Q620" s="5"/>
      <c r="R620" s="5"/>
      <c r="S620" s="5"/>
      <c r="T620" s="5"/>
      <c r="U620" s="5"/>
      <c r="V620" s="5"/>
      <c r="W620" s="5"/>
    </row>
    <row r="621">
      <c r="A621" s="5"/>
      <c r="B621" s="3"/>
      <c r="C621" s="5"/>
      <c r="D621" s="5"/>
      <c r="E621" s="5"/>
      <c r="F621" s="5"/>
      <c r="G621" s="5"/>
      <c r="H621" s="5"/>
      <c r="I621" s="5"/>
      <c r="J621" s="5"/>
      <c r="K621" s="5"/>
      <c r="L621" s="5"/>
      <c r="M621" s="5"/>
      <c r="N621" s="5"/>
      <c r="O621" s="5"/>
      <c r="P621" s="5"/>
      <c r="Q621" s="5"/>
      <c r="R621" s="5"/>
      <c r="S621" s="5"/>
      <c r="T621" s="5"/>
      <c r="U621" s="5"/>
      <c r="V621" s="5"/>
      <c r="W621" s="5"/>
    </row>
    <row r="622">
      <c r="A622" s="5"/>
      <c r="B622" s="3"/>
      <c r="C622" s="5"/>
      <c r="D622" s="5"/>
      <c r="E622" s="5"/>
      <c r="F622" s="5"/>
      <c r="G622" s="5"/>
      <c r="H622" s="5"/>
      <c r="I622" s="5"/>
      <c r="J622" s="5"/>
      <c r="K622" s="5"/>
      <c r="L622" s="5"/>
      <c r="M622" s="5"/>
      <c r="N622" s="5"/>
      <c r="O622" s="5"/>
      <c r="P622" s="5"/>
      <c r="Q622" s="5"/>
      <c r="R622" s="5"/>
      <c r="S622" s="5"/>
      <c r="T622" s="5"/>
      <c r="U622" s="5"/>
      <c r="V622" s="5"/>
      <c r="W622" s="5"/>
    </row>
    <row r="623">
      <c r="A623" s="5"/>
      <c r="B623" s="3"/>
      <c r="C623" s="5"/>
      <c r="D623" s="5"/>
      <c r="E623" s="5"/>
      <c r="F623" s="5"/>
      <c r="G623" s="5"/>
      <c r="H623" s="5"/>
      <c r="I623" s="5"/>
      <c r="J623" s="5"/>
      <c r="K623" s="5"/>
      <c r="L623" s="5"/>
      <c r="M623" s="5"/>
      <c r="N623" s="5"/>
      <c r="O623" s="5"/>
      <c r="P623" s="5"/>
      <c r="Q623" s="5"/>
      <c r="R623" s="5"/>
      <c r="S623" s="5"/>
      <c r="T623" s="5"/>
      <c r="U623" s="5"/>
      <c r="V623" s="5"/>
      <c r="W623" s="5"/>
    </row>
    <row r="624">
      <c r="A624" s="5"/>
      <c r="B624" s="3"/>
      <c r="C624" s="5"/>
      <c r="D624" s="5"/>
      <c r="E624" s="5"/>
      <c r="F624" s="5"/>
      <c r="G624" s="5"/>
      <c r="H624" s="5"/>
      <c r="I624" s="5"/>
      <c r="J624" s="5"/>
      <c r="K624" s="5"/>
      <c r="L624" s="5"/>
      <c r="M624" s="5"/>
      <c r="N624" s="5"/>
      <c r="O624" s="5"/>
      <c r="P624" s="5"/>
      <c r="Q624" s="5"/>
      <c r="R624" s="5"/>
      <c r="S624" s="5"/>
      <c r="T624" s="5"/>
      <c r="U624" s="5"/>
      <c r="V624" s="5"/>
      <c r="W624" s="5"/>
    </row>
    <row r="625">
      <c r="A625" s="5"/>
      <c r="B625" s="3"/>
      <c r="C625" s="5"/>
      <c r="D625" s="5"/>
      <c r="E625" s="5"/>
      <c r="F625" s="5"/>
      <c r="G625" s="5"/>
      <c r="H625" s="5"/>
      <c r="I625" s="5"/>
      <c r="J625" s="5"/>
      <c r="K625" s="5"/>
      <c r="L625" s="5"/>
      <c r="M625" s="5"/>
      <c r="N625" s="5"/>
      <c r="O625" s="5"/>
      <c r="P625" s="5"/>
      <c r="Q625" s="5"/>
      <c r="R625" s="5"/>
      <c r="S625" s="5"/>
      <c r="T625" s="5"/>
      <c r="U625" s="5"/>
      <c r="V625" s="5"/>
      <c r="W625" s="5"/>
    </row>
    <row r="626">
      <c r="A626" s="5"/>
      <c r="B626" s="3"/>
      <c r="C626" s="5"/>
      <c r="D626" s="5"/>
      <c r="E626" s="5"/>
      <c r="F626" s="5"/>
      <c r="G626" s="5"/>
      <c r="H626" s="5"/>
      <c r="I626" s="5"/>
      <c r="J626" s="5"/>
      <c r="K626" s="5"/>
      <c r="L626" s="5"/>
      <c r="M626" s="5"/>
      <c r="N626" s="5"/>
      <c r="O626" s="5"/>
      <c r="P626" s="5"/>
      <c r="Q626" s="5"/>
      <c r="R626" s="5"/>
      <c r="S626" s="5"/>
      <c r="T626" s="5"/>
      <c r="U626" s="5"/>
      <c r="V626" s="5"/>
      <c r="W626" s="5"/>
    </row>
    <row r="627">
      <c r="A627" s="5"/>
      <c r="B627" s="3"/>
      <c r="C627" s="5"/>
      <c r="D627" s="5"/>
      <c r="E627" s="5"/>
      <c r="F627" s="5"/>
      <c r="G627" s="5"/>
      <c r="H627" s="5"/>
      <c r="I627" s="5"/>
      <c r="J627" s="5"/>
      <c r="K627" s="5"/>
      <c r="L627" s="5"/>
      <c r="M627" s="5"/>
      <c r="N627" s="5"/>
      <c r="O627" s="5"/>
      <c r="P627" s="5"/>
      <c r="Q627" s="5"/>
      <c r="R627" s="5"/>
      <c r="S627" s="5"/>
      <c r="T627" s="5"/>
      <c r="U627" s="5"/>
      <c r="V627" s="5"/>
      <c r="W627" s="5"/>
    </row>
    <row r="628">
      <c r="A628" s="3"/>
      <c r="B628" s="3"/>
      <c r="C628" s="5"/>
      <c r="D628" s="3"/>
      <c r="E628" s="5"/>
      <c r="F628" s="5"/>
      <c r="G628" s="5"/>
      <c r="H628" s="5"/>
      <c r="I628" s="5"/>
      <c r="J628" s="5"/>
      <c r="K628" s="5"/>
      <c r="L628" s="5"/>
      <c r="M628" s="5"/>
      <c r="N628" s="5"/>
      <c r="O628" s="5"/>
      <c r="P628" s="5"/>
      <c r="Q628" s="5"/>
      <c r="R628" s="5"/>
      <c r="S628" s="5"/>
      <c r="T628" s="5"/>
      <c r="U628" s="5"/>
      <c r="V628" s="5"/>
      <c r="W628" s="5"/>
    </row>
    <row r="629">
      <c r="A629" s="3"/>
      <c r="B629" s="3"/>
      <c r="C629" s="5"/>
      <c r="D629" s="3"/>
      <c r="E629" s="5"/>
      <c r="F629" s="5"/>
      <c r="G629" s="5"/>
      <c r="H629" s="5"/>
      <c r="I629" s="5"/>
      <c r="J629" s="5"/>
      <c r="K629" s="5"/>
      <c r="L629" s="5"/>
      <c r="M629" s="5"/>
      <c r="N629" s="5"/>
      <c r="O629" s="5"/>
      <c r="P629" s="5"/>
      <c r="Q629" s="5"/>
      <c r="R629" s="5"/>
      <c r="S629" s="5"/>
      <c r="T629" s="5"/>
      <c r="U629" s="5"/>
      <c r="V629" s="5"/>
      <c r="W629" s="5"/>
    </row>
    <row r="630">
      <c r="A630" s="3"/>
      <c r="B630" s="3"/>
      <c r="C630" s="5"/>
      <c r="D630" s="3"/>
      <c r="E630" s="5"/>
      <c r="F630" s="5"/>
      <c r="G630" s="5"/>
      <c r="H630" s="5"/>
      <c r="I630" s="5"/>
      <c r="J630" s="5"/>
      <c r="K630" s="5"/>
      <c r="L630" s="5"/>
      <c r="M630" s="5"/>
      <c r="N630" s="5"/>
      <c r="O630" s="5"/>
      <c r="P630" s="5"/>
      <c r="Q630" s="5"/>
      <c r="R630" s="5"/>
      <c r="S630" s="5"/>
      <c r="T630" s="5"/>
      <c r="U630" s="5"/>
      <c r="V630" s="5"/>
      <c r="W630" s="5"/>
    </row>
    <row r="631">
      <c r="A631" s="5"/>
      <c r="B631" s="5"/>
      <c r="C631" s="5"/>
      <c r="D631" s="5"/>
      <c r="E631" s="5"/>
      <c r="F631" s="5"/>
      <c r="G631" s="5"/>
      <c r="H631" s="5"/>
      <c r="I631" s="5"/>
      <c r="J631" s="5"/>
      <c r="K631" s="5"/>
      <c r="L631" s="5"/>
      <c r="M631" s="5"/>
      <c r="N631" s="5"/>
      <c r="O631" s="5"/>
      <c r="P631" s="5"/>
      <c r="Q631" s="5"/>
      <c r="R631" s="5"/>
      <c r="S631" s="5"/>
      <c r="T631" s="5"/>
      <c r="U631" s="5"/>
      <c r="V631" s="5"/>
      <c r="W631" s="5"/>
    </row>
    <row r="632">
      <c r="A632" s="5"/>
      <c r="B632" s="5"/>
      <c r="C632" s="5"/>
      <c r="D632" s="5"/>
      <c r="E632" s="5"/>
      <c r="F632" s="5"/>
      <c r="G632" s="5"/>
      <c r="H632" s="5"/>
      <c r="I632" s="5"/>
      <c r="J632" s="5"/>
      <c r="K632" s="5"/>
      <c r="L632" s="5"/>
      <c r="M632" s="5"/>
      <c r="N632" s="5"/>
      <c r="O632" s="5"/>
      <c r="P632" s="5"/>
      <c r="Q632" s="5"/>
      <c r="R632" s="5"/>
      <c r="S632" s="5"/>
      <c r="T632" s="5"/>
      <c r="U632" s="5"/>
      <c r="V632" s="5"/>
      <c r="W632" s="5"/>
    </row>
    <row r="633">
      <c r="A633" s="5"/>
      <c r="B633" s="5"/>
      <c r="C633" s="5"/>
      <c r="D633" s="5"/>
      <c r="E633" s="5"/>
      <c r="F633" s="5"/>
      <c r="G633" s="5"/>
      <c r="H633" s="5"/>
      <c r="I633" s="5"/>
      <c r="J633" s="5"/>
      <c r="K633" s="5"/>
      <c r="L633" s="5"/>
      <c r="M633" s="5"/>
      <c r="N633" s="5"/>
      <c r="O633" s="5"/>
      <c r="P633" s="5"/>
      <c r="Q633" s="5"/>
      <c r="R633" s="5"/>
      <c r="S633" s="5"/>
      <c r="T633" s="5"/>
      <c r="U633" s="5"/>
      <c r="V633" s="5"/>
      <c r="W633" s="5"/>
    </row>
    <row r="634">
      <c r="A634" s="5"/>
      <c r="B634" s="5"/>
      <c r="C634" s="5"/>
      <c r="D634" s="5"/>
      <c r="E634" s="5"/>
      <c r="F634" s="5"/>
      <c r="G634" s="5"/>
      <c r="H634" s="5"/>
      <c r="I634" s="5"/>
      <c r="J634" s="5"/>
      <c r="K634" s="5"/>
      <c r="L634" s="5"/>
      <c r="M634" s="5"/>
      <c r="N634" s="5"/>
      <c r="O634" s="5"/>
      <c r="P634" s="5"/>
      <c r="Q634" s="5"/>
      <c r="R634" s="5"/>
      <c r="S634" s="5"/>
      <c r="T634" s="5"/>
      <c r="U634" s="5"/>
      <c r="V634" s="5"/>
      <c r="W634" s="5"/>
    </row>
    <row r="635">
      <c r="A635" s="5"/>
      <c r="B635" s="5"/>
      <c r="C635" s="5"/>
      <c r="D635" s="5"/>
      <c r="E635" s="5"/>
      <c r="F635" s="5"/>
      <c r="G635" s="5"/>
      <c r="H635" s="5"/>
      <c r="I635" s="5"/>
      <c r="J635" s="5"/>
      <c r="K635" s="5"/>
      <c r="L635" s="5"/>
      <c r="M635" s="5"/>
      <c r="N635" s="5"/>
      <c r="O635" s="5"/>
      <c r="P635" s="5"/>
      <c r="Q635" s="5"/>
      <c r="R635" s="5"/>
      <c r="S635" s="5"/>
      <c r="T635" s="5"/>
      <c r="U635" s="5"/>
      <c r="V635" s="5"/>
      <c r="W635" s="5"/>
    </row>
    <row r="636">
      <c r="A636" s="5"/>
      <c r="B636" s="5"/>
      <c r="C636" s="5"/>
      <c r="D636" s="5"/>
      <c r="E636" s="5"/>
      <c r="F636" s="5"/>
      <c r="G636" s="5"/>
      <c r="H636" s="5"/>
      <c r="I636" s="5"/>
      <c r="J636" s="5"/>
      <c r="K636" s="5"/>
      <c r="L636" s="5"/>
      <c r="M636" s="5"/>
      <c r="N636" s="5"/>
      <c r="O636" s="5"/>
      <c r="P636" s="5"/>
      <c r="Q636" s="5"/>
      <c r="R636" s="5"/>
      <c r="S636" s="5"/>
      <c r="T636" s="5"/>
      <c r="U636" s="5"/>
      <c r="V636" s="5"/>
      <c r="W636" s="5"/>
    </row>
    <row r="637">
      <c r="A637" s="5"/>
      <c r="B637" s="5"/>
      <c r="C637" s="5"/>
      <c r="D637" s="5"/>
      <c r="E637" s="5"/>
      <c r="F637" s="5"/>
      <c r="G637" s="5"/>
      <c r="H637" s="5"/>
      <c r="I637" s="5"/>
      <c r="J637" s="5"/>
      <c r="K637" s="5"/>
      <c r="L637" s="5"/>
      <c r="M637" s="5"/>
      <c r="N637" s="5"/>
      <c r="O637" s="5"/>
      <c r="P637" s="5"/>
      <c r="Q637" s="5"/>
      <c r="R637" s="5"/>
      <c r="S637" s="5"/>
      <c r="T637" s="5"/>
      <c r="U637" s="5"/>
      <c r="V637" s="5"/>
      <c r="W637" s="5"/>
    </row>
    <row r="638">
      <c r="A638" s="5"/>
      <c r="B638" s="5"/>
      <c r="C638" s="5"/>
      <c r="D638" s="5"/>
      <c r="E638" s="5"/>
      <c r="F638" s="5"/>
      <c r="G638" s="5"/>
      <c r="H638" s="5"/>
      <c r="I638" s="5"/>
      <c r="J638" s="5"/>
      <c r="K638" s="5"/>
      <c r="L638" s="5"/>
      <c r="M638" s="5"/>
      <c r="N638" s="5"/>
      <c r="O638" s="5"/>
      <c r="P638" s="5"/>
      <c r="Q638" s="5"/>
      <c r="R638" s="5"/>
      <c r="S638" s="5"/>
      <c r="T638" s="5"/>
      <c r="U638" s="5"/>
      <c r="V638" s="5"/>
      <c r="W638" s="5"/>
    </row>
    <row r="639">
      <c r="A639" s="5"/>
      <c r="B639" s="5"/>
      <c r="C639" s="5"/>
      <c r="D639" s="5"/>
      <c r="E639" s="5"/>
      <c r="F639" s="5"/>
      <c r="G639" s="5"/>
      <c r="H639" s="5"/>
      <c r="I639" s="5"/>
      <c r="J639" s="5"/>
      <c r="K639" s="5"/>
      <c r="L639" s="5"/>
      <c r="M639" s="5"/>
      <c r="N639" s="5"/>
      <c r="O639" s="5"/>
      <c r="P639" s="5"/>
      <c r="Q639" s="5"/>
      <c r="R639" s="5"/>
      <c r="S639" s="5"/>
      <c r="T639" s="5"/>
      <c r="U639" s="5"/>
      <c r="V639" s="5"/>
      <c r="W639" s="5"/>
    </row>
    <row r="640">
      <c r="A640" s="5"/>
      <c r="B640" s="5"/>
      <c r="C640" s="5"/>
      <c r="D640" s="5"/>
      <c r="E640" s="5"/>
      <c r="F640" s="5"/>
      <c r="G640" s="5"/>
      <c r="H640" s="5"/>
      <c r="I640" s="5"/>
      <c r="J640" s="5"/>
      <c r="K640" s="5"/>
      <c r="L640" s="5"/>
      <c r="M640" s="5"/>
      <c r="N640" s="5"/>
      <c r="O640" s="5"/>
      <c r="P640" s="5"/>
      <c r="Q640" s="5"/>
      <c r="R640" s="5"/>
      <c r="S640" s="5"/>
      <c r="T640" s="5"/>
      <c r="U640" s="5"/>
      <c r="V640" s="5"/>
      <c r="W640" s="5"/>
    </row>
    <row r="641">
      <c r="A641" s="5"/>
      <c r="B641" s="5"/>
      <c r="C641" s="5"/>
      <c r="D641" s="5"/>
      <c r="E641" s="5"/>
      <c r="F641" s="5"/>
      <c r="G641" s="5"/>
      <c r="H641" s="5"/>
      <c r="I641" s="5"/>
      <c r="J641" s="5"/>
      <c r="K641" s="5"/>
      <c r="L641" s="5"/>
      <c r="M641" s="5"/>
      <c r="N641" s="5"/>
      <c r="O641" s="5"/>
      <c r="P641" s="5"/>
      <c r="Q641" s="5"/>
      <c r="R641" s="5"/>
      <c r="S641" s="5"/>
      <c r="T641" s="5"/>
      <c r="U641" s="5"/>
      <c r="V641" s="5"/>
      <c r="W641" s="5"/>
    </row>
    <row r="642">
      <c r="A642" s="5"/>
      <c r="B642" s="5"/>
      <c r="C642" s="5"/>
      <c r="D642" s="5"/>
      <c r="E642" s="5"/>
      <c r="F642" s="5"/>
      <c r="G642" s="5"/>
      <c r="H642" s="5"/>
      <c r="I642" s="5"/>
      <c r="J642" s="5"/>
      <c r="K642" s="5"/>
      <c r="L642" s="5"/>
      <c r="M642" s="5"/>
      <c r="N642" s="5"/>
      <c r="O642" s="5"/>
      <c r="P642" s="5"/>
      <c r="Q642" s="5"/>
      <c r="R642" s="5"/>
      <c r="S642" s="5"/>
      <c r="T642" s="5"/>
      <c r="U642" s="5"/>
      <c r="V642" s="5"/>
      <c r="W642" s="5"/>
    </row>
    <row r="643">
      <c r="A643" s="5"/>
      <c r="B643" s="5"/>
      <c r="C643" s="5"/>
      <c r="D643" s="5"/>
      <c r="E643" s="5"/>
      <c r="F643" s="5"/>
      <c r="G643" s="5"/>
      <c r="H643" s="5"/>
      <c r="I643" s="5"/>
      <c r="J643" s="5"/>
      <c r="K643" s="5"/>
      <c r="L643" s="5"/>
      <c r="M643" s="5"/>
      <c r="N643" s="5"/>
      <c r="O643" s="5"/>
      <c r="P643" s="5"/>
      <c r="Q643" s="5"/>
      <c r="R643" s="5"/>
      <c r="S643" s="5"/>
      <c r="T643" s="5"/>
      <c r="U643" s="5"/>
      <c r="V643" s="5"/>
      <c r="W643" s="5"/>
    </row>
    <row r="644">
      <c r="A644" s="5"/>
      <c r="B644" s="5"/>
      <c r="C644" s="5"/>
      <c r="D644" s="5"/>
      <c r="E644" s="5"/>
      <c r="F644" s="5"/>
      <c r="G644" s="5"/>
      <c r="H644" s="5"/>
      <c r="I644" s="5"/>
      <c r="J644" s="5"/>
      <c r="K644" s="5"/>
      <c r="L644" s="5"/>
      <c r="M644" s="5"/>
      <c r="N644" s="5"/>
      <c r="O644" s="5"/>
      <c r="P644" s="5"/>
      <c r="Q644" s="5"/>
      <c r="R644" s="5"/>
      <c r="S644" s="5"/>
      <c r="T644" s="5"/>
      <c r="U644" s="5"/>
      <c r="V644" s="5"/>
      <c r="W644" s="5"/>
    </row>
    <row r="645">
      <c r="A645" s="5"/>
      <c r="B645" s="5"/>
      <c r="C645" s="5"/>
      <c r="D645" s="5"/>
      <c r="E645" s="5"/>
      <c r="F645" s="5"/>
      <c r="G645" s="5"/>
      <c r="H645" s="5"/>
      <c r="I645" s="5"/>
      <c r="J645" s="5"/>
      <c r="K645" s="5"/>
      <c r="L645" s="5"/>
      <c r="M645" s="5"/>
      <c r="N645" s="5"/>
      <c r="O645" s="5"/>
      <c r="P645" s="5"/>
      <c r="Q645" s="5"/>
      <c r="R645" s="5"/>
      <c r="S645" s="5"/>
      <c r="T645" s="5"/>
      <c r="U645" s="5"/>
      <c r="V645" s="5"/>
      <c r="W645" s="5"/>
    </row>
    <row r="646">
      <c r="A646" s="5"/>
      <c r="B646" s="5"/>
      <c r="C646" s="5"/>
      <c r="D646" s="5"/>
      <c r="E646" s="5"/>
      <c r="F646" s="5"/>
      <c r="G646" s="5"/>
      <c r="H646" s="5"/>
      <c r="I646" s="5"/>
      <c r="J646" s="5"/>
      <c r="K646" s="5"/>
      <c r="L646" s="5"/>
      <c r="M646" s="5"/>
      <c r="N646" s="5"/>
      <c r="O646" s="5"/>
      <c r="P646" s="5"/>
      <c r="Q646" s="5"/>
      <c r="R646" s="5"/>
      <c r="S646" s="5"/>
      <c r="T646" s="5"/>
      <c r="U646" s="5"/>
      <c r="V646" s="5"/>
      <c r="W646" s="5"/>
    </row>
    <row r="647">
      <c r="A647" s="5"/>
      <c r="B647" s="5"/>
      <c r="C647" s="5"/>
      <c r="D647" s="5"/>
      <c r="E647" s="5"/>
      <c r="F647" s="5"/>
      <c r="G647" s="5"/>
      <c r="H647" s="5"/>
      <c r="I647" s="5"/>
      <c r="J647" s="5"/>
      <c r="K647" s="5"/>
      <c r="L647" s="5"/>
      <c r="M647" s="5"/>
      <c r="N647" s="5"/>
      <c r="O647" s="5"/>
      <c r="P647" s="5"/>
      <c r="Q647" s="5"/>
      <c r="R647" s="5"/>
      <c r="S647" s="5"/>
      <c r="T647" s="5"/>
      <c r="U647" s="5"/>
      <c r="V647" s="5"/>
      <c r="W647" s="5"/>
    </row>
    <row r="648">
      <c r="A648" s="5"/>
      <c r="B648" s="5"/>
      <c r="C648" s="5"/>
      <c r="D648" s="5"/>
      <c r="E648" s="5"/>
      <c r="F648" s="5"/>
      <c r="G648" s="5"/>
      <c r="H648" s="5"/>
      <c r="I648" s="5"/>
      <c r="J648" s="5"/>
      <c r="K648" s="5"/>
      <c r="L648" s="5"/>
      <c r="M648" s="5"/>
      <c r="N648" s="5"/>
      <c r="O648" s="5"/>
      <c r="P648" s="5"/>
      <c r="Q648" s="5"/>
      <c r="R648" s="5"/>
      <c r="S648" s="5"/>
      <c r="T648" s="5"/>
      <c r="U648" s="5"/>
      <c r="V648" s="5"/>
      <c r="W648" s="5"/>
    </row>
    <row r="649">
      <c r="A649" s="5"/>
      <c r="B649" s="5"/>
      <c r="C649" s="5"/>
      <c r="D649" s="5"/>
      <c r="E649" s="5"/>
      <c r="F649" s="5"/>
      <c r="G649" s="5"/>
      <c r="H649" s="5"/>
      <c r="I649" s="5"/>
      <c r="J649" s="5"/>
      <c r="K649" s="5"/>
      <c r="L649" s="5"/>
      <c r="M649" s="5"/>
      <c r="N649" s="5"/>
      <c r="O649" s="5"/>
      <c r="P649" s="5"/>
      <c r="Q649" s="5"/>
      <c r="R649" s="5"/>
      <c r="S649" s="5"/>
      <c r="T649" s="5"/>
      <c r="U649" s="5"/>
      <c r="V649" s="5"/>
      <c r="W649" s="5"/>
    </row>
    <row r="650">
      <c r="A650" s="5"/>
      <c r="B650" s="5"/>
      <c r="C650" s="5"/>
      <c r="D650" s="5"/>
      <c r="E650" s="5"/>
      <c r="F650" s="5"/>
      <c r="G650" s="5"/>
      <c r="H650" s="5"/>
      <c r="I650" s="5"/>
      <c r="J650" s="5"/>
      <c r="K650" s="5"/>
      <c r="L650" s="5"/>
      <c r="M650" s="5"/>
      <c r="N650" s="5"/>
      <c r="O650" s="5"/>
      <c r="P650" s="5"/>
      <c r="Q650" s="5"/>
      <c r="R650" s="5"/>
      <c r="S650" s="5"/>
      <c r="T650" s="5"/>
      <c r="U650" s="5"/>
      <c r="V650" s="5"/>
      <c r="W650" s="5"/>
    </row>
    <row r="651">
      <c r="A651" s="5"/>
      <c r="B651" s="5"/>
      <c r="C651" s="5"/>
      <c r="D651" s="5"/>
      <c r="E651" s="5"/>
      <c r="F651" s="5"/>
      <c r="G651" s="5"/>
      <c r="H651" s="5"/>
      <c r="I651" s="5"/>
      <c r="J651" s="5"/>
      <c r="K651" s="5"/>
      <c r="L651" s="5"/>
      <c r="M651" s="5"/>
      <c r="N651" s="5"/>
      <c r="O651" s="5"/>
      <c r="P651" s="5"/>
      <c r="Q651" s="5"/>
      <c r="R651" s="5"/>
      <c r="S651" s="5"/>
      <c r="T651" s="5"/>
      <c r="U651" s="5"/>
      <c r="V651" s="5"/>
      <c r="W651" s="5"/>
    </row>
    <row r="652">
      <c r="A652" s="5"/>
      <c r="B652" s="5"/>
      <c r="C652" s="5"/>
      <c r="D652" s="5"/>
      <c r="E652" s="5"/>
      <c r="F652" s="5"/>
      <c r="G652" s="5"/>
      <c r="H652" s="5"/>
      <c r="I652" s="5"/>
      <c r="J652" s="5"/>
      <c r="K652" s="5"/>
      <c r="L652" s="5"/>
      <c r="M652" s="5"/>
      <c r="N652" s="5"/>
      <c r="O652" s="5"/>
      <c r="P652" s="5"/>
      <c r="Q652" s="5"/>
      <c r="R652" s="5"/>
      <c r="S652" s="5"/>
      <c r="T652" s="5"/>
      <c r="U652" s="5"/>
      <c r="V652" s="5"/>
      <c r="W652" s="5"/>
    </row>
    <row r="653">
      <c r="A653" s="5"/>
      <c r="B653" s="5"/>
      <c r="C653" s="5"/>
      <c r="D653" s="5"/>
      <c r="E653" s="5"/>
      <c r="F653" s="5"/>
      <c r="G653" s="5"/>
      <c r="H653" s="5"/>
      <c r="I653" s="5"/>
      <c r="J653" s="5"/>
      <c r="K653" s="5"/>
      <c r="L653" s="5"/>
      <c r="M653" s="5"/>
      <c r="N653" s="5"/>
      <c r="O653" s="5"/>
      <c r="P653" s="5"/>
      <c r="Q653" s="5"/>
      <c r="R653" s="5"/>
      <c r="S653" s="5"/>
      <c r="T653" s="5"/>
      <c r="U653" s="5"/>
      <c r="V653" s="5"/>
      <c r="W653" s="5"/>
    </row>
    <row r="654">
      <c r="A654" s="5"/>
      <c r="B654" s="5"/>
      <c r="C654" s="5"/>
      <c r="D654" s="5"/>
      <c r="E654" s="5"/>
      <c r="F654" s="5"/>
      <c r="G654" s="5"/>
      <c r="H654" s="5"/>
      <c r="I654" s="5"/>
      <c r="J654" s="5"/>
      <c r="K654" s="5"/>
      <c r="L654" s="5"/>
      <c r="M654" s="5"/>
      <c r="N654" s="5"/>
      <c r="O654" s="5"/>
      <c r="P654" s="5"/>
      <c r="Q654" s="5"/>
      <c r="R654" s="5"/>
      <c r="S654" s="5"/>
      <c r="T654" s="5"/>
      <c r="U654" s="5"/>
      <c r="V654" s="5"/>
      <c r="W654" s="5"/>
    </row>
    <row r="655">
      <c r="A655" s="5"/>
      <c r="B655" s="5"/>
      <c r="C655" s="5"/>
      <c r="D655" s="5"/>
      <c r="E655" s="5"/>
      <c r="F655" s="5"/>
      <c r="G655" s="5"/>
      <c r="H655" s="5"/>
      <c r="I655" s="5"/>
      <c r="J655" s="5"/>
      <c r="K655" s="5"/>
      <c r="L655" s="5"/>
      <c r="M655" s="5"/>
      <c r="N655" s="5"/>
      <c r="O655" s="5"/>
      <c r="P655" s="5"/>
      <c r="Q655" s="5"/>
      <c r="R655" s="5"/>
      <c r="S655" s="5"/>
      <c r="T655" s="5"/>
      <c r="U655" s="5"/>
      <c r="V655" s="5"/>
      <c r="W655" s="5"/>
    </row>
    <row r="656">
      <c r="A656" s="5"/>
      <c r="B656" s="5"/>
      <c r="C656" s="5"/>
      <c r="D656" s="5"/>
      <c r="E656" s="5"/>
      <c r="F656" s="5"/>
      <c r="G656" s="5"/>
      <c r="H656" s="5"/>
      <c r="I656" s="5"/>
      <c r="J656" s="5"/>
      <c r="K656" s="5"/>
      <c r="L656" s="5"/>
      <c r="M656" s="5"/>
      <c r="N656" s="5"/>
      <c r="O656" s="5"/>
      <c r="P656" s="5"/>
      <c r="Q656" s="5"/>
      <c r="R656" s="5"/>
      <c r="S656" s="5"/>
      <c r="T656" s="5"/>
      <c r="U656" s="5"/>
      <c r="V656" s="5"/>
      <c r="W656" s="5"/>
    </row>
    <row r="657">
      <c r="A657" s="5"/>
      <c r="B657" s="5"/>
      <c r="C657" s="5"/>
      <c r="D657" s="5"/>
      <c r="E657" s="5"/>
      <c r="F657" s="5"/>
      <c r="G657" s="5"/>
      <c r="H657" s="5"/>
      <c r="I657" s="5"/>
      <c r="J657" s="5"/>
      <c r="K657" s="5"/>
      <c r="L657" s="5"/>
      <c r="M657" s="5"/>
      <c r="N657" s="5"/>
      <c r="O657" s="5"/>
      <c r="P657" s="5"/>
      <c r="Q657" s="5"/>
      <c r="R657" s="5"/>
      <c r="S657" s="5"/>
      <c r="T657" s="5"/>
      <c r="U657" s="5"/>
      <c r="V657" s="5"/>
      <c r="W657" s="5"/>
    </row>
    <row r="658">
      <c r="A658" s="5"/>
      <c r="B658" s="5"/>
      <c r="C658" s="5"/>
      <c r="D658" s="5"/>
      <c r="E658" s="5"/>
      <c r="F658" s="5"/>
      <c r="G658" s="5"/>
      <c r="H658" s="5"/>
      <c r="I658" s="5"/>
      <c r="J658" s="5"/>
      <c r="K658" s="5"/>
      <c r="L658" s="5"/>
      <c r="M658" s="5"/>
      <c r="N658" s="5"/>
      <c r="O658" s="5"/>
      <c r="P658" s="5"/>
      <c r="Q658" s="5"/>
      <c r="R658" s="5"/>
      <c r="S658" s="5"/>
      <c r="T658" s="5"/>
      <c r="U658" s="5"/>
      <c r="V658" s="5"/>
      <c r="W658" s="5"/>
    </row>
    <row r="659">
      <c r="A659" s="5"/>
      <c r="B659" s="5"/>
      <c r="C659" s="5"/>
      <c r="D659" s="5"/>
      <c r="E659" s="5"/>
      <c r="F659" s="5"/>
      <c r="G659" s="5"/>
      <c r="H659" s="5"/>
      <c r="I659" s="5"/>
      <c r="J659" s="5"/>
      <c r="K659" s="5"/>
      <c r="L659" s="5"/>
      <c r="M659" s="5"/>
      <c r="N659" s="5"/>
      <c r="O659" s="5"/>
      <c r="P659" s="5"/>
      <c r="Q659" s="5"/>
      <c r="R659" s="5"/>
      <c r="S659" s="5"/>
      <c r="T659" s="5"/>
      <c r="U659" s="5"/>
      <c r="V659" s="5"/>
      <c r="W659" s="5"/>
    </row>
    <row r="660">
      <c r="A660" s="5"/>
      <c r="B660" s="5"/>
      <c r="C660" s="5"/>
      <c r="D660" s="5"/>
      <c r="E660" s="5"/>
      <c r="F660" s="5"/>
      <c r="G660" s="5"/>
      <c r="H660" s="5"/>
      <c r="I660" s="5"/>
      <c r="J660" s="5"/>
      <c r="K660" s="5"/>
      <c r="L660" s="5"/>
      <c r="M660" s="5"/>
      <c r="N660" s="5"/>
      <c r="O660" s="5"/>
      <c r="P660" s="5"/>
      <c r="Q660" s="5"/>
      <c r="R660" s="5"/>
      <c r="S660" s="5"/>
      <c r="T660" s="5"/>
      <c r="U660" s="5"/>
      <c r="V660" s="5"/>
      <c r="W660" s="5"/>
    </row>
    <row r="661">
      <c r="A661" s="5"/>
      <c r="B661" s="5"/>
      <c r="C661" s="5"/>
      <c r="D661" s="5"/>
      <c r="E661" s="5"/>
      <c r="F661" s="5"/>
      <c r="G661" s="5"/>
      <c r="H661" s="5"/>
      <c r="I661" s="5"/>
      <c r="J661" s="5"/>
      <c r="K661" s="5"/>
      <c r="L661" s="5"/>
      <c r="M661" s="5"/>
      <c r="N661" s="5"/>
      <c r="O661" s="5"/>
      <c r="P661" s="5"/>
      <c r="Q661" s="5"/>
      <c r="R661" s="5"/>
      <c r="S661" s="5"/>
      <c r="T661" s="5"/>
      <c r="U661" s="5"/>
      <c r="V661" s="5"/>
      <c r="W661" s="5"/>
    </row>
    <row r="662">
      <c r="A662" s="5"/>
      <c r="B662" s="5"/>
      <c r="C662" s="5"/>
      <c r="D662" s="5"/>
      <c r="E662" s="5"/>
      <c r="F662" s="5"/>
      <c r="G662" s="5"/>
      <c r="H662" s="5"/>
      <c r="I662" s="5"/>
      <c r="J662" s="5"/>
      <c r="K662" s="5"/>
      <c r="L662" s="5"/>
      <c r="M662" s="5"/>
      <c r="N662" s="5"/>
      <c r="O662" s="5"/>
      <c r="P662" s="5"/>
      <c r="Q662" s="5"/>
      <c r="R662" s="5"/>
      <c r="S662" s="5"/>
      <c r="T662" s="5"/>
      <c r="U662" s="5"/>
      <c r="V662" s="5"/>
      <c r="W662" s="5"/>
    </row>
    <row r="663">
      <c r="A663" s="5"/>
      <c r="B663" s="5"/>
      <c r="C663" s="5"/>
      <c r="D663" s="5"/>
      <c r="E663" s="5"/>
      <c r="F663" s="5"/>
      <c r="G663" s="5"/>
      <c r="H663" s="5"/>
      <c r="I663" s="5"/>
      <c r="J663" s="5"/>
      <c r="K663" s="5"/>
      <c r="L663" s="5"/>
      <c r="M663" s="5"/>
      <c r="N663" s="5"/>
      <c r="O663" s="5"/>
      <c r="P663" s="5"/>
      <c r="Q663" s="5"/>
      <c r="R663" s="5"/>
      <c r="S663" s="5"/>
      <c r="T663" s="5"/>
      <c r="U663" s="5"/>
      <c r="V663" s="5"/>
      <c r="W663" s="5"/>
    </row>
    <row r="664">
      <c r="A664" s="5"/>
      <c r="B664" s="5"/>
      <c r="C664" s="5"/>
      <c r="D664" s="5"/>
      <c r="E664" s="5"/>
      <c r="F664" s="5"/>
      <c r="G664" s="5"/>
      <c r="H664" s="5"/>
      <c r="I664" s="5"/>
      <c r="J664" s="5"/>
      <c r="K664" s="5"/>
      <c r="L664" s="5"/>
      <c r="M664" s="5"/>
      <c r="N664" s="5"/>
      <c r="O664" s="5"/>
      <c r="P664" s="5"/>
      <c r="Q664" s="5"/>
      <c r="R664" s="5"/>
      <c r="S664" s="5"/>
      <c r="T664" s="5"/>
      <c r="U664" s="5"/>
      <c r="V664" s="5"/>
      <c r="W664" s="5"/>
    </row>
    <row r="665">
      <c r="A665" s="5"/>
      <c r="B665" s="5"/>
      <c r="C665" s="5"/>
      <c r="D665" s="5"/>
      <c r="E665" s="5"/>
      <c r="F665" s="5"/>
      <c r="G665" s="5"/>
      <c r="H665" s="5"/>
      <c r="I665" s="5"/>
      <c r="J665" s="5"/>
      <c r="K665" s="5"/>
      <c r="L665" s="5"/>
      <c r="M665" s="5"/>
      <c r="N665" s="5"/>
      <c r="O665" s="5"/>
      <c r="P665" s="5"/>
      <c r="Q665" s="5"/>
      <c r="R665" s="5"/>
      <c r="S665" s="5"/>
      <c r="T665" s="5"/>
      <c r="U665" s="5"/>
      <c r="V665" s="5"/>
      <c r="W665" s="5"/>
    </row>
    <row r="666">
      <c r="A666" s="5"/>
      <c r="B666" s="5"/>
      <c r="C666" s="5"/>
      <c r="D666" s="5"/>
      <c r="E666" s="5"/>
      <c r="F666" s="5"/>
      <c r="G666" s="5"/>
      <c r="H666" s="5"/>
      <c r="I666" s="5"/>
      <c r="J666" s="5"/>
      <c r="K666" s="5"/>
      <c r="L666" s="5"/>
      <c r="M666" s="5"/>
      <c r="N666" s="5"/>
      <c r="O666" s="5"/>
      <c r="P666" s="5"/>
      <c r="Q666" s="5"/>
      <c r="R666" s="5"/>
      <c r="S666" s="5"/>
      <c r="T666" s="5"/>
      <c r="U666" s="5"/>
      <c r="V666" s="5"/>
      <c r="W666" s="5"/>
    </row>
    <row r="667">
      <c r="A667" s="5"/>
      <c r="B667" s="5"/>
      <c r="C667" s="5"/>
      <c r="D667" s="5"/>
      <c r="E667" s="5"/>
      <c r="F667" s="5"/>
      <c r="G667" s="5"/>
      <c r="H667" s="5"/>
      <c r="I667" s="5"/>
      <c r="J667" s="5"/>
      <c r="K667" s="5"/>
      <c r="L667" s="5"/>
      <c r="M667" s="5"/>
      <c r="N667" s="5"/>
      <c r="O667" s="5"/>
      <c r="P667" s="5"/>
      <c r="Q667" s="5"/>
      <c r="R667" s="5"/>
      <c r="S667" s="5"/>
      <c r="T667" s="5"/>
      <c r="U667" s="5"/>
      <c r="V667" s="5"/>
      <c r="W667" s="5"/>
    </row>
    <row r="668">
      <c r="A668" s="5"/>
      <c r="B668" s="5"/>
      <c r="C668" s="5"/>
      <c r="D668" s="5"/>
      <c r="E668" s="5"/>
      <c r="F668" s="5"/>
      <c r="G668" s="5"/>
      <c r="H668" s="5"/>
      <c r="I668" s="5"/>
      <c r="J668" s="5"/>
      <c r="K668" s="5"/>
      <c r="L668" s="5"/>
      <c r="M668" s="5"/>
      <c r="N668" s="5"/>
      <c r="O668" s="5"/>
      <c r="P668" s="5"/>
      <c r="Q668" s="5"/>
      <c r="R668" s="5"/>
      <c r="S668" s="5"/>
      <c r="T668" s="5"/>
      <c r="U668" s="5"/>
      <c r="V668" s="5"/>
      <c r="W668" s="5"/>
    </row>
    <row r="669">
      <c r="A669" s="5"/>
      <c r="B669" s="5"/>
      <c r="C669" s="5"/>
      <c r="D669" s="5"/>
      <c r="E669" s="5"/>
      <c r="F669" s="5"/>
      <c r="G669" s="5"/>
      <c r="H669" s="5"/>
      <c r="I669" s="5"/>
      <c r="J669" s="5"/>
      <c r="K669" s="5"/>
      <c r="L669" s="5"/>
      <c r="M669" s="5"/>
      <c r="N669" s="5"/>
      <c r="O669" s="5"/>
      <c r="P669" s="5"/>
      <c r="Q669" s="5"/>
      <c r="R669" s="5"/>
      <c r="S669" s="5"/>
      <c r="T669" s="5"/>
      <c r="U669" s="5"/>
      <c r="V669" s="5"/>
      <c r="W669" s="5"/>
    </row>
    <row r="670">
      <c r="A670" s="5"/>
      <c r="B670" s="5"/>
      <c r="C670" s="5"/>
      <c r="D670" s="5"/>
      <c r="E670" s="5"/>
      <c r="F670" s="5"/>
      <c r="G670" s="5"/>
      <c r="H670" s="5"/>
      <c r="I670" s="5"/>
      <c r="J670" s="5"/>
      <c r="K670" s="5"/>
      <c r="L670" s="5"/>
      <c r="M670" s="5"/>
      <c r="N670" s="5"/>
      <c r="O670" s="5"/>
      <c r="P670" s="5"/>
      <c r="Q670" s="5"/>
      <c r="R670" s="5"/>
      <c r="S670" s="5"/>
      <c r="T670" s="5"/>
      <c r="U670" s="5"/>
      <c r="V670" s="5"/>
      <c r="W670" s="5"/>
    </row>
    <row r="671">
      <c r="A671" s="5"/>
      <c r="B671" s="5"/>
      <c r="C671" s="5"/>
      <c r="D671" s="5"/>
      <c r="E671" s="5"/>
      <c r="F671" s="5"/>
      <c r="G671" s="5"/>
      <c r="H671" s="5"/>
      <c r="I671" s="5"/>
      <c r="J671" s="5"/>
      <c r="K671" s="5"/>
      <c r="L671" s="5"/>
      <c r="M671" s="5"/>
      <c r="N671" s="5"/>
      <c r="O671" s="5"/>
      <c r="P671" s="5"/>
      <c r="Q671" s="5"/>
      <c r="R671" s="5"/>
      <c r="S671" s="5"/>
      <c r="T671" s="5"/>
      <c r="U671" s="5"/>
      <c r="V671" s="5"/>
      <c r="W671" s="5"/>
    </row>
    <row r="672">
      <c r="A672" s="5"/>
      <c r="B672" s="5"/>
      <c r="C672" s="5"/>
      <c r="D672" s="5"/>
      <c r="E672" s="5"/>
      <c r="F672" s="5"/>
      <c r="G672" s="5"/>
      <c r="H672" s="5"/>
      <c r="I672" s="5"/>
      <c r="J672" s="5"/>
      <c r="K672" s="5"/>
      <c r="L672" s="5"/>
      <c r="M672" s="5"/>
      <c r="N672" s="5"/>
      <c r="O672" s="5"/>
      <c r="P672" s="5"/>
      <c r="Q672" s="5"/>
      <c r="R672" s="5"/>
      <c r="S672" s="5"/>
      <c r="T672" s="5"/>
      <c r="U672" s="5"/>
      <c r="V672" s="5"/>
      <c r="W672" s="5"/>
    </row>
    <row r="673">
      <c r="A673" s="5"/>
      <c r="B673" s="5"/>
      <c r="C673" s="5"/>
      <c r="D673" s="5"/>
      <c r="E673" s="5"/>
      <c r="F673" s="5"/>
      <c r="G673" s="5"/>
      <c r="H673" s="5"/>
      <c r="I673" s="5"/>
      <c r="J673" s="5"/>
      <c r="K673" s="5"/>
      <c r="L673" s="5"/>
      <c r="M673" s="5"/>
      <c r="N673" s="5"/>
      <c r="O673" s="5"/>
      <c r="P673" s="5"/>
      <c r="Q673" s="5"/>
      <c r="R673" s="5"/>
      <c r="S673" s="5"/>
      <c r="T673" s="5"/>
      <c r="U673" s="5"/>
      <c r="V673" s="5"/>
      <c r="W673" s="5"/>
    </row>
    <row r="674">
      <c r="A674" s="5"/>
      <c r="B674" s="5"/>
      <c r="C674" s="5"/>
      <c r="D674" s="5"/>
      <c r="E674" s="5"/>
      <c r="F674" s="5"/>
      <c r="G674" s="5"/>
      <c r="H674" s="5"/>
      <c r="I674" s="5"/>
      <c r="J674" s="5"/>
      <c r="K674" s="5"/>
      <c r="L674" s="5"/>
      <c r="M674" s="5"/>
      <c r="N674" s="5"/>
      <c r="O674" s="5"/>
      <c r="P674" s="5"/>
      <c r="Q674" s="5"/>
      <c r="R674" s="5"/>
      <c r="S674" s="5"/>
      <c r="T674" s="5"/>
      <c r="U674" s="5"/>
      <c r="V674" s="5"/>
      <c r="W674" s="5"/>
    </row>
    <row r="675">
      <c r="A675" s="5"/>
      <c r="B675" s="5"/>
      <c r="C675" s="5"/>
      <c r="D675" s="5"/>
      <c r="E675" s="5"/>
      <c r="F675" s="5"/>
      <c r="G675" s="5"/>
      <c r="H675" s="5"/>
      <c r="I675" s="5"/>
      <c r="J675" s="5"/>
      <c r="K675" s="5"/>
      <c r="L675" s="5"/>
      <c r="M675" s="5"/>
      <c r="N675" s="5"/>
      <c r="O675" s="5"/>
      <c r="P675" s="5"/>
      <c r="Q675" s="5"/>
      <c r="R675" s="5"/>
      <c r="S675" s="5"/>
      <c r="T675" s="5"/>
      <c r="U675" s="5"/>
      <c r="V675" s="5"/>
      <c r="W675" s="5"/>
    </row>
    <row r="676">
      <c r="A676" s="5"/>
      <c r="B676" s="5"/>
      <c r="C676" s="5"/>
      <c r="D676" s="5"/>
      <c r="E676" s="5"/>
      <c r="F676" s="5"/>
      <c r="G676" s="5"/>
      <c r="H676" s="5"/>
      <c r="I676" s="5"/>
      <c r="J676" s="5"/>
      <c r="K676" s="5"/>
      <c r="L676" s="5"/>
      <c r="M676" s="5"/>
      <c r="N676" s="5"/>
      <c r="O676" s="5"/>
      <c r="P676" s="5"/>
      <c r="Q676" s="5"/>
      <c r="R676" s="5"/>
      <c r="S676" s="5"/>
      <c r="T676" s="5"/>
      <c r="U676" s="5"/>
      <c r="V676" s="5"/>
      <c r="W676" s="5"/>
    </row>
    <row r="677">
      <c r="A677" s="5"/>
      <c r="B677" s="5"/>
      <c r="C677" s="5"/>
      <c r="D677" s="5"/>
      <c r="E677" s="5"/>
      <c r="F677" s="5"/>
      <c r="G677" s="5"/>
      <c r="H677" s="5"/>
      <c r="I677" s="5"/>
      <c r="J677" s="5"/>
      <c r="K677" s="5"/>
      <c r="L677" s="5"/>
      <c r="M677" s="5"/>
      <c r="N677" s="5"/>
      <c r="O677" s="5"/>
      <c r="P677" s="5"/>
      <c r="Q677" s="5"/>
      <c r="R677" s="5"/>
      <c r="S677" s="5"/>
      <c r="T677" s="5"/>
      <c r="U677" s="5"/>
      <c r="V677" s="5"/>
      <c r="W677" s="5"/>
    </row>
    <row r="678">
      <c r="A678" s="5"/>
      <c r="B678" s="5"/>
      <c r="C678" s="5"/>
      <c r="D678" s="5"/>
      <c r="E678" s="5"/>
      <c r="F678" s="5"/>
      <c r="G678" s="5"/>
      <c r="H678" s="5"/>
      <c r="I678" s="5"/>
      <c r="J678" s="5"/>
      <c r="K678" s="5"/>
      <c r="L678" s="5"/>
      <c r="M678" s="5"/>
      <c r="N678" s="5"/>
      <c r="O678" s="5"/>
      <c r="P678" s="5"/>
      <c r="Q678" s="5"/>
      <c r="R678" s="5"/>
      <c r="S678" s="5"/>
      <c r="T678" s="5"/>
      <c r="U678" s="5"/>
      <c r="V678" s="5"/>
      <c r="W678" s="5"/>
    </row>
    <row r="679">
      <c r="A679" s="5"/>
      <c r="B679" s="5"/>
      <c r="C679" s="5"/>
      <c r="D679" s="5"/>
      <c r="E679" s="5"/>
      <c r="F679" s="5"/>
      <c r="G679" s="5"/>
      <c r="H679" s="5"/>
      <c r="I679" s="5"/>
      <c r="J679" s="5"/>
      <c r="K679" s="5"/>
      <c r="L679" s="5"/>
      <c r="M679" s="5"/>
      <c r="N679" s="5"/>
      <c r="O679" s="5"/>
      <c r="P679" s="5"/>
      <c r="Q679" s="5"/>
      <c r="R679" s="5"/>
      <c r="S679" s="5"/>
      <c r="T679" s="5"/>
      <c r="U679" s="5"/>
      <c r="V679" s="5"/>
      <c r="W679" s="5"/>
    </row>
    <row r="680">
      <c r="A680" s="5"/>
      <c r="B680" s="5"/>
      <c r="C680" s="5"/>
      <c r="D680" s="5"/>
      <c r="E680" s="5"/>
      <c r="F680" s="5"/>
      <c r="G680" s="5"/>
      <c r="H680" s="5"/>
      <c r="I680" s="5"/>
      <c r="J680" s="5"/>
      <c r="K680" s="5"/>
      <c r="L680" s="5"/>
      <c r="M680" s="5"/>
      <c r="N680" s="5"/>
      <c r="O680" s="5"/>
      <c r="P680" s="5"/>
      <c r="Q680" s="5"/>
      <c r="R680" s="5"/>
      <c r="S680" s="5"/>
      <c r="T680" s="5"/>
      <c r="U680" s="5"/>
      <c r="V680" s="5"/>
      <c r="W680" s="5"/>
    </row>
    <row r="681">
      <c r="A681" s="5"/>
      <c r="B681" s="5"/>
      <c r="C681" s="5"/>
      <c r="D681" s="5"/>
      <c r="E681" s="5"/>
      <c r="F681" s="5"/>
      <c r="G681" s="5"/>
      <c r="H681" s="5"/>
      <c r="I681" s="5"/>
      <c r="J681" s="5"/>
      <c r="K681" s="5"/>
      <c r="L681" s="5"/>
      <c r="M681" s="5"/>
      <c r="N681" s="5"/>
      <c r="O681" s="5"/>
      <c r="P681" s="5"/>
      <c r="Q681" s="5"/>
      <c r="R681" s="5"/>
      <c r="S681" s="5"/>
      <c r="T681" s="5"/>
      <c r="U681" s="5"/>
      <c r="V681" s="5"/>
      <c r="W681" s="5"/>
    </row>
    <row r="682">
      <c r="A682" s="5"/>
      <c r="B682" s="5"/>
      <c r="C682" s="5"/>
      <c r="D682" s="5"/>
      <c r="E682" s="5"/>
      <c r="F682" s="5"/>
      <c r="G682" s="5"/>
      <c r="H682" s="5"/>
      <c r="I682" s="5"/>
      <c r="J682" s="5"/>
      <c r="K682" s="5"/>
      <c r="L682" s="5"/>
      <c r="M682" s="5"/>
      <c r="N682" s="5"/>
      <c r="O682" s="5"/>
      <c r="P682" s="5"/>
      <c r="Q682" s="5"/>
      <c r="R682" s="5"/>
      <c r="S682" s="5"/>
      <c r="T682" s="5"/>
      <c r="U682" s="5"/>
      <c r="V682" s="5"/>
      <c r="W682" s="5"/>
    </row>
    <row r="683">
      <c r="A683" s="5"/>
      <c r="B683" s="5"/>
      <c r="C683" s="5"/>
      <c r="D683" s="5"/>
      <c r="E683" s="5"/>
      <c r="F683" s="5"/>
      <c r="G683" s="5"/>
      <c r="H683" s="5"/>
      <c r="I683" s="5"/>
      <c r="J683" s="5"/>
      <c r="K683" s="5"/>
      <c r="L683" s="5"/>
      <c r="M683" s="5"/>
      <c r="N683" s="5"/>
      <c r="O683" s="5"/>
      <c r="P683" s="5"/>
      <c r="Q683" s="5"/>
      <c r="R683" s="5"/>
      <c r="S683" s="5"/>
      <c r="T683" s="5"/>
      <c r="U683" s="5"/>
      <c r="V683" s="5"/>
      <c r="W683" s="5"/>
    </row>
    <row r="684">
      <c r="A684" s="5"/>
      <c r="B684" s="5"/>
      <c r="C684" s="5"/>
      <c r="D684" s="5"/>
      <c r="E684" s="5"/>
      <c r="F684" s="5"/>
      <c r="G684" s="5"/>
      <c r="H684" s="5"/>
      <c r="I684" s="5"/>
      <c r="J684" s="5"/>
      <c r="K684" s="5"/>
      <c r="L684" s="5"/>
      <c r="M684" s="5"/>
      <c r="N684" s="5"/>
      <c r="O684" s="5"/>
      <c r="P684" s="5"/>
      <c r="Q684" s="5"/>
      <c r="R684" s="5"/>
      <c r="S684" s="5"/>
      <c r="T684" s="5"/>
      <c r="U684" s="5"/>
      <c r="V684" s="5"/>
      <c r="W684" s="5"/>
    </row>
    <row r="685">
      <c r="A685" s="5"/>
      <c r="B685" s="5"/>
      <c r="C685" s="5"/>
      <c r="D685" s="5"/>
      <c r="E685" s="5"/>
      <c r="F685" s="5"/>
      <c r="G685" s="5"/>
      <c r="H685" s="5"/>
      <c r="I685" s="5"/>
      <c r="J685" s="5"/>
      <c r="K685" s="5"/>
      <c r="L685" s="5"/>
      <c r="M685" s="5"/>
      <c r="N685" s="5"/>
      <c r="O685" s="5"/>
      <c r="P685" s="5"/>
      <c r="Q685" s="5"/>
      <c r="R685" s="5"/>
      <c r="S685" s="5"/>
      <c r="T685" s="5"/>
      <c r="U685" s="5"/>
      <c r="V685" s="5"/>
      <c r="W685" s="5"/>
    </row>
    <row r="686">
      <c r="A686" s="5"/>
      <c r="B686" s="5"/>
      <c r="C686" s="5"/>
      <c r="D686" s="5"/>
      <c r="E686" s="5"/>
      <c r="F686" s="5"/>
      <c r="G686" s="5"/>
      <c r="H686" s="5"/>
      <c r="I686" s="5"/>
      <c r="J686" s="5"/>
      <c r="K686" s="5"/>
      <c r="L686" s="5"/>
      <c r="M686" s="5"/>
      <c r="N686" s="5"/>
      <c r="O686" s="5"/>
      <c r="P686" s="5"/>
      <c r="Q686" s="5"/>
      <c r="R686" s="5"/>
      <c r="S686" s="5"/>
      <c r="T686" s="5"/>
      <c r="U686" s="5"/>
      <c r="V686" s="5"/>
      <c r="W686" s="5"/>
    </row>
    <row r="687">
      <c r="A687" s="5"/>
      <c r="B687" s="5"/>
      <c r="C687" s="5"/>
      <c r="D687" s="5"/>
      <c r="E687" s="5"/>
      <c r="F687" s="5"/>
      <c r="G687" s="5"/>
      <c r="H687" s="5"/>
      <c r="I687" s="5"/>
      <c r="J687" s="5"/>
      <c r="K687" s="5"/>
      <c r="L687" s="5"/>
      <c r="M687" s="5"/>
      <c r="N687" s="5"/>
      <c r="O687" s="5"/>
      <c r="P687" s="5"/>
      <c r="Q687" s="5"/>
      <c r="R687" s="5"/>
      <c r="S687" s="5"/>
      <c r="T687" s="5"/>
      <c r="U687" s="5"/>
      <c r="V687" s="5"/>
      <c r="W687" s="5"/>
    </row>
    <row r="688">
      <c r="A688" s="5"/>
      <c r="B688" s="5"/>
      <c r="C688" s="5"/>
      <c r="D688" s="5"/>
      <c r="E688" s="5"/>
      <c r="F688" s="5"/>
      <c r="G688" s="5"/>
      <c r="H688" s="5"/>
      <c r="I688" s="5"/>
      <c r="J688" s="5"/>
      <c r="K688" s="5"/>
      <c r="L688" s="5"/>
      <c r="M688" s="5"/>
      <c r="N688" s="5"/>
      <c r="O688" s="5"/>
      <c r="P688" s="5"/>
      <c r="Q688" s="5"/>
      <c r="R688" s="5"/>
      <c r="S688" s="5"/>
      <c r="T688" s="5"/>
      <c r="U688" s="5"/>
      <c r="V688" s="5"/>
      <c r="W688" s="5"/>
    </row>
    <row r="689">
      <c r="A689" s="5"/>
      <c r="B689" s="5"/>
      <c r="C689" s="5"/>
      <c r="D689" s="5"/>
      <c r="E689" s="5"/>
      <c r="F689" s="5"/>
      <c r="G689" s="5"/>
      <c r="H689" s="5"/>
      <c r="I689" s="5"/>
      <c r="J689" s="5"/>
      <c r="K689" s="5"/>
      <c r="L689" s="5"/>
      <c r="M689" s="5"/>
      <c r="N689" s="5"/>
      <c r="O689" s="5"/>
      <c r="P689" s="5"/>
      <c r="Q689" s="5"/>
      <c r="R689" s="5"/>
      <c r="S689" s="5"/>
      <c r="T689" s="5"/>
      <c r="U689" s="5"/>
      <c r="V689" s="5"/>
      <c r="W689" s="5"/>
    </row>
    <row r="690">
      <c r="A690" s="5"/>
      <c r="B690" s="5"/>
      <c r="C690" s="5"/>
      <c r="D690" s="5"/>
      <c r="E690" s="5"/>
      <c r="F690" s="5"/>
      <c r="G690" s="5"/>
      <c r="H690" s="5"/>
      <c r="I690" s="5"/>
      <c r="J690" s="5"/>
      <c r="K690" s="5"/>
      <c r="L690" s="5"/>
      <c r="M690" s="5"/>
      <c r="N690" s="5"/>
      <c r="O690" s="5"/>
      <c r="P690" s="5"/>
      <c r="Q690" s="5"/>
      <c r="R690" s="5"/>
      <c r="S690" s="5"/>
      <c r="T690" s="5"/>
      <c r="U690" s="5"/>
      <c r="V690" s="5"/>
      <c r="W690" s="5"/>
    </row>
    <row r="691">
      <c r="A691" s="5"/>
      <c r="B691" s="5"/>
      <c r="C691" s="5"/>
      <c r="D691" s="5"/>
      <c r="E691" s="5"/>
      <c r="F691" s="5"/>
      <c r="G691" s="5"/>
      <c r="H691" s="5"/>
      <c r="I691" s="5"/>
      <c r="J691" s="5"/>
      <c r="K691" s="5"/>
      <c r="L691" s="5"/>
      <c r="M691" s="5"/>
      <c r="N691" s="5"/>
      <c r="O691" s="5"/>
      <c r="P691" s="5"/>
      <c r="Q691" s="5"/>
      <c r="R691" s="5"/>
      <c r="S691" s="5"/>
      <c r="T691" s="5"/>
      <c r="U691" s="5"/>
      <c r="V691" s="5"/>
      <c r="W691" s="5"/>
    </row>
    <row r="692">
      <c r="A692" s="5"/>
      <c r="B692" s="5"/>
      <c r="C692" s="5"/>
      <c r="D692" s="5"/>
      <c r="E692" s="5"/>
      <c r="F692" s="5"/>
      <c r="G692" s="5"/>
      <c r="H692" s="5"/>
      <c r="I692" s="5"/>
      <c r="J692" s="5"/>
      <c r="K692" s="5"/>
      <c r="L692" s="5"/>
      <c r="M692" s="5"/>
      <c r="N692" s="5"/>
      <c r="O692" s="5"/>
      <c r="P692" s="5"/>
      <c r="Q692" s="5"/>
      <c r="R692" s="5"/>
      <c r="S692" s="5"/>
      <c r="T692" s="5"/>
      <c r="U692" s="5"/>
      <c r="V692" s="5"/>
      <c r="W692" s="5"/>
    </row>
    <row r="693">
      <c r="A693" s="5"/>
      <c r="B693" s="5"/>
      <c r="C693" s="5"/>
      <c r="D693" s="5"/>
      <c r="E693" s="5"/>
      <c r="F693" s="5"/>
      <c r="G693" s="5"/>
      <c r="H693" s="5"/>
      <c r="I693" s="5"/>
      <c r="J693" s="5"/>
      <c r="K693" s="5"/>
      <c r="L693" s="5"/>
      <c r="M693" s="5"/>
      <c r="N693" s="5"/>
      <c r="O693" s="5"/>
      <c r="P693" s="5"/>
      <c r="Q693" s="5"/>
      <c r="R693" s="5"/>
      <c r="S693" s="5"/>
      <c r="T693" s="5"/>
      <c r="U693" s="5"/>
      <c r="V693" s="5"/>
      <c r="W693" s="5"/>
    </row>
    <row r="694">
      <c r="A694" s="5"/>
      <c r="B694" s="5"/>
      <c r="C694" s="5"/>
      <c r="D694" s="5"/>
      <c r="E694" s="5"/>
      <c r="F694" s="5"/>
      <c r="G694" s="5"/>
      <c r="H694" s="5"/>
      <c r="I694" s="5"/>
      <c r="J694" s="5"/>
      <c r="K694" s="5"/>
      <c r="L694" s="5"/>
      <c r="M694" s="5"/>
      <c r="N694" s="5"/>
      <c r="O694" s="5"/>
      <c r="P694" s="5"/>
      <c r="Q694" s="5"/>
      <c r="R694" s="5"/>
      <c r="S694" s="5"/>
      <c r="T694" s="5"/>
      <c r="U694" s="5"/>
      <c r="V694" s="5"/>
      <c r="W694" s="5"/>
    </row>
    <row r="695">
      <c r="A695" s="5"/>
      <c r="B695" s="5"/>
      <c r="C695" s="5"/>
      <c r="D695" s="5"/>
      <c r="E695" s="5"/>
      <c r="F695" s="5"/>
      <c r="G695" s="5"/>
      <c r="H695" s="5"/>
      <c r="I695" s="5"/>
      <c r="J695" s="5"/>
      <c r="K695" s="5"/>
      <c r="L695" s="5"/>
      <c r="M695" s="5"/>
      <c r="N695" s="5"/>
      <c r="O695" s="5"/>
      <c r="P695" s="5"/>
      <c r="Q695" s="5"/>
      <c r="R695" s="5"/>
      <c r="S695" s="5"/>
      <c r="T695" s="5"/>
      <c r="U695" s="5"/>
      <c r="V695" s="5"/>
      <c r="W695" s="5"/>
    </row>
    <row r="696">
      <c r="A696" s="5"/>
      <c r="B696" s="5"/>
      <c r="C696" s="5"/>
      <c r="D696" s="5"/>
      <c r="E696" s="5"/>
      <c r="F696" s="5"/>
      <c r="G696" s="5"/>
      <c r="H696" s="5"/>
      <c r="I696" s="5"/>
      <c r="J696" s="5"/>
      <c r="K696" s="5"/>
      <c r="L696" s="5"/>
      <c r="M696" s="5"/>
      <c r="N696" s="5"/>
      <c r="O696" s="5"/>
      <c r="P696" s="5"/>
      <c r="Q696" s="5"/>
      <c r="R696" s="5"/>
      <c r="S696" s="5"/>
      <c r="T696" s="5"/>
      <c r="U696" s="5"/>
      <c r="V696" s="5"/>
      <c r="W696" s="5"/>
    </row>
    <row r="697">
      <c r="A697" s="5"/>
      <c r="B697" s="5"/>
      <c r="C697" s="5"/>
      <c r="D697" s="5"/>
      <c r="E697" s="5"/>
      <c r="F697" s="5"/>
      <c r="G697" s="5"/>
      <c r="H697" s="5"/>
      <c r="I697" s="5"/>
      <c r="J697" s="5"/>
      <c r="K697" s="5"/>
      <c r="L697" s="5"/>
      <c r="M697" s="5"/>
      <c r="N697" s="5"/>
      <c r="O697" s="5"/>
      <c r="P697" s="5"/>
      <c r="Q697" s="5"/>
      <c r="R697" s="5"/>
      <c r="S697" s="5"/>
      <c r="T697" s="5"/>
      <c r="U697" s="5"/>
      <c r="V697" s="5"/>
      <c r="W697" s="5"/>
    </row>
    <row r="698">
      <c r="A698" s="5"/>
      <c r="B698" s="5"/>
      <c r="C698" s="5"/>
      <c r="D698" s="5"/>
      <c r="E698" s="5"/>
      <c r="F698" s="5"/>
      <c r="G698" s="5"/>
      <c r="H698" s="5"/>
      <c r="I698" s="5"/>
      <c r="J698" s="5"/>
      <c r="K698" s="5"/>
      <c r="L698" s="5"/>
      <c r="M698" s="5"/>
      <c r="N698" s="5"/>
      <c r="O698" s="5"/>
      <c r="P698" s="5"/>
      <c r="Q698" s="5"/>
      <c r="R698" s="5"/>
      <c r="S698" s="5"/>
      <c r="T698" s="5"/>
      <c r="U698" s="5"/>
      <c r="V698" s="5"/>
      <c r="W698" s="5"/>
    </row>
    <row r="699">
      <c r="A699" s="5"/>
      <c r="B699" s="5"/>
      <c r="C699" s="5"/>
      <c r="D699" s="5"/>
      <c r="E699" s="5"/>
      <c r="F699" s="5"/>
      <c r="G699" s="5"/>
      <c r="H699" s="5"/>
      <c r="I699" s="5"/>
      <c r="J699" s="5"/>
      <c r="K699" s="5"/>
      <c r="L699" s="5"/>
      <c r="M699" s="5"/>
      <c r="N699" s="5"/>
      <c r="O699" s="5"/>
      <c r="P699" s="5"/>
      <c r="Q699" s="5"/>
      <c r="R699" s="5"/>
      <c r="S699" s="5"/>
      <c r="T699" s="5"/>
      <c r="U699" s="5"/>
      <c r="V699" s="5"/>
      <c r="W699" s="5"/>
    </row>
    <row r="700">
      <c r="A700" s="5"/>
      <c r="B700" s="5"/>
      <c r="C700" s="5"/>
      <c r="D700" s="5"/>
      <c r="E700" s="5"/>
      <c r="F700" s="5"/>
      <c r="G700" s="5"/>
      <c r="H700" s="5"/>
      <c r="I700" s="5"/>
      <c r="J700" s="5"/>
      <c r="K700" s="5"/>
      <c r="L700" s="5"/>
      <c r="M700" s="5"/>
      <c r="N700" s="5"/>
      <c r="O700" s="5"/>
      <c r="P700" s="5"/>
      <c r="Q700" s="5"/>
      <c r="R700" s="5"/>
      <c r="S700" s="5"/>
      <c r="T700" s="5"/>
      <c r="U700" s="5"/>
      <c r="V700" s="5"/>
      <c r="W700" s="5"/>
    </row>
    <row r="701">
      <c r="A701" s="5"/>
      <c r="B701" s="5"/>
      <c r="C701" s="5"/>
      <c r="D701" s="5"/>
      <c r="E701" s="5"/>
      <c r="F701" s="5"/>
      <c r="G701" s="5"/>
      <c r="H701" s="5"/>
      <c r="I701" s="5"/>
      <c r="J701" s="5"/>
      <c r="K701" s="5"/>
      <c r="L701" s="5"/>
      <c r="M701" s="5"/>
      <c r="N701" s="5"/>
      <c r="O701" s="5"/>
      <c r="P701" s="5"/>
      <c r="Q701" s="5"/>
      <c r="R701" s="5"/>
      <c r="S701" s="5"/>
      <c r="T701" s="5"/>
      <c r="U701" s="5"/>
      <c r="V701" s="5"/>
      <c r="W701" s="5"/>
    </row>
    <row r="702">
      <c r="A702" s="5"/>
      <c r="B702" s="5"/>
      <c r="C702" s="5"/>
      <c r="D702" s="5"/>
      <c r="E702" s="5"/>
      <c r="F702" s="5"/>
      <c r="G702" s="5"/>
      <c r="H702" s="5"/>
      <c r="I702" s="5"/>
      <c r="J702" s="5"/>
      <c r="K702" s="5"/>
      <c r="L702" s="5"/>
      <c r="M702" s="5"/>
      <c r="N702" s="5"/>
      <c r="O702" s="5"/>
      <c r="P702" s="5"/>
      <c r="Q702" s="5"/>
      <c r="R702" s="5"/>
      <c r="S702" s="5"/>
      <c r="T702" s="5"/>
      <c r="U702" s="5"/>
      <c r="V702" s="5"/>
      <c r="W702" s="5"/>
    </row>
    <row r="703">
      <c r="A703" s="5"/>
      <c r="B703" s="5"/>
      <c r="C703" s="5"/>
      <c r="D703" s="5"/>
      <c r="E703" s="5"/>
      <c r="F703" s="5"/>
      <c r="G703" s="5"/>
      <c r="H703" s="5"/>
      <c r="I703" s="5"/>
      <c r="J703" s="5"/>
      <c r="K703" s="5"/>
      <c r="L703" s="5"/>
      <c r="M703" s="5"/>
      <c r="N703" s="5"/>
      <c r="O703" s="5"/>
      <c r="P703" s="5"/>
      <c r="Q703" s="5"/>
      <c r="R703" s="5"/>
      <c r="S703" s="5"/>
      <c r="T703" s="5"/>
      <c r="U703" s="5"/>
      <c r="V703" s="5"/>
      <c r="W703" s="5"/>
    </row>
    <row r="704">
      <c r="A704" s="5"/>
      <c r="B704" s="5"/>
      <c r="C704" s="5"/>
      <c r="D704" s="5"/>
      <c r="E704" s="5"/>
      <c r="F704" s="5"/>
      <c r="G704" s="5"/>
      <c r="H704" s="5"/>
      <c r="I704" s="5"/>
      <c r="J704" s="5"/>
      <c r="K704" s="5"/>
      <c r="L704" s="5"/>
      <c r="M704" s="5"/>
      <c r="N704" s="5"/>
      <c r="O704" s="5"/>
      <c r="P704" s="5"/>
      <c r="Q704" s="5"/>
      <c r="R704" s="5"/>
      <c r="S704" s="5"/>
      <c r="T704" s="5"/>
      <c r="U704" s="5"/>
      <c r="V704" s="5"/>
      <c r="W704" s="5"/>
    </row>
    <row r="705">
      <c r="A705" s="5"/>
      <c r="B705" s="5"/>
      <c r="C705" s="5"/>
      <c r="D705" s="5"/>
      <c r="E705" s="5"/>
      <c r="F705" s="5"/>
      <c r="G705" s="5"/>
      <c r="H705" s="5"/>
      <c r="I705" s="5"/>
      <c r="J705" s="5"/>
      <c r="K705" s="5"/>
      <c r="L705" s="5"/>
      <c r="M705" s="5"/>
      <c r="N705" s="5"/>
      <c r="O705" s="5"/>
      <c r="P705" s="5"/>
      <c r="Q705" s="5"/>
      <c r="R705" s="5"/>
      <c r="S705" s="5"/>
      <c r="T705" s="5"/>
      <c r="U705" s="5"/>
      <c r="V705" s="5"/>
      <c r="W705" s="5"/>
    </row>
    <row r="706">
      <c r="A706" s="5"/>
      <c r="B706" s="5"/>
      <c r="C706" s="5"/>
      <c r="D706" s="5"/>
      <c r="E706" s="5"/>
      <c r="F706" s="5"/>
      <c r="G706" s="5"/>
      <c r="H706" s="5"/>
      <c r="I706" s="5"/>
      <c r="J706" s="5"/>
      <c r="K706" s="5"/>
      <c r="L706" s="5"/>
      <c r="M706" s="5"/>
      <c r="N706" s="5"/>
      <c r="O706" s="5"/>
      <c r="P706" s="5"/>
      <c r="Q706" s="5"/>
      <c r="R706" s="5"/>
      <c r="S706" s="5"/>
      <c r="T706" s="5"/>
      <c r="U706" s="5"/>
      <c r="V706" s="5"/>
      <c r="W706" s="5"/>
    </row>
    <row r="707">
      <c r="A707" s="5"/>
      <c r="B707" s="5"/>
      <c r="C707" s="5"/>
      <c r="D707" s="5"/>
      <c r="E707" s="5"/>
      <c r="F707" s="5"/>
      <c r="G707" s="5"/>
      <c r="H707" s="5"/>
      <c r="I707" s="5"/>
      <c r="J707" s="5"/>
      <c r="K707" s="5"/>
      <c r="L707" s="5"/>
      <c r="M707" s="5"/>
      <c r="N707" s="5"/>
      <c r="O707" s="5"/>
      <c r="P707" s="5"/>
      <c r="Q707" s="5"/>
      <c r="R707" s="5"/>
      <c r="S707" s="5"/>
      <c r="T707" s="5"/>
      <c r="U707" s="5"/>
      <c r="V707" s="5"/>
      <c r="W707" s="5"/>
    </row>
    <row r="708">
      <c r="A708" s="5"/>
      <c r="B708" s="5"/>
      <c r="C708" s="5"/>
      <c r="D708" s="5"/>
      <c r="E708" s="5"/>
      <c r="F708" s="5"/>
      <c r="G708" s="5"/>
      <c r="H708" s="5"/>
      <c r="I708" s="5"/>
      <c r="J708" s="5"/>
      <c r="K708" s="5"/>
      <c r="L708" s="5"/>
      <c r="M708" s="5"/>
      <c r="N708" s="5"/>
      <c r="O708" s="5"/>
      <c r="P708" s="5"/>
      <c r="Q708" s="5"/>
      <c r="R708" s="5"/>
      <c r="S708" s="5"/>
      <c r="T708" s="5"/>
      <c r="U708" s="5"/>
      <c r="V708" s="5"/>
      <c r="W708" s="5"/>
    </row>
    <row r="709">
      <c r="A709" s="5"/>
      <c r="B709" s="5"/>
      <c r="C709" s="5"/>
      <c r="D709" s="5"/>
      <c r="E709" s="5"/>
      <c r="F709" s="5"/>
      <c r="G709" s="5"/>
      <c r="H709" s="5"/>
      <c r="I709" s="5"/>
      <c r="J709" s="5"/>
      <c r="K709" s="5"/>
      <c r="L709" s="5"/>
      <c r="M709" s="5"/>
      <c r="N709" s="5"/>
      <c r="O709" s="5"/>
      <c r="P709" s="5"/>
      <c r="Q709" s="5"/>
      <c r="R709" s="5"/>
      <c r="S709" s="5"/>
      <c r="T709" s="5"/>
      <c r="U709" s="5"/>
      <c r="V709" s="5"/>
      <c r="W709" s="5"/>
    </row>
    <row r="710">
      <c r="A710" s="5"/>
      <c r="B710" s="5"/>
      <c r="C710" s="5"/>
      <c r="D710" s="5"/>
      <c r="E710" s="5"/>
      <c r="F710" s="5"/>
      <c r="G710" s="5"/>
      <c r="H710" s="5"/>
      <c r="I710" s="5"/>
      <c r="J710" s="5"/>
      <c r="K710" s="5"/>
      <c r="L710" s="5"/>
      <c r="M710" s="5"/>
      <c r="N710" s="5"/>
      <c r="O710" s="5"/>
      <c r="P710" s="5"/>
      <c r="Q710" s="5"/>
      <c r="R710" s="5"/>
      <c r="S710" s="5"/>
      <c r="T710" s="5"/>
      <c r="U710" s="5"/>
      <c r="V710" s="5"/>
      <c r="W710" s="5"/>
    </row>
    <row r="711">
      <c r="A711" s="5"/>
      <c r="B711" s="5"/>
      <c r="C711" s="5"/>
      <c r="D711" s="5"/>
      <c r="E711" s="5"/>
      <c r="F711" s="5"/>
      <c r="G711" s="5"/>
      <c r="H711" s="5"/>
      <c r="I711" s="5"/>
      <c r="J711" s="5"/>
      <c r="K711" s="5"/>
      <c r="L711" s="5"/>
      <c r="M711" s="5"/>
      <c r="N711" s="5"/>
      <c r="O711" s="5"/>
      <c r="P711" s="5"/>
      <c r="Q711" s="5"/>
      <c r="R711" s="5"/>
      <c r="S711" s="5"/>
      <c r="T711" s="5"/>
      <c r="U711" s="5"/>
      <c r="V711" s="5"/>
      <c r="W711" s="5"/>
    </row>
    <row r="712">
      <c r="A712" s="5"/>
      <c r="B712" s="5"/>
      <c r="C712" s="5"/>
      <c r="D712" s="5"/>
      <c r="E712" s="5"/>
      <c r="F712" s="5"/>
      <c r="G712" s="5"/>
      <c r="H712" s="5"/>
      <c r="I712" s="5"/>
      <c r="J712" s="5"/>
      <c r="K712" s="5"/>
      <c r="L712" s="5"/>
      <c r="M712" s="5"/>
      <c r="N712" s="5"/>
      <c r="O712" s="5"/>
      <c r="P712" s="5"/>
      <c r="Q712" s="5"/>
      <c r="R712" s="5"/>
      <c r="S712" s="5"/>
      <c r="T712" s="5"/>
      <c r="U712" s="5"/>
      <c r="V712" s="5"/>
      <c r="W712" s="5"/>
    </row>
    <row r="713">
      <c r="A713" s="5"/>
      <c r="B713" s="5"/>
      <c r="C713" s="5"/>
      <c r="D713" s="5"/>
      <c r="E713" s="5"/>
      <c r="F713" s="5"/>
      <c r="G713" s="5"/>
      <c r="H713" s="5"/>
      <c r="I713" s="5"/>
      <c r="J713" s="5"/>
      <c r="K713" s="5"/>
      <c r="L713" s="5"/>
      <c r="M713" s="5"/>
      <c r="N713" s="5"/>
      <c r="O713" s="5"/>
      <c r="P713" s="5"/>
      <c r="Q713" s="5"/>
      <c r="R713" s="5"/>
      <c r="S713" s="5"/>
      <c r="T713" s="5"/>
      <c r="U713" s="5"/>
      <c r="V713" s="5"/>
      <c r="W713" s="5"/>
    </row>
    <row r="714">
      <c r="A714" s="5"/>
      <c r="B714" s="5"/>
      <c r="C714" s="5"/>
      <c r="D714" s="5"/>
      <c r="E714" s="5"/>
      <c r="F714" s="5"/>
      <c r="G714" s="5"/>
      <c r="H714" s="5"/>
      <c r="I714" s="5"/>
      <c r="J714" s="5"/>
      <c r="K714" s="5"/>
      <c r="L714" s="5"/>
      <c r="M714" s="5"/>
      <c r="N714" s="5"/>
      <c r="O714" s="5"/>
      <c r="P714" s="5"/>
      <c r="Q714" s="5"/>
      <c r="R714" s="5"/>
      <c r="S714" s="5"/>
      <c r="T714" s="5"/>
      <c r="U714" s="5"/>
      <c r="V714" s="5"/>
      <c r="W714" s="5"/>
    </row>
    <row r="715">
      <c r="A715" s="5"/>
      <c r="B715" s="5"/>
      <c r="C715" s="5"/>
      <c r="D715" s="5"/>
      <c r="E715" s="5"/>
      <c r="F715" s="5"/>
      <c r="G715" s="5"/>
      <c r="H715" s="5"/>
      <c r="I715" s="5"/>
      <c r="J715" s="5"/>
      <c r="K715" s="5"/>
      <c r="L715" s="5"/>
      <c r="M715" s="5"/>
      <c r="N715" s="5"/>
      <c r="O715" s="5"/>
      <c r="P715" s="5"/>
      <c r="Q715" s="5"/>
      <c r="R715" s="5"/>
      <c r="S715" s="5"/>
      <c r="T715" s="5"/>
      <c r="U715" s="5"/>
      <c r="V715" s="5"/>
      <c r="W715" s="5"/>
    </row>
    <row r="716">
      <c r="A716" s="5"/>
      <c r="B716" s="5"/>
      <c r="C716" s="5"/>
      <c r="D716" s="5"/>
      <c r="E716" s="5"/>
      <c r="F716" s="5"/>
      <c r="G716" s="5"/>
      <c r="H716" s="5"/>
      <c r="I716" s="5"/>
      <c r="J716" s="5"/>
      <c r="K716" s="5"/>
      <c r="L716" s="5"/>
      <c r="M716" s="5"/>
      <c r="N716" s="5"/>
      <c r="O716" s="5"/>
      <c r="P716" s="5"/>
      <c r="Q716" s="5"/>
      <c r="R716" s="5"/>
      <c r="S716" s="5"/>
      <c r="T716" s="5"/>
      <c r="U716" s="5"/>
      <c r="V716" s="5"/>
      <c r="W716" s="5"/>
    </row>
    <row r="717">
      <c r="A717" s="5"/>
      <c r="B717" s="5"/>
      <c r="C717" s="5"/>
      <c r="D717" s="5"/>
      <c r="E717" s="5"/>
      <c r="F717" s="5"/>
      <c r="G717" s="5"/>
      <c r="H717" s="5"/>
      <c r="I717" s="5"/>
      <c r="J717" s="5"/>
      <c r="K717" s="5"/>
      <c r="L717" s="5"/>
      <c r="M717" s="5"/>
      <c r="N717" s="5"/>
      <c r="O717" s="5"/>
      <c r="P717" s="5"/>
      <c r="Q717" s="5"/>
      <c r="R717" s="5"/>
      <c r="S717" s="5"/>
      <c r="T717" s="5"/>
      <c r="U717" s="5"/>
      <c r="V717" s="5"/>
      <c r="W717" s="5"/>
    </row>
    <row r="718">
      <c r="A718" s="5"/>
      <c r="B718" s="5"/>
      <c r="C718" s="5"/>
      <c r="D718" s="5"/>
      <c r="E718" s="5"/>
      <c r="F718" s="5"/>
      <c r="G718" s="5"/>
      <c r="H718" s="5"/>
      <c r="I718" s="5"/>
      <c r="J718" s="5"/>
      <c r="K718" s="5"/>
      <c r="L718" s="5"/>
      <c r="M718" s="5"/>
      <c r="N718" s="5"/>
      <c r="O718" s="5"/>
      <c r="P718" s="5"/>
      <c r="Q718" s="5"/>
      <c r="R718" s="5"/>
      <c r="S718" s="5"/>
      <c r="T718" s="5"/>
      <c r="U718" s="5"/>
      <c r="V718" s="5"/>
      <c r="W718" s="5"/>
    </row>
    <row r="719">
      <c r="A719" s="5"/>
      <c r="B719" s="5"/>
      <c r="C719" s="5"/>
      <c r="D719" s="5"/>
      <c r="E719" s="5"/>
      <c r="F719" s="5"/>
      <c r="G719" s="5"/>
      <c r="H719" s="5"/>
      <c r="I719" s="5"/>
      <c r="J719" s="5"/>
      <c r="K719" s="5"/>
      <c r="L719" s="5"/>
      <c r="M719" s="5"/>
      <c r="N719" s="5"/>
      <c r="O719" s="5"/>
      <c r="P719" s="5"/>
      <c r="Q719" s="5"/>
      <c r="R719" s="5"/>
      <c r="S719" s="5"/>
      <c r="T719" s="5"/>
      <c r="U719" s="5"/>
      <c r="V719" s="5"/>
      <c r="W719" s="5"/>
    </row>
    <row r="720">
      <c r="A720" s="5"/>
      <c r="B720" s="5"/>
      <c r="C720" s="5"/>
      <c r="D720" s="5"/>
      <c r="E720" s="5"/>
      <c r="F720" s="5"/>
      <c r="G720" s="5"/>
      <c r="H720" s="5"/>
      <c r="I720" s="5"/>
      <c r="J720" s="5"/>
      <c r="K720" s="5"/>
      <c r="L720" s="5"/>
      <c r="M720" s="5"/>
      <c r="N720" s="5"/>
      <c r="O720" s="5"/>
      <c r="P720" s="5"/>
      <c r="Q720" s="5"/>
      <c r="R720" s="5"/>
      <c r="S720" s="5"/>
      <c r="T720" s="5"/>
      <c r="U720" s="5"/>
      <c r="V720" s="5"/>
      <c r="W720" s="5"/>
    </row>
    <row r="721">
      <c r="A721" s="5"/>
      <c r="B721" s="5"/>
      <c r="C721" s="5"/>
      <c r="D721" s="5"/>
      <c r="E721" s="5"/>
      <c r="F721" s="5"/>
      <c r="G721" s="5"/>
      <c r="H721" s="5"/>
      <c r="I721" s="5"/>
      <c r="J721" s="5"/>
      <c r="K721" s="5"/>
      <c r="L721" s="5"/>
      <c r="M721" s="5"/>
      <c r="N721" s="5"/>
      <c r="O721" s="5"/>
      <c r="P721" s="5"/>
      <c r="Q721" s="5"/>
      <c r="R721" s="5"/>
      <c r="S721" s="5"/>
      <c r="T721" s="5"/>
      <c r="U721" s="5"/>
      <c r="V721" s="5"/>
      <c r="W721" s="5"/>
    </row>
    <row r="722">
      <c r="A722" s="5"/>
      <c r="B722" s="5"/>
      <c r="C722" s="5"/>
      <c r="D722" s="5"/>
      <c r="E722" s="5"/>
      <c r="F722" s="5"/>
      <c r="G722" s="5"/>
      <c r="H722" s="5"/>
      <c r="I722" s="5"/>
      <c r="J722" s="5"/>
      <c r="K722" s="5"/>
      <c r="L722" s="5"/>
      <c r="M722" s="5"/>
      <c r="N722" s="5"/>
      <c r="O722" s="5"/>
      <c r="P722" s="5"/>
      <c r="Q722" s="5"/>
      <c r="R722" s="5"/>
      <c r="S722" s="5"/>
      <c r="T722" s="5"/>
      <c r="U722" s="5"/>
      <c r="V722" s="5"/>
      <c r="W722" s="5"/>
    </row>
    <row r="723">
      <c r="A723" s="5"/>
      <c r="B723" s="5"/>
      <c r="C723" s="5"/>
      <c r="D723" s="5"/>
      <c r="E723" s="5"/>
      <c r="F723" s="5"/>
      <c r="G723" s="5"/>
      <c r="H723" s="5"/>
      <c r="I723" s="5"/>
      <c r="J723" s="5"/>
      <c r="K723" s="5"/>
      <c r="L723" s="5"/>
      <c r="M723" s="5"/>
      <c r="N723" s="5"/>
      <c r="O723" s="5"/>
      <c r="P723" s="5"/>
      <c r="Q723" s="5"/>
      <c r="R723" s="5"/>
      <c r="S723" s="5"/>
      <c r="T723" s="5"/>
      <c r="U723" s="5"/>
      <c r="V723" s="5"/>
      <c r="W723" s="5"/>
    </row>
    <row r="724">
      <c r="A724" s="5"/>
      <c r="B724" s="5"/>
      <c r="C724" s="5"/>
      <c r="D724" s="5"/>
      <c r="E724" s="5"/>
      <c r="F724" s="5"/>
      <c r="G724" s="5"/>
      <c r="H724" s="5"/>
      <c r="I724" s="5"/>
      <c r="J724" s="5"/>
      <c r="K724" s="5"/>
      <c r="L724" s="5"/>
      <c r="M724" s="5"/>
      <c r="N724" s="5"/>
      <c r="O724" s="5"/>
      <c r="P724" s="5"/>
      <c r="Q724" s="5"/>
      <c r="R724" s="5"/>
      <c r="S724" s="5"/>
      <c r="T724" s="5"/>
      <c r="U724" s="5"/>
      <c r="V724" s="5"/>
      <c r="W724" s="5"/>
    </row>
    <row r="725">
      <c r="A725" s="5"/>
      <c r="B725" s="5"/>
      <c r="C725" s="5"/>
      <c r="D725" s="5"/>
      <c r="E725" s="5"/>
      <c r="F725" s="5"/>
      <c r="G725" s="5"/>
      <c r="H725" s="5"/>
      <c r="I725" s="5"/>
      <c r="J725" s="5"/>
      <c r="K725" s="5"/>
      <c r="L725" s="5"/>
      <c r="M725" s="5"/>
      <c r="N725" s="5"/>
      <c r="O725" s="5"/>
      <c r="P725" s="5"/>
      <c r="Q725" s="5"/>
      <c r="R725" s="5"/>
      <c r="S725" s="5"/>
      <c r="T725" s="5"/>
      <c r="U725" s="5"/>
      <c r="V725" s="5"/>
      <c r="W725" s="5"/>
    </row>
    <row r="726">
      <c r="A726" s="5"/>
      <c r="B726" s="5"/>
      <c r="C726" s="5"/>
      <c r="D726" s="5"/>
      <c r="E726" s="5"/>
      <c r="F726" s="5"/>
      <c r="G726" s="5"/>
      <c r="H726" s="5"/>
      <c r="I726" s="5"/>
      <c r="J726" s="5"/>
      <c r="K726" s="5"/>
      <c r="L726" s="5"/>
      <c r="M726" s="5"/>
      <c r="N726" s="5"/>
      <c r="O726" s="5"/>
      <c r="P726" s="5"/>
      <c r="Q726" s="5"/>
      <c r="R726" s="5"/>
      <c r="S726" s="5"/>
      <c r="T726" s="5"/>
      <c r="U726" s="5"/>
      <c r="V726" s="5"/>
      <c r="W726" s="5"/>
    </row>
    <row r="727">
      <c r="A727" s="5"/>
      <c r="B727" s="5"/>
      <c r="C727" s="5"/>
      <c r="D727" s="5"/>
      <c r="E727" s="5"/>
      <c r="F727" s="5"/>
      <c r="G727" s="5"/>
      <c r="H727" s="5"/>
      <c r="I727" s="5"/>
      <c r="J727" s="5"/>
      <c r="K727" s="5"/>
      <c r="L727" s="5"/>
      <c r="M727" s="5"/>
      <c r="N727" s="5"/>
      <c r="O727" s="5"/>
      <c r="P727" s="5"/>
      <c r="Q727" s="5"/>
      <c r="R727" s="5"/>
      <c r="S727" s="5"/>
      <c r="T727" s="5"/>
      <c r="U727" s="5"/>
      <c r="V727" s="5"/>
      <c r="W727" s="5"/>
    </row>
    <row r="728">
      <c r="A728" s="5"/>
      <c r="B728" s="5"/>
      <c r="C728" s="5"/>
      <c r="D728" s="5"/>
      <c r="E728" s="5"/>
      <c r="F728" s="5"/>
      <c r="G728" s="5"/>
      <c r="H728" s="5"/>
      <c r="I728" s="5"/>
      <c r="J728" s="5"/>
      <c r="K728" s="5"/>
      <c r="L728" s="5"/>
      <c r="M728" s="5"/>
      <c r="N728" s="5"/>
      <c r="O728" s="5"/>
      <c r="P728" s="5"/>
      <c r="Q728" s="5"/>
      <c r="R728" s="5"/>
      <c r="S728" s="5"/>
      <c r="T728" s="5"/>
      <c r="U728" s="5"/>
      <c r="V728" s="5"/>
      <c r="W728" s="5"/>
    </row>
    <row r="729">
      <c r="A729" s="5"/>
      <c r="B729" s="5"/>
      <c r="C729" s="5"/>
      <c r="D729" s="5"/>
      <c r="E729" s="5"/>
      <c r="F729" s="5"/>
      <c r="G729" s="5"/>
      <c r="H729" s="5"/>
      <c r="I729" s="5"/>
      <c r="J729" s="5"/>
      <c r="K729" s="5"/>
      <c r="L729" s="5"/>
      <c r="M729" s="5"/>
      <c r="N729" s="5"/>
      <c r="O729" s="5"/>
      <c r="P729" s="5"/>
      <c r="Q729" s="5"/>
      <c r="R729" s="5"/>
      <c r="S729" s="5"/>
      <c r="T729" s="5"/>
      <c r="U729" s="5"/>
      <c r="V729" s="5"/>
      <c r="W729" s="5"/>
    </row>
    <row r="730">
      <c r="A730" s="5"/>
      <c r="B730" s="5"/>
      <c r="C730" s="5"/>
      <c r="D730" s="5"/>
      <c r="E730" s="5"/>
      <c r="F730" s="5"/>
      <c r="G730" s="5"/>
      <c r="H730" s="5"/>
      <c r="I730" s="5"/>
      <c r="J730" s="5"/>
      <c r="K730" s="5"/>
      <c r="L730" s="5"/>
      <c r="M730" s="5"/>
      <c r="N730" s="5"/>
      <c r="O730" s="5"/>
      <c r="P730" s="5"/>
      <c r="Q730" s="5"/>
      <c r="R730" s="5"/>
      <c r="S730" s="5"/>
      <c r="T730" s="5"/>
      <c r="U730" s="5"/>
      <c r="V730" s="5"/>
      <c r="W730" s="5"/>
    </row>
    <row r="731">
      <c r="A731" s="5"/>
      <c r="B731" s="5"/>
      <c r="C731" s="5"/>
      <c r="D731" s="5"/>
      <c r="E731" s="5"/>
      <c r="F731" s="5"/>
      <c r="G731" s="5"/>
      <c r="H731" s="5"/>
      <c r="I731" s="5"/>
      <c r="J731" s="5"/>
      <c r="K731" s="5"/>
      <c r="L731" s="5"/>
      <c r="M731" s="5"/>
      <c r="N731" s="5"/>
      <c r="O731" s="5"/>
      <c r="P731" s="5"/>
      <c r="Q731" s="5"/>
      <c r="R731" s="5"/>
      <c r="S731" s="5"/>
      <c r="T731" s="5"/>
      <c r="U731" s="5"/>
      <c r="V731" s="5"/>
      <c r="W731" s="5"/>
    </row>
    <row r="732">
      <c r="A732" s="5"/>
      <c r="B732" s="5"/>
      <c r="C732" s="5"/>
      <c r="D732" s="5"/>
      <c r="E732" s="5"/>
      <c r="F732" s="5"/>
      <c r="G732" s="5"/>
      <c r="H732" s="5"/>
      <c r="I732" s="5"/>
      <c r="J732" s="5"/>
      <c r="K732" s="5"/>
      <c r="L732" s="5"/>
      <c r="M732" s="5"/>
      <c r="N732" s="5"/>
      <c r="O732" s="5"/>
      <c r="P732" s="5"/>
      <c r="Q732" s="5"/>
      <c r="R732" s="5"/>
      <c r="S732" s="5"/>
      <c r="T732" s="5"/>
      <c r="U732" s="5"/>
      <c r="V732" s="5"/>
      <c r="W732" s="5"/>
    </row>
    <row r="733">
      <c r="A733" s="5"/>
      <c r="B733" s="5"/>
      <c r="C733" s="5"/>
      <c r="D733" s="5"/>
      <c r="E733" s="5"/>
      <c r="F733" s="5"/>
      <c r="G733" s="5"/>
      <c r="H733" s="5"/>
      <c r="I733" s="5"/>
      <c r="J733" s="5"/>
      <c r="K733" s="5"/>
      <c r="L733" s="5"/>
      <c r="M733" s="5"/>
      <c r="N733" s="5"/>
      <c r="O733" s="5"/>
      <c r="P733" s="5"/>
      <c r="Q733" s="5"/>
      <c r="R733" s="5"/>
      <c r="S733" s="5"/>
      <c r="T733" s="5"/>
      <c r="U733" s="5"/>
      <c r="V733" s="5"/>
      <c r="W733" s="5"/>
    </row>
    <row r="734">
      <c r="A734" s="5"/>
      <c r="B734" s="5"/>
      <c r="C734" s="5"/>
      <c r="D734" s="5"/>
      <c r="E734" s="5"/>
      <c r="F734" s="5"/>
      <c r="G734" s="5"/>
      <c r="H734" s="5"/>
      <c r="I734" s="5"/>
      <c r="J734" s="5"/>
      <c r="K734" s="5"/>
      <c r="L734" s="5"/>
      <c r="M734" s="5"/>
      <c r="N734" s="5"/>
      <c r="O734" s="5"/>
      <c r="P734" s="5"/>
      <c r="Q734" s="5"/>
      <c r="R734" s="5"/>
      <c r="S734" s="5"/>
      <c r="T734" s="5"/>
      <c r="U734" s="5"/>
      <c r="V734" s="5"/>
      <c r="W734" s="5"/>
    </row>
    <row r="735">
      <c r="A735" s="5"/>
      <c r="B735" s="5"/>
      <c r="C735" s="5"/>
      <c r="D735" s="5"/>
      <c r="E735" s="5"/>
      <c r="F735" s="5"/>
      <c r="G735" s="5"/>
      <c r="H735" s="5"/>
      <c r="I735" s="5"/>
      <c r="J735" s="5"/>
      <c r="K735" s="5"/>
      <c r="L735" s="5"/>
      <c r="M735" s="5"/>
      <c r="N735" s="5"/>
      <c r="O735" s="5"/>
      <c r="P735" s="5"/>
      <c r="Q735" s="5"/>
      <c r="R735" s="5"/>
      <c r="S735" s="5"/>
      <c r="T735" s="5"/>
      <c r="U735" s="5"/>
      <c r="V735" s="5"/>
      <c r="W735" s="5"/>
    </row>
    <row r="736">
      <c r="A736" s="5"/>
      <c r="B736" s="5"/>
      <c r="C736" s="5"/>
      <c r="D736" s="5"/>
      <c r="E736" s="5"/>
      <c r="F736" s="5"/>
      <c r="G736" s="5"/>
      <c r="H736" s="5"/>
      <c r="I736" s="5"/>
      <c r="J736" s="5"/>
      <c r="K736" s="5"/>
      <c r="L736" s="5"/>
      <c r="M736" s="5"/>
      <c r="N736" s="5"/>
      <c r="O736" s="5"/>
      <c r="P736" s="5"/>
      <c r="Q736" s="5"/>
      <c r="R736" s="5"/>
      <c r="S736" s="5"/>
      <c r="T736" s="5"/>
      <c r="U736" s="5"/>
      <c r="V736" s="5"/>
      <c r="W736" s="5"/>
    </row>
    <row r="737">
      <c r="A737" s="5"/>
      <c r="B737" s="5"/>
      <c r="C737" s="5"/>
      <c r="D737" s="5"/>
      <c r="E737" s="5"/>
      <c r="F737" s="5"/>
      <c r="G737" s="5"/>
      <c r="H737" s="5"/>
      <c r="I737" s="5"/>
      <c r="J737" s="5"/>
      <c r="K737" s="5"/>
      <c r="L737" s="5"/>
      <c r="M737" s="5"/>
      <c r="N737" s="5"/>
      <c r="O737" s="5"/>
      <c r="P737" s="5"/>
      <c r="Q737" s="5"/>
      <c r="R737" s="5"/>
      <c r="S737" s="5"/>
      <c r="T737" s="5"/>
      <c r="U737" s="5"/>
      <c r="V737" s="5"/>
      <c r="W737" s="5"/>
    </row>
    <row r="738">
      <c r="A738" s="5"/>
      <c r="B738" s="5"/>
      <c r="C738" s="5"/>
      <c r="D738" s="5"/>
      <c r="E738" s="5"/>
      <c r="F738" s="5"/>
      <c r="G738" s="5"/>
      <c r="H738" s="5"/>
      <c r="I738" s="5"/>
      <c r="J738" s="5"/>
      <c r="K738" s="5"/>
      <c r="L738" s="5"/>
      <c r="M738" s="5"/>
      <c r="N738" s="5"/>
      <c r="O738" s="5"/>
      <c r="P738" s="5"/>
      <c r="Q738" s="5"/>
      <c r="R738" s="5"/>
      <c r="S738" s="5"/>
      <c r="T738" s="5"/>
      <c r="U738" s="5"/>
      <c r="V738" s="5"/>
      <c r="W738" s="5"/>
    </row>
    <row r="739">
      <c r="A739" s="5"/>
      <c r="B739" s="5"/>
      <c r="C739" s="5"/>
      <c r="D739" s="5"/>
      <c r="E739" s="5"/>
      <c r="F739" s="5"/>
      <c r="G739" s="5"/>
      <c r="H739" s="5"/>
      <c r="I739" s="5"/>
      <c r="J739" s="5"/>
      <c r="K739" s="5"/>
      <c r="L739" s="5"/>
      <c r="M739" s="5"/>
      <c r="N739" s="5"/>
      <c r="O739" s="5"/>
      <c r="P739" s="5"/>
      <c r="Q739" s="5"/>
      <c r="R739" s="5"/>
      <c r="S739" s="5"/>
      <c r="T739" s="5"/>
      <c r="U739" s="5"/>
      <c r="V739" s="5"/>
      <c r="W739" s="5"/>
    </row>
    <row r="740">
      <c r="A740" s="5"/>
      <c r="B740" s="5"/>
      <c r="C740" s="5"/>
      <c r="D740" s="5"/>
      <c r="E740" s="5"/>
      <c r="F740" s="5"/>
      <c r="G740" s="5"/>
      <c r="H740" s="5"/>
      <c r="I740" s="5"/>
      <c r="J740" s="5"/>
      <c r="K740" s="5"/>
      <c r="L740" s="5"/>
      <c r="M740" s="5"/>
      <c r="N740" s="5"/>
      <c r="O740" s="5"/>
      <c r="P740" s="5"/>
      <c r="Q740" s="5"/>
      <c r="R740" s="5"/>
      <c r="S740" s="5"/>
      <c r="T740" s="5"/>
      <c r="U740" s="5"/>
      <c r="V740" s="5"/>
      <c r="W740" s="5"/>
    </row>
    <row r="741">
      <c r="A741" s="5"/>
      <c r="B741" s="5"/>
      <c r="C741" s="5"/>
      <c r="D741" s="5"/>
      <c r="E741" s="5"/>
      <c r="F741" s="5"/>
      <c r="G741" s="5"/>
      <c r="H741" s="5"/>
      <c r="I741" s="5"/>
      <c r="J741" s="5"/>
      <c r="K741" s="5"/>
      <c r="L741" s="5"/>
      <c r="M741" s="5"/>
      <c r="N741" s="5"/>
      <c r="O741" s="5"/>
      <c r="P741" s="5"/>
      <c r="Q741" s="5"/>
      <c r="R741" s="5"/>
      <c r="S741" s="5"/>
      <c r="T741" s="5"/>
      <c r="U741" s="5"/>
      <c r="V741" s="5"/>
      <c r="W741" s="5"/>
    </row>
    <row r="742">
      <c r="A742" s="5"/>
      <c r="B742" s="5"/>
      <c r="C742" s="5"/>
      <c r="D742" s="5"/>
      <c r="E742" s="5"/>
      <c r="F742" s="5"/>
      <c r="G742" s="5"/>
      <c r="H742" s="5"/>
      <c r="I742" s="5"/>
      <c r="J742" s="5"/>
      <c r="K742" s="5"/>
      <c r="L742" s="5"/>
      <c r="M742" s="5"/>
      <c r="N742" s="5"/>
      <c r="O742" s="5"/>
      <c r="P742" s="5"/>
      <c r="Q742" s="5"/>
      <c r="R742" s="5"/>
      <c r="S742" s="5"/>
      <c r="T742" s="5"/>
      <c r="U742" s="5"/>
      <c r="V742" s="5"/>
      <c r="W742" s="5"/>
    </row>
    <row r="743">
      <c r="A743" s="5"/>
      <c r="B743" s="5"/>
      <c r="C743" s="5"/>
      <c r="D743" s="5"/>
      <c r="E743" s="5"/>
      <c r="F743" s="5"/>
      <c r="G743" s="5"/>
      <c r="H743" s="5"/>
      <c r="I743" s="5"/>
      <c r="J743" s="5"/>
      <c r="K743" s="5"/>
      <c r="L743" s="5"/>
      <c r="M743" s="5"/>
      <c r="N743" s="5"/>
      <c r="O743" s="5"/>
      <c r="P743" s="5"/>
      <c r="Q743" s="5"/>
      <c r="R743" s="5"/>
      <c r="S743" s="5"/>
      <c r="T743" s="5"/>
      <c r="U743" s="5"/>
      <c r="V743" s="5"/>
      <c r="W743" s="5"/>
    </row>
    <row r="744">
      <c r="A744" s="5"/>
      <c r="B744" s="5"/>
      <c r="C744" s="5"/>
      <c r="D744" s="5"/>
      <c r="E744" s="5"/>
      <c r="F744" s="5"/>
      <c r="G744" s="5"/>
      <c r="H744" s="5"/>
      <c r="I744" s="5"/>
      <c r="J744" s="5"/>
      <c r="K744" s="5"/>
      <c r="L744" s="5"/>
      <c r="M744" s="5"/>
      <c r="N744" s="5"/>
      <c r="O744" s="5"/>
      <c r="P744" s="5"/>
      <c r="Q744" s="5"/>
      <c r="R744" s="5"/>
      <c r="S744" s="5"/>
      <c r="T744" s="5"/>
      <c r="U744" s="5"/>
      <c r="V744" s="5"/>
      <c r="W744" s="5"/>
    </row>
    <row r="745">
      <c r="A745" s="5"/>
      <c r="B745" s="5"/>
      <c r="C745" s="5"/>
      <c r="D745" s="5"/>
      <c r="E745" s="5"/>
      <c r="F745" s="5"/>
      <c r="G745" s="5"/>
      <c r="H745" s="5"/>
      <c r="I745" s="5"/>
      <c r="J745" s="5"/>
      <c r="K745" s="5"/>
      <c r="L745" s="5"/>
      <c r="M745" s="5"/>
      <c r="N745" s="5"/>
      <c r="O745" s="5"/>
      <c r="P745" s="5"/>
      <c r="Q745" s="5"/>
      <c r="R745" s="5"/>
      <c r="S745" s="5"/>
      <c r="T745" s="5"/>
      <c r="U745" s="5"/>
      <c r="V745" s="5"/>
      <c r="W745" s="5"/>
    </row>
    <row r="746">
      <c r="A746" s="5"/>
      <c r="B746" s="5"/>
      <c r="C746" s="5"/>
      <c r="D746" s="5"/>
      <c r="E746" s="5"/>
      <c r="F746" s="5"/>
      <c r="G746" s="5"/>
      <c r="H746" s="5"/>
      <c r="I746" s="5"/>
      <c r="J746" s="5"/>
      <c r="K746" s="5"/>
      <c r="L746" s="5"/>
      <c r="M746" s="5"/>
      <c r="N746" s="5"/>
      <c r="O746" s="5"/>
      <c r="P746" s="5"/>
      <c r="Q746" s="5"/>
      <c r="R746" s="5"/>
      <c r="S746" s="5"/>
      <c r="T746" s="5"/>
      <c r="U746" s="5"/>
      <c r="V746" s="5"/>
      <c r="W746" s="5"/>
    </row>
    <row r="747">
      <c r="A747" s="5"/>
      <c r="B747" s="5"/>
      <c r="C747" s="5"/>
      <c r="D747" s="5"/>
      <c r="E747" s="5"/>
      <c r="F747" s="5"/>
      <c r="G747" s="5"/>
      <c r="H747" s="5"/>
      <c r="I747" s="5"/>
      <c r="J747" s="5"/>
      <c r="K747" s="5"/>
      <c r="L747" s="5"/>
      <c r="M747" s="5"/>
      <c r="N747" s="5"/>
      <c r="O747" s="5"/>
      <c r="P747" s="5"/>
      <c r="Q747" s="5"/>
      <c r="R747" s="5"/>
      <c r="S747" s="5"/>
      <c r="T747" s="5"/>
      <c r="U747" s="5"/>
      <c r="V747" s="5"/>
      <c r="W747" s="5"/>
    </row>
    <row r="748">
      <c r="A748" s="5"/>
      <c r="B748" s="5"/>
      <c r="C748" s="5"/>
      <c r="D748" s="5"/>
      <c r="E748" s="5"/>
      <c r="F748" s="5"/>
      <c r="G748" s="5"/>
      <c r="H748" s="5"/>
      <c r="I748" s="5"/>
      <c r="J748" s="5"/>
      <c r="K748" s="5"/>
      <c r="L748" s="5"/>
      <c r="M748" s="5"/>
      <c r="N748" s="5"/>
      <c r="O748" s="5"/>
      <c r="P748" s="5"/>
      <c r="Q748" s="5"/>
      <c r="R748" s="5"/>
      <c r="S748" s="5"/>
      <c r="T748" s="5"/>
      <c r="U748" s="5"/>
      <c r="V748" s="5"/>
      <c r="W748" s="5"/>
    </row>
    <row r="749">
      <c r="A749" s="5"/>
      <c r="B749" s="5"/>
      <c r="C749" s="5"/>
      <c r="D749" s="5"/>
      <c r="E749" s="5"/>
      <c r="F749" s="5"/>
      <c r="G749" s="5"/>
      <c r="H749" s="5"/>
      <c r="I749" s="5"/>
      <c r="J749" s="5"/>
      <c r="K749" s="5"/>
      <c r="L749" s="5"/>
      <c r="M749" s="5"/>
      <c r="N749" s="5"/>
      <c r="O749" s="5"/>
      <c r="P749" s="5"/>
      <c r="Q749" s="5"/>
      <c r="R749" s="5"/>
      <c r="S749" s="5"/>
      <c r="T749" s="5"/>
      <c r="U749" s="5"/>
      <c r="V749" s="5"/>
      <c r="W749" s="5"/>
    </row>
    <row r="750">
      <c r="A750" s="5"/>
      <c r="B750" s="5"/>
      <c r="C750" s="5"/>
      <c r="D750" s="5"/>
      <c r="E750" s="5"/>
      <c r="F750" s="5"/>
      <c r="G750" s="5"/>
      <c r="H750" s="5"/>
      <c r="I750" s="5"/>
      <c r="J750" s="5"/>
      <c r="K750" s="5"/>
      <c r="L750" s="5"/>
      <c r="M750" s="5"/>
      <c r="N750" s="5"/>
      <c r="O750" s="5"/>
      <c r="P750" s="5"/>
      <c r="Q750" s="5"/>
      <c r="R750" s="5"/>
      <c r="S750" s="5"/>
      <c r="T750" s="5"/>
      <c r="U750" s="5"/>
      <c r="V750" s="5"/>
      <c r="W750" s="5"/>
    </row>
    <row r="751">
      <c r="A751" s="5"/>
      <c r="B751" s="5"/>
      <c r="C751" s="5"/>
      <c r="D751" s="5"/>
      <c r="E751" s="5"/>
      <c r="F751" s="5"/>
      <c r="G751" s="5"/>
      <c r="H751" s="5"/>
      <c r="I751" s="5"/>
      <c r="J751" s="5"/>
      <c r="K751" s="5"/>
      <c r="L751" s="5"/>
      <c r="M751" s="5"/>
      <c r="N751" s="5"/>
      <c r="O751" s="5"/>
      <c r="P751" s="5"/>
      <c r="Q751" s="5"/>
      <c r="R751" s="5"/>
      <c r="S751" s="5"/>
      <c r="T751" s="5"/>
      <c r="U751" s="5"/>
      <c r="V751" s="5"/>
      <c r="W751" s="5"/>
    </row>
    <row r="752">
      <c r="A752" s="5"/>
      <c r="B752" s="5"/>
      <c r="C752" s="5"/>
      <c r="D752" s="5"/>
      <c r="E752" s="5"/>
      <c r="F752" s="5"/>
      <c r="G752" s="5"/>
      <c r="H752" s="5"/>
      <c r="I752" s="5"/>
      <c r="J752" s="5"/>
      <c r="K752" s="5"/>
      <c r="L752" s="5"/>
      <c r="M752" s="5"/>
      <c r="N752" s="5"/>
      <c r="O752" s="5"/>
      <c r="P752" s="5"/>
      <c r="Q752" s="5"/>
      <c r="R752" s="5"/>
      <c r="S752" s="5"/>
      <c r="T752" s="5"/>
      <c r="U752" s="5"/>
      <c r="V752" s="5"/>
      <c r="W752" s="5"/>
    </row>
    <row r="753">
      <c r="A753" s="5"/>
      <c r="B753" s="5"/>
      <c r="C753" s="5"/>
      <c r="D753" s="5"/>
      <c r="E753" s="5"/>
      <c r="F753" s="5"/>
      <c r="G753" s="5"/>
      <c r="H753" s="5"/>
      <c r="I753" s="5"/>
      <c r="J753" s="5"/>
      <c r="K753" s="5"/>
      <c r="L753" s="5"/>
      <c r="M753" s="5"/>
      <c r="N753" s="5"/>
      <c r="O753" s="5"/>
      <c r="P753" s="5"/>
      <c r="Q753" s="5"/>
      <c r="R753" s="5"/>
      <c r="S753" s="5"/>
      <c r="T753" s="5"/>
      <c r="U753" s="5"/>
      <c r="V753" s="5"/>
      <c r="W753" s="5"/>
    </row>
    <row r="754">
      <c r="A754" s="5"/>
      <c r="B754" s="5"/>
      <c r="C754" s="5"/>
      <c r="D754" s="5"/>
      <c r="E754" s="5"/>
      <c r="F754" s="5"/>
      <c r="G754" s="5"/>
      <c r="H754" s="5"/>
      <c r="I754" s="5"/>
      <c r="J754" s="5"/>
      <c r="K754" s="5"/>
      <c r="L754" s="5"/>
      <c r="M754" s="5"/>
      <c r="N754" s="5"/>
      <c r="O754" s="5"/>
      <c r="P754" s="5"/>
      <c r="Q754" s="5"/>
      <c r="R754" s="5"/>
      <c r="S754" s="5"/>
      <c r="T754" s="5"/>
      <c r="U754" s="5"/>
      <c r="V754" s="5"/>
      <c r="W754" s="5"/>
    </row>
    <row r="755">
      <c r="A755" s="5"/>
      <c r="B755" s="5"/>
      <c r="C755" s="5"/>
      <c r="D755" s="5"/>
      <c r="E755" s="5"/>
      <c r="F755" s="5"/>
      <c r="G755" s="5"/>
      <c r="H755" s="5"/>
      <c r="I755" s="5"/>
      <c r="J755" s="5"/>
      <c r="K755" s="5"/>
      <c r="L755" s="5"/>
      <c r="M755" s="5"/>
      <c r="N755" s="5"/>
      <c r="O755" s="5"/>
      <c r="P755" s="5"/>
      <c r="Q755" s="5"/>
      <c r="R755" s="5"/>
      <c r="S755" s="5"/>
      <c r="T755" s="5"/>
      <c r="U755" s="5"/>
      <c r="V755" s="5"/>
      <c r="W755" s="5"/>
    </row>
    <row r="756">
      <c r="A756" s="5"/>
      <c r="B756" s="5"/>
      <c r="C756" s="5"/>
      <c r="D756" s="5"/>
      <c r="E756" s="5"/>
      <c r="F756" s="5"/>
      <c r="G756" s="5"/>
      <c r="H756" s="5"/>
      <c r="I756" s="5"/>
      <c r="J756" s="5"/>
      <c r="K756" s="5"/>
      <c r="L756" s="5"/>
      <c r="M756" s="5"/>
      <c r="N756" s="5"/>
      <c r="O756" s="5"/>
      <c r="P756" s="5"/>
      <c r="Q756" s="5"/>
      <c r="R756" s="5"/>
      <c r="S756" s="5"/>
      <c r="T756" s="5"/>
      <c r="U756" s="5"/>
      <c r="V756" s="5"/>
      <c r="W756" s="5"/>
    </row>
    <row r="757">
      <c r="A757" s="5"/>
      <c r="B757" s="5"/>
      <c r="C757" s="5"/>
      <c r="D757" s="5"/>
      <c r="E757" s="5"/>
      <c r="F757" s="5"/>
      <c r="G757" s="5"/>
      <c r="H757" s="5"/>
      <c r="I757" s="5"/>
      <c r="J757" s="5"/>
      <c r="K757" s="5"/>
      <c r="L757" s="5"/>
      <c r="M757" s="5"/>
      <c r="N757" s="5"/>
      <c r="O757" s="5"/>
      <c r="P757" s="5"/>
      <c r="Q757" s="5"/>
      <c r="R757" s="5"/>
      <c r="S757" s="5"/>
      <c r="T757" s="5"/>
      <c r="U757" s="5"/>
      <c r="V757" s="5"/>
      <c r="W757" s="5"/>
    </row>
    <row r="758">
      <c r="A758" s="5"/>
      <c r="B758" s="5"/>
      <c r="C758" s="5"/>
      <c r="D758" s="5"/>
      <c r="E758" s="5"/>
      <c r="F758" s="5"/>
      <c r="G758" s="5"/>
      <c r="H758" s="5"/>
      <c r="I758" s="5"/>
      <c r="J758" s="5"/>
      <c r="K758" s="5"/>
      <c r="L758" s="5"/>
      <c r="M758" s="5"/>
      <c r="N758" s="5"/>
      <c r="O758" s="5"/>
      <c r="P758" s="5"/>
      <c r="Q758" s="5"/>
      <c r="R758" s="5"/>
      <c r="S758" s="5"/>
      <c r="T758" s="5"/>
      <c r="U758" s="5"/>
      <c r="V758" s="5"/>
      <c r="W758" s="5"/>
    </row>
    <row r="759">
      <c r="A759" s="5"/>
      <c r="B759" s="5"/>
      <c r="C759" s="5"/>
      <c r="D759" s="5"/>
      <c r="E759" s="5"/>
      <c r="F759" s="5"/>
      <c r="G759" s="5"/>
      <c r="H759" s="5"/>
      <c r="I759" s="5"/>
      <c r="J759" s="5"/>
      <c r="K759" s="5"/>
      <c r="L759" s="5"/>
      <c r="M759" s="5"/>
      <c r="N759" s="5"/>
      <c r="O759" s="5"/>
      <c r="P759" s="5"/>
      <c r="Q759" s="5"/>
      <c r="R759" s="5"/>
      <c r="S759" s="5"/>
      <c r="T759" s="5"/>
      <c r="U759" s="5"/>
      <c r="V759" s="5"/>
      <c r="W759" s="5"/>
    </row>
    <row r="760">
      <c r="A760" s="5"/>
      <c r="B760" s="5"/>
      <c r="C760" s="5"/>
      <c r="D760" s="5"/>
      <c r="E760" s="5"/>
      <c r="F760" s="5"/>
      <c r="G760" s="5"/>
      <c r="H760" s="5"/>
      <c r="I760" s="5"/>
      <c r="J760" s="5"/>
      <c r="K760" s="5"/>
      <c r="L760" s="5"/>
      <c r="M760" s="5"/>
      <c r="N760" s="5"/>
      <c r="O760" s="5"/>
      <c r="P760" s="5"/>
      <c r="Q760" s="5"/>
      <c r="R760" s="5"/>
      <c r="S760" s="5"/>
      <c r="T760" s="5"/>
      <c r="U760" s="5"/>
      <c r="V760" s="5"/>
      <c r="W760" s="5"/>
    </row>
    <row r="761">
      <c r="A761" s="5"/>
      <c r="B761" s="5"/>
      <c r="C761" s="5"/>
      <c r="D761" s="5"/>
      <c r="E761" s="5"/>
      <c r="F761" s="5"/>
      <c r="G761" s="5"/>
      <c r="H761" s="5"/>
      <c r="I761" s="5"/>
      <c r="J761" s="5"/>
      <c r="K761" s="5"/>
      <c r="L761" s="5"/>
      <c r="M761" s="5"/>
      <c r="N761" s="5"/>
      <c r="O761" s="5"/>
      <c r="P761" s="5"/>
      <c r="Q761" s="5"/>
      <c r="R761" s="5"/>
      <c r="S761" s="5"/>
      <c r="T761" s="5"/>
      <c r="U761" s="5"/>
      <c r="V761" s="5"/>
      <c r="W761" s="5"/>
    </row>
    <row r="762">
      <c r="A762" s="5"/>
      <c r="B762" s="5"/>
      <c r="C762" s="5"/>
      <c r="D762" s="5"/>
      <c r="E762" s="5"/>
      <c r="F762" s="5"/>
      <c r="G762" s="5"/>
      <c r="H762" s="5"/>
      <c r="I762" s="5"/>
      <c r="J762" s="5"/>
      <c r="K762" s="5"/>
      <c r="L762" s="5"/>
      <c r="M762" s="5"/>
      <c r="N762" s="5"/>
      <c r="O762" s="5"/>
      <c r="P762" s="5"/>
      <c r="Q762" s="5"/>
      <c r="R762" s="5"/>
      <c r="S762" s="5"/>
      <c r="T762" s="5"/>
      <c r="U762" s="5"/>
      <c r="V762" s="5"/>
      <c r="W762" s="5"/>
    </row>
    <row r="763">
      <c r="A763" s="5"/>
      <c r="B763" s="5"/>
      <c r="C763" s="5"/>
      <c r="D763" s="5"/>
      <c r="E763" s="5"/>
      <c r="F763" s="5"/>
      <c r="G763" s="5"/>
      <c r="H763" s="5"/>
      <c r="I763" s="5"/>
      <c r="J763" s="5"/>
      <c r="K763" s="5"/>
      <c r="L763" s="5"/>
      <c r="M763" s="5"/>
      <c r="N763" s="5"/>
      <c r="O763" s="5"/>
      <c r="P763" s="5"/>
      <c r="Q763" s="5"/>
      <c r="R763" s="5"/>
      <c r="S763" s="5"/>
      <c r="T763" s="5"/>
      <c r="U763" s="5"/>
      <c r="V763" s="5"/>
      <c r="W763" s="5"/>
    </row>
    <row r="764">
      <c r="A764" s="5"/>
      <c r="B764" s="5"/>
      <c r="C764" s="5"/>
      <c r="D764" s="5"/>
      <c r="E764" s="5"/>
      <c r="F764" s="5"/>
      <c r="G764" s="5"/>
      <c r="H764" s="5"/>
      <c r="I764" s="5"/>
      <c r="J764" s="5"/>
      <c r="K764" s="5"/>
      <c r="L764" s="5"/>
      <c r="M764" s="5"/>
      <c r="N764" s="5"/>
      <c r="O764" s="5"/>
      <c r="P764" s="5"/>
      <c r="Q764" s="5"/>
      <c r="R764" s="5"/>
      <c r="S764" s="5"/>
      <c r="T764" s="5"/>
      <c r="U764" s="5"/>
      <c r="V764" s="5"/>
      <c r="W764" s="5"/>
    </row>
    <row r="765">
      <c r="A765" s="5"/>
      <c r="B765" s="5"/>
      <c r="C765" s="5"/>
      <c r="D765" s="5"/>
      <c r="E765" s="5"/>
      <c r="F765" s="5"/>
      <c r="G765" s="5"/>
      <c r="H765" s="5"/>
      <c r="I765" s="5"/>
      <c r="J765" s="5"/>
      <c r="K765" s="5"/>
      <c r="L765" s="5"/>
      <c r="M765" s="5"/>
      <c r="N765" s="5"/>
      <c r="O765" s="5"/>
      <c r="P765" s="5"/>
      <c r="Q765" s="5"/>
      <c r="R765" s="5"/>
      <c r="S765" s="5"/>
      <c r="T765" s="5"/>
      <c r="U765" s="5"/>
      <c r="V765" s="5"/>
      <c r="W765" s="5"/>
    </row>
    <row r="766">
      <c r="A766" s="5"/>
      <c r="B766" s="5"/>
      <c r="C766" s="5"/>
      <c r="D766" s="5"/>
      <c r="E766" s="5"/>
      <c r="F766" s="5"/>
      <c r="G766" s="5"/>
      <c r="H766" s="5"/>
      <c r="I766" s="5"/>
      <c r="J766" s="5"/>
      <c r="K766" s="5"/>
      <c r="L766" s="5"/>
      <c r="M766" s="5"/>
      <c r="N766" s="5"/>
      <c r="O766" s="5"/>
      <c r="P766" s="5"/>
      <c r="Q766" s="5"/>
      <c r="R766" s="5"/>
      <c r="S766" s="5"/>
      <c r="T766" s="5"/>
      <c r="U766" s="5"/>
      <c r="V766" s="5"/>
      <c r="W766" s="5"/>
    </row>
    <row r="767">
      <c r="A767" s="5"/>
      <c r="B767" s="5"/>
      <c r="C767" s="5"/>
      <c r="D767" s="5"/>
      <c r="E767" s="5"/>
      <c r="F767" s="5"/>
      <c r="G767" s="5"/>
      <c r="H767" s="5"/>
      <c r="I767" s="5"/>
      <c r="J767" s="5"/>
      <c r="K767" s="5"/>
      <c r="L767" s="5"/>
      <c r="M767" s="5"/>
      <c r="N767" s="5"/>
      <c r="O767" s="5"/>
      <c r="P767" s="5"/>
      <c r="Q767" s="5"/>
      <c r="R767" s="5"/>
      <c r="S767" s="5"/>
      <c r="T767" s="5"/>
      <c r="U767" s="5"/>
      <c r="V767" s="5"/>
      <c r="W767" s="5"/>
    </row>
    <row r="768">
      <c r="A768" s="5"/>
      <c r="B768" s="5"/>
      <c r="C768" s="5"/>
      <c r="D768" s="5"/>
      <c r="E768" s="5"/>
      <c r="F768" s="5"/>
      <c r="G768" s="5"/>
      <c r="H768" s="5"/>
      <c r="I768" s="5"/>
      <c r="J768" s="5"/>
      <c r="K768" s="5"/>
      <c r="L768" s="5"/>
      <c r="M768" s="5"/>
      <c r="N768" s="5"/>
      <c r="O768" s="5"/>
      <c r="P768" s="5"/>
      <c r="Q768" s="5"/>
      <c r="R768" s="5"/>
      <c r="S768" s="5"/>
      <c r="T768" s="5"/>
      <c r="U768" s="5"/>
      <c r="V768" s="5"/>
      <c r="W768" s="5"/>
    </row>
    <row r="769">
      <c r="A769" s="5"/>
      <c r="B769" s="5"/>
      <c r="C769" s="5"/>
      <c r="D769" s="5"/>
      <c r="E769" s="5"/>
      <c r="F769" s="5"/>
      <c r="G769" s="5"/>
      <c r="H769" s="5"/>
      <c r="I769" s="5"/>
      <c r="J769" s="5"/>
      <c r="K769" s="5"/>
      <c r="L769" s="5"/>
      <c r="M769" s="5"/>
      <c r="N769" s="5"/>
      <c r="O769" s="5"/>
      <c r="P769" s="5"/>
      <c r="Q769" s="5"/>
      <c r="R769" s="5"/>
      <c r="S769" s="5"/>
      <c r="T769" s="5"/>
      <c r="U769" s="5"/>
      <c r="V769" s="5"/>
      <c r="W769" s="5"/>
    </row>
    <row r="770">
      <c r="A770" s="5"/>
      <c r="B770" s="5"/>
      <c r="C770" s="5"/>
      <c r="D770" s="5"/>
      <c r="E770" s="5"/>
      <c r="F770" s="5"/>
      <c r="G770" s="5"/>
      <c r="H770" s="5"/>
      <c r="I770" s="5"/>
      <c r="J770" s="5"/>
      <c r="K770" s="5"/>
      <c r="L770" s="5"/>
      <c r="M770" s="5"/>
      <c r="N770" s="5"/>
      <c r="O770" s="5"/>
      <c r="P770" s="5"/>
      <c r="Q770" s="5"/>
      <c r="R770" s="5"/>
      <c r="S770" s="5"/>
      <c r="T770" s="5"/>
      <c r="U770" s="5"/>
      <c r="V770" s="5"/>
      <c r="W770" s="5"/>
    </row>
    <row r="771">
      <c r="A771" s="5"/>
      <c r="B771" s="5"/>
      <c r="C771" s="5"/>
      <c r="D771" s="5"/>
      <c r="E771" s="5"/>
      <c r="F771" s="5"/>
      <c r="G771" s="5"/>
      <c r="H771" s="5"/>
      <c r="I771" s="5"/>
      <c r="J771" s="5"/>
      <c r="K771" s="5"/>
      <c r="L771" s="5"/>
      <c r="M771" s="5"/>
      <c r="N771" s="5"/>
      <c r="O771" s="5"/>
      <c r="P771" s="5"/>
      <c r="Q771" s="5"/>
      <c r="R771" s="5"/>
      <c r="S771" s="5"/>
      <c r="T771" s="5"/>
      <c r="U771" s="5"/>
      <c r="V771" s="5"/>
      <c r="W771" s="5"/>
    </row>
    <row r="772">
      <c r="A772" s="5"/>
      <c r="B772" s="5"/>
      <c r="C772" s="5"/>
      <c r="D772" s="5"/>
      <c r="E772" s="5"/>
      <c r="F772" s="5"/>
      <c r="G772" s="5"/>
      <c r="H772" s="5"/>
      <c r="I772" s="5"/>
      <c r="J772" s="5"/>
      <c r="K772" s="5"/>
      <c r="L772" s="5"/>
      <c r="M772" s="5"/>
      <c r="N772" s="5"/>
      <c r="O772" s="5"/>
      <c r="P772" s="5"/>
      <c r="Q772" s="5"/>
      <c r="R772" s="5"/>
      <c r="S772" s="5"/>
      <c r="T772" s="5"/>
      <c r="U772" s="5"/>
      <c r="V772" s="5"/>
      <c r="W772" s="5"/>
    </row>
    <row r="773">
      <c r="A773" s="5"/>
      <c r="B773" s="5"/>
      <c r="C773" s="5"/>
      <c r="D773" s="5"/>
      <c r="E773" s="5"/>
      <c r="F773" s="5"/>
      <c r="G773" s="5"/>
      <c r="H773" s="5"/>
      <c r="I773" s="5"/>
      <c r="J773" s="5"/>
      <c r="K773" s="5"/>
      <c r="L773" s="5"/>
      <c r="M773" s="5"/>
      <c r="N773" s="5"/>
      <c r="O773" s="5"/>
      <c r="P773" s="5"/>
      <c r="Q773" s="5"/>
      <c r="R773" s="5"/>
      <c r="S773" s="5"/>
      <c r="T773" s="5"/>
      <c r="U773" s="5"/>
      <c r="V773" s="5"/>
      <c r="W773" s="5"/>
    </row>
    <row r="774">
      <c r="A774" s="5"/>
      <c r="B774" s="5"/>
      <c r="C774" s="5"/>
      <c r="D774" s="5"/>
      <c r="E774" s="5"/>
      <c r="F774" s="5"/>
      <c r="G774" s="5"/>
      <c r="H774" s="5"/>
      <c r="I774" s="5"/>
      <c r="J774" s="5"/>
      <c r="K774" s="5"/>
      <c r="L774" s="5"/>
      <c r="M774" s="5"/>
      <c r="N774" s="5"/>
      <c r="O774" s="5"/>
      <c r="P774" s="5"/>
      <c r="Q774" s="5"/>
      <c r="R774" s="5"/>
      <c r="S774" s="5"/>
      <c r="T774" s="5"/>
      <c r="U774" s="5"/>
      <c r="V774" s="5"/>
      <c r="W774" s="5"/>
    </row>
    <row r="775">
      <c r="A775" s="5"/>
      <c r="B775" s="5"/>
      <c r="C775" s="5"/>
      <c r="D775" s="5"/>
      <c r="E775" s="5"/>
      <c r="F775" s="5"/>
      <c r="G775" s="5"/>
      <c r="H775" s="5"/>
      <c r="I775" s="5"/>
      <c r="J775" s="5"/>
      <c r="K775" s="5"/>
      <c r="L775" s="5"/>
      <c r="M775" s="5"/>
      <c r="N775" s="5"/>
      <c r="O775" s="5"/>
      <c r="P775" s="5"/>
      <c r="Q775" s="5"/>
      <c r="R775" s="5"/>
      <c r="S775" s="5"/>
      <c r="T775" s="5"/>
      <c r="U775" s="5"/>
      <c r="V775" s="5"/>
      <c r="W775" s="5"/>
    </row>
    <row r="776">
      <c r="A776" s="5"/>
      <c r="B776" s="5"/>
      <c r="C776" s="5"/>
      <c r="D776" s="5"/>
      <c r="E776" s="5"/>
      <c r="F776" s="5"/>
      <c r="G776" s="5"/>
      <c r="H776" s="5"/>
      <c r="I776" s="5"/>
      <c r="J776" s="5"/>
      <c r="K776" s="5"/>
      <c r="L776" s="5"/>
      <c r="M776" s="5"/>
      <c r="N776" s="5"/>
      <c r="O776" s="5"/>
      <c r="P776" s="5"/>
      <c r="Q776" s="5"/>
      <c r="R776" s="5"/>
      <c r="S776" s="5"/>
      <c r="T776" s="5"/>
      <c r="U776" s="5"/>
      <c r="V776" s="5"/>
      <c r="W776" s="5"/>
    </row>
    <row r="777">
      <c r="A777" s="5"/>
      <c r="B777" s="5"/>
      <c r="C777" s="5"/>
      <c r="D777" s="5"/>
      <c r="E777" s="5"/>
      <c r="F777" s="5"/>
      <c r="G777" s="5"/>
      <c r="H777" s="5"/>
      <c r="I777" s="5"/>
      <c r="J777" s="5"/>
      <c r="K777" s="5"/>
      <c r="L777" s="5"/>
      <c r="M777" s="5"/>
      <c r="N777" s="5"/>
      <c r="O777" s="5"/>
      <c r="P777" s="5"/>
      <c r="Q777" s="5"/>
      <c r="R777" s="5"/>
      <c r="S777" s="5"/>
      <c r="T777" s="5"/>
      <c r="U777" s="5"/>
      <c r="V777" s="5"/>
      <c r="W777" s="5"/>
    </row>
    <row r="778">
      <c r="A778" s="5"/>
      <c r="B778" s="5"/>
      <c r="C778" s="5"/>
      <c r="D778" s="5"/>
      <c r="E778" s="5"/>
      <c r="F778" s="5"/>
      <c r="G778" s="5"/>
      <c r="H778" s="5"/>
      <c r="I778" s="5"/>
      <c r="J778" s="5"/>
      <c r="K778" s="5"/>
      <c r="L778" s="5"/>
      <c r="M778" s="5"/>
      <c r="N778" s="5"/>
      <c r="O778" s="5"/>
      <c r="P778" s="5"/>
      <c r="Q778" s="5"/>
      <c r="R778" s="5"/>
      <c r="S778" s="5"/>
      <c r="T778" s="5"/>
      <c r="U778" s="5"/>
      <c r="V778" s="5"/>
      <c r="W778" s="5"/>
    </row>
    <row r="779">
      <c r="A779" s="5"/>
      <c r="B779" s="5"/>
      <c r="C779" s="5"/>
      <c r="D779" s="5"/>
      <c r="E779" s="5"/>
      <c r="F779" s="5"/>
      <c r="G779" s="5"/>
      <c r="H779" s="5"/>
      <c r="I779" s="5"/>
      <c r="J779" s="5"/>
      <c r="K779" s="5"/>
      <c r="L779" s="5"/>
      <c r="M779" s="5"/>
      <c r="N779" s="5"/>
      <c r="O779" s="5"/>
      <c r="P779" s="5"/>
      <c r="Q779" s="5"/>
      <c r="R779" s="5"/>
      <c r="S779" s="5"/>
      <c r="T779" s="5"/>
      <c r="U779" s="5"/>
      <c r="V779" s="5"/>
      <c r="W779" s="5"/>
    </row>
    <row r="780">
      <c r="A780" s="5"/>
      <c r="B780" s="5"/>
      <c r="C780" s="5"/>
      <c r="D780" s="5"/>
      <c r="E780" s="5"/>
      <c r="F780" s="5"/>
      <c r="G780" s="5"/>
      <c r="H780" s="5"/>
      <c r="I780" s="5"/>
      <c r="J780" s="5"/>
      <c r="K780" s="5"/>
      <c r="L780" s="5"/>
      <c r="M780" s="5"/>
      <c r="N780" s="5"/>
      <c r="O780" s="5"/>
      <c r="P780" s="5"/>
      <c r="Q780" s="5"/>
      <c r="R780" s="5"/>
      <c r="S780" s="5"/>
      <c r="T780" s="5"/>
      <c r="U780" s="5"/>
      <c r="V780" s="5"/>
      <c r="W780" s="5"/>
    </row>
    <row r="781">
      <c r="A781" s="5"/>
      <c r="B781" s="5"/>
      <c r="C781" s="5"/>
      <c r="D781" s="5"/>
      <c r="E781" s="5"/>
      <c r="F781" s="5"/>
      <c r="G781" s="5"/>
      <c r="H781" s="5"/>
      <c r="I781" s="5"/>
      <c r="J781" s="5"/>
      <c r="K781" s="5"/>
      <c r="L781" s="5"/>
      <c r="M781" s="5"/>
      <c r="N781" s="5"/>
      <c r="O781" s="5"/>
      <c r="P781" s="5"/>
      <c r="Q781" s="5"/>
      <c r="R781" s="5"/>
      <c r="S781" s="5"/>
      <c r="T781" s="5"/>
      <c r="U781" s="5"/>
      <c r="V781" s="5"/>
      <c r="W781" s="5"/>
    </row>
    <row r="782">
      <c r="A782" s="5"/>
      <c r="B782" s="5"/>
      <c r="C782" s="5"/>
      <c r="D782" s="5"/>
      <c r="E782" s="5"/>
      <c r="F782" s="5"/>
      <c r="G782" s="5"/>
      <c r="H782" s="5"/>
      <c r="I782" s="5"/>
      <c r="J782" s="5"/>
      <c r="K782" s="5"/>
      <c r="L782" s="5"/>
      <c r="M782" s="5"/>
      <c r="N782" s="5"/>
      <c r="O782" s="5"/>
      <c r="P782" s="5"/>
      <c r="Q782" s="5"/>
      <c r="R782" s="5"/>
      <c r="S782" s="5"/>
      <c r="T782" s="5"/>
      <c r="U782" s="5"/>
      <c r="V782" s="5"/>
      <c r="W782" s="5"/>
    </row>
    <row r="783">
      <c r="A783" s="5"/>
      <c r="B783" s="5"/>
      <c r="C783" s="5"/>
      <c r="D783" s="5"/>
      <c r="E783" s="5"/>
      <c r="F783" s="5"/>
      <c r="G783" s="5"/>
      <c r="H783" s="5"/>
      <c r="I783" s="5"/>
      <c r="J783" s="5"/>
      <c r="K783" s="5"/>
      <c r="L783" s="5"/>
      <c r="M783" s="5"/>
      <c r="N783" s="5"/>
      <c r="O783" s="5"/>
      <c r="P783" s="5"/>
      <c r="Q783" s="5"/>
      <c r="R783" s="5"/>
      <c r="S783" s="5"/>
      <c r="T783" s="5"/>
      <c r="U783" s="5"/>
      <c r="V783" s="5"/>
      <c r="W783" s="5"/>
    </row>
    <row r="784">
      <c r="A784" s="5"/>
      <c r="B784" s="5"/>
      <c r="C784" s="5"/>
      <c r="D784" s="5"/>
      <c r="E784" s="5"/>
      <c r="F784" s="5"/>
      <c r="G784" s="5"/>
      <c r="H784" s="5"/>
      <c r="I784" s="5"/>
      <c r="J784" s="5"/>
      <c r="K784" s="5"/>
      <c r="L784" s="5"/>
      <c r="M784" s="5"/>
      <c r="N784" s="5"/>
      <c r="O784" s="5"/>
      <c r="P784" s="5"/>
      <c r="Q784" s="5"/>
      <c r="R784" s="5"/>
      <c r="S784" s="5"/>
      <c r="T784" s="5"/>
      <c r="U784" s="5"/>
      <c r="V784" s="5"/>
      <c r="W784" s="5"/>
    </row>
    <row r="785">
      <c r="A785" s="5"/>
      <c r="B785" s="5"/>
      <c r="C785" s="5"/>
      <c r="D785" s="5"/>
      <c r="E785" s="5"/>
      <c r="F785" s="5"/>
      <c r="G785" s="5"/>
      <c r="H785" s="5"/>
      <c r="I785" s="5"/>
      <c r="J785" s="5"/>
      <c r="K785" s="5"/>
      <c r="L785" s="5"/>
      <c r="M785" s="5"/>
      <c r="N785" s="5"/>
      <c r="O785" s="5"/>
      <c r="P785" s="5"/>
      <c r="Q785" s="5"/>
      <c r="R785" s="5"/>
      <c r="S785" s="5"/>
      <c r="T785" s="5"/>
      <c r="U785" s="5"/>
      <c r="V785" s="5"/>
      <c r="W785" s="5"/>
    </row>
    <row r="786">
      <c r="A786" s="5"/>
      <c r="B786" s="5"/>
      <c r="C786" s="5"/>
      <c r="D786" s="5"/>
      <c r="E786" s="5"/>
      <c r="F786" s="5"/>
      <c r="G786" s="5"/>
      <c r="H786" s="5"/>
      <c r="I786" s="5"/>
      <c r="J786" s="5"/>
      <c r="K786" s="5"/>
      <c r="L786" s="5"/>
      <c r="M786" s="5"/>
      <c r="N786" s="5"/>
      <c r="O786" s="5"/>
      <c r="P786" s="5"/>
      <c r="Q786" s="5"/>
      <c r="R786" s="5"/>
      <c r="S786" s="5"/>
      <c r="T786" s="5"/>
      <c r="U786" s="5"/>
      <c r="V786" s="5"/>
      <c r="W786" s="5"/>
    </row>
    <row r="787">
      <c r="A787" s="5"/>
      <c r="B787" s="5"/>
      <c r="C787" s="5"/>
      <c r="D787" s="5"/>
      <c r="E787" s="5"/>
      <c r="F787" s="5"/>
      <c r="G787" s="5"/>
      <c r="H787" s="5"/>
      <c r="I787" s="5"/>
      <c r="J787" s="5"/>
      <c r="K787" s="5"/>
      <c r="L787" s="5"/>
      <c r="M787" s="5"/>
      <c r="N787" s="5"/>
      <c r="O787" s="5"/>
      <c r="P787" s="5"/>
      <c r="Q787" s="5"/>
      <c r="R787" s="5"/>
      <c r="S787" s="5"/>
      <c r="T787" s="5"/>
      <c r="U787" s="5"/>
      <c r="V787" s="5"/>
      <c r="W787" s="5"/>
    </row>
    <row r="788">
      <c r="A788" s="5"/>
      <c r="B788" s="5"/>
      <c r="C788" s="5"/>
      <c r="D788" s="5"/>
      <c r="E788" s="5"/>
      <c r="F788" s="5"/>
      <c r="G788" s="5"/>
      <c r="H788" s="5"/>
      <c r="I788" s="5"/>
      <c r="J788" s="5"/>
      <c r="K788" s="5"/>
      <c r="L788" s="5"/>
      <c r="M788" s="5"/>
      <c r="N788" s="5"/>
      <c r="O788" s="5"/>
      <c r="P788" s="5"/>
      <c r="Q788" s="5"/>
      <c r="R788" s="5"/>
      <c r="S788" s="5"/>
      <c r="T788" s="5"/>
      <c r="U788" s="5"/>
      <c r="V788" s="5"/>
      <c r="W788" s="5"/>
    </row>
    <row r="789">
      <c r="A789" s="5"/>
      <c r="B789" s="5"/>
      <c r="C789" s="5"/>
      <c r="D789" s="5"/>
      <c r="E789" s="5"/>
      <c r="F789" s="5"/>
      <c r="G789" s="5"/>
      <c r="H789" s="5"/>
      <c r="I789" s="5"/>
      <c r="J789" s="5"/>
      <c r="K789" s="5"/>
      <c r="L789" s="5"/>
      <c r="M789" s="5"/>
      <c r="N789" s="5"/>
      <c r="O789" s="5"/>
      <c r="P789" s="5"/>
      <c r="Q789" s="5"/>
      <c r="R789" s="5"/>
      <c r="S789" s="5"/>
      <c r="T789" s="5"/>
      <c r="U789" s="5"/>
      <c r="V789" s="5"/>
      <c r="W789" s="5"/>
    </row>
    <row r="790">
      <c r="A790" s="5"/>
      <c r="B790" s="5"/>
      <c r="C790" s="5"/>
      <c r="D790" s="5"/>
      <c r="E790" s="5"/>
      <c r="F790" s="5"/>
      <c r="G790" s="5"/>
      <c r="H790" s="5"/>
      <c r="I790" s="5"/>
      <c r="J790" s="5"/>
      <c r="K790" s="5"/>
      <c r="L790" s="5"/>
      <c r="M790" s="5"/>
      <c r="N790" s="5"/>
      <c r="O790" s="5"/>
      <c r="P790" s="5"/>
      <c r="Q790" s="5"/>
      <c r="R790" s="5"/>
      <c r="S790" s="5"/>
      <c r="T790" s="5"/>
      <c r="U790" s="5"/>
      <c r="V790" s="5"/>
      <c r="W790" s="5"/>
    </row>
    <row r="791">
      <c r="A791" s="5"/>
      <c r="B791" s="5"/>
      <c r="C791" s="5"/>
      <c r="D791" s="5"/>
      <c r="E791" s="5"/>
      <c r="F791" s="5"/>
      <c r="G791" s="5"/>
      <c r="H791" s="5"/>
      <c r="I791" s="5"/>
      <c r="J791" s="5"/>
      <c r="K791" s="5"/>
      <c r="L791" s="5"/>
      <c r="M791" s="5"/>
      <c r="N791" s="5"/>
      <c r="O791" s="5"/>
      <c r="P791" s="5"/>
      <c r="Q791" s="5"/>
      <c r="R791" s="5"/>
      <c r="S791" s="5"/>
      <c r="T791" s="5"/>
      <c r="U791" s="5"/>
      <c r="V791" s="5"/>
      <c r="W791" s="5"/>
    </row>
    <row r="792">
      <c r="A792" s="5"/>
      <c r="B792" s="5"/>
      <c r="C792" s="5"/>
      <c r="D792" s="5"/>
      <c r="E792" s="5"/>
      <c r="F792" s="5"/>
      <c r="G792" s="5"/>
      <c r="H792" s="5"/>
      <c r="I792" s="5"/>
      <c r="J792" s="5"/>
      <c r="K792" s="5"/>
      <c r="L792" s="5"/>
      <c r="M792" s="5"/>
      <c r="N792" s="5"/>
      <c r="O792" s="5"/>
      <c r="P792" s="5"/>
      <c r="Q792" s="5"/>
      <c r="R792" s="5"/>
      <c r="S792" s="5"/>
      <c r="T792" s="5"/>
      <c r="U792" s="5"/>
      <c r="V792" s="5"/>
      <c r="W792" s="5"/>
    </row>
    <row r="793">
      <c r="A793" s="5"/>
      <c r="B793" s="5"/>
      <c r="C793" s="5"/>
      <c r="D793" s="5"/>
      <c r="E793" s="5"/>
      <c r="F793" s="5"/>
      <c r="G793" s="5"/>
      <c r="H793" s="5"/>
      <c r="I793" s="5"/>
      <c r="J793" s="5"/>
      <c r="K793" s="5"/>
      <c r="L793" s="5"/>
      <c r="M793" s="5"/>
      <c r="N793" s="5"/>
      <c r="O793" s="5"/>
      <c r="P793" s="5"/>
      <c r="Q793" s="5"/>
      <c r="R793" s="5"/>
      <c r="S793" s="5"/>
      <c r="T793" s="5"/>
      <c r="U793" s="5"/>
      <c r="V793" s="5"/>
      <c r="W793" s="5"/>
    </row>
    <row r="794">
      <c r="A794" s="5"/>
      <c r="B794" s="5"/>
      <c r="C794" s="5"/>
      <c r="D794" s="5"/>
      <c r="E794" s="5"/>
      <c r="F794" s="5"/>
      <c r="G794" s="5"/>
      <c r="H794" s="5"/>
      <c r="I794" s="5"/>
      <c r="J794" s="5"/>
      <c r="K794" s="5"/>
      <c r="L794" s="5"/>
      <c r="M794" s="5"/>
      <c r="N794" s="5"/>
      <c r="O794" s="5"/>
      <c r="P794" s="5"/>
      <c r="Q794" s="5"/>
      <c r="R794" s="5"/>
      <c r="S794" s="5"/>
      <c r="T794" s="5"/>
      <c r="U794" s="5"/>
      <c r="V794" s="5"/>
      <c r="W794" s="5"/>
    </row>
    <row r="795">
      <c r="A795" s="5"/>
      <c r="B795" s="5"/>
      <c r="C795" s="5"/>
      <c r="D795" s="5"/>
      <c r="E795" s="5"/>
      <c r="F795" s="5"/>
      <c r="G795" s="5"/>
      <c r="H795" s="5"/>
      <c r="I795" s="5"/>
      <c r="J795" s="5"/>
      <c r="K795" s="5"/>
      <c r="L795" s="5"/>
      <c r="M795" s="5"/>
      <c r="N795" s="5"/>
      <c r="O795" s="5"/>
      <c r="P795" s="5"/>
      <c r="Q795" s="5"/>
      <c r="R795" s="5"/>
      <c r="S795" s="5"/>
      <c r="T795" s="5"/>
      <c r="U795" s="5"/>
      <c r="V795" s="5"/>
      <c r="W795" s="5"/>
    </row>
    <row r="796">
      <c r="A796" s="5"/>
      <c r="B796" s="5"/>
      <c r="C796" s="5"/>
      <c r="D796" s="5"/>
      <c r="E796" s="5"/>
      <c r="F796" s="5"/>
      <c r="G796" s="5"/>
      <c r="H796" s="5"/>
      <c r="I796" s="5"/>
      <c r="J796" s="5"/>
      <c r="K796" s="5"/>
      <c r="L796" s="5"/>
      <c r="M796" s="5"/>
      <c r="N796" s="5"/>
      <c r="O796" s="5"/>
      <c r="P796" s="5"/>
      <c r="Q796" s="5"/>
      <c r="R796" s="5"/>
      <c r="S796" s="5"/>
      <c r="T796" s="5"/>
      <c r="U796" s="5"/>
      <c r="V796" s="5"/>
      <c r="W796" s="5"/>
    </row>
    <row r="797">
      <c r="A797" s="5"/>
      <c r="B797" s="5"/>
      <c r="C797" s="5"/>
      <c r="D797" s="5"/>
      <c r="E797" s="5"/>
      <c r="F797" s="5"/>
      <c r="G797" s="5"/>
      <c r="H797" s="5"/>
      <c r="I797" s="5"/>
      <c r="J797" s="5"/>
      <c r="K797" s="5"/>
      <c r="L797" s="5"/>
      <c r="M797" s="5"/>
      <c r="N797" s="5"/>
      <c r="O797" s="5"/>
      <c r="P797" s="5"/>
      <c r="Q797" s="5"/>
      <c r="R797" s="5"/>
      <c r="S797" s="5"/>
      <c r="T797" s="5"/>
      <c r="U797" s="5"/>
      <c r="V797" s="5"/>
      <c r="W797" s="5"/>
    </row>
    <row r="798">
      <c r="A798" s="5"/>
      <c r="B798" s="5"/>
      <c r="C798" s="5"/>
      <c r="D798" s="5"/>
      <c r="E798" s="5"/>
      <c r="F798" s="5"/>
      <c r="G798" s="5"/>
      <c r="H798" s="5"/>
      <c r="I798" s="5"/>
      <c r="J798" s="5"/>
      <c r="K798" s="5"/>
      <c r="L798" s="5"/>
      <c r="M798" s="5"/>
      <c r="N798" s="5"/>
      <c r="O798" s="5"/>
      <c r="P798" s="5"/>
      <c r="Q798" s="5"/>
      <c r="R798" s="5"/>
      <c r="S798" s="5"/>
      <c r="T798" s="5"/>
      <c r="U798" s="5"/>
      <c r="V798" s="5"/>
      <c r="W798" s="5"/>
    </row>
    <row r="799">
      <c r="A799" s="5"/>
      <c r="B799" s="5"/>
      <c r="C799" s="5"/>
      <c r="D799" s="5"/>
      <c r="E799" s="5"/>
      <c r="F799" s="5"/>
      <c r="G799" s="5"/>
      <c r="H799" s="5"/>
      <c r="I799" s="5"/>
      <c r="J799" s="5"/>
      <c r="K799" s="5"/>
      <c r="L799" s="5"/>
      <c r="M799" s="5"/>
      <c r="N799" s="5"/>
      <c r="O799" s="5"/>
      <c r="P799" s="5"/>
      <c r="Q799" s="5"/>
      <c r="R799" s="5"/>
      <c r="S799" s="5"/>
      <c r="T799" s="5"/>
      <c r="U799" s="5"/>
      <c r="V799" s="5"/>
      <c r="W799" s="5"/>
    </row>
    <row r="800">
      <c r="A800" s="5"/>
      <c r="B800" s="5"/>
      <c r="C800" s="5"/>
      <c r="D800" s="5"/>
      <c r="E800" s="5"/>
      <c r="F800" s="5"/>
      <c r="G800" s="5"/>
      <c r="H800" s="5"/>
      <c r="I800" s="5"/>
      <c r="J800" s="5"/>
      <c r="K800" s="5"/>
      <c r="L800" s="5"/>
      <c r="M800" s="5"/>
      <c r="N800" s="5"/>
      <c r="O800" s="5"/>
      <c r="P800" s="5"/>
      <c r="Q800" s="5"/>
      <c r="R800" s="5"/>
      <c r="S800" s="5"/>
      <c r="T800" s="5"/>
      <c r="U800" s="5"/>
      <c r="V800" s="5"/>
      <c r="W800" s="5"/>
    </row>
    <row r="801">
      <c r="A801" s="5"/>
      <c r="B801" s="5"/>
      <c r="C801" s="5"/>
      <c r="D801" s="5"/>
      <c r="E801" s="5"/>
      <c r="F801" s="5"/>
      <c r="G801" s="5"/>
      <c r="H801" s="5"/>
      <c r="I801" s="5"/>
      <c r="J801" s="5"/>
      <c r="K801" s="5"/>
      <c r="L801" s="5"/>
      <c r="M801" s="5"/>
      <c r="N801" s="5"/>
      <c r="O801" s="5"/>
      <c r="P801" s="5"/>
      <c r="Q801" s="5"/>
      <c r="R801" s="5"/>
      <c r="S801" s="5"/>
      <c r="T801" s="5"/>
      <c r="U801" s="5"/>
      <c r="V801" s="5"/>
      <c r="W801" s="5"/>
    </row>
    <row r="802">
      <c r="A802" s="5"/>
      <c r="B802" s="5"/>
      <c r="C802" s="5"/>
      <c r="D802" s="5"/>
      <c r="E802" s="5"/>
      <c r="F802" s="5"/>
      <c r="G802" s="5"/>
      <c r="H802" s="5"/>
      <c r="I802" s="5"/>
      <c r="J802" s="5"/>
      <c r="K802" s="5"/>
      <c r="L802" s="5"/>
      <c r="M802" s="5"/>
      <c r="N802" s="5"/>
      <c r="O802" s="5"/>
      <c r="P802" s="5"/>
      <c r="Q802" s="5"/>
      <c r="R802" s="5"/>
      <c r="S802" s="5"/>
      <c r="T802" s="5"/>
      <c r="U802" s="5"/>
      <c r="V802" s="5"/>
      <c r="W802" s="5"/>
    </row>
    <row r="803">
      <c r="A803" s="5"/>
      <c r="B803" s="5"/>
      <c r="C803" s="5"/>
      <c r="D803" s="5"/>
      <c r="E803" s="5"/>
      <c r="F803" s="5"/>
      <c r="G803" s="5"/>
      <c r="H803" s="5"/>
      <c r="I803" s="5"/>
      <c r="J803" s="5"/>
      <c r="K803" s="5"/>
      <c r="L803" s="5"/>
      <c r="M803" s="5"/>
      <c r="N803" s="5"/>
      <c r="O803" s="5"/>
      <c r="P803" s="5"/>
      <c r="Q803" s="5"/>
      <c r="R803" s="5"/>
      <c r="S803" s="5"/>
      <c r="T803" s="5"/>
      <c r="U803" s="5"/>
      <c r="V803" s="5"/>
      <c r="W803" s="5"/>
    </row>
    <row r="804">
      <c r="A804" s="5"/>
      <c r="B804" s="5"/>
      <c r="C804" s="5"/>
      <c r="D804" s="5"/>
      <c r="E804" s="5"/>
      <c r="F804" s="5"/>
      <c r="G804" s="5"/>
      <c r="H804" s="5"/>
      <c r="I804" s="5"/>
      <c r="J804" s="5"/>
      <c r="K804" s="5"/>
      <c r="L804" s="5"/>
      <c r="M804" s="5"/>
      <c r="N804" s="5"/>
      <c r="O804" s="5"/>
      <c r="P804" s="5"/>
      <c r="Q804" s="5"/>
      <c r="R804" s="5"/>
      <c r="S804" s="5"/>
      <c r="T804" s="5"/>
      <c r="U804" s="5"/>
      <c r="V804" s="5"/>
      <c r="W804" s="5"/>
    </row>
    <row r="805">
      <c r="A805" s="5"/>
      <c r="B805" s="5"/>
      <c r="C805" s="5"/>
      <c r="D805" s="5"/>
      <c r="E805" s="5"/>
      <c r="F805" s="5"/>
      <c r="G805" s="5"/>
      <c r="H805" s="5"/>
      <c r="I805" s="5"/>
      <c r="J805" s="5"/>
      <c r="K805" s="5"/>
      <c r="L805" s="5"/>
      <c r="M805" s="5"/>
      <c r="N805" s="5"/>
      <c r="O805" s="5"/>
      <c r="P805" s="5"/>
      <c r="Q805" s="5"/>
      <c r="R805" s="5"/>
      <c r="S805" s="5"/>
      <c r="T805" s="5"/>
      <c r="U805" s="5"/>
      <c r="V805" s="5"/>
      <c r="W805" s="5"/>
    </row>
    <row r="806">
      <c r="A806" s="5"/>
      <c r="B806" s="5"/>
      <c r="C806" s="5"/>
      <c r="D806" s="5"/>
      <c r="E806" s="5"/>
      <c r="F806" s="5"/>
      <c r="G806" s="5"/>
      <c r="H806" s="5"/>
      <c r="I806" s="5"/>
      <c r="J806" s="5"/>
      <c r="K806" s="5"/>
      <c r="L806" s="5"/>
      <c r="M806" s="5"/>
      <c r="N806" s="5"/>
      <c r="O806" s="5"/>
      <c r="P806" s="5"/>
      <c r="Q806" s="5"/>
      <c r="R806" s="5"/>
      <c r="S806" s="5"/>
      <c r="T806" s="5"/>
      <c r="U806" s="5"/>
      <c r="V806" s="5"/>
      <c r="W806" s="5"/>
    </row>
    <row r="807">
      <c r="A807" s="5"/>
      <c r="B807" s="5"/>
      <c r="C807" s="5"/>
      <c r="D807" s="5"/>
      <c r="E807" s="5"/>
      <c r="F807" s="5"/>
      <c r="G807" s="5"/>
      <c r="H807" s="5"/>
      <c r="I807" s="5"/>
      <c r="J807" s="5"/>
      <c r="K807" s="5"/>
      <c r="L807" s="5"/>
      <c r="M807" s="5"/>
      <c r="N807" s="5"/>
      <c r="O807" s="5"/>
      <c r="P807" s="5"/>
      <c r="Q807" s="5"/>
      <c r="R807" s="5"/>
      <c r="S807" s="5"/>
      <c r="T807" s="5"/>
      <c r="U807" s="5"/>
      <c r="V807" s="5"/>
      <c r="W807" s="5"/>
    </row>
    <row r="808">
      <c r="A808" s="5"/>
      <c r="B808" s="5"/>
      <c r="C808" s="5"/>
      <c r="D808" s="5"/>
      <c r="E808" s="5"/>
      <c r="F808" s="5"/>
      <c r="G808" s="5"/>
      <c r="H808" s="5"/>
      <c r="I808" s="5"/>
      <c r="J808" s="5"/>
      <c r="K808" s="5"/>
      <c r="L808" s="5"/>
      <c r="M808" s="5"/>
      <c r="N808" s="5"/>
      <c r="O808" s="5"/>
      <c r="P808" s="5"/>
      <c r="Q808" s="5"/>
      <c r="R808" s="5"/>
      <c r="S808" s="5"/>
      <c r="T808" s="5"/>
      <c r="U808" s="5"/>
      <c r="V808" s="5"/>
      <c r="W808" s="5"/>
    </row>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 r:id="rId25" ref="E26"/>
    <hyperlink r:id="rId26" ref="E27"/>
    <hyperlink r:id="rId27" ref="E28"/>
    <hyperlink r:id="rId28" ref="E29"/>
    <hyperlink r:id="rId29" ref="E30"/>
    <hyperlink r:id="rId30" ref="E31"/>
    <hyperlink r:id="rId31" ref="E32"/>
    <hyperlink r:id="rId32" ref="E33"/>
    <hyperlink r:id="rId33" ref="E34"/>
    <hyperlink r:id="rId34" ref="E35"/>
    <hyperlink r:id="rId35" ref="E36"/>
    <hyperlink r:id="rId36" ref="E37"/>
    <hyperlink r:id="rId37" ref="E38"/>
    <hyperlink r:id="rId38" ref="E39"/>
    <hyperlink r:id="rId39" ref="E40"/>
    <hyperlink r:id="rId40" ref="E41"/>
    <hyperlink r:id="rId41" ref="E42"/>
    <hyperlink r:id="rId42" ref="E43"/>
    <hyperlink r:id="rId43" ref="E44"/>
    <hyperlink r:id="rId44" ref="E45"/>
    <hyperlink r:id="rId45" ref="E46"/>
    <hyperlink r:id="rId46" ref="E47"/>
    <hyperlink r:id="rId47" ref="E48"/>
    <hyperlink r:id="rId48" ref="E49"/>
    <hyperlink r:id="rId49" ref="E50"/>
    <hyperlink r:id="rId50" ref="E51"/>
    <hyperlink r:id="rId51" ref="E52"/>
    <hyperlink r:id="rId52" ref="E53"/>
    <hyperlink r:id="rId53" ref="E54"/>
    <hyperlink r:id="rId54" ref="E55"/>
    <hyperlink r:id="rId55" ref="E56"/>
    <hyperlink r:id="rId56" ref="E57"/>
    <hyperlink r:id="rId57" ref="E58"/>
    <hyperlink r:id="rId58" ref="E59"/>
    <hyperlink r:id="rId59" ref="E60"/>
    <hyperlink r:id="rId60" ref="E61"/>
    <hyperlink r:id="rId61" ref="E62"/>
    <hyperlink r:id="rId62" ref="E63"/>
    <hyperlink r:id="rId63" ref="E64"/>
    <hyperlink r:id="rId64" ref="E65"/>
    <hyperlink r:id="rId65" ref="E66"/>
    <hyperlink r:id="rId66" ref="E67"/>
    <hyperlink r:id="rId67" ref="E68"/>
    <hyperlink r:id="rId68" ref="E69"/>
    <hyperlink r:id="rId69" ref="E70"/>
    <hyperlink r:id="rId70" ref="E71"/>
    <hyperlink r:id="rId71" ref="E72"/>
    <hyperlink r:id="rId72" ref="E73"/>
    <hyperlink r:id="rId73" ref="E74"/>
    <hyperlink r:id="rId74" ref="E75"/>
    <hyperlink r:id="rId75" ref="E76"/>
    <hyperlink r:id="rId76" ref="E77"/>
    <hyperlink r:id="rId77" ref="E78"/>
    <hyperlink r:id="rId78" ref="E79"/>
    <hyperlink r:id="rId79" ref="E80"/>
    <hyperlink r:id="rId80" ref="E81"/>
    <hyperlink r:id="rId81" ref="E82"/>
    <hyperlink r:id="rId82" ref="E83"/>
    <hyperlink r:id="rId83" ref="E84"/>
    <hyperlink r:id="rId84" ref="E85"/>
    <hyperlink r:id="rId85" ref="E86"/>
    <hyperlink r:id="rId86" ref="E87"/>
    <hyperlink r:id="rId87" ref="E88"/>
    <hyperlink r:id="rId88" ref="E89"/>
    <hyperlink r:id="rId89" ref="E90"/>
    <hyperlink r:id="rId90" ref="E91"/>
    <hyperlink r:id="rId91" ref="E92"/>
    <hyperlink r:id="rId92" ref="E93"/>
    <hyperlink r:id="rId93" ref="E94"/>
  </hyperlinks>
  <drawing r:id="rId9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sheetPr>
  <sheetViews>
    <sheetView workbookViewId="0"/>
  </sheetViews>
  <sheetFormatPr customHeight="1" defaultColWidth="12.63" defaultRowHeight="15.75"/>
  <cols>
    <col customWidth="1" min="1" max="1" width="40.75"/>
    <col customWidth="1" min="2" max="2" width="70.63"/>
    <col customWidth="1" min="5" max="5" width="28.63"/>
  </cols>
  <sheetData>
    <row r="1">
      <c r="A1" s="1" t="s">
        <v>4</v>
      </c>
      <c r="B1" s="1" t="s">
        <v>8</v>
      </c>
      <c r="C1" s="1" t="s">
        <v>12</v>
      </c>
      <c r="D1" s="1" t="s">
        <v>16</v>
      </c>
      <c r="E1" s="1" t="s">
        <v>20</v>
      </c>
      <c r="F1" s="5"/>
      <c r="G1" s="5"/>
      <c r="H1" s="5"/>
      <c r="I1" s="5"/>
      <c r="J1" s="5"/>
      <c r="K1" s="5"/>
      <c r="L1" s="5"/>
      <c r="M1" s="5"/>
      <c r="N1" s="5"/>
      <c r="O1" s="5"/>
      <c r="P1" s="5"/>
      <c r="Q1" s="5"/>
      <c r="R1" s="5"/>
      <c r="S1" s="5"/>
      <c r="T1" s="5"/>
      <c r="U1" s="5"/>
      <c r="V1" s="5"/>
      <c r="W1" s="5"/>
    </row>
    <row r="2">
      <c r="A2" s="3" t="s">
        <v>1032</v>
      </c>
      <c r="B2" s="3" t="s">
        <v>1033</v>
      </c>
      <c r="C2" s="3" t="s">
        <v>1034</v>
      </c>
      <c r="D2" s="3" t="s">
        <v>1035</v>
      </c>
      <c r="E2" s="4" t="s">
        <v>36</v>
      </c>
      <c r="F2" s="5"/>
      <c r="G2" s="5"/>
      <c r="H2" s="5"/>
      <c r="I2" s="5"/>
      <c r="J2" s="5"/>
      <c r="K2" s="5"/>
      <c r="L2" s="5"/>
      <c r="M2" s="5"/>
      <c r="N2" s="5"/>
      <c r="O2" s="5"/>
      <c r="P2" s="5"/>
      <c r="Q2" s="5"/>
      <c r="R2" s="5"/>
      <c r="S2" s="5"/>
      <c r="T2" s="5"/>
      <c r="U2" s="5"/>
      <c r="V2" s="5"/>
      <c r="W2" s="5"/>
    </row>
    <row r="3">
      <c r="A3" s="3" t="s">
        <v>1036</v>
      </c>
      <c r="B3" s="3" t="s">
        <v>1037</v>
      </c>
      <c r="C3" s="3" t="s">
        <v>1034</v>
      </c>
      <c r="D3" s="3" t="s">
        <v>1038</v>
      </c>
      <c r="E3" s="4" t="s">
        <v>36</v>
      </c>
      <c r="F3" s="5"/>
      <c r="G3" s="5"/>
      <c r="H3" s="5"/>
      <c r="I3" s="5"/>
      <c r="J3" s="5"/>
      <c r="K3" s="5"/>
      <c r="L3" s="5"/>
      <c r="M3" s="5"/>
      <c r="N3" s="5"/>
      <c r="O3" s="5"/>
      <c r="P3" s="5"/>
      <c r="Q3" s="5"/>
      <c r="R3" s="5"/>
      <c r="S3" s="5"/>
      <c r="T3" s="5"/>
      <c r="U3" s="5"/>
      <c r="V3" s="5"/>
      <c r="W3" s="5"/>
    </row>
    <row r="4">
      <c r="A4" s="3" t="s">
        <v>1039</v>
      </c>
      <c r="B4" s="3" t="s">
        <v>1040</v>
      </c>
      <c r="C4" s="3" t="s">
        <v>1034</v>
      </c>
      <c r="D4" s="3" t="s">
        <v>1041</v>
      </c>
      <c r="E4" s="4" t="s">
        <v>36</v>
      </c>
      <c r="F4" s="5"/>
      <c r="G4" s="5"/>
      <c r="H4" s="5"/>
      <c r="I4" s="5"/>
      <c r="J4" s="5"/>
      <c r="K4" s="5"/>
      <c r="L4" s="5"/>
      <c r="M4" s="5"/>
      <c r="N4" s="5"/>
      <c r="O4" s="5"/>
      <c r="P4" s="5"/>
      <c r="Q4" s="5"/>
      <c r="R4" s="5"/>
      <c r="S4" s="5"/>
      <c r="T4" s="5"/>
      <c r="U4" s="5"/>
      <c r="V4" s="5"/>
      <c r="W4" s="5"/>
    </row>
    <row r="5">
      <c r="A5" s="3" t="s">
        <v>1042</v>
      </c>
      <c r="B5" s="3" t="s">
        <v>1043</v>
      </c>
      <c r="C5" s="3" t="s">
        <v>43</v>
      </c>
      <c r="D5" s="3" t="s">
        <v>1044</v>
      </c>
      <c r="E5" s="4" t="s">
        <v>36</v>
      </c>
      <c r="F5" s="5"/>
      <c r="G5" s="5"/>
      <c r="H5" s="5"/>
      <c r="I5" s="5"/>
      <c r="J5" s="5"/>
      <c r="K5" s="5"/>
      <c r="L5" s="5"/>
      <c r="M5" s="5"/>
      <c r="N5" s="5"/>
      <c r="O5" s="5"/>
      <c r="P5" s="5"/>
      <c r="Q5" s="5"/>
      <c r="R5" s="5"/>
      <c r="S5" s="5"/>
      <c r="T5" s="5"/>
      <c r="U5" s="5"/>
      <c r="V5" s="5"/>
      <c r="W5" s="5"/>
    </row>
    <row r="6">
      <c r="A6" s="3" t="s">
        <v>1045</v>
      </c>
      <c r="B6" s="3" t="s">
        <v>1046</v>
      </c>
      <c r="C6" s="3" t="s">
        <v>43</v>
      </c>
      <c r="D6" s="3" t="s">
        <v>1047</v>
      </c>
      <c r="E6" s="4" t="s">
        <v>36</v>
      </c>
      <c r="F6" s="5"/>
      <c r="G6" s="5"/>
      <c r="H6" s="5"/>
      <c r="I6" s="5"/>
      <c r="J6" s="5"/>
      <c r="K6" s="5"/>
      <c r="L6" s="5"/>
      <c r="M6" s="5"/>
      <c r="N6" s="5"/>
      <c r="O6" s="5"/>
      <c r="P6" s="5"/>
      <c r="Q6" s="5"/>
      <c r="R6" s="5"/>
      <c r="S6" s="5"/>
      <c r="T6" s="5"/>
      <c r="U6" s="5"/>
      <c r="V6" s="5"/>
      <c r="W6" s="5"/>
    </row>
    <row r="7">
      <c r="A7" s="3" t="s">
        <v>1048</v>
      </c>
      <c r="B7" s="3" t="s">
        <v>1049</v>
      </c>
      <c r="C7" s="3" t="s">
        <v>1050</v>
      </c>
      <c r="D7" s="3" t="s">
        <v>1051</v>
      </c>
      <c r="E7" s="4" t="s">
        <v>36</v>
      </c>
      <c r="F7" s="5"/>
      <c r="G7" s="5"/>
      <c r="H7" s="5"/>
      <c r="I7" s="5"/>
      <c r="J7" s="5"/>
      <c r="K7" s="5"/>
      <c r="L7" s="5"/>
      <c r="M7" s="5"/>
      <c r="N7" s="5"/>
      <c r="O7" s="5"/>
      <c r="P7" s="5"/>
      <c r="Q7" s="5"/>
      <c r="R7" s="5"/>
      <c r="S7" s="5"/>
      <c r="T7" s="5"/>
      <c r="U7" s="5"/>
      <c r="V7" s="5"/>
      <c r="W7" s="5"/>
    </row>
    <row r="8">
      <c r="A8" s="3" t="s">
        <v>1052</v>
      </c>
      <c r="B8" s="3" t="s">
        <v>1053</v>
      </c>
      <c r="C8" s="3" t="s">
        <v>1050</v>
      </c>
      <c r="D8" s="3" t="s">
        <v>1054</v>
      </c>
      <c r="E8" s="4" t="s">
        <v>1055</v>
      </c>
      <c r="F8" s="5"/>
      <c r="G8" s="5"/>
      <c r="H8" s="5"/>
      <c r="I8" s="5"/>
      <c r="J8" s="5"/>
      <c r="K8" s="5"/>
      <c r="L8" s="5"/>
      <c r="M8" s="5"/>
      <c r="N8" s="5"/>
      <c r="O8" s="5"/>
      <c r="P8" s="5"/>
      <c r="Q8" s="5"/>
      <c r="R8" s="5"/>
      <c r="S8" s="5"/>
      <c r="T8" s="5"/>
      <c r="U8" s="5"/>
      <c r="V8" s="5"/>
      <c r="W8" s="5"/>
    </row>
    <row r="9">
      <c r="A9" s="3" t="s">
        <v>1056</v>
      </c>
      <c r="B9" s="3" t="s">
        <v>1057</v>
      </c>
      <c r="C9" s="3" t="s">
        <v>1050</v>
      </c>
      <c r="D9" s="3" t="s">
        <v>1058</v>
      </c>
      <c r="E9" s="4" t="s">
        <v>1055</v>
      </c>
      <c r="F9" s="5"/>
      <c r="G9" s="5"/>
      <c r="H9" s="5"/>
      <c r="I9" s="5"/>
      <c r="J9" s="5"/>
      <c r="K9" s="5"/>
      <c r="L9" s="5"/>
      <c r="M9" s="5"/>
      <c r="N9" s="5"/>
      <c r="O9" s="5"/>
      <c r="P9" s="5"/>
      <c r="Q9" s="5"/>
      <c r="R9" s="5"/>
      <c r="S9" s="5"/>
      <c r="T9" s="5"/>
      <c r="U9" s="5"/>
      <c r="V9" s="5"/>
      <c r="W9" s="5"/>
    </row>
    <row r="10">
      <c r="A10" s="3" t="s">
        <v>1059</v>
      </c>
      <c r="B10" s="3" t="s">
        <v>1060</v>
      </c>
      <c r="C10" s="3" t="s">
        <v>1050</v>
      </c>
      <c r="D10" s="3" t="s">
        <v>1061</v>
      </c>
      <c r="E10" s="4" t="s">
        <v>1055</v>
      </c>
      <c r="F10" s="5"/>
      <c r="G10" s="5"/>
      <c r="H10" s="5"/>
      <c r="I10" s="5"/>
      <c r="J10" s="5"/>
      <c r="K10" s="5"/>
      <c r="L10" s="5"/>
      <c r="M10" s="5"/>
      <c r="N10" s="5"/>
      <c r="O10" s="5"/>
      <c r="P10" s="5"/>
      <c r="Q10" s="5"/>
      <c r="R10" s="5"/>
      <c r="S10" s="5"/>
      <c r="T10" s="5"/>
      <c r="U10" s="5"/>
      <c r="V10" s="5"/>
      <c r="W10" s="5"/>
    </row>
    <row r="11">
      <c r="A11" s="3" t="s">
        <v>1062</v>
      </c>
      <c r="B11" s="3" t="s">
        <v>1063</v>
      </c>
      <c r="C11" s="3" t="s">
        <v>1050</v>
      </c>
      <c r="D11" s="3" t="s">
        <v>1064</v>
      </c>
      <c r="E11" s="4" t="s">
        <v>36</v>
      </c>
      <c r="F11" s="5"/>
      <c r="G11" s="5"/>
      <c r="H11" s="5"/>
      <c r="I11" s="5"/>
      <c r="J11" s="5"/>
      <c r="K11" s="5"/>
      <c r="L11" s="5"/>
      <c r="M11" s="5"/>
      <c r="N11" s="5"/>
      <c r="O11" s="5"/>
      <c r="P11" s="5"/>
      <c r="Q11" s="5"/>
      <c r="R11" s="5"/>
      <c r="S11" s="5"/>
      <c r="T11" s="5"/>
      <c r="U11" s="5"/>
      <c r="V11" s="5"/>
      <c r="W11" s="5"/>
    </row>
    <row r="12">
      <c r="A12" s="3" t="s">
        <v>1065</v>
      </c>
      <c r="B12" s="3" t="s">
        <v>1066</v>
      </c>
      <c r="C12" s="3" t="s">
        <v>144</v>
      </c>
      <c r="D12" s="3" t="s">
        <v>1067</v>
      </c>
      <c r="E12" s="4" t="s">
        <v>36</v>
      </c>
      <c r="F12" s="5"/>
      <c r="G12" s="5"/>
      <c r="H12" s="5"/>
      <c r="I12" s="5"/>
      <c r="J12" s="5"/>
      <c r="K12" s="5"/>
      <c r="L12" s="5"/>
      <c r="M12" s="5"/>
      <c r="N12" s="5"/>
      <c r="O12" s="5"/>
      <c r="P12" s="5"/>
      <c r="Q12" s="5"/>
      <c r="R12" s="5"/>
      <c r="S12" s="5"/>
      <c r="T12" s="5"/>
      <c r="U12" s="5"/>
      <c r="V12" s="5"/>
      <c r="W12" s="5"/>
    </row>
    <row r="13">
      <c r="A13" s="3" t="s">
        <v>1068</v>
      </c>
      <c r="B13" s="3" t="s">
        <v>1069</v>
      </c>
      <c r="C13" s="3" t="s">
        <v>150</v>
      </c>
      <c r="D13" s="3" t="s">
        <v>1070</v>
      </c>
      <c r="E13" s="4" t="s">
        <v>36</v>
      </c>
      <c r="F13" s="5"/>
      <c r="G13" s="5"/>
      <c r="H13" s="5"/>
      <c r="I13" s="5"/>
      <c r="J13" s="5"/>
      <c r="K13" s="5"/>
      <c r="L13" s="5"/>
      <c r="M13" s="5"/>
      <c r="N13" s="5"/>
      <c r="O13" s="5"/>
      <c r="P13" s="5"/>
      <c r="Q13" s="5"/>
      <c r="R13" s="5"/>
      <c r="S13" s="5"/>
      <c r="T13" s="5"/>
      <c r="U13" s="5"/>
      <c r="V13" s="5"/>
      <c r="W13" s="5"/>
    </row>
    <row r="14">
      <c r="A14" s="3" t="s">
        <v>1071</v>
      </c>
      <c r="B14" s="3" t="s">
        <v>1072</v>
      </c>
      <c r="C14" s="3" t="s">
        <v>150</v>
      </c>
      <c r="D14" s="3" t="s">
        <v>1073</v>
      </c>
      <c r="E14" s="15" t="s">
        <v>75</v>
      </c>
      <c r="F14" s="5"/>
      <c r="G14" s="5"/>
      <c r="H14" s="5"/>
      <c r="I14" s="5"/>
      <c r="J14" s="5"/>
      <c r="K14" s="5"/>
      <c r="L14" s="5"/>
      <c r="M14" s="5"/>
      <c r="N14" s="5"/>
      <c r="O14" s="5"/>
      <c r="P14" s="5"/>
      <c r="Q14" s="5"/>
      <c r="R14" s="5"/>
      <c r="S14" s="5"/>
      <c r="T14" s="5"/>
      <c r="U14" s="5"/>
      <c r="V14" s="5"/>
      <c r="W14" s="5"/>
    </row>
    <row r="15">
      <c r="A15" s="16" t="s">
        <v>1074</v>
      </c>
      <c r="B15" s="16" t="s">
        <v>1075</v>
      </c>
      <c r="C15" s="16" t="s">
        <v>150</v>
      </c>
      <c r="D15" s="16" t="s">
        <v>1076</v>
      </c>
      <c r="E15" s="25" t="s">
        <v>73</v>
      </c>
      <c r="F15" s="17"/>
      <c r="G15" s="17"/>
      <c r="H15" s="17"/>
      <c r="I15" s="17"/>
      <c r="J15" s="17"/>
      <c r="K15" s="17"/>
      <c r="L15" s="17"/>
      <c r="M15" s="17"/>
      <c r="N15" s="17"/>
      <c r="O15" s="17"/>
      <c r="P15" s="17"/>
      <c r="Q15" s="17"/>
      <c r="R15" s="17"/>
      <c r="S15" s="17"/>
      <c r="T15" s="17"/>
      <c r="U15" s="17"/>
      <c r="V15" s="17"/>
      <c r="W15" s="17"/>
    </row>
    <row r="16">
      <c r="A16" s="3" t="s">
        <v>1077</v>
      </c>
      <c r="B16" s="3" t="s">
        <v>1078</v>
      </c>
      <c r="C16" s="3" t="s">
        <v>150</v>
      </c>
      <c r="D16" s="3" t="s">
        <v>1079</v>
      </c>
      <c r="E16" s="4" t="s">
        <v>75</v>
      </c>
      <c r="F16" s="5"/>
      <c r="G16" s="5"/>
      <c r="H16" s="5"/>
      <c r="I16" s="5"/>
      <c r="J16" s="5"/>
      <c r="K16" s="5"/>
      <c r="L16" s="5"/>
      <c r="M16" s="5"/>
      <c r="N16" s="5"/>
      <c r="O16" s="5"/>
      <c r="P16" s="5"/>
      <c r="Q16" s="5"/>
      <c r="R16" s="5"/>
      <c r="S16" s="5"/>
      <c r="T16" s="5"/>
      <c r="U16" s="5"/>
      <c r="V16" s="5"/>
      <c r="W16" s="5"/>
    </row>
    <row r="17">
      <c r="A17" s="3" t="s">
        <v>1080</v>
      </c>
      <c r="B17" s="3" t="s">
        <v>1081</v>
      </c>
      <c r="C17" s="3" t="s">
        <v>150</v>
      </c>
      <c r="D17" s="3" t="s">
        <v>1082</v>
      </c>
      <c r="E17" s="4" t="s">
        <v>93</v>
      </c>
      <c r="F17" s="5"/>
      <c r="G17" s="5"/>
      <c r="H17" s="5"/>
      <c r="I17" s="5"/>
      <c r="J17" s="5"/>
      <c r="K17" s="5"/>
      <c r="L17" s="5"/>
      <c r="M17" s="5"/>
      <c r="N17" s="5"/>
      <c r="O17" s="5"/>
      <c r="P17" s="5"/>
      <c r="Q17" s="5"/>
      <c r="R17" s="5"/>
      <c r="S17" s="5"/>
      <c r="T17" s="5"/>
      <c r="U17" s="5"/>
      <c r="V17" s="5"/>
      <c r="W17" s="5"/>
    </row>
    <row r="18">
      <c r="A18" s="16" t="s">
        <v>1083</v>
      </c>
      <c r="B18" s="16" t="s">
        <v>1084</v>
      </c>
      <c r="C18" s="16" t="s">
        <v>150</v>
      </c>
      <c r="D18" s="16" t="s">
        <v>1085</v>
      </c>
      <c r="E18" s="26" t="s">
        <v>77</v>
      </c>
      <c r="F18" s="17"/>
      <c r="G18" s="17"/>
      <c r="H18" s="17"/>
      <c r="I18" s="17"/>
      <c r="J18" s="17"/>
      <c r="K18" s="17"/>
      <c r="L18" s="17"/>
      <c r="M18" s="17"/>
      <c r="N18" s="17"/>
      <c r="O18" s="17"/>
      <c r="P18" s="17"/>
      <c r="Q18" s="17"/>
      <c r="R18" s="17"/>
      <c r="S18" s="17"/>
      <c r="T18" s="17"/>
      <c r="U18" s="17"/>
      <c r="V18" s="17"/>
      <c r="W18" s="17"/>
    </row>
    <row r="19">
      <c r="A19" s="3" t="s">
        <v>1086</v>
      </c>
      <c r="B19" s="3" t="s">
        <v>1087</v>
      </c>
      <c r="C19" s="3" t="s">
        <v>150</v>
      </c>
      <c r="D19" s="3" t="s">
        <v>1088</v>
      </c>
      <c r="E19" s="4" t="s">
        <v>81</v>
      </c>
      <c r="F19" s="5"/>
      <c r="G19" s="5"/>
      <c r="H19" s="5"/>
      <c r="I19" s="5"/>
      <c r="J19" s="5"/>
      <c r="K19" s="5"/>
      <c r="L19" s="5"/>
      <c r="M19" s="5"/>
      <c r="N19" s="5"/>
      <c r="O19" s="5"/>
      <c r="P19" s="5"/>
      <c r="Q19" s="5"/>
      <c r="R19" s="5"/>
      <c r="S19" s="5"/>
      <c r="T19" s="5"/>
      <c r="U19" s="5"/>
      <c r="V19" s="5"/>
      <c r="W19" s="5"/>
    </row>
    <row r="20">
      <c r="A20" s="16" t="s">
        <v>1089</v>
      </c>
      <c r="B20" s="16" t="s">
        <v>1090</v>
      </c>
      <c r="C20" s="16" t="s">
        <v>150</v>
      </c>
      <c r="D20" s="16" t="s">
        <v>1091</v>
      </c>
      <c r="E20" s="26" t="s">
        <v>79</v>
      </c>
      <c r="F20" s="17"/>
      <c r="G20" s="17"/>
      <c r="H20" s="17"/>
      <c r="I20" s="17"/>
      <c r="J20" s="17"/>
      <c r="K20" s="17"/>
      <c r="L20" s="17"/>
      <c r="M20" s="17"/>
      <c r="N20" s="17"/>
      <c r="O20" s="17"/>
      <c r="P20" s="17"/>
      <c r="Q20" s="17"/>
      <c r="R20" s="17"/>
      <c r="S20" s="17"/>
      <c r="T20" s="17"/>
      <c r="U20" s="17"/>
      <c r="V20" s="17"/>
      <c r="W20" s="17"/>
    </row>
    <row r="21">
      <c r="A21" s="3" t="s">
        <v>1092</v>
      </c>
      <c r="B21" s="3" t="s">
        <v>1093</v>
      </c>
      <c r="C21" s="3" t="s">
        <v>150</v>
      </c>
      <c r="D21" s="3" t="s">
        <v>1094</v>
      </c>
      <c r="E21" s="26" t="s">
        <v>77</v>
      </c>
      <c r="F21" s="5"/>
      <c r="G21" s="5"/>
      <c r="H21" s="5"/>
      <c r="I21" s="5"/>
      <c r="J21" s="5"/>
      <c r="K21" s="5"/>
      <c r="L21" s="5"/>
      <c r="M21" s="5"/>
      <c r="N21" s="5"/>
      <c r="O21" s="5"/>
      <c r="P21" s="5"/>
      <c r="Q21" s="5"/>
      <c r="R21" s="5"/>
      <c r="S21" s="5"/>
      <c r="T21" s="5"/>
      <c r="U21" s="5"/>
      <c r="V21" s="5"/>
      <c r="W21" s="5"/>
    </row>
    <row r="22">
      <c r="A22" s="3" t="s">
        <v>1095</v>
      </c>
      <c r="B22" s="3" t="s">
        <v>1096</v>
      </c>
      <c r="C22" s="3" t="s">
        <v>150</v>
      </c>
      <c r="D22" s="3" t="s">
        <v>1097</v>
      </c>
      <c r="E22" s="15" t="s">
        <v>71</v>
      </c>
      <c r="F22" s="5"/>
      <c r="G22" s="5"/>
      <c r="H22" s="5"/>
      <c r="I22" s="5"/>
      <c r="J22" s="5"/>
      <c r="K22" s="5"/>
      <c r="L22" s="5"/>
      <c r="M22" s="5"/>
      <c r="N22" s="5"/>
      <c r="O22" s="5"/>
      <c r="P22" s="5"/>
      <c r="Q22" s="5"/>
      <c r="R22" s="5"/>
      <c r="S22" s="5"/>
      <c r="T22" s="5"/>
      <c r="U22" s="5"/>
      <c r="V22" s="5"/>
      <c r="W22" s="5"/>
    </row>
    <row r="23">
      <c r="A23" s="16" t="s">
        <v>1098</v>
      </c>
      <c r="B23" s="16" t="s">
        <v>1099</v>
      </c>
      <c r="C23" s="16" t="s">
        <v>150</v>
      </c>
      <c r="D23" s="16" t="s">
        <v>1100</v>
      </c>
      <c r="E23" s="25" t="s">
        <v>85</v>
      </c>
      <c r="F23" s="17"/>
      <c r="G23" s="17"/>
      <c r="H23" s="17"/>
      <c r="I23" s="17"/>
      <c r="J23" s="17"/>
      <c r="K23" s="17"/>
      <c r="L23" s="17"/>
      <c r="M23" s="17"/>
      <c r="N23" s="17"/>
      <c r="O23" s="17"/>
      <c r="P23" s="17"/>
      <c r="Q23" s="17"/>
      <c r="R23" s="17"/>
      <c r="S23" s="17"/>
      <c r="T23" s="17"/>
      <c r="U23" s="17"/>
      <c r="V23" s="17"/>
      <c r="W23" s="17"/>
    </row>
    <row r="24">
      <c r="A24" s="16" t="s">
        <v>1101</v>
      </c>
      <c r="B24" s="16" t="s">
        <v>1102</v>
      </c>
      <c r="C24" s="16" t="s">
        <v>150</v>
      </c>
      <c r="D24" s="16" t="s">
        <v>1103</v>
      </c>
      <c r="E24" s="25" t="s">
        <v>95</v>
      </c>
      <c r="F24" s="17"/>
      <c r="G24" s="17"/>
      <c r="H24" s="17"/>
      <c r="I24" s="17"/>
      <c r="J24" s="17"/>
      <c r="K24" s="17"/>
      <c r="L24" s="17"/>
      <c r="M24" s="17"/>
      <c r="N24" s="17"/>
      <c r="O24" s="17"/>
      <c r="P24" s="17"/>
      <c r="Q24" s="17"/>
      <c r="R24" s="17"/>
      <c r="S24" s="17"/>
      <c r="T24" s="17"/>
      <c r="U24" s="17"/>
      <c r="V24" s="17"/>
      <c r="W24" s="17"/>
    </row>
    <row r="25">
      <c r="A25" s="16" t="s">
        <v>1104</v>
      </c>
      <c r="B25" s="16" t="s">
        <v>1105</v>
      </c>
      <c r="C25" s="16" t="s">
        <v>150</v>
      </c>
      <c r="D25" s="16" t="s">
        <v>1106</v>
      </c>
      <c r="E25" s="26" t="s">
        <v>89</v>
      </c>
      <c r="F25" s="17"/>
      <c r="G25" s="17"/>
      <c r="H25" s="17"/>
      <c r="I25" s="17"/>
      <c r="J25" s="17"/>
      <c r="K25" s="17"/>
      <c r="L25" s="17"/>
      <c r="M25" s="17"/>
      <c r="N25" s="17"/>
      <c r="O25" s="17"/>
      <c r="P25" s="17"/>
      <c r="Q25" s="17"/>
      <c r="R25" s="17"/>
      <c r="S25" s="17"/>
      <c r="T25" s="17"/>
      <c r="U25" s="17"/>
      <c r="V25" s="17"/>
      <c r="W25" s="17"/>
    </row>
    <row r="26">
      <c r="A26" s="3" t="s">
        <v>1107</v>
      </c>
      <c r="B26" s="3" t="s">
        <v>1108</v>
      </c>
      <c r="C26" s="3" t="s">
        <v>150</v>
      </c>
      <c r="D26" s="3" t="s">
        <v>1109</v>
      </c>
      <c r="E26" s="15" t="s">
        <v>1110</v>
      </c>
      <c r="F26" s="5"/>
      <c r="G26" s="5"/>
      <c r="H26" s="5"/>
      <c r="I26" s="5"/>
      <c r="J26" s="5"/>
      <c r="K26" s="5"/>
      <c r="L26" s="5"/>
      <c r="M26" s="5"/>
      <c r="N26" s="5"/>
      <c r="O26" s="5"/>
      <c r="P26" s="5"/>
      <c r="Q26" s="5"/>
      <c r="R26" s="5"/>
      <c r="S26" s="5"/>
      <c r="T26" s="5"/>
      <c r="U26" s="5"/>
      <c r="V26" s="5"/>
      <c r="W26" s="5"/>
    </row>
    <row r="27">
      <c r="A27" s="3" t="s">
        <v>1111</v>
      </c>
      <c r="B27" s="3" t="s">
        <v>1112</v>
      </c>
      <c r="C27" s="3" t="s">
        <v>150</v>
      </c>
      <c r="D27" s="3" t="s">
        <v>1113</v>
      </c>
      <c r="E27" s="4" t="s">
        <v>91</v>
      </c>
      <c r="F27" s="5"/>
      <c r="G27" s="5"/>
      <c r="H27" s="5"/>
      <c r="I27" s="5"/>
      <c r="J27" s="5"/>
      <c r="K27" s="5"/>
      <c r="L27" s="5"/>
      <c r="M27" s="5"/>
      <c r="N27" s="5"/>
      <c r="O27" s="5"/>
      <c r="P27" s="5"/>
      <c r="Q27" s="5"/>
      <c r="R27" s="5"/>
      <c r="S27" s="5"/>
      <c r="T27" s="5"/>
      <c r="U27" s="5"/>
      <c r="V27" s="5"/>
      <c r="W27" s="5"/>
    </row>
    <row r="28">
      <c r="A28" s="3" t="s">
        <v>1114</v>
      </c>
      <c r="B28" s="3" t="s">
        <v>1115</v>
      </c>
      <c r="C28" s="3" t="s">
        <v>150</v>
      </c>
      <c r="D28" s="3" t="s">
        <v>1116</v>
      </c>
      <c r="E28" s="4" t="s">
        <v>87</v>
      </c>
      <c r="F28" s="5"/>
      <c r="G28" s="5"/>
      <c r="H28" s="5"/>
      <c r="I28" s="5"/>
      <c r="J28" s="5"/>
      <c r="K28" s="5"/>
      <c r="L28" s="5"/>
      <c r="M28" s="5"/>
      <c r="N28" s="5"/>
      <c r="O28" s="5"/>
      <c r="P28" s="5"/>
      <c r="Q28" s="5"/>
      <c r="R28" s="5"/>
      <c r="S28" s="5"/>
      <c r="T28" s="5"/>
      <c r="U28" s="5"/>
      <c r="V28" s="5"/>
      <c r="W28" s="5"/>
    </row>
    <row r="29">
      <c r="A29" s="3" t="s">
        <v>1117</v>
      </c>
      <c r="B29" s="3" t="s">
        <v>1118</v>
      </c>
      <c r="C29" s="3" t="s">
        <v>150</v>
      </c>
      <c r="D29" s="3" t="s">
        <v>1119</v>
      </c>
      <c r="E29" s="4" t="s">
        <v>97</v>
      </c>
      <c r="F29" s="5"/>
      <c r="G29" s="5"/>
      <c r="H29" s="5"/>
      <c r="I29" s="5"/>
      <c r="J29" s="5"/>
      <c r="K29" s="5"/>
      <c r="L29" s="5"/>
      <c r="M29" s="5"/>
      <c r="N29" s="5"/>
      <c r="O29" s="5"/>
      <c r="P29" s="5"/>
      <c r="Q29" s="5"/>
      <c r="R29" s="5"/>
      <c r="S29" s="5"/>
      <c r="T29" s="5"/>
      <c r="U29" s="5"/>
      <c r="V29" s="5"/>
      <c r="W29" s="5"/>
    </row>
    <row r="30">
      <c r="A30" s="3" t="s">
        <v>1120</v>
      </c>
      <c r="B30" s="16" t="s">
        <v>1121</v>
      </c>
      <c r="C30" s="16" t="s">
        <v>150</v>
      </c>
      <c r="D30" s="16" t="s">
        <v>1122</v>
      </c>
      <c r="E30" s="4" t="s">
        <v>83</v>
      </c>
      <c r="F30" s="5"/>
      <c r="G30" s="5"/>
      <c r="H30" s="5"/>
      <c r="I30" s="5"/>
      <c r="J30" s="5"/>
      <c r="K30" s="5"/>
      <c r="L30" s="5"/>
      <c r="M30" s="5"/>
      <c r="N30" s="5"/>
      <c r="O30" s="5"/>
      <c r="P30" s="5"/>
      <c r="Q30" s="5"/>
      <c r="R30" s="5"/>
      <c r="S30" s="5"/>
      <c r="T30" s="5"/>
      <c r="U30" s="5"/>
      <c r="V30" s="5"/>
      <c r="W30" s="5"/>
    </row>
    <row r="31">
      <c r="A31" s="3" t="s">
        <v>1123</v>
      </c>
      <c r="B31" s="3" t="s">
        <v>1124</v>
      </c>
      <c r="C31" s="3" t="s">
        <v>150</v>
      </c>
      <c r="D31" s="3" t="s">
        <v>1125</v>
      </c>
      <c r="E31" s="4" t="s">
        <v>99</v>
      </c>
      <c r="F31" s="5"/>
      <c r="G31" s="5"/>
      <c r="H31" s="5"/>
      <c r="I31" s="5"/>
      <c r="J31" s="5"/>
      <c r="K31" s="5"/>
      <c r="L31" s="5"/>
      <c r="M31" s="5"/>
      <c r="N31" s="5"/>
      <c r="O31" s="5"/>
      <c r="P31" s="5"/>
      <c r="Q31" s="5"/>
      <c r="R31" s="5"/>
      <c r="S31" s="5"/>
      <c r="T31" s="5"/>
      <c r="U31" s="5"/>
      <c r="V31" s="5"/>
      <c r="W31" s="5"/>
    </row>
    <row r="32">
      <c r="A32" s="3" t="s">
        <v>1065</v>
      </c>
      <c r="B32" s="3" t="s">
        <v>1126</v>
      </c>
      <c r="C32" s="3" t="s">
        <v>144</v>
      </c>
      <c r="D32" s="3" t="s">
        <v>1127</v>
      </c>
      <c r="E32" s="15" t="s">
        <v>36</v>
      </c>
      <c r="F32" s="5"/>
      <c r="G32" s="5"/>
      <c r="H32" s="5"/>
      <c r="I32" s="5"/>
      <c r="J32" s="5"/>
      <c r="K32" s="5"/>
      <c r="L32" s="5"/>
      <c r="M32" s="5"/>
      <c r="N32" s="5"/>
      <c r="O32" s="5"/>
      <c r="P32" s="5"/>
      <c r="Q32" s="5"/>
      <c r="R32" s="5"/>
      <c r="S32" s="5"/>
      <c r="T32" s="5"/>
      <c r="U32" s="5"/>
      <c r="V32" s="5"/>
      <c r="W32" s="5"/>
    </row>
    <row r="33">
      <c r="A33" s="16" t="s">
        <v>1128</v>
      </c>
      <c r="B33" s="16" t="s">
        <v>1129</v>
      </c>
      <c r="C33" s="16" t="s">
        <v>150</v>
      </c>
      <c r="D33" s="16" t="s">
        <v>663</v>
      </c>
      <c r="E33" s="25" t="s">
        <v>36</v>
      </c>
      <c r="F33" s="17"/>
      <c r="G33" s="17"/>
      <c r="H33" s="17"/>
      <c r="I33" s="17"/>
      <c r="J33" s="17"/>
      <c r="K33" s="17"/>
      <c r="L33" s="17"/>
      <c r="M33" s="17"/>
      <c r="N33" s="17"/>
      <c r="O33" s="17"/>
      <c r="P33" s="17"/>
      <c r="Q33" s="17"/>
      <c r="R33" s="17"/>
      <c r="S33" s="17"/>
      <c r="T33" s="17"/>
      <c r="U33" s="17"/>
      <c r="V33" s="17"/>
      <c r="W33" s="17"/>
    </row>
    <row r="34">
      <c r="A34" s="3" t="s">
        <v>1130</v>
      </c>
      <c r="B34" s="3" t="s">
        <v>1131</v>
      </c>
      <c r="C34" s="3" t="s">
        <v>1132</v>
      </c>
      <c r="D34" s="3" t="s">
        <v>1133</v>
      </c>
      <c r="E34" s="25" t="s">
        <v>36</v>
      </c>
      <c r="F34" s="5"/>
      <c r="G34" s="5"/>
      <c r="H34" s="5"/>
      <c r="I34" s="5"/>
      <c r="J34" s="5"/>
      <c r="K34" s="5"/>
      <c r="L34" s="5"/>
      <c r="M34" s="5"/>
      <c r="N34" s="5"/>
      <c r="O34" s="5"/>
      <c r="P34" s="5"/>
      <c r="Q34" s="5"/>
      <c r="R34" s="5"/>
      <c r="S34" s="5"/>
      <c r="T34" s="5"/>
      <c r="U34" s="5"/>
      <c r="V34" s="5"/>
      <c r="W34" s="5"/>
    </row>
    <row r="35">
      <c r="A35" s="3" t="s">
        <v>1134</v>
      </c>
      <c r="B35" s="3" t="s">
        <v>1135</v>
      </c>
      <c r="C35" s="3" t="s">
        <v>1132</v>
      </c>
      <c r="D35" s="3" t="s">
        <v>1136</v>
      </c>
      <c r="E35" s="3"/>
      <c r="F35" s="5"/>
      <c r="G35" s="5"/>
      <c r="H35" s="5"/>
      <c r="I35" s="5"/>
      <c r="J35" s="5"/>
      <c r="K35" s="5"/>
      <c r="L35" s="5"/>
      <c r="M35" s="5"/>
      <c r="N35" s="5"/>
      <c r="O35" s="5"/>
      <c r="P35" s="5"/>
      <c r="Q35" s="5"/>
      <c r="R35" s="5"/>
      <c r="S35" s="5"/>
      <c r="T35" s="5"/>
      <c r="U35" s="5"/>
      <c r="V35" s="5"/>
      <c r="W35" s="5"/>
    </row>
    <row r="36">
      <c r="A36" s="3" t="s">
        <v>1137</v>
      </c>
      <c r="B36" s="3" t="s">
        <v>1138</v>
      </c>
      <c r="C36" s="3" t="s">
        <v>1132</v>
      </c>
      <c r="D36" s="3" t="s">
        <v>1139</v>
      </c>
      <c r="E36" s="3"/>
      <c r="F36" s="5"/>
      <c r="G36" s="5"/>
      <c r="H36" s="5"/>
      <c r="I36" s="5"/>
      <c r="J36" s="5"/>
      <c r="K36" s="5"/>
      <c r="L36" s="5"/>
      <c r="M36" s="5"/>
      <c r="N36" s="5"/>
      <c r="O36" s="5"/>
      <c r="P36" s="5"/>
      <c r="Q36" s="5"/>
      <c r="R36" s="5"/>
      <c r="S36" s="5"/>
      <c r="T36" s="5"/>
      <c r="U36" s="5"/>
      <c r="V36" s="5"/>
      <c r="W36" s="5"/>
    </row>
    <row r="37">
      <c r="A37" s="3" t="s">
        <v>1140</v>
      </c>
      <c r="B37" s="3" t="s">
        <v>1141</v>
      </c>
      <c r="C37" s="3" t="s">
        <v>1142</v>
      </c>
      <c r="D37" s="3" t="s">
        <v>1143</v>
      </c>
      <c r="E37" s="4" t="s">
        <v>101</v>
      </c>
      <c r="F37" s="5"/>
      <c r="G37" s="5"/>
      <c r="H37" s="5"/>
      <c r="I37" s="5"/>
      <c r="J37" s="5"/>
      <c r="K37" s="5"/>
      <c r="L37" s="5"/>
      <c r="M37" s="5"/>
      <c r="N37" s="5"/>
      <c r="O37" s="5"/>
      <c r="P37" s="5"/>
      <c r="Q37" s="5"/>
      <c r="R37" s="5"/>
      <c r="S37" s="5"/>
      <c r="T37" s="5"/>
      <c r="U37" s="5"/>
      <c r="V37" s="5"/>
      <c r="W37" s="5"/>
    </row>
    <row r="38">
      <c r="A38" s="16" t="s">
        <v>1144</v>
      </c>
      <c r="B38" s="16" t="s">
        <v>1145</v>
      </c>
      <c r="C38" s="16" t="s">
        <v>1146</v>
      </c>
      <c r="D38" s="16" t="s">
        <v>1147</v>
      </c>
      <c r="E38" s="4" t="s">
        <v>101</v>
      </c>
      <c r="F38" s="17"/>
      <c r="G38" s="17"/>
      <c r="H38" s="17"/>
      <c r="I38" s="17"/>
      <c r="J38" s="17"/>
      <c r="K38" s="17"/>
      <c r="L38" s="17"/>
      <c r="M38" s="17"/>
      <c r="N38" s="17"/>
      <c r="O38" s="17"/>
      <c r="P38" s="17"/>
      <c r="Q38" s="17"/>
      <c r="R38" s="17"/>
      <c r="S38" s="17"/>
      <c r="T38" s="17"/>
      <c r="U38" s="17"/>
      <c r="V38" s="17"/>
      <c r="W38" s="17"/>
    </row>
    <row r="39">
      <c r="A39" s="3" t="s">
        <v>1148</v>
      </c>
      <c r="B39" s="3" t="s">
        <v>1149</v>
      </c>
      <c r="C39" s="3" t="s">
        <v>1150</v>
      </c>
      <c r="D39" s="3" t="s">
        <v>1151</v>
      </c>
      <c r="E39" s="4" t="s">
        <v>101</v>
      </c>
      <c r="F39" s="5"/>
      <c r="G39" s="5"/>
      <c r="H39" s="5"/>
      <c r="I39" s="5"/>
      <c r="J39" s="5"/>
      <c r="K39" s="5"/>
      <c r="L39" s="5"/>
      <c r="M39" s="5"/>
      <c r="N39" s="5"/>
      <c r="O39" s="5"/>
      <c r="P39" s="5"/>
      <c r="Q39" s="5"/>
      <c r="R39" s="5"/>
      <c r="S39" s="5"/>
      <c r="T39" s="5"/>
      <c r="U39" s="5"/>
      <c r="V39" s="5"/>
      <c r="W39" s="5"/>
    </row>
    <row r="40">
      <c r="A40" s="3" t="s">
        <v>1152</v>
      </c>
      <c r="B40" s="3" t="s">
        <v>1153</v>
      </c>
      <c r="C40" s="3" t="s">
        <v>1154</v>
      </c>
      <c r="D40" s="3" t="s">
        <v>1155</v>
      </c>
      <c r="E40" s="4" t="s">
        <v>101</v>
      </c>
      <c r="F40" s="5"/>
      <c r="G40" s="5"/>
      <c r="H40" s="5"/>
      <c r="I40" s="5"/>
      <c r="J40" s="5"/>
      <c r="K40" s="5"/>
      <c r="L40" s="5"/>
      <c r="M40" s="5"/>
      <c r="N40" s="5"/>
      <c r="O40" s="5"/>
      <c r="P40" s="5"/>
      <c r="Q40" s="5"/>
      <c r="R40" s="5"/>
      <c r="S40" s="5"/>
      <c r="T40" s="5"/>
      <c r="U40" s="5"/>
      <c r="V40" s="5"/>
      <c r="W40" s="5"/>
    </row>
    <row r="41">
      <c r="A41" s="3" t="s">
        <v>1156</v>
      </c>
      <c r="B41" s="3" t="s">
        <v>1157</v>
      </c>
      <c r="C41" s="3" t="s">
        <v>1154</v>
      </c>
      <c r="D41" s="3" t="s">
        <v>1158</v>
      </c>
      <c r="E41" s="4" t="s">
        <v>101</v>
      </c>
      <c r="F41" s="5"/>
      <c r="G41" s="5"/>
      <c r="H41" s="5"/>
      <c r="I41" s="5"/>
      <c r="J41" s="5"/>
      <c r="K41" s="5"/>
      <c r="L41" s="5"/>
      <c r="M41" s="5"/>
      <c r="N41" s="5"/>
      <c r="O41" s="5"/>
      <c r="P41" s="5"/>
      <c r="Q41" s="5"/>
      <c r="R41" s="5"/>
      <c r="S41" s="5"/>
      <c r="T41" s="5"/>
      <c r="U41" s="5"/>
      <c r="V41" s="5"/>
      <c r="W41" s="5"/>
    </row>
    <row r="42">
      <c r="A42" s="3" t="s">
        <v>1159</v>
      </c>
      <c r="B42" s="3" t="s">
        <v>1160</v>
      </c>
      <c r="C42" s="3" t="s">
        <v>1161</v>
      </c>
      <c r="D42" s="3" t="s">
        <v>1162</v>
      </c>
      <c r="E42" s="4" t="s">
        <v>101</v>
      </c>
      <c r="F42" s="5"/>
      <c r="G42" s="5"/>
      <c r="H42" s="5"/>
      <c r="I42" s="5"/>
      <c r="J42" s="5"/>
      <c r="K42" s="5"/>
      <c r="L42" s="5"/>
      <c r="M42" s="5"/>
      <c r="N42" s="5"/>
      <c r="O42" s="5"/>
      <c r="P42" s="5"/>
      <c r="Q42" s="5"/>
      <c r="R42" s="5"/>
      <c r="S42" s="5"/>
      <c r="T42" s="5"/>
      <c r="U42" s="5"/>
      <c r="V42" s="5"/>
      <c r="W42" s="5"/>
    </row>
    <row r="43">
      <c r="A43" s="3" t="s">
        <v>1163</v>
      </c>
      <c r="B43" s="3" t="s">
        <v>1164</v>
      </c>
      <c r="C43" s="3" t="s">
        <v>1150</v>
      </c>
      <c r="D43" s="3" t="s">
        <v>1165</v>
      </c>
      <c r="E43" s="4" t="s">
        <v>101</v>
      </c>
      <c r="F43" s="5"/>
      <c r="G43" s="5"/>
      <c r="H43" s="5"/>
      <c r="I43" s="5"/>
      <c r="J43" s="5"/>
      <c r="K43" s="5"/>
      <c r="L43" s="5"/>
      <c r="M43" s="5"/>
      <c r="N43" s="5"/>
      <c r="O43" s="5"/>
      <c r="P43" s="5"/>
      <c r="Q43" s="5"/>
      <c r="R43" s="5"/>
      <c r="S43" s="5"/>
      <c r="T43" s="5"/>
      <c r="U43" s="5"/>
      <c r="V43" s="5"/>
      <c r="W43" s="5"/>
    </row>
    <row r="44">
      <c r="A44" s="3" t="s">
        <v>1166</v>
      </c>
      <c r="B44" s="16" t="s">
        <v>1167</v>
      </c>
      <c r="C44" s="16" t="s">
        <v>1168</v>
      </c>
      <c r="D44" s="16" t="s">
        <v>1169</v>
      </c>
      <c r="E44" s="4" t="s">
        <v>101</v>
      </c>
      <c r="F44" s="5"/>
      <c r="G44" s="5"/>
      <c r="H44" s="5"/>
      <c r="I44" s="5"/>
      <c r="J44" s="5"/>
      <c r="K44" s="5"/>
      <c r="L44" s="5"/>
      <c r="M44" s="5"/>
      <c r="N44" s="5"/>
      <c r="O44" s="5"/>
      <c r="P44" s="5"/>
      <c r="Q44" s="5"/>
      <c r="R44" s="5"/>
      <c r="S44" s="5"/>
      <c r="T44" s="5"/>
      <c r="U44" s="5"/>
      <c r="V44" s="5"/>
      <c r="W44" s="5"/>
    </row>
    <row r="45">
      <c r="A45" s="3" t="s">
        <v>1170</v>
      </c>
      <c r="B45" s="3" t="s">
        <v>1171</v>
      </c>
      <c r="C45" s="3" t="s">
        <v>150</v>
      </c>
      <c r="D45" s="3" t="s">
        <v>1172</v>
      </c>
      <c r="E45" s="4" t="s">
        <v>101</v>
      </c>
      <c r="F45" s="5"/>
      <c r="G45" s="5"/>
      <c r="H45" s="5"/>
      <c r="I45" s="5"/>
      <c r="J45" s="5"/>
      <c r="K45" s="5"/>
      <c r="L45" s="5"/>
      <c r="M45" s="5"/>
      <c r="N45" s="5"/>
      <c r="O45" s="5"/>
      <c r="P45" s="5"/>
      <c r="Q45" s="5"/>
      <c r="R45" s="5"/>
      <c r="S45" s="5"/>
      <c r="T45" s="5"/>
      <c r="U45" s="5"/>
      <c r="V45" s="5"/>
      <c r="W45" s="5"/>
    </row>
    <row r="46">
      <c r="A46" s="16" t="s">
        <v>1173</v>
      </c>
      <c r="B46" s="16" t="s">
        <v>1174</v>
      </c>
      <c r="C46" s="16" t="s">
        <v>642</v>
      </c>
      <c r="D46" s="16" t="s">
        <v>1175</v>
      </c>
      <c r="E46" s="4" t="s">
        <v>101</v>
      </c>
      <c r="F46" s="17"/>
      <c r="G46" s="17"/>
      <c r="H46" s="17"/>
      <c r="I46" s="17"/>
      <c r="J46" s="17"/>
      <c r="K46" s="17"/>
      <c r="L46" s="17"/>
      <c r="M46" s="17"/>
      <c r="N46" s="17"/>
      <c r="O46" s="17"/>
      <c r="P46" s="17"/>
      <c r="Q46" s="17"/>
      <c r="R46" s="17"/>
      <c r="S46" s="17"/>
      <c r="T46" s="17"/>
      <c r="U46" s="17"/>
      <c r="V46" s="17"/>
      <c r="W46" s="17"/>
    </row>
    <row r="47">
      <c r="A47" s="16" t="s">
        <v>1176</v>
      </c>
      <c r="B47" s="16" t="s">
        <v>1177</v>
      </c>
      <c r="C47" s="16" t="s">
        <v>642</v>
      </c>
      <c r="D47" s="16" t="s">
        <v>1178</v>
      </c>
      <c r="E47" s="4" t="s">
        <v>101</v>
      </c>
      <c r="F47" s="17"/>
      <c r="G47" s="17"/>
      <c r="H47" s="17"/>
      <c r="I47" s="17"/>
      <c r="J47" s="17"/>
      <c r="K47" s="17"/>
      <c r="L47" s="17"/>
      <c r="M47" s="17"/>
      <c r="N47" s="17"/>
      <c r="O47" s="17"/>
      <c r="P47" s="17"/>
      <c r="Q47" s="17"/>
      <c r="R47" s="17"/>
      <c r="S47" s="17"/>
      <c r="T47" s="17"/>
      <c r="U47" s="17"/>
      <c r="V47" s="17"/>
      <c r="W47" s="17"/>
    </row>
    <row r="48">
      <c r="A48" s="3" t="s">
        <v>1179</v>
      </c>
      <c r="B48" s="3" t="s">
        <v>1180</v>
      </c>
      <c r="C48" s="3" t="s">
        <v>1181</v>
      </c>
      <c r="D48" s="3" t="s">
        <v>1182</v>
      </c>
      <c r="E48" s="3"/>
      <c r="F48" s="5"/>
      <c r="G48" s="5"/>
      <c r="H48" s="5"/>
      <c r="I48" s="5"/>
      <c r="J48" s="5"/>
      <c r="K48" s="5"/>
      <c r="L48" s="5"/>
      <c r="M48" s="5"/>
      <c r="N48" s="5"/>
      <c r="O48" s="5"/>
      <c r="P48" s="5"/>
      <c r="Q48" s="5"/>
      <c r="R48" s="5"/>
      <c r="S48" s="5"/>
      <c r="T48" s="5"/>
      <c r="U48" s="5"/>
      <c r="V48" s="5"/>
      <c r="W48" s="5"/>
    </row>
    <row r="49">
      <c r="A49" s="3" t="s">
        <v>1183</v>
      </c>
      <c r="B49" s="3" t="s">
        <v>1184</v>
      </c>
      <c r="C49" s="3" t="s">
        <v>1185</v>
      </c>
      <c r="D49" s="3" t="s">
        <v>1186</v>
      </c>
      <c r="E49" s="4" t="s">
        <v>101</v>
      </c>
      <c r="F49" s="5"/>
      <c r="G49" s="5"/>
      <c r="H49" s="5"/>
      <c r="I49" s="5"/>
      <c r="J49" s="5"/>
      <c r="K49" s="5"/>
      <c r="L49" s="5"/>
      <c r="M49" s="5"/>
      <c r="N49" s="5"/>
      <c r="O49" s="5"/>
      <c r="P49" s="5"/>
      <c r="Q49" s="5"/>
      <c r="R49" s="5"/>
      <c r="S49" s="5"/>
      <c r="T49" s="5"/>
      <c r="U49" s="5"/>
      <c r="V49" s="5"/>
      <c r="W49" s="5"/>
    </row>
    <row r="50">
      <c r="A50" s="16" t="s">
        <v>1187</v>
      </c>
      <c r="B50" s="16" t="s">
        <v>1188</v>
      </c>
      <c r="C50" s="16" t="s">
        <v>1146</v>
      </c>
      <c r="D50" s="16" t="s">
        <v>1189</v>
      </c>
      <c r="E50" s="4" t="s">
        <v>101</v>
      </c>
      <c r="F50" s="17"/>
      <c r="G50" s="17"/>
      <c r="H50" s="17"/>
      <c r="I50" s="17"/>
      <c r="J50" s="17"/>
      <c r="K50" s="17"/>
      <c r="L50" s="17"/>
      <c r="M50" s="17"/>
      <c r="N50" s="17"/>
      <c r="O50" s="17"/>
      <c r="P50" s="17"/>
      <c r="Q50" s="17"/>
      <c r="R50" s="17"/>
      <c r="S50" s="17"/>
      <c r="T50" s="17"/>
      <c r="U50" s="17"/>
      <c r="V50" s="17"/>
      <c r="W50" s="17"/>
    </row>
    <row r="51">
      <c r="A51" s="3" t="s">
        <v>1190</v>
      </c>
      <c r="B51" s="3" t="s">
        <v>1191</v>
      </c>
      <c r="C51" s="3" t="s">
        <v>1146</v>
      </c>
      <c r="D51" s="3" t="s">
        <v>1192</v>
      </c>
      <c r="E51" s="4" t="s">
        <v>101</v>
      </c>
      <c r="F51" s="5"/>
      <c r="G51" s="5"/>
      <c r="H51" s="5"/>
      <c r="I51" s="5"/>
      <c r="J51" s="5"/>
      <c r="K51" s="5"/>
      <c r="L51" s="5"/>
      <c r="M51" s="5"/>
      <c r="N51" s="5"/>
      <c r="O51" s="5"/>
      <c r="P51" s="5"/>
      <c r="Q51" s="5"/>
      <c r="R51" s="5"/>
      <c r="S51" s="5"/>
      <c r="T51" s="5"/>
      <c r="U51" s="5"/>
      <c r="V51" s="5"/>
      <c r="W51" s="5"/>
    </row>
    <row r="52">
      <c r="A52" s="3" t="s">
        <v>1193</v>
      </c>
      <c r="B52" s="3" t="s">
        <v>1194</v>
      </c>
      <c r="C52" s="3" t="s">
        <v>1161</v>
      </c>
      <c r="D52" s="3" t="s">
        <v>1195</v>
      </c>
      <c r="E52" s="3"/>
      <c r="F52" s="5"/>
      <c r="G52" s="5"/>
      <c r="H52" s="5"/>
      <c r="I52" s="5"/>
      <c r="J52" s="5"/>
      <c r="K52" s="5"/>
      <c r="L52" s="5"/>
      <c r="M52" s="5"/>
      <c r="N52" s="5"/>
      <c r="O52" s="5"/>
      <c r="P52" s="5"/>
      <c r="Q52" s="5"/>
      <c r="R52" s="5"/>
      <c r="S52" s="5"/>
      <c r="T52" s="5"/>
      <c r="U52" s="5"/>
      <c r="V52" s="5"/>
      <c r="W52" s="5"/>
    </row>
    <row r="53">
      <c r="A53" s="3" t="s">
        <v>1196</v>
      </c>
      <c r="B53" s="3" t="s">
        <v>1197</v>
      </c>
      <c r="C53" s="3" t="s">
        <v>642</v>
      </c>
      <c r="D53" s="3" t="s">
        <v>1198</v>
      </c>
      <c r="E53" s="4" t="s">
        <v>101</v>
      </c>
      <c r="F53" s="5"/>
      <c r="G53" s="5"/>
      <c r="H53" s="5"/>
      <c r="I53" s="5"/>
      <c r="J53" s="5"/>
      <c r="K53" s="5"/>
      <c r="L53" s="5"/>
      <c r="M53" s="5"/>
      <c r="N53" s="5"/>
      <c r="O53" s="5"/>
      <c r="P53" s="5"/>
      <c r="Q53" s="5"/>
      <c r="R53" s="5"/>
      <c r="S53" s="5"/>
      <c r="T53" s="5"/>
      <c r="U53" s="5"/>
      <c r="V53" s="5"/>
      <c r="W53" s="5"/>
    </row>
    <row r="54">
      <c r="A54" s="3" t="s">
        <v>1199</v>
      </c>
      <c r="B54" s="3" t="s">
        <v>1200</v>
      </c>
      <c r="C54" s="3" t="s">
        <v>1132</v>
      </c>
      <c r="D54" s="3" t="s">
        <v>1201</v>
      </c>
      <c r="E54" s="4" t="s">
        <v>101</v>
      </c>
      <c r="F54" s="5"/>
      <c r="G54" s="5"/>
      <c r="H54" s="5"/>
      <c r="I54" s="5"/>
      <c r="J54" s="5"/>
      <c r="K54" s="5"/>
      <c r="L54" s="5"/>
      <c r="M54" s="5"/>
      <c r="N54" s="5"/>
      <c r="O54" s="5"/>
      <c r="P54" s="5"/>
      <c r="Q54" s="5"/>
      <c r="R54" s="5"/>
      <c r="S54" s="5"/>
      <c r="T54" s="5"/>
      <c r="U54" s="5"/>
      <c r="V54" s="5"/>
      <c r="W54" s="5"/>
    </row>
    <row r="55">
      <c r="A55" s="3" t="s">
        <v>1202</v>
      </c>
      <c r="B55" s="16" t="s">
        <v>1203</v>
      </c>
      <c r="C55" s="16" t="s">
        <v>43</v>
      </c>
      <c r="D55" s="16" t="s">
        <v>1204</v>
      </c>
      <c r="E55" s="4" t="s">
        <v>44</v>
      </c>
      <c r="F55" s="5"/>
      <c r="G55" s="5"/>
      <c r="H55" s="5"/>
      <c r="I55" s="5"/>
      <c r="J55" s="5"/>
      <c r="K55" s="5"/>
      <c r="L55" s="5"/>
      <c r="M55" s="5"/>
      <c r="N55" s="5"/>
      <c r="O55" s="5"/>
      <c r="P55" s="5"/>
      <c r="Q55" s="5"/>
      <c r="R55" s="5"/>
      <c r="S55" s="5"/>
      <c r="T55" s="5"/>
      <c r="U55" s="5"/>
      <c r="V55" s="5"/>
      <c r="W55" s="5"/>
    </row>
    <row r="56">
      <c r="A56" s="3" t="s">
        <v>1205</v>
      </c>
      <c r="B56" s="3" t="s">
        <v>1206</v>
      </c>
      <c r="C56" s="3" t="s">
        <v>43</v>
      </c>
      <c r="D56" s="3" t="s">
        <v>1207</v>
      </c>
      <c r="E56" s="4" t="s">
        <v>44</v>
      </c>
      <c r="F56" s="5"/>
      <c r="G56" s="5"/>
      <c r="H56" s="5"/>
      <c r="I56" s="5"/>
      <c r="J56" s="5"/>
      <c r="K56" s="5"/>
      <c r="L56" s="5"/>
      <c r="M56" s="5"/>
      <c r="N56" s="5"/>
      <c r="O56" s="5"/>
      <c r="P56" s="5"/>
      <c r="Q56" s="5"/>
      <c r="R56" s="5"/>
      <c r="S56" s="5"/>
      <c r="T56" s="5"/>
      <c r="U56" s="5"/>
      <c r="V56" s="5"/>
      <c r="W56" s="5"/>
    </row>
    <row r="57">
      <c r="A57" s="3" t="s">
        <v>1208</v>
      </c>
      <c r="B57" s="3" t="s">
        <v>1209</v>
      </c>
      <c r="C57" s="3" t="s">
        <v>43</v>
      </c>
      <c r="D57" s="3" t="s">
        <v>1210</v>
      </c>
      <c r="E57" s="4" t="s">
        <v>44</v>
      </c>
      <c r="F57" s="5"/>
      <c r="G57" s="5"/>
      <c r="H57" s="5"/>
      <c r="I57" s="5"/>
      <c r="J57" s="5"/>
      <c r="K57" s="5"/>
      <c r="L57" s="5"/>
      <c r="M57" s="5"/>
      <c r="N57" s="5"/>
      <c r="O57" s="5"/>
      <c r="P57" s="5"/>
      <c r="Q57" s="5"/>
      <c r="R57" s="5"/>
      <c r="S57" s="5"/>
      <c r="T57" s="5"/>
      <c r="U57" s="5"/>
      <c r="V57" s="5"/>
      <c r="W57" s="5"/>
    </row>
    <row r="58">
      <c r="A58" s="16" t="s">
        <v>1211</v>
      </c>
      <c r="B58" s="16" t="s">
        <v>1212</v>
      </c>
      <c r="C58" s="16" t="s">
        <v>43</v>
      </c>
      <c r="D58" s="16" t="s">
        <v>1213</v>
      </c>
      <c r="E58" s="4" t="s">
        <v>44</v>
      </c>
      <c r="F58" s="17"/>
      <c r="G58" s="17"/>
      <c r="H58" s="17"/>
      <c r="I58" s="17"/>
      <c r="J58" s="17"/>
      <c r="K58" s="17"/>
      <c r="L58" s="17"/>
      <c r="M58" s="17"/>
      <c r="N58" s="17"/>
      <c r="O58" s="17"/>
      <c r="P58" s="17"/>
      <c r="Q58" s="17"/>
      <c r="R58" s="17"/>
      <c r="S58" s="17"/>
      <c r="T58" s="17"/>
      <c r="U58" s="17"/>
      <c r="V58" s="17"/>
      <c r="W58" s="17"/>
    </row>
    <row r="59">
      <c r="A59" s="16" t="s">
        <v>1214</v>
      </c>
      <c r="B59" s="16" t="s">
        <v>1215</v>
      </c>
      <c r="C59" s="16" t="s">
        <v>43</v>
      </c>
      <c r="D59" s="16" t="s">
        <v>1216</v>
      </c>
      <c r="E59" s="4" t="s">
        <v>44</v>
      </c>
      <c r="F59" s="17"/>
      <c r="G59" s="17"/>
      <c r="H59" s="17"/>
      <c r="I59" s="17"/>
      <c r="J59" s="17"/>
      <c r="K59" s="17"/>
      <c r="L59" s="17"/>
      <c r="M59" s="17"/>
      <c r="N59" s="17"/>
      <c r="O59" s="17"/>
      <c r="P59" s="17"/>
      <c r="Q59" s="17"/>
      <c r="R59" s="17"/>
      <c r="S59" s="17"/>
      <c r="T59" s="17"/>
      <c r="U59" s="17"/>
      <c r="V59" s="17"/>
      <c r="W59" s="17"/>
    </row>
    <row r="60">
      <c r="A60" s="3" t="s">
        <v>1217</v>
      </c>
      <c r="B60" s="3" t="s">
        <v>1218</v>
      </c>
      <c r="C60" s="3" t="s">
        <v>43</v>
      </c>
      <c r="D60" s="3" t="s">
        <v>1219</v>
      </c>
      <c r="E60" s="4" t="s">
        <v>44</v>
      </c>
      <c r="F60" s="5"/>
      <c r="G60" s="5"/>
      <c r="H60" s="5"/>
      <c r="I60" s="5"/>
      <c r="J60" s="5"/>
      <c r="K60" s="5"/>
      <c r="L60" s="5"/>
      <c r="M60" s="5"/>
      <c r="N60" s="5"/>
      <c r="O60" s="5"/>
      <c r="P60" s="5"/>
      <c r="Q60" s="5"/>
      <c r="R60" s="5"/>
      <c r="S60" s="5"/>
      <c r="T60" s="5"/>
      <c r="U60" s="5"/>
      <c r="V60" s="5"/>
      <c r="W60" s="5"/>
    </row>
    <row r="61">
      <c r="A61" s="3" t="s">
        <v>1220</v>
      </c>
      <c r="B61" s="3" t="s">
        <v>1221</v>
      </c>
      <c r="C61" s="3" t="s">
        <v>43</v>
      </c>
      <c r="D61" s="3" t="s">
        <v>1222</v>
      </c>
      <c r="E61" s="4" t="s">
        <v>44</v>
      </c>
      <c r="F61" s="5"/>
      <c r="G61" s="5"/>
      <c r="H61" s="5"/>
      <c r="I61" s="5"/>
      <c r="J61" s="5"/>
      <c r="K61" s="5"/>
      <c r="L61" s="5"/>
      <c r="M61" s="5"/>
      <c r="N61" s="5"/>
      <c r="O61" s="5"/>
      <c r="P61" s="5"/>
      <c r="Q61" s="5"/>
      <c r="R61" s="5"/>
      <c r="S61" s="5"/>
      <c r="T61" s="5"/>
      <c r="U61" s="5"/>
      <c r="V61" s="5"/>
      <c r="W61" s="5"/>
    </row>
    <row r="62">
      <c r="A62" s="3" t="s">
        <v>1223</v>
      </c>
      <c r="B62" s="3" t="s">
        <v>1224</v>
      </c>
      <c r="C62" s="3" t="s">
        <v>43</v>
      </c>
      <c r="D62" s="3" t="s">
        <v>1225</v>
      </c>
      <c r="E62" s="4" t="s">
        <v>44</v>
      </c>
      <c r="F62" s="5"/>
      <c r="G62" s="5"/>
      <c r="H62" s="5"/>
      <c r="I62" s="5"/>
      <c r="J62" s="5"/>
      <c r="K62" s="5"/>
      <c r="L62" s="5"/>
      <c r="M62" s="5"/>
      <c r="N62" s="5"/>
      <c r="O62" s="5"/>
      <c r="P62" s="5"/>
      <c r="Q62" s="5"/>
      <c r="R62" s="5"/>
      <c r="S62" s="5"/>
      <c r="T62" s="5"/>
      <c r="U62" s="5"/>
      <c r="V62" s="5"/>
      <c r="W62" s="5"/>
    </row>
    <row r="63">
      <c r="A63" s="16" t="s">
        <v>1226</v>
      </c>
      <c r="B63" s="16" t="s">
        <v>1227</v>
      </c>
      <c r="C63" s="16" t="s">
        <v>43</v>
      </c>
      <c r="D63" s="16" t="s">
        <v>1228</v>
      </c>
      <c r="E63" s="4" t="s">
        <v>44</v>
      </c>
      <c r="F63" s="17"/>
      <c r="G63" s="17"/>
      <c r="H63" s="17"/>
      <c r="I63" s="17"/>
      <c r="J63" s="17"/>
      <c r="K63" s="17"/>
      <c r="L63" s="17"/>
      <c r="M63" s="17"/>
      <c r="N63" s="17"/>
      <c r="O63" s="17"/>
      <c r="P63" s="17"/>
      <c r="Q63" s="17"/>
      <c r="R63" s="17"/>
      <c r="S63" s="17"/>
      <c r="T63" s="17"/>
      <c r="U63" s="17"/>
      <c r="V63" s="17"/>
      <c r="W63" s="17"/>
    </row>
    <row r="64">
      <c r="A64" s="16" t="s">
        <v>1229</v>
      </c>
      <c r="B64" s="16" t="s">
        <v>1230</v>
      </c>
      <c r="C64" s="16" t="s">
        <v>43</v>
      </c>
      <c r="D64" s="16" t="s">
        <v>1231</v>
      </c>
      <c r="E64" s="4" t="s">
        <v>44</v>
      </c>
      <c r="F64" s="17"/>
      <c r="G64" s="17"/>
      <c r="H64" s="17"/>
      <c r="I64" s="17"/>
      <c r="J64" s="17"/>
      <c r="K64" s="17"/>
      <c r="L64" s="17"/>
      <c r="M64" s="17"/>
      <c r="N64" s="17"/>
      <c r="O64" s="17"/>
      <c r="P64" s="17"/>
      <c r="Q64" s="17"/>
      <c r="R64" s="17"/>
      <c r="S64" s="17"/>
      <c r="T64" s="17"/>
      <c r="U64" s="17"/>
      <c r="V64" s="17"/>
      <c r="W64" s="17"/>
    </row>
    <row r="65">
      <c r="A65" s="3" t="s">
        <v>1232</v>
      </c>
      <c r="B65" s="3" t="s">
        <v>1233</v>
      </c>
      <c r="C65" s="3" t="s">
        <v>43</v>
      </c>
      <c r="D65" s="3" t="s">
        <v>1234</v>
      </c>
      <c r="E65" s="4" t="s">
        <v>44</v>
      </c>
      <c r="F65" s="5"/>
      <c r="G65" s="5"/>
      <c r="H65" s="5"/>
      <c r="I65" s="5"/>
      <c r="J65" s="5"/>
      <c r="K65" s="5"/>
      <c r="L65" s="5"/>
      <c r="M65" s="5"/>
      <c r="N65" s="5"/>
      <c r="O65" s="5"/>
      <c r="P65" s="5"/>
      <c r="Q65" s="5"/>
      <c r="R65" s="5"/>
      <c r="S65" s="5"/>
      <c r="T65" s="5"/>
      <c r="U65" s="5"/>
      <c r="V65" s="5"/>
      <c r="W65" s="5"/>
    </row>
    <row r="66">
      <c r="A66" s="3" t="s">
        <v>1235</v>
      </c>
      <c r="B66" s="16" t="s">
        <v>1236</v>
      </c>
      <c r="C66" s="3" t="s">
        <v>43</v>
      </c>
      <c r="D66" s="3" t="s">
        <v>1237</v>
      </c>
      <c r="E66" s="4" t="s">
        <v>44</v>
      </c>
      <c r="F66" s="3"/>
      <c r="G66" s="5"/>
      <c r="H66" s="5"/>
      <c r="I66" s="5"/>
      <c r="J66" s="5"/>
      <c r="K66" s="5"/>
      <c r="L66" s="5"/>
      <c r="M66" s="5"/>
      <c r="N66" s="5"/>
      <c r="O66" s="5"/>
      <c r="P66" s="5"/>
      <c r="Q66" s="5"/>
      <c r="R66" s="5"/>
      <c r="S66" s="5"/>
      <c r="T66" s="5"/>
      <c r="U66" s="5"/>
      <c r="V66" s="5"/>
      <c r="W66" s="5"/>
    </row>
    <row r="67">
      <c r="A67" s="16" t="s">
        <v>1220</v>
      </c>
      <c r="B67" s="16" t="s">
        <v>1221</v>
      </c>
      <c r="C67" s="16" t="s">
        <v>43</v>
      </c>
      <c r="D67" s="16" t="s">
        <v>1238</v>
      </c>
      <c r="E67" s="4" t="s">
        <v>44</v>
      </c>
      <c r="F67" s="17"/>
      <c r="G67" s="17"/>
      <c r="H67" s="17"/>
      <c r="I67" s="17"/>
      <c r="J67" s="17"/>
      <c r="K67" s="17"/>
      <c r="L67" s="17"/>
      <c r="M67" s="17"/>
      <c r="N67" s="17"/>
      <c r="O67" s="17"/>
      <c r="P67" s="17"/>
      <c r="Q67" s="17"/>
      <c r="R67" s="17"/>
      <c r="S67" s="17"/>
      <c r="T67" s="17"/>
      <c r="U67" s="17"/>
      <c r="V67" s="17"/>
      <c r="W67" s="17"/>
    </row>
    <row r="68">
      <c r="A68" s="20" t="s">
        <v>1239</v>
      </c>
      <c r="B68" s="20" t="s">
        <v>1240</v>
      </c>
      <c r="C68" s="20" t="s">
        <v>43</v>
      </c>
      <c r="D68" s="20" t="s">
        <v>1241</v>
      </c>
      <c r="E68" s="4" t="s">
        <v>44</v>
      </c>
      <c r="F68" s="22"/>
      <c r="G68" s="22"/>
      <c r="H68" s="22"/>
      <c r="I68" s="22"/>
      <c r="J68" s="22"/>
      <c r="K68" s="22"/>
      <c r="L68" s="22"/>
      <c r="M68" s="22"/>
      <c r="N68" s="22"/>
      <c r="O68" s="22"/>
      <c r="P68" s="22"/>
      <c r="Q68" s="22"/>
      <c r="R68" s="22"/>
      <c r="S68" s="22"/>
      <c r="T68" s="22"/>
      <c r="U68" s="22"/>
      <c r="V68" s="22"/>
      <c r="W68" s="22"/>
    </row>
    <row r="69">
      <c r="A69" s="3" t="s">
        <v>1242</v>
      </c>
      <c r="B69" s="3" t="s">
        <v>1243</v>
      </c>
      <c r="C69" s="3" t="s">
        <v>1244</v>
      </c>
      <c r="D69" s="3" t="s">
        <v>1245</v>
      </c>
      <c r="E69" s="4" t="s">
        <v>36</v>
      </c>
      <c r="F69" s="5"/>
      <c r="G69" s="5"/>
      <c r="H69" s="5"/>
      <c r="I69" s="5"/>
      <c r="J69" s="5"/>
      <c r="K69" s="5"/>
      <c r="L69" s="5"/>
      <c r="M69" s="5"/>
      <c r="N69" s="5"/>
      <c r="O69" s="5"/>
      <c r="P69" s="5"/>
      <c r="Q69" s="5"/>
      <c r="R69" s="5"/>
      <c r="S69" s="5"/>
      <c r="T69" s="5"/>
      <c r="U69" s="5"/>
      <c r="V69" s="5"/>
      <c r="W69" s="5"/>
    </row>
    <row r="70">
      <c r="A70" s="3" t="s">
        <v>1246</v>
      </c>
      <c r="B70" s="3" t="s">
        <v>1247</v>
      </c>
      <c r="C70" s="3" t="s">
        <v>1244</v>
      </c>
      <c r="D70" s="3" t="s">
        <v>1248</v>
      </c>
      <c r="E70" s="4" t="s">
        <v>36</v>
      </c>
      <c r="F70" s="5"/>
      <c r="G70" s="5"/>
      <c r="H70" s="5"/>
      <c r="I70" s="5"/>
      <c r="J70" s="5"/>
      <c r="K70" s="5"/>
      <c r="L70" s="5"/>
      <c r="M70" s="5"/>
      <c r="N70" s="5"/>
      <c r="O70" s="5"/>
      <c r="P70" s="5"/>
      <c r="Q70" s="5"/>
      <c r="R70" s="5"/>
      <c r="S70" s="5"/>
      <c r="T70" s="5"/>
      <c r="U70" s="5"/>
      <c r="V70" s="5"/>
      <c r="W70" s="5"/>
    </row>
    <row r="71">
      <c r="A71" s="3" t="s">
        <v>1249</v>
      </c>
      <c r="B71" s="3" t="s">
        <v>1250</v>
      </c>
      <c r="C71" s="3" t="s">
        <v>1244</v>
      </c>
      <c r="D71" s="3" t="s">
        <v>1251</v>
      </c>
      <c r="E71" s="4" t="s">
        <v>36</v>
      </c>
      <c r="F71" s="5"/>
      <c r="G71" s="5"/>
      <c r="H71" s="5"/>
      <c r="I71" s="5"/>
      <c r="J71" s="5"/>
      <c r="K71" s="5"/>
      <c r="L71" s="5"/>
      <c r="M71" s="5"/>
      <c r="N71" s="5"/>
      <c r="O71" s="5"/>
      <c r="P71" s="5"/>
      <c r="Q71" s="5"/>
      <c r="R71" s="5"/>
      <c r="S71" s="5"/>
      <c r="T71" s="5"/>
      <c r="U71" s="5"/>
      <c r="V71" s="5"/>
      <c r="W71" s="5"/>
    </row>
    <row r="72">
      <c r="A72" s="16" t="s">
        <v>1252</v>
      </c>
      <c r="B72" s="16" t="s">
        <v>1253</v>
      </c>
      <c r="C72" s="16" t="s">
        <v>1244</v>
      </c>
      <c r="D72" s="16" t="s">
        <v>1254</v>
      </c>
      <c r="E72" s="25" t="s">
        <v>36</v>
      </c>
      <c r="F72" s="17"/>
      <c r="G72" s="17"/>
      <c r="H72" s="17"/>
      <c r="I72" s="17"/>
      <c r="J72" s="17"/>
      <c r="K72" s="17"/>
      <c r="L72" s="17"/>
      <c r="M72" s="17"/>
      <c r="N72" s="17"/>
      <c r="O72" s="17"/>
      <c r="P72" s="17"/>
      <c r="Q72" s="17"/>
      <c r="R72" s="17"/>
      <c r="S72" s="17"/>
      <c r="T72" s="17"/>
      <c r="U72" s="17"/>
      <c r="V72" s="17"/>
      <c r="W72" s="17"/>
    </row>
    <row r="73">
      <c r="A73" s="16" t="s">
        <v>1255</v>
      </c>
      <c r="B73" s="16" t="s">
        <v>1256</v>
      </c>
      <c r="C73" s="16" t="s">
        <v>1244</v>
      </c>
      <c r="D73" s="16" t="s">
        <v>1257</v>
      </c>
      <c r="E73" s="25" t="s">
        <v>36</v>
      </c>
      <c r="F73" s="17"/>
      <c r="G73" s="17"/>
      <c r="H73" s="17"/>
      <c r="I73" s="17"/>
      <c r="J73" s="17"/>
      <c r="K73" s="17"/>
      <c r="L73" s="17"/>
      <c r="M73" s="17"/>
      <c r="N73" s="17"/>
      <c r="O73" s="17"/>
      <c r="P73" s="17"/>
      <c r="Q73" s="17"/>
      <c r="R73" s="17"/>
      <c r="S73" s="17"/>
      <c r="T73" s="17"/>
      <c r="U73" s="17"/>
      <c r="V73" s="17"/>
      <c r="W73" s="17"/>
    </row>
    <row r="74">
      <c r="A74" s="3" t="s">
        <v>1258</v>
      </c>
      <c r="B74" s="3" t="s">
        <v>1259</v>
      </c>
      <c r="C74" s="3" t="s">
        <v>1244</v>
      </c>
      <c r="D74" s="3" t="s">
        <v>1260</v>
      </c>
      <c r="E74" s="4" t="s">
        <v>36</v>
      </c>
      <c r="F74" s="5"/>
      <c r="G74" s="5"/>
      <c r="H74" s="5"/>
      <c r="I74" s="5"/>
      <c r="J74" s="5"/>
      <c r="K74" s="5"/>
      <c r="L74" s="5"/>
      <c r="M74" s="5"/>
      <c r="N74" s="5"/>
      <c r="O74" s="5"/>
      <c r="P74" s="5"/>
      <c r="Q74" s="5"/>
      <c r="R74" s="5"/>
      <c r="S74" s="5"/>
      <c r="T74" s="5"/>
      <c r="U74" s="5"/>
      <c r="V74" s="5"/>
      <c r="W74" s="5"/>
    </row>
    <row r="75">
      <c r="A75" s="16" t="s">
        <v>1261</v>
      </c>
      <c r="B75" s="16" t="s">
        <v>1262</v>
      </c>
      <c r="C75" s="16" t="s">
        <v>1244</v>
      </c>
      <c r="D75" s="16" t="s">
        <v>1263</v>
      </c>
      <c r="E75" s="25" t="s">
        <v>36</v>
      </c>
      <c r="F75" s="17"/>
      <c r="G75" s="17"/>
      <c r="H75" s="17"/>
      <c r="I75" s="17"/>
      <c r="J75" s="17"/>
      <c r="K75" s="17"/>
      <c r="L75" s="17"/>
      <c r="M75" s="17"/>
      <c r="N75" s="17"/>
      <c r="O75" s="17"/>
      <c r="P75" s="17"/>
      <c r="Q75" s="17"/>
      <c r="R75" s="17"/>
      <c r="S75" s="17"/>
      <c r="T75" s="17"/>
      <c r="U75" s="17"/>
      <c r="V75" s="17"/>
      <c r="W75" s="17"/>
    </row>
    <row r="76">
      <c r="A76" s="20" t="s">
        <v>1264</v>
      </c>
      <c r="B76" s="20" t="s">
        <v>1265</v>
      </c>
      <c r="C76" s="20" t="s">
        <v>1244</v>
      </c>
      <c r="D76" s="20" t="s">
        <v>1266</v>
      </c>
      <c r="E76" s="4" t="s">
        <v>36</v>
      </c>
      <c r="F76" s="3"/>
      <c r="G76" s="22"/>
      <c r="H76" s="22"/>
      <c r="I76" s="22"/>
      <c r="J76" s="22"/>
      <c r="K76" s="22"/>
      <c r="L76" s="22"/>
      <c r="M76" s="22"/>
      <c r="N76" s="22"/>
      <c r="O76" s="22"/>
      <c r="P76" s="22"/>
      <c r="Q76" s="22"/>
      <c r="R76" s="22"/>
      <c r="S76" s="22"/>
      <c r="T76" s="22"/>
      <c r="U76" s="22"/>
      <c r="V76" s="22"/>
      <c r="W76" s="22"/>
    </row>
    <row r="77">
      <c r="A77" s="3" t="s">
        <v>1267</v>
      </c>
      <c r="B77" s="3" t="s">
        <v>1268</v>
      </c>
      <c r="C77" s="3" t="s">
        <v>1034</v>
      </c>
      <c r="D77" s="3" t="s">
        <v>1269</v>
      </c>
      <c r="E77" s="4" t="s">
        <v>36</v>
      </c>
      <c r="F77" s="5"/>
      <c r="G77" s="5"/>
      <c r="H77" s="5"/>
      <c r="I77" s="5"/>
      <c r="J77" s="5"/>
      <c r="K77" s="5"/>
      <c r="L77" s="5"/>
      <c r="M77" s="5"/>
      <c r="N77" s="5"/>
      <c r="O77" s="5"/>
      <c r="P77" s="5"/>
      <c r="Q77" s="5"/>
      <c r="R77" s="5"/>
      <c r="S77" s="5"/>
      <c r="T77" s="5"/>
      <c r="U77" s="5"/>
      <c r="V77" s="5"/>
      <c r="W77" s="5"/>
    </row>
    <row r="78">
      <c r="A78" s="3" t="s">
        <v>1270</v>
      </c>
      <c r="B78" s="3" t="s">
        <v>1271</v>
      </c>
      <c r="C78" s="3" t="s">
        <v>144</v>
      </c>
      <c r="D78" s="3" t="s">
        <v>1272</v>
      </c>
      <c r="E78" s="4" t="s">
        <v>36</v>
      </c>
      <c r="F78" s="5"/>
      <c r="G78" s="5"/>
      <c r="H78" s="5"/>
      <c r="I78" s="5"/>
      <c r="J78" s="5"/>
      <c r="K78" s="5"/>
      <c r="L78" s="5"/>
      <c r="M78" s="5"/>
      <c r="N78" s="5"/>
      <c r="O78" s="5"/>
      <c r="P78" s="5"/>
      <c r="Q78" s="5"/>
      <c r="R78" s="5"/>
      <c r="S78" s="5"/>
      <c r="T78" s="5"/>
      <c r="U78" s="5"/>
      <c r="V78" s="5"/>
      <c r="W78" s="5"/>
    </row>
    <row r="79">
      <c r="A79" s="16" t="s">
        <v>1273</v>
      </c>
      <c r="B79" s="16" t="s">
        <v>1274</v>
      </c>
      <c r="C79" s="16" t="s">
        <v>146</v>
      </c>
      <c r="D79" s="16" t="s">
        <v>1275</v>
      </c>
      <c r="E79" s="25" t="s">
        <v>36</v>
      </c>
      <c r="F79" s="17"/>
      <c r="G79" s="17"/>
      <c r="H79" s="17"/>
      <c r="I79" s="17"/>
      <c r="J79" s="17"/>
      <c r="K79" s="17"/>
      <c r="L79" s="17"/>
      <c r="M79" s="17"/>
      <c r="N79" s="17"/>
      <c r="O79" s="17"/>
      <c r="P79" s="17"/>
      <c r="Q79" s="17"/>
      <c r="R79" s="17"/>
      <c r="S79" s="17"/>
      <c r="T79" s="17"/>
      <c r="U79" s="17"/>
      <c r="V79" s="17"/>
      <c r="W79" s="17"/>
    </row>
    <row r="80">
      <c r="A80" s="3" t="s">
        <v>1276</v>
      </c>
      <c r="B80" s="3" t="s">
        <v>1277</v>
      </c>
      <c r="C80" s="3" t="s">
        <v>1278</v>
      </c>
      <c r="D80" s="3" t="s">
        <v>1279</v>
      </c>
      <c r="E80" s="4" t="s">
        <v>36</v>
      </c>
      <c r="F80" s="5"/>
      <c r="G80" s="5"/>
      <c r="H80" s="5"/>
      <c r="I80" s="5"/>
      <c r="J80" s="5"/>
      <c r="K80" s="5"/>
      <c r="L80" s="5"/>
      <c r="M80" s="5"/>
      <c r="N80" s="5"/>
      <c r="O80" s="5"/>
      <c r="P80" s="5"/>
      <c r="Q80" s="5"/>
      <c r="R80" s="5"/>
      <c r="S80" s="5"/>
      <c r="T80" s="5"/>
      <c r="U80" s="5"/>
      <c r="V80" s="5"/>
      <c r="W80" s="5"/>
    </row>
    <row r="81">
      <c r="A81" s="3" t="s">
        <v>1280</v>
      </c>
      <c r="B81" s="3" t="s">
        <v>1281</v>
      </c>
      <c r="C81" s="3" t="s">
        <v>1161</v>
      </c>
      <c r="D81" s="3" t="s">
        <v>1282</v>
      </c>
      <c r="E81" s="4" t="s">
        <v>36</v>
      </c>
      <c r="F81" s="5"/>
      <c r="G81" s="5"/>
      <c r="H81" s="5"/>
      <c r="I81" s="5"/>
      <c r="J81" s="5"/>
      <c r="K81" s="5"/>
      <c r="L81" s="5"/>
      <c r="M81" s="5"/>
      <c r="N81" s="5"/>
      <c r="O81" s="5"/>
      <c r="P81" s="5"/>
      <c r="Q81" s="5"/>
      <c r="R81" s="5"/>
      <c r="S81" s="5"/>
      <c r="T81" s="5"/>
      <c r="U81" s="5"/>
      <c r="V81" s="5"/>
      <c r="W81" s="5"/>
    </row>
    <row r="82">
      <c r="A82" s="3" t="s">
        <v>1283</v>
      </c>
      <c r="B82" s="3" t="s">
        <v>1284</v>
      </c>
      <c r="C82" s="3" t="s">
        <v>1285</v>
      </c>
      <c r="D82" s="3" t="s">
        <v>1286</v>
      </c>
      <c r="E82" s="4" t="s">
        <v>36</v>
      </c>
      <c r="F82" s="5"/>
      <c r="G82" s="5"/>
      <c r="H82" s="5"/>
      <c r="I82" s="5"/>
      <c r="J82" s="5"/>
      <c r="K82" s="5"/>
      <c r="L82" s="5"/>
      <c r="M82" s="5"/>
      <c r="N82" s="5"/>
      <c r="O82" s="5"/>
      <c r="P82" s="5"/>
      <c r="Q82" s="5"/>
      <c r="R82" s="5"/>
      <c r="S82" s="5"/>
      <c r="T82" s="5"/>
      <c r="U82" s="5"/>
      <c r="V82" s="5"/>
      <c r="W82" s="5"/>
    </row>
    <row r="83">
      <c r="A83" s="3" t="s">
        <v>1287</v>
      </c>
      <c r="B83" s="3" t="s">
        <v>1288</v>
      </c>
      <c r="C83" s="3" t="s">
        <v>70</v>
      </c>
      <c r="D83" s="3" t="s">
        <v>1289</v>
      </c>
      <c r="E83" s="4" t="s">
        <v>71</v>
      </c>
      <c r="F83" s="5"/>
      <c r="G83" s="5"/>
      <c r="H83" s="5"/>
      <c r="I83" s="5"/>
      <c r="J83" s="5"/>
      <c r="K83" s="5"/>
      <c r="L83" s="5"/>
      <c r="M83" s="5"/>
      <c r="N83" s="5"/>
      <c r="O83" s="5"/>
      <c r="P83" s="5"/>
      <c r="Q83" s="5"/>
      <c r="R83" s="5"/>
      <c r="S83" s="5"/>
      <c r="T83" s="5"/>
      <c r="U83" s="5"/>
      <c r="V83" s="5"/>
      <c r="W83" s="5"/>
    </row>
    <row r="84">
      <c r="A84" s="3" t="s">
        <v>1290</v>
      </c>
      <c r="B84" s="3" t="s">
        <v>1291</v>
      </c>
      <c r="C84" s="3" t="s">
        <v>70</v>
      </c>
      <c r="D84" s="3" t="s">
        <v>1292</v>
      </c>
      <c r="E84" s="4" t="s">
        <v>71</v>
      </c>
      <c r="F84" s="5"/>
      <c r="G84" s="5"/>
      <c r="H84" s="5"/>
      <c r="I84" s="5"/>
      <c r="J84" s="5"/>
      <c r="K84" s="5"/>
      <c r="L84" s="5"/>
      <c r="M84" s="5"/>
      <c r="N84" s="5"/>
      <c r="O84" s="5"/>
      <c r="P84" s="5"/>
      <c r="Q84" s="5"/>
      <c r="R84" s="5"/>
      <c r="S84" s="5"/>
      <c r="T84" s="5"/>
      <c r="U84" s="5"/>
      <c r="V84" s="5"/>
      <c r="W84" s="5"/>
    </row>
    <row r="85">
      <c r="A85" s="3" t="s">
        <v>1293</v>
      </c>
      <c r="B85" s="3" t="s">
        <v>1294</v>
      </c>
      <c r="C85" s="3" t="s">
        <v>70</v>
      </c>
      <c r="D85" s="3" t="s">
        <v>1295</v>
      </c>
      <c r="E85" s="4" t="s">
        <v>71</v>
      </c>
      <c r="F85" s="5"/>
      <c r="G85" s="5"/>
      <c r="H85" s="5"/>
      <c r="I85" s="5"/>
      <c r="J85" s="5"/>
      <c r="K85" s="5"/>
      <c r="L85" s="5"/>
      <c r="M85" s="5"/>
      <c r="N85" s="5"/>
      <c r="O85" s="5"/>
      <c r="P85" s="5"/>
      <c r="Q85" s="5"/>
      <c r="R85" s="5"/>
      <c r="S85" s="5"/>
      <c r="T85" s="5"/>
      <c r="U85" s="5"/>
      <c r="V85" s="5"/>
      <c r="W85" s="5"/>
    </row>
    <row r="86">
      <c r="A86" s="3" t="s">
        <v>1296</v>
      </c>
      <c r="B86" s="3" t="s">
        <v>1297</v>
      </c>
      <c r="C86" s="3" t="s">
        <v>70</v>
      </c>
      <c r="D86" s="3" t="s">
        <v>1298</v>
      </c>
      <c r="E86" s="4" t="s">
        <v>71</v>
      </c>
      <c r="F86" s="5"/>
      <c r="G86" s="5"/>
      <c r="H86" s="5"/>
      <c r="I86" s="5"/>
      <c r="J86" s="5"/>
      <c r="K86" s="5"/>
      <c r="L86" s="5"/>
      <c r="M86" s="5"/>
      <c r="N86" s="5"/>
      <c r="O86" s="5"/>
      <c r="P86" s="5"/>
      <c r="Q86" s="5"/>
      <c r="R86" s="5"/>
      <c r="S86" s="5"/>
      <c r="T86" s="5"/>
      <c r="U86" s="5"/>
      <c r="V86" s="5"/>
      <c r="W86" s="5"/>
    </row>
    <row r="87">
      <c r="A87" s="3" t="s">
        <v>720</v>
      </c>
      <c r="B87" s="3" t="s">
        <v>1299</v>
      </c>
      <c r="C87" s="3" t="s">
        <v>70</v>
      </c>
      <c r="D87" s="3" t="s">
        <v>1300</v>
      </c>
      <c r="E87" s="4" t="s">
        <v>71</v>
      </c>
      <c r="F87" s="5"/>
      <c r="G87" s="5"/>
      <c r="H87" s="5"/>
      <c r="I87" s="5"/>
      <c r="J87" s="5"/>
      <c r="K87" s="5"/>
      <c r="L87" s="5"/>
      <c r="M87" s="5"/>
      <c r="N87" s="5"/>
      <c r="O87" s="5"/>
      <c r="P87" s="5"/>
      <c r="Q87" s="5"/>
      <c r="R87" s="5"/>
      <c r="S87" s="5"/>
      <c r="T87" s="5"/>
      <c r="U87" s="5"/>
      <c r="V87" s="5"/>
      <c r="W87" s="5"/>
    </row>
    <row r="88">
      <c r="A88" s="3" t="s">
        <v>1301</v>
      </c>
      <c r="B88" s="3" t="s">
        <v>1302</v>
      </c>
      <c r="C88" s="3" t="s">
        <v>70</v>
      </c>
      <c r="D88" s="3" t="s">
        <v>1303</v>
      </c>
      <c r="E88" s="4" t="s">
        <v>71</v>
      </c>
      <c r="F88" s="5"/>
      <c r="G88" s="5"/>
      <c r="H88" s="5"/>
      <c r="I88" s="5"/>
      <c r="J88" s="5"/>
      <c r="K88" s="5"/>
      <c r="L88" s="5"/>
      <c r="M88" s="5"/>
      <c r="N88" s="5"/>
      <c r="O88" s="5"/>
      <c r="P88" s="5"/>
      <c r="Q88" s="5"/>
      <c r="R88" s="5"/>
      <c r="S88" s="5"/>
      <c r="T88" s="5"/>
      <c r="U88" s="5"/>
      <c r="V88" s="5"/>
      <c r="W88" s="5"/>
    </row>
    <row r="89">
      <c r="A89" s="3" t="s">
        <v>1304</v>
      </c>
      <c r="B89" s="3" t="s">
        <v>1305</v>
      </c>
      <c r="C89" s="3" t="s">
        <v>70</v>
      </c>
      <c r="D89" s="3" t="s">
        <v>1306</v>
      </c>
      <c r="E89" s="4" t="s">
        <v>71</v>
      </c>
      <c r="F89" s="5"/>
      <c r="G89" s="5"/>
      <c r="H89" s="5"/>
      <c r="I89" s="5"/>
      <c r="J89" s="5"/>
      <c r="K89" s="5"/>
      <c r="L89" s="5"/>
      <c r="M89" s="5"/>
      <c r="N89" s="5"/>
      <c r="O89" s="5"/>
      <c r="P89" s="5"/>
      <c r="Q89" s="5"/>
      <c r="R89" s="5"/>
      <c r="S89" s="5"/>
      <c r="T89" s="5"/>
      <c r="U89" s="5"/>
      <c r="V89" s="5"/>
      <c r="W89" s="5"/>
    </row>
    <row r="90">
      <c r="A90" s="3" t="s">
        <v>1307</v>
      </c>
      <c r="B90" s="3" t="s">
        <v>1308</v>
      </c>
      <c r="C90" s="3" t="s">
        <v>70</v>
      </c>
      <c r="D90" s="3" t="s">
        <v>1309</v>
      </c>
      <c r="E90" s="4" t="s">
        <v>71</v>
      </c>
      <c r="F90" s="5"/>
      <c r="G90" s="5"/>
      <c r="H90" s="5"/>
      <c r="I90" s="5"/>
      <c r="J90" s="5"/>
      <c r="K90" s="5"/>
      <c r="L90" s="5"/>
      <c r="M90" s="5"/>
      <c r="N90" s="5"/>
      <c r="O90" s="5"/>
      <c r="P90" s="5"/>
      <c r="Q90" s="5"/>
      <c r="R90" s="5"/>
      <c r="S90" s="5"/>
      <c r="T90" s="5"/>
      <c r="U90" s="5"/>
      <c r="V90" s="5"/>
      <c r="W90" s="5"/>
    </row>
    <row r="91">
      <c r="A91" s="3" t="s">
        <v>1310</v>
      </c>
      <c r="B91" s="3" t="s">
        <v>1311</v>
      </c>
      <c r="C91" s="3" t="s">
        <v>70</v>
      </c>
      <c r="D91" s="3" t="s">
        <v>1312</v>
      </c>
      <c r="E91" s="4" t="s">
        <v>71</v>
      </c>
      <c r="F91" s="5"/>
      <c r="G91" s="5"/>
      <c r="H91" s="5"/>
      <c r="I91" s="5"/>
      <c r="J91" s="5"/>
      <c r="K91" s="5"/>
      <c r="L91" s="5"/>
      <c r="M91" s="5"/>
      <c r="N91" s="5"/>
      <c r="O91" s="5"/>
      <c r="P91" s="5"/>
      <c r="Q91" s="5"/>
      <c r="R91" s="5"/>
      <c r="S91" s="5"/>
      <c r="T91" s="5"/>
      <c r="U91" s="5"/>
      <c r="V91" s="5"/>
      <c r="W91" s="5"/>
    </row>
    <row r="92">
      <c r="A92" s="3" t="s">
        <v>1313</v>
      </c>
      <c r="B92" s="3" t="s">
        <v>1314</v>
      </c>
      <c r="C92" s="3" t="s">
        <v>70</v>
      </c>
      <c r="D92" s="3" t="s">
        <v>1315</v>
      </c>
      <c r="E92" s="4" t="s">
        <v>71</v>
      </c>
      <c r="F92" s="5"/>
      <c r="G92" s="5"/>
      <c r="H92" s="5"/>
      <c r="I92" s="5"/>
      <c r="J92" s="5"/>
      <c r="K92" s="5"/>
      <c r="L92" s="5"/>
      <c r="M92" s="5"/>
      <c r="N92" s="5"/>
      <c r="O92" s="5"/>
      <c r="P92" s="5"/>
      <c r="Q92" s="5"/>
      <c r="R92" s="5"/>
      <c r="S92" s="5"/>
      <c r="T92" s="5"/>
      <c r="U92" s="5"/>
      <c r="V92" s="5"/>
      <c r="W92" s="5"/>
    </row>
    <row r="93">
      <c r="A93" s="3" t="s">
        <v>1316</v>
      </c>
      <c r="B93" s="3" t="s">
        <v>1317</v>
      </c>
      <c r="C93" s="3" t="s">
        <v>70</v>
      </c>
      <c r="D93" s="3" t="s">
        <v>1318</v>
      </c>
      <c r="E93" s="4" t="s">
        <v>71</v>
      </c>
      <c r="F93" s="5"/>
      <c r="G93" s="5"/>
      <c r="H93" s="5"/>
      <c r="I93" s="5"/>
      <c r="J93" s="5"/>
      <c r="K93" s="5"/>
      <c r="L93" s="5"/>
      <c r="M93" s="5"/>
      <c r="N93" s="5"/>
      <c r="O93" s="5"/>
      <c r="P93" s="5"/>
      <c r="Q93" s="5"/>
      <c r="R93" s="5"/>
      <c r="S93" s="5"/>
      <c r="T93" s="5"/>
      <c r="U93" s="5"/>
      <c r="V93" s="5"/>
      <c r="W93" s="5"/>
    </row>
    <row r="94">
      <c r="A94" s="3" t="s">
        <v>1319</v>
      </c>
      <c r="B94" s="3" t="s">
        <v>1320</v>
      </c>
      <c r="C94" s="3" t="s">
        <v>70</v>
      </c>
      <c r="D94" s="3" t="s">
        <v>1321</v>
      </c>
      <c r="E94" s="4" t="s">
        <v>71</v>
      </c>
      <c r="F94" s="5"/>
      <c r="G94" s="5"/>
      <c r="H94" s="5"/>
      <c r="I94" s="5"/>
      <c r="J94" s="5"/>
      <c r="K94" s="5"/>
      <c r="L94" s="5"/>
      <c r="M94" s="5"/>
      <c r="N94" s="5"/>
      <c r="O94" s="5"/>
      <c r="P94" s="5"/>
      <c r="Q94" s="5"/>
      <c r="R94" s="5"/>
      <c r="S94" s="5"/>
      <c r="T94" s="5"/>
      <c r="U94" s="5"/>
      <c r="V94" s="5"/>
      <c r="W94" s="5"/>
    </row>
    <row r="95">
      <c r="A95" s="3" t="s">
        <v>1322</v>
      </c>
      <c r="B95" s="3" t="s">
        <v>1323</v>
      </c>
      <c r="C95" s="3" t="s">
        <v>70</v>
      </c>
      <c r="D95" s="3" t="s">
        <v>1324</v>
      </c>
      <c r="E95" s="4" t="s">
        <v>71</v>
      </c>
      <c r="F95" s="5"/>
      <c r="G95" s="5"/>
      <c r="H95" s="5"/>
      <c r="I95" s="5"/>
      <c r="J95" s="5"/>
      <c r="K95" s="5"/>
      <c r="L95" s="5"/>
      <c r="M95" s="5"/>
      <c r="N95" s="5"/>
      <c r="O95" s="5"/>
      <c r="P95" s="5"/>
      <c r="Q95" s="5"/>
      <c r="R95" s="5"/>
      <c r="S95" s="5"/>
      <c r="T95" s="5"/>
      <c r="U95" s="5"/>
      <c r="V95" s="5"/>
      <c r="W95" s="5"/>
    </row>
    <row r="96">
      <c r="A96" s="3" t="s">
        <v>1325</v>
      </c>
      <c r="B96" s="3" t="s">
        <v>1326</v>
      </c>
      <c r="C96" s="3" t="s">
        <v>70</v>
      </c>
      <c r="D96" s="3" t="s">
        <v>1327</v>
      </c>
      <c r="E96" s="4" t="s">
        <v>71</v>
      </c>
      <c r="F96" s="5"/>
      <c r="G96" s="5"/>
      <c r="H96" s="5"/>
      <c r="I96" s="5"/>
      <c r="J96" s="5"/>
      <c r="K96" s="5"/>
      <c r="L96" s="5"/>
      <c r="M96" s="5"/>
      <c r="N96" s="5"/>
      <c r="O96" s="5"/>
      <c r="P96" s="5"/>
      <c r="Q96" s="5"/>
      <c r="R96" s="5"/>
      <c r="S96" s="5"/>
      <c r="T96" s="5"/>
      <c r="U96" s="5"/>
      <c r="V96" s="5"/>
      <c r="W96" s="5"/>
    </row>
    <row r="97">
      <c r="A97" s="3" t="s">
        <v>1328</v>
      </c>
      <c r="B97" s="3" t="s">
        <v>1329</v>
      </c>
      <c r="C97" s="3" t="s">
        <v>70</v>
      </c>
      <c r="D97" s="3" t="s">
        <v>1330</v>
      </c>
      <c r="E97" s="4" t="s">
        <v>71</v>
      </c>
      <c r="F97" s="5"/>
      <c r="G97" s="5"/>
      <c r="H97" s="5"/>
      <c r="I97" s="5"/>
      <c r="J97" s="5"/>
      <c r="K97" s="5"/>
      <c r="L97" s="5"/>
      <c r="M97" s="5"/>
      <c r="N97" s="5"/>
      <c r="O97" s="5"/>
      <c r="P97" s="5"/>
      <c r="Q97" s="5"/>
      <c r="R97" s="5"/>
      <c r="S97" s="5"/>
      <c r="T97" s="5"/>
      <c r="U97" s="5"/>
      <c r="V97" s="5"/>
      <c r="W97" s="5"/>
    </row>
    <row r="98">
      <c r="A98" s="3" t="s">
        <v>1331</v>
      </c>
      <c r="B98" s="3" t="s">
        <v>1332</v>
      </c>
      <c r="C98" s="3" t="s">
        <v>70</v>
      </c>
      <c r="D98" s="3" t="s">
        <v>1333</v>
      </c>
      <c r="E98" s="4" t="s">
        <v>71</v>
      </c>
      <c r="F98" s="5"/>
      <c r="G98" s="5"/>
      <c r="H98" s="5"/>
      <c r="I98" s="5"/>
      <c r="J98" s="5"/>
      <c r="K98" s="5"/>
      <c r="L98" s="5"/>
      <c r="M98" s="5"/>
      <c r="N98" s="5"/>
      <c r="O98" s="5"/>
      <c r="P98" s="5"/>
      <c r="Q98" s="5"/>
      <c r="R98" s="5"/>
      <c r="S98" s="5"/>
      <c r="T98" s="5"/>
      <c r="U98" s="5"/>
      <c r="V98" s="5"/>
      <c r="W98" s="5"/>
    </row>
    <row r="99">
      <c r="A99" s="3" t="s">
        <v>1334</v>
      </c>
      <c r="B99" s="3" t="s">
        <v>1335</v>
      </c>
      <c r="C99" s="3" t="s">
        <v>70</v>
      </c>
      <c r="D99" s="3" t="s">
        <v>1336</v>
      </c>
      <c r="E99" s="4" t="s">
        <v>71</v>
      </c>
      <c r="F99" s="5"/>
      <c r="G99" s="5"/>
      <c r="H99" s="5"/>
      <c r="I99" s="5"/>
      <c r="J99" s="5"/>
      <c r="K99" s="5"/>
      <c r="L99" s="5"/>
      <c r="M99" s="5"/>
      <c r="N99" s="5"/>
      <c r="O99" s="5"/>
      <c r="P99" s="5"/>
      <c r="Q99" s="5"/>
      <c r="R99" s="5"/>
      <c r="S99" s="5"/>
      <c r="T99" s="5"/>
      <c r="U99" s="5"/>
      <c r="V99" s="5"/>
      <c r="W99" s="5"/>
    </row>
    <row r="100">
      <c r="A100" s="3" t="s">
        <v>1337</v>
      </c>
      <c r="B100" s="3" t="s">
        <v>1338</v>
      </c>
      <c r="C100" s="3" t="s">
        <v>70</v>
      </c>
      <c r="D100" s="3" t="s">
        <v>1339</v>
      </c>
      <c r="E100" s="4" t="s">
        <v>71</v>
      </c>
      <c r="F100" s="5"/>
      <c r="G100" s="5"/>
      <c r="H100" s="5"/>
      <c r="I100" s="5"/>
      <c r="J100" s="5"/>
      <c r="K100" s="5"/>
      <c r="L100" s="5"/>
      <c r="M100" s="5"/>
      <c r="N100" s="5"/>
      <c r="O100" s="5"/>
      <c r="P100" s="5"/>
      <c r="Q100" s="5"/>
      <c r="R100" s="5"/>
      <c r="S100" s="5"/>
      <c r="T100" s="5"/>
      <c r="U100" s="5"/>
      <c r="V100" s="5"/>
      <c r="W100" s="5"/>
    </row>
    <row r="101">
      <c r="A101" s="3" t="s">
        <v>1340</v>
      </c>
      <c r="B101" s="3" t="s">
        <v>1341</v>
      </c>
      <c r="C101" s="3" t="s">
        <v>70</v>
      </c>
      <c r="D101" s="3" t="s">
        <v>1342</v>
      </c>
      <c r="E101" s="4" t="s">
        <v>71</v>
      </c>
      <c r="F101" s="5"/>
      <c r="G101" s="5"/>
      <c r="H101" s="5"/>
      <c r="I101" s="5"/>
      <c r="J101" s="5"/>
      <c r="K101" s="5"/>
      <c r="L101" s="5"/>
      <c r="M101" s="5"/>
      <c r="N101" s="5"/>
      <c r="O101" s="5"/>
      <c r="P101" s="5"/>
      <c r="Q101" s="5"/>
      <c r="R101" s="5"/>
      <c r="S101" s="5"/>
      <c r="T101" s="5"/>
      <c r="U101" s="5"/>
      <c r="V101" s="5"/>
      <c r="W101" s="5"/>
    </row>
    <row r="102">
      <c r="A102" s="3" t="s">
        <v>1343</v>
      </c>
      <c r="B102" s="3" t="s">
        <v>1344</v>
      </c>
      <c r="C102" s="3" t="s">
        <v>70</v>
      </c>
      <c r="D102" s="3" t="s">
        <v>1345</v>
      </c>
      <c r="E102" s="4" t="s">
        <v>71</v>
      </c>
      <c r="F102" s="5"/>
      <c r="G102" s="5"/>
      <c r="H102" s="5"/>
      <c r="I102" s="5"/>
      <c r="J102" s="5"/>
      <c r="K102" s="5"/>
      <c r="L102" s="5"/>
      <c r="M102" s="5"/>
      <c r="N102" s="5"/>
      <c r="O102" s="5"/>
      <c r="P102" s="5"/>
      <c r="Q102" s="5"/>
      <c r="R102" s="5"/>
      <c r="S102" s="5"/>
      <c r="T102" s="5"/>
      <c r="U102" s="5"/>
      <c r="V102" s="5"/>
      <c r="W102" s="5"/>
    </row>
    <row r="103">
      <c r="A103" s="3" t="s">
        <v>1346</v>
      </c>
      <c r="B103" s="3" t="s">
        <v>1347</v>
      </c>
      <c r="C103" s="3" t="s">
        <v>70</v>
      </c>
      <c r="D103" s="3" t="s">
        <v>1348</v>
      </c>
      <c r="E103" s="4" t="s">
        <v>71</v>
      </c>
      <c r="F103" s="5"/>
      <c r="G103" s="5"/>
      <c r="H103" s="5"/>
      <c r="I103" s="5"/>
      <c r="J103" s="5"/>
      <c r="K103" s="5"/>
      <c r="L103" s="5"/>
      <c r="M103" s="5"/>
      <c r="N103" s="5"/>
      <c r="O103" s="5"/>
      <c r="P103" s="5"/>
      <c r="Q103" s="5"/>
      <c r="R103" s="5"/>
      <c r="S103" s="5"/>
      <c r="T103" s="5"/>
      <c r="U103" s="5"/>
      <c r="V103" s="5"/>
      <c r="W103" s="5"/>
    </row>
    <row r="104">
      <c r="A104" s="3" t="s">
        <v>1349</v>
      </c>
      <c r="B104" s="3" t="s">
        <v>1350</v>
      </c>
      <c r="C104" s="3" t="s">
        <v>70</v>
      </c>
      <c r="D104" s="3" t="s">
        <v>1351</v>
      </c>
      <c r="E104" s="4" t="s">
        <v>71</v>
      </c>
      <c r="F104" s="5"/>
      <c r="G104" s="5"/>
      <c r="H104" s="5"/>
      <c r="I104" s="5"/>
      <c r="J104" s="5"/>
      <c r="K104" s="5"/>
      <c r="L104" s="5"/>
      <c r="M104" s="5"/>
      <c r="N104" s="5"/>
      <c r="O104" s="5"/>
      <c r="P104" s="5"/>
      <c r="Q104" s="5"/>
      <c r="R104" s="5"/>
      <c r="S104" s="5"/>
      <c r="T104" s="5"/>
      <c r="U104" s="5"/>
      <c r="V104" s="5"/>
      <c r="W104" s="5"/>
    </row>
    <row r="105">
      <c r="A105" s="3" t="s">
        <v>1352</v>
      </c>
      <c r="B105" s="3" t="s">
        <v>1353</v>
      </c>
      <c r="C105" s="3" t="s">
        <v>70</v>
      </c>
      <c r="D105" s="3" t="s">
        <v>1354</v>
      </c>
      <c r="E105" s="4" t="s">
        <v>71</v>
      </c>
      <c r="F105" s="5"/>
      <c r="G105" s="5"/>
      <c r="H105" s="5"/>
      <c r="I105" s="5"/>
      <c r="J105" s="5"/>
      <c r="K105" s="5"/>
      <c r="L105" s="5"/>
      <c r="M105" s="5"/>
      <c r="N105" s="5"/>
      <c r="O105" s="5"/>
      <c r="P105" s="5"/>
      <c r="Q105" s="5"/>
      <c r="R105" s="5"/>
      <c r="S105" s="5"/>
      <c r="T105" s="5"/>
      <c r="U105" s="5"/>
      <c r="V105" s="5"/>
      <c r="W105" s="5"/>
    </row>
    <row r="106">
      <c r="A106" s="3" t="s">
        <v>1355</v>
      </c>
      <c r="B106" s="3" t="s">
        <v>1356</v>
      </c>
      <c r="C106" s="3" t="s">
        <v>70</v>
      </c>
      <c r="D106" s="3" t="s">
        <v>1357</v>
      </c>
      <c r="E106" s="4" t="s">
        <v>71</v>
      </c>
      <c r="F106" s="5"/>
      <c r="G106" s="5"/>
      <c r="H106" s="5"/>
      <c r="I106" s="5"/>
      <c r="J106" s="5"/>
      <c r="K106" s="5"/>
      <c r="L106" s="5"/>
      <c r="M106" s="5"/>
      <c r="N106" s="5"/>
      <c r="O106" s="5"/>
      <c r="P106" s="5"/>
      <c r="Q106" s="5"/>
      <c r="R106" s="5"/>
      <c r="S106" s="5"/>
      <c r="T106" s="5"/>
      <c r="U106" s="5"/>
      <c r="V106" s="5"/>
      <c r="W106" s="5"/>
    </row>
    <row r="107">
      <c r="A107" s="3" t="s">
        <v>1358</v>
      </c>
      <c r="B107" s="3" t="s">
        <v>1359</v>
      </c>
      <c r="C107" s="3" t="s">
        <v>70</v>
      </c>
      <c r="D107" s="3" t="s">
        <v>1360</v>
      </c>
      <c r="E107" s="4" t="s">
        <v>71</v>
      </c>
      <c r="F107" s="5"/>
      <c r="G107" s="5"/>
      <c r="H107" s="5"/>
      <c r="I107" s="5"/>
      <c r="J107" s="5"/>
      <c r="K107" s="5"/>
      <c r="L107" s="5"/>
      <c r="M107" s="5"/>
      <c r="N107" s="5"/>
      <c r="O107" s="5"/>
      <c r="P107" s="5"/>
      <c r="Q107" s="5"/>
      <c r="R107" s="5"/>
      <c r="S107" s="5"/>
      <c r="T107" s="5"/>
      <c r="U107" s="5"/>
      <c r="V107" s="5"/>
      <c r="W107" s="5"/>
    </row>
    <row r="108">
      <c r="A108" s="3" t="s">
        <v>1361</v>
      </c>
      <c r="B108" s="3" t="s">
        <v>1362</v>
      </c>
      <c r="C108" s="3" t="s">
        <v>70</v>
      </c>
      <c r="D108" s="3" t="s">
        <v>1363</v>
      </c>
      <c r="E108" s="4" t="s">
        <v>71</v>
      </c>
      <c r="F108" s="5"/>
      <c r="G108" s="5"/>
      <c r="H108" s="5"/>
      <c r="I108" s="5"/>
      <c r="J108" s="5"/>
      <c r="K108" s="5"/>
      <c r="L108" s="5"/>
      <c r="M108" s="5"/>
      <c r="N108" s="5"/>
      <c r="O108" s="5"/>
      <c r="P108" s="5"/>
      <c r="Q108" s="5"/>
      <c r="R108" s="5"/>
      <c r="S108" s="5"/>
      <c r="T108" s="5"/>
      <c r="U108" s="5"/>
      <c r="V108" s="5"/>
      <c r="W108" s="5"/>
    </row>
    <row r="109">
      <c r="A109" s="3" t="s">
        <v>1364</v>
      </c>
      <c r="B109" s="3" t="s">
        <v>1365</v>
      </c>
      <c r="C109" s="3" t="s">
        <v>70</v>
      </c>
      <c r="D109" s="3" t="s">
        <v>1366</v>
      </c>
      <c r="E109" s="4" t="s">
        <v>71</v>
      </c>
      <c r="F109" s="5"/>
      <c r="G109" s="5"/>
      <c r="H109" s="5"/>
      <c r="I109" s="5"/>
      <c r="J109" s="5"/>
      <c r="K109" s="5"/>
      <c r="L109" s="5"/>
      <c r="M109" s="5"/>
      <c r="N109" s="5"/>
      <c r="O109" s="5"/>
      <c r="P109" s="5"/>
      <c r="Q109" s="5"/>
      <c r="R109" s="5"/>
      <c r="S109" s="5"/>
      <c r="T109" s="5"/>
      <c r="U109" s="5"/>
      <c r="V109" s="5"/>
      <c r="W109" s="5"/>
    </row>
    <row r="110">
      <c r="A110" s="3" t="s">
        <v>1367</v>
      </c>
      <c r="B110" s="3" t="s">
        <v>1368</v>
      </c>
      <c r="C110" s="3" t="s">
        <v>70</v>
      </c>
      <c r="D110" s="3" t="s">
        <v>1369</v>
      </c>
      <c r="E110" s="4" t="s">
        <v>71</v>
      </c>
      <c r="F110" s="5"/>
      <c r="G110" s="5"/>
      <c r="H110" s="5"/>
      <c r="I110" s="5"/>
      <c r="J110" s="5"/>
      <c r="K110" s="5"/>
      <c r="L110" s="5"/>
      <c r="M110" s="5"/>
      <c r="N110" s="5"/>
      <c r="O110" s="5"/>
      <c r="P110" s="5"/>
      <c r="Q110" s="5"/>
      <c r="R110" s="5"/>
      <c r="S110" s="5"/>
      <c r="T110" s="5"/>
      <c r="U110" s="5"/>
      <c r="V110" s="5"/>
      <c r="W110" s="5"/>
    </row>
    <row r="111">
      <c r="A111" s="3" t="s">
        <v>1370</v>
      </c>
      <c r="B111" s="3" t="s">
        <v>1371</v>
      </c>
      <c r="C111" s="3" t="s">
        <v>70</v>
      </c>
      <c r="D111" s="3" t="s">
        <v>1372</v>
      </c>
      <c r="E111" s="4" t="s">
        <v>71</v>
      </c>
      <c r="F111" s="5"/>
      <c r="G111" s="5"/>
      <c r="H111" s="5"/>
      <c r="I111" s="5"/>
      <c r="J111" s="5"/>
      <c r="K111" s="5"/>
      <c r="L111" s="5"/>
      <c r="M111" s="5"/>
      <c r="N111" s="5"/>
      <c r="O111" s="5"/>
      <c r="P111" s="5"/>
      <c r="Q111" s="5"/>
      <c r="R111" s="5"/>
      <c r="S111" s="5"/>
      <c r="T111" s="5"/>
      <c r="U111" s="5"/>
      <c r="V111" s="5"/>
      <c r="W111" s="5"/>
    </row>
    <row r="112">
      <c r="A112" s="3" t="s">
        <v>1373</v>
      </c>
      <c r="B112" s="3" t="s">
        <v>1374</v>
      </c>
      <c r="C112" s="3" t="s">
        <v>70</v>
      </c>
      <c r="D112" s="3" t="s">
        <v>1375</v>
      </c>
      <c r="E112" s="4" t="s">
        <v>71</v>
      </c>
      <c r="F112" s="5"/>
      <c r="G112" s="5"/>
      <c r="H112" s="5"/>
      <c r="I112" s="5"/>
      <c r="J112" s="5"/>
      <c r="K112" s="5"/>
      <c r="L112" s="5"/>
      <c r="M112" s="5"/>
      <c r="N112" s="5"/>
      <c r="O112" s="5"/>
      <c r="P112" s="5"/>
      <c r="Q112" s="5"/>
      <c r="R112" s="5"/>
      <c r="S112" s="5"/>
      <c r="T112" s="5"/>
      <c r="U112" s="5"/>
      <c r="V112" s="5"/>
      <c r="W112" s="5"/>
    </row>
    <row r="113">
      <c r="A113" s="3" t="s">
        <v>1376</v>
      </c>
      <c r="B113" s="3" t="s">
        <v>1377</v>
      </c>
      <c r="C113" s="3" t="s">
        <v>70</v>
      </c>
      <c r="D113" s="3" t="s">
        <v>1378</v>
      </c>
      <c r="E113" s="4" t="s">
        <v>71</v>
      </c>
      <c r="F113" s="5"/>
      <c r="G113" s="5"/>
      <c r="H113" s="5"/>
      <c r="I113" s="5"/>
      <c r="J113" s="5"/>
      <c r="K113" s="5"/>
      <c r="L113" s="5"/>
      <c r="M113" s="5"/>
      <c r="N113" s="5"/>
      <c r="O113" s="5"/>
      <c r="P113" s="5"/>
      <c r="Q113" s="5"/>
      <c r="R113" s="5"/>
      <c r="S113" s="5"/>
      <c r="T113" s="5"/>
      <c r="U113" s="5"/>
      <c r="V113" s="5"/>
      <c r="W113" s="5"/>
    </row>
    <row r="114">
      <c r="A114" s="3" t="s">
        <v>1379</v>
      </c>
      <c r="B114" s="3" t="s">
        <v>1380</v>
      </c>
      <c r="C114" s="3" t="s">
        <v>70</v>
      </c>
      <c r="D114" s="3" t="s">
        <v>1381</v>
      </c>
      <c r="E114" s="4" t="s">
        <v>71</v>
      </c>
      <c r="F114" s="5"/>
      <c r="G114" s="5"/>
      <c r="H114" s="5"/>
      <c r="I114" s="5"/>
      <c r="J114" s="5"/>
      <c r="K114" s="5"/>
      <c r="L114" s="5"/>
      <c r="M114" s="5"/>
      <c r="N114" s="5"/>
      <c r="O114" s="5"/>
      <c r="P114" s="5"/>
      <c r="Q114" s="5"/>
      <c r="R114" s="5"/>
      <c r="S114" s="5"/>
      <c r="T114" s="5"/>
      <c r="U114" s="5"/>
      <c r="V114" s="5"/>
      <c r="W114" s="5"/>
    </row>
    <row r="115">
      <c r="A115" s="3" t="s">
        <v>1382</v>
      </c>
      <c r="B115" s="3" t="s">
        <v>1383</v>
      </c>
      <c r="C115" s="3" t="s">
        <v>70</v>
      </c>
      <c r="D115" s="3" t="s">
        <v>1384</v>
      </c>
      <c r="E115" s="4" t="s">
        <v>71</v>
      </c>
      <c r="F115" s="5"/>
      <c r="G115" s="5"/>
      <c r="H115" s="5"/>
      <c r="I115" s="5"/>
      <c r="J115" s="5"/>
      <c r="K115" s="5"/>
      <c r="L115" s="5"/>
      <c r="M115" s="5"/>
      <c r="N115" s="5"/>
      <c r="O115" s="5"/>
      <c r="P115" s="5"/>
      <c r="Q115" s="5"/>
      <c r="R115" s="5"/>
      <c r="S115" s="5"/>
      <c r="T115" s="5"/>
      <c r="U115" s="5"/>
      <c r="V115" s="5"/>
      <c r="W115" s="5"/>
    </row>
    <row r="116">
      <c r="A116" s="3" t="s">
        <v>1385</v>
      </c>
      <c r="B116" s="3" t="s">
        <v>1386</v>
      </c>
      <c r="C116" s="3" t="s">
        <v>70</v>
      </c>
      <c r="D116" s="3" t="s">
        <v>1387</v>
      </c>
      <c r="E116" s="4" t="s">
        <v>71</v>
      </c>
      <c r="F116" s="3"/>
      <c r="G116" s="3"/>
      <c r="H116" s="3"/>
      <c r="I116" s="3"/>
      <c r="J116" s="5"/>
      <c r="K116" s="5"/>
      <c r="L116" s="5"/>
      <c r="M116" s="5"/>
      <c r="N116" s="5"/>
      <c r="O116" s="5"/>
      <c r="P116" s="5"/>
      <c r="Q116" s="5"/>
      <c r="R116" s="5"/>
      <c r="S116" s="5"/>
      <c r="T116" s="5"/>
      <c r="U116" s="5"/>
      <c r="V116" s="5"/>
      <c r="W116" s="5"/>
    </row>
    <row r="117">
      <c r="A117" s="3" t="s">
        <v>1388</v>
      </c>
      <c r="B117" s="3" t="s">
        <v>1389</v>
      </c>
      <c r="C117" s="3" t="s">
        <v>70</v>
      </c>
      <c r="D117" s="3" t="s">
        <v>1390</v>
      </c>
      <c r="E117" s="4" t="s">
        <v>71</v>
      </c>
      <c r="F117" s="3"/>
      <c r="G117" s="3"/>
      <c r="H117" s="3"/>
      <c r="I117" s="3"/>
      <c r="J117" s="5"/>
      <c r="K117" s="5"/>
      <c r="L117" s="5"/>
      <c r="M117" s="5"/>
      <c r="N117" s="5"/>
      <c r="O117" s="5"/>
      <c r="P117" s="5"/>
      <c r="Q117" s="5"/>
      <c r="R117" s="5"/>
      <c r="S117" s="5"/>
      <c r="T117" s="5"/>
      <c r="U117" s="5"/>
      <c r="V117" s="5"/>
      <c r="W117" s="5"/>
    </row>
    <row r="118">
      <c r="A118" s="3" t="s">
        <v>1391</v>
      </c>
      <c r="B118" s="3" t="s">
        <v>1389</v>
      </c>
      <c r="C118" s="3" t="s">
        <v>70</v>
      </c>
      <c r="D118" s="3" t="s">
        <v>1392</v>
      </c>
      <c r="E118" s="4" t="s">
        <v>71</v>
      </c>
      <c r="F118" s="5"/>
      <c r="G118" s="5"/>
      <c r="H118" s="5"/>
      <c r="I118" s="5"/>
      <c r="J118" s="5"/>
      <c r="K118" s="5"/>
      <c r="L118" s="5"/>
      <c r="M118" s="5"/>
      <c r="N118" s="5"/>
      <c r="O118" s="5"/>
      <c r="P118" s="5"/>
      <c r="Q118" s="5"/>
      <c r="R118" s="5"/>
      <c r="S118" s="5"/>
      <c r="T118" s="5"/>
      <c r="U118" s="5"/>
      <c r="V118" s="5"/>
      <c r="W118" s="5"/>
    </row>
    <row r="119">
      <c r="A119" s="3" t="s">
        <v>1393</v>
      </c>
      <c r="B119" s="3" t="s">
        <v>1394</v>
      </c>
      <c r="C119" s="3" t="s">
        <v>70</v>
      </c>
      <c r="D119" s="3" t="s">
        <v>1395</v>
      </c>
      <c r="E119" s="4" t="s">
        <v>71</v>
      </c>
      <c r="F119" s="5"/>
      <c r="G119" s="5"/>
      <c r="H119" s="5"/>
      <c r="I119" s="5"/>
      <c r="J119" s="5"/>
      <c r="K119" s="5"/>
      <c r="L119" s="5"/>
      <c r="M119" s="5"/>
      <c r="N119" s="5"/>
      <c r="O119" s="5"/>
      <c r="P119" s="5"/>
      <c r="Q119" s="5"/>
      <c r="R119" s="5"/>
      <c r="S119" s="5"/>
      <c r="T119" s="5"/>
      <c r="U119" s="5"/>
      <c r="V119" s="5"/>
      <c r="W119" s="5"/>
    </row>
    <row r="120">
      <c r="A120" s="3" t="s">
        <v>1396</v>
      </c>
      <c r="B120" s="3" t="s">
        <v>1397</v>
      </c>
      <c r="C120" s="3" t="s">
        <v>70</v>
      </c>
      <c r="D120" s="3" t="s">
        <v>1398</v>
      </c>
      <c r="E120" s="4" t="s">
        <v>71</v>
      </c>
      <c r="F120" s="5"/>
      <c r="G120" s="5"/>
      <c r="H120" s="5"/>
      <c r="I120" s="5"/>
      <c r="J120" s="5"/>
      <c r="K120" s="5"/>
      <c r="L120" s="5"/>
      <c r="M120" s="5"/>
      <c r="N120" s="5"/>
      <c r="O120" s="5"/>
      <c r="P120" s="5"/>
      <c r="Q120" s="5"/>
      <c r="R120" s="5"/>
      <c r="S120" s="5"/>
      <c r="T120" s="5"/>
      <c r="U120" s="5"/>
      <c r="V120" s="5"/>
      <c r="W120" s="5"/>
    </row>
    <row r="121">
      <c r="A121" s="3" t="s">
        <v>1399</v>
      </c>
      <c r="B121" s="3" t="s">
        <v>1400</v>
      </c>
      <c r="C121" s="3" t="s">
        <v>70</v>
      </c>
      <c r="D121" s="3" t="s">
        <v>1339</v>
      </c>
      <c r="E121" s="4" t="s">
        <v>71</v>
      </c>
      <c r="F121" s="5"/>
      <c r="G121" s="5"/>
      <c r="H121" s="5"/>
      <c r="I121" s="5"/>
      <c r="J121" s="5"/>
      <c r="K121" s="5"/>
      <c r="L121" s="5"/>
      <c r="M121" s="5"/>
      <c r="N121" s="5"/>
      <c r="O121" s="5"/>
      <c r="P121" s="5"/>
      <c r="Q121" s="5"/>
      <c r="R121" s="5"/>
      <c r="S121" s="5"/>
      <c r="T121" s="5"/>
      <c r="U121" s="5"/>
      <c r="V121" s="5"/>
      <c r="W121" s="5"/>
    </row>
    <row r="122">
      <c r="A122" s="3" t="s">
        <v>1401</v>
      </c>
      <c r="B122" s="3" t="s">
        <v>1402</v>
      </c>
      <c r="C122" s="3" t="s">
        <v>70</v>
      </c>
      <c r="D122" s="3" t="s">
        <v>1403</v>
      </c>
      <c r="E122" s="4" t="s">
        <v>71</v>
      </c>
      <c r="F122" s="5"/>
      <c r="G122" s="5"/>
      <c r="H122" s="5"/>
      <c r="I122" s="5"/>
      <c r="J122" s="5"/>
      <c r="K122" s="5"/>
      <c r="L122" s="5"/>
      <c r="M122" s="5"/>
      <c r="N122" s="5"/>
      <c r="O122" s="5"/>
      <c r="P122" s="5"/>
      <c r="Q122" s="5"/>
      <c r="R122" s="5"/>
      <c r="S122" s="5"/>
      <c r="T122" s="5"/>
      <c r="U122" s="5"/>
      <c r="V122" s="5"/>
      <c r="W122" s="5"/>
    </row>
    <row r="123">
      <c r="A123" s="3" t="s">
        <v>1404</v>
      </c>
      <c r="B123" s="3" t="s">
        <v>1405</v>
      </c>
      <c r="C123" s="3" t="s">
        <v>70</v>
      </c>
      <c r="D123" s="3" t="s">
        <v>1406</v>
      </c>
      <c r="E123" s="4" t="s">
        <v>71</v>
      </c>
      <c r="F123" s="5"/>
      <c r="G123" s="5"/>
      <c r="H123" s="5"/>
      <c r="I123" s="5"/>
      <c r="J123" s="5"/>
      <c r="K123" s="5"/>
      <c r="L123" s="5"/>
      <c r="M123" s="5"/>
      <c r="N123" s="5"/>
      <c r="O123" s="5"/>
      <c r="P123" s="5"/>
      <c r="Q123" s="5"/>
      <c r="R123" s="5"/>
      <c r="S123" s="5"/>
      <c r="T123" s="5"/>
      <c r="U123" s="5"/>
      <c r="V123" s="5"/>
      <c r="W123" s="5"/>
    </row>
    <row r="124">
      <c r="A124" s="3" t="s">
        <v>1407</v>
      </c>
      <c r="B124" s="3" t="s">
        <v>1408</v>
      </c>
      <c r="C124" s="3" t="s">
        <v>72</v>
      </c>
      <c r="D124" s="3" t="s">
        <v>1409</v>
      </c>
      <c r="E124" s="4" t="s">
        <v>73</v>
      </c>
      <c r="F124" s="5"/>
      <c r="G124" s="5"/>
      <c r="H124" s="5"/>
      <c r="I124" s="5"/>
      <c r="J124" s="5"/>
      <c r="K124" s="5"/>
      <c r="L124" s="5"/>
      <c r="M124" s="5"/>
      <c r="N124" s="5"/>
      <c r="O124" s="5"/>
      <c r="P124" s="5"/>
      <c r="Q124" s="5"/>
      <c r="R124" s="5"/>
      <c r="S124" s="5"/>
      <c r="T124" s="5"/>
      <c r="U124" s="5"/>
      <c r="V124" s="5"/>
      <c r="W124" s="5"/>
    </row>
    <row r="125">
      <c r="A125" s="3" t="s">
        <v>1410</v>
      </c>
      <c r="B125" s="3" t="s">
        <v>1411</v>
      </c>
      <c r="C125" s="3" t="s">
        <v>72</v>
      </c>
      <c r="D125" s="3" t="s">
        <v>1412</v>
      </c>
      <c r="E125" s="4" t="s">
        <v>73</v>
      </c>
      <c r="F125" s="5"/>
      <c r="G125" s="5"/>
      <c r="H125" s="5"/>
      <c r="I125" s="5"/>
      <c r="J125" s="5"/>
      <c r="K125" s="5"/>
      <c r="L125" s="5"/>
      <c r="M125" s="5"/>
      <c r="N125" s="5"/>
      <c r="O125" s="5"/>
      <c r="P125" s="5"/>
      <c r="Q125" s="5"/>
      <c r="R125" s="5"/>
      <c r="S125" s="5"/>
      <c r="T125" s="5"/>
      <c r="U125" s="5"/>
      <c r="V125" s="5"/>
      <c r="W125" s="5"/>
    </row>
    <row r="126">
      <c r="A126" s="3" t="s">
        <v>1413</v>
      </c>
      <c r="B126" s="3" t="s">
        <v>1414</v>
      </c>
      <c r="C126" s="3" t="s">
        <v>1415</v>
      </c>
      <c r="D126" s="3" t="s">
        <v>1416</v>
      </c>
      <c r="E126" s="4" t="s">
        <v>36</v>
      </c>
      <c r="F126" s="5"/>
      <c r="G126" s="5"/>
      <c r="H126" s="5"/>
      <c r="I126" s="5"/>
      <c r="J126" s="5"/>
      <c r="K126" s="5"/>
      <c r="L126" s="5"/>
      <c r="M126" s="5"/>
      <c r="N126" s="5"/>
      <c r="O126" s="5"/>
      <c r="P126" s="5"/>
      <c r="Q126" s="5"/>
      <c r="R126" s="5"/>
      <c r="S126" s="5"/>
      <c r="T126" s="5"/>
      <c r="U126" s="5"/>
      <c r="V126" s="5"/>
      <c r="W126" s="5"/>
    </row>
    <row r="127">
      <c r="A127" s="3" t="s">
        <v>1417</v>
      </c>
      <c r="B127" s="3" t="s">
        <v>1418</v>
      </c>
      <c r="C127" s="3" t="s">
        <v>1419</v>
      </c>
      <c r="D127" s="3" t="s">
        <v>1420</v>
      </c>
      <c r="E127" s="4" t="s">
        <v>36</v>
      </c>
      <c r="F127" s="5"/>
      <c r="G127" s="5"/>
      <c r="H127" s="5"/>
      <c r="I127" s="5"/>
      <c r="J127" s="5"/>
      <c r="K127" s="5"/>
      <c r="L127" s="5"/>
      <c r="M127" s="5"/>
      <c r="N127" s="5"/>
      <c r="O127" s="5"/>
      <c r="P127" s="5"/>
      <c r="Q127" s="5"/>
      <c r="R127" s="5"/>
      <c r="S127" s="5"/>
      <c r="T127" s="5"/>
      <c r="U127" s="5"/>
      <c r="V127" s="5"/>
      <c r="W127" s="5"/>
    </row>
    <row r="128">
      <c r="A128" s="3" t="s">
        <v>1421</v>
      </c>
      <c r="B128" s="3" t="s">
        <v>1422</v>
      </c>
      <c r="C128" s="3" t="s">
        <v>1419</v>
      </c>
      <c r="D128" s="3" t="s">
        <v>1423</v>
      </c>
      <c r="E128" s="4" t="s">
        <v>36</v>
      </c>
      <c r="F128" s="5"/>
      <c r="G128" s="5"/>
      <c r="H128" s="5"/>
      <c r="I128" s="5"/>
      <c r="J128" s="5"/>
      <c r="K128" s="5"/>
      <c r="L128" s="5"/>
      <c r="M128" s="5"/>
      <c r="N128" s="5"/>
      <c r="O128" s="5"/>
      <c r="P128" s="5"/>
      <c r="Q128" s="5"/>
      <c r="R128" s="5"/>
      <c r="S128" s="5"/>
      <c r="T128" s="5"/>
      <c r="U128" s="5"/>
      <c r="V128" s="5"/>
      <c r="W128" s="5"/>
    </row>
    <row r="129">
      <c r="A129" s="3" t="s">
        <v>1424</v>
      </c>
      <c r="B129" s="3" t="s">
        <v>1425</v>
      </c>
      <c r="C129" s="3" t="s">
        <v>1419</v>
      </c>
      <c r="D129" s="3" t="s">
        <v>1426</v>
      </c>
      <c r="E129" s="4" t="s">
        <v>36</v>
      </c>
      <c r="F129" s="5"/>
      <c r="G129" s="5"/>
      <c r="H129" s="5"/>
      <c r="I129" s="5"/>
      <c r="J129" s="5"/>
      <c r="K129" s="5"/>
      <c r="L129" s="5"/>
      <c r="M129" s="5"/>
      <c r="N129" s="5"/>
      <c r="O129" s="5"/>
      <c r="P129" s="5"/>
      <c r="Q129" s="5"/>
      <c r="R129" s="5"/>
      <c r="S129" s="5"/>
      <c r="T129" s="5"/>
      <c r="U129" s="5"/>
      <c r="V129" s="5"/>
      <c r="W129" s="5"/>
    </row>
    <row r="130">
      <c r="A130" s="3" t="s">
        <v>1427</v>
      </c>
      <c r="B130" s="3" t="s">
        <v>1428</v>
      </c>
      <c r="C130" s="3" t="s">
        <v>1419</v>
      </c>
      <c r="D130" s="3" t="s">
        <v>1429</v>
      </c>
      <c r="E130" s="4" t="s">
        <v>36</v>
      </c>
      <c r="F130" s="5"/>
      <c r="G130" s="5"/>
      <c r="H130" s="5"/>
      <c r="I130" s="5"/>
      <c r="J130" s="5"/>
      <c r="K130" s="5"/>
      <c r="L130" s="5"/>
      <c r="M130" s="5"/>
      <c r="N130" s="5"/>
      <c r="O130" s="5"/>
      <c r="P130" s="5"/>
      <c r="Q130" s="5"/>
      <c r="R130" s="5"/>
      <c r="S130" s="5"/>
      <c r="T130" s="5"/>
      <c r="U130" s="5"/>
      <c r="V130" s="5"/>
      <c r="W130" s="5"/>
    </row>
    <row r="131">
      <c r="A131" s="3" t="s">
        <v>1430</v>
      </c>
      <c r="B131" s="3" t="s">
        <v>1431</v>
      </c>
      <c r="C131" s="3" t="s">
        <v>1419</v>
      </c>
      <c r="D131" s="3" t="s">
        <v>1432</v>
      </c>
      <c r="E131" s="4" t="s">
        <v>36</v>
      </c>
      <c r="F131" s="5"/>
      <c r="G131" s="5"/>
      <c r="H131" s="5"/>
      <c r="I131" s="5"/>
      <c r="J131" s="5"/>
      <c r="K131" s="5"/>
      <c r="L131" s="5"/>
      <c r="M131" s="5"/>
      <c r="N131" s="5"/>
      <c r="O131" s="5"/>
      <c r="P131" s="5"/>
      <c r="Q131" s="5"/>
      <c r="R131" s="5"/>
      <c r="S131" s="5"/>
      <c r="T131" s="5"/>
      <c r="U131" s="5"/>
      <c r="V131" s="5"/>
      <c r="W131" s="5"/>
    </row>
    <row r="132">
      <c r="A132" s="3" t="s">
        <v>1433</v>
      </c>
      <c r="B132" s="3" t="s">
        <v>1434</v>
      </c>
      <c r="C132" s="3" t="s">
        <v>72</v>
      </c>
      <c r="D132" s="3" t="s">
        <v>1435</v>
      </c>
      <c r="E132" s="4" t="s">
        <v>73</v>
      </c>
      <c r="F132" s="5"/>
      <c r="G132" s="5"/>
      <c r="H132" s="5"/>
      <c r="I132" s="5"/>
      <c r="J132" s="5"/>
      <c r="K132" s="5"/>
      <c r="L132" s="5"/>
      <c r="M132" s="5"/>
      <c r="N132" s="5"/>
      <c r="O132" s="5"/>
      <c r="P132" s="5"/>
      <c r="Q132" s="5"/>
      <c r="R132" s="5"/>
      <c r="S132" s="5"/>
      <c r="T132" s="5"/>
      <c r="U132" s="5"/>
      <c r="V132" s="5"/>
      <c r="W132" s="5"/>
    </row>
    <row r="133">
      <c r="A133" s="3" t="s">
        <v>1436</v>
      </c>
      <c r="B133" s="3" t="s">
        <v>1437</v>
      </c>
      <c r="C133" s="3" t="s">
        <v>72</v>
      </c>
      <c r="D133" s="3" t="s">
        <v>1438</v>
      </c>
      <c r="E133" s="4" t="s">
        <v>73</v>
      </c>
      <c r="F133" s="5"/>
      <c r="G133" s="5"/>
      <c r="H133" s="5"/>
      <c r="I133" s="5"/>
      <c r="J133" s="5"/>
      <c r="K133" s="5"/>
      <c r="L133" s="5"/>
      <c r="M133" s="5"/>
      <c r="N133" s="5"/>
      <c r="O133" s="5"/>
      <c r="P133" s="5"/>
      <c r="Q133" s="5"/>
      <c r="R133" s="5"/>
      <c r="S133" s="5"/>
      <c r="T133" s="5"/>
      <c r="U133" s="5"/>
      <c r="V133" s="5"/>
      <c r="W133" s="5"/>
    </row>
    <row r="134">
      <c r="A134" s="3" t="s">
        <v>1439</v>
      </c>
      <c r="B134" s="3" t="s">
        <v>1440</v>
      </c>
      <c r="C134" s="3" t="s">
        <v>72</v>
      </c>
      <c r="D134" s="3" t="s">
        <v>1441</v>
      </c>
      <c r="E134" s="4" t="s">
        <v>73</v>
      </c>
      <c r="F134" s="5"/>
      <c r="G134" s="5"/>
      <c r="H134" s="5"/>
      <c r="I134" s="5"/>
      <c r="J134" s="5"/>
      <c r="K134" s="5"/>
      <c r="L134" s="5"/>
      <c r="M134" s="5"/>
      <c r="N134" s="5"/>
      <c r="O134" s="5"/>
      <c r="P134" s="5"/>
      <c r="Q134" s="5"/>
      <c r="R134" s="5"/>
      <c r="S134" s="5"/>
      <c r="T134" s="5"/>
      <c r="U134" s="5"/>
      <c r="V134" s="5"/>
      <c r="W134" s="5"/>
    </row>
    <row r="135">
      <c r="A135" s="3" t="s">
        <v>1442</v>
      </c>
      <c r="B135" s="3" t="s">
        <v>1443</v>
      </c>
      <c r="C135" s="3" t="s">
        <v>72</v>
      </c>
      <c r="D135" s="3" t="s">
        <v>1444</v>
      </c>
      <c r="E135" s="4" t="s">
        <v>73</v>
      </c>
      <c r="F135" s="5"/>
      <c r="G135" s="5"/>
      <c r="H135" s="5"/>
      <c r="I135" s="5"/>
      <c r="J135" s="5"/>
      <c r="K135" s="5"/>
      <c r="L135" s="5"/>
      <c r="M135" s="5"/>
      <c r="N135" s="5"/>
      <c r="O135" s="5"/>
      <c r="P135" s="5"/>
      <c r="Q135" s="5"/>
      <c r="R135" s="5"/>
      <c r="S135" s="5"/>
      <c r="T135" s="5"/>
      <c r="U135" s="5"/>
      <c r="V135" s="5"/>
      <c r="W135" s="5"/>
    </row>
    <row r="136">
      <c r="A136" s="3" t="s">
        <v>1445</v>
      </c>
      <c r="B136" s="3" t="s">
        <v>1446</v>
      </c>
      <c r="C136" s="3" t="s">
        <v>72</v>
      </c>
      <c r="D136" s="3" t="s">
        <v>1447</v>
      </c>
      <c r="E136" s="4" t="s">
        <v>73</v>
      </c>
      <c r="F136" s="5"/>
      <c r="G136" s="5"/>
      <c r="H136" s="5"/>
      <c r="I136" s="5"/>
      <c r="J136" s="5"/>
      <c r="K136" s="5"/>
      <c r="L136" s="5"/>
      <c r="M136" s="5"/>
      <c r="N136" s="5"/>
      <c r="O136" s="5"/>
      <c r="P136" s="5"/>
      <c r="Q136" s="5"/>
      <c r="R136" s="5"/>
      <c r="S136" s="5"/>
      <c r="T136" s="5"/>
      <c r="U136" s="5"/>
      <c r="V136" s="5"/>
      <c r="W136" s="5"/>
    </row>
    <row r="137">
      <c r="A137" s="3" t="s">
        <v>1448</v>
      </c>
      <c r="B137" s="3" t="s">
        <v>1449</v>
      </c>
      <c r="C137" s="3" t="s">
        <v>72</v>
      </c>
      <c r="D137" s="3" t="s">
        <v>1450</v>
      </c>
      <c r="E137" s="4" t="s">
        <v>73</v>
      </c>
      <c r="F137" s="5"/>
      <c r="G137" s="5"/>
      <c r="H137" s="5"/>
      <c r="I137" s="5"/>
      <c r="J137" s="5"/>
      <c r="K137" s="5"/>
      <c r="L137" s="5"/>
      <c r="M137" s="5"/>
      <c r="N137" s="5"/>
      <c r="O137" s="5"/>
      <c r="P137" s="5"/>
      <c r="Q137" s="5"/>
      <c r="R137" s="5"/>
      <c r="S137" s="5"/>
      <c r="T137" s="5"/>
      <c r="U137" s="5"/>
      <c r="V137" s="5"/>
      <c r="W137" s="5"/>
    </row>
    <row r="138">
      <c r="A138" s="3" t="s">
        <v>1451</v>
      </c>
      <c r="B138" s="3" t="s">
        <v>1452</v>
      </c>
      <c r="C138" s="3" t="s">
        <v>1453</v>
      </c>
      <c r="D138" s="3" t="s">
        <v>1454</v>
      </c>
      <c r="E138" s="4" t="s">
        <v>73</v>
      </c>
      <c r="F138" s="5"/>
      <c r="G138" s="5"/>
      <c r="H138" s="5"/>
      <c r="I138" s="5"/>
      <c r="J138" s="5"/>
      <c r="K138" s="5"/>
      <c r="L138" s="5"/>
      <c r="M138" s="5"/>
      <c r="N138" s="5"/>
      <c r="O138" s="5"/>
      <c r="P138" s="5"/>
      <c r="Q138" s="5"/>
      <c r="R138" s="5"/>
      <c r="S138" s="5"/>
      <c r="T138" s="5"/>
      <c r="U138" s="5"/>
      <c r="V138" s="5"/>
      <c r="W138" s="5"/>
    </row>
    <row r="139">
      <c r="A139" s="3" t="s">
        <v>1455</v>
      </c>
      <c r="B139" s="3" t="s">
        <v>1456</v>
      </c>
      <c r="C139" s="3" t="s">
        <v>1453</v>
      </c>
      <c r="D139" s="3" t="s">
        <v>1457</v>
      </c>
      <c r="E139" s="4" t="s">
        <v>73</v>
      </c>
      <c r="F139" s="5"/>
      <c r="G139" s="5"/>
      <c r="H139" s="5"/>
      <c r="I139" s="5"/>
      <c r="J139" s="5"/>
      <c r="K139" s="5"/>
      <c r="L139" s="5"/>
      <c r="M139" s="5"/>
      <c r="N139" s="5"/>
      <c r="O139" s="5"/>
      <c r="P139" s="5"/>
      <c r="Q139" s="5"/>
      <c r="R139" s="5"/>
      <c r="S139" s="5"/>
      <c r="T139" s="5"/>
      <c r="U139" s="5"/>
      <c r="V139" s="5"/>
      <c r="W139" s="5"/>
    </row>
    <row r="140">
      <c r="A140" s="3" t="s">
        <v>1458</v>
      </c>
      <c r="B140" s="3" t="s">
        <v>1459</v>
      </c>
      <c r="C140" s="3" t="s">
        <v>1453</v>
      </c>
      <c r="D140" s="3" t="s">
        <v>1460</v>
      </c>
      <c r="E140" s="4" t="s">
        <v>73</v>
      </c>
      <c r="F140" s="5"/>
      <c r="G140" s="5"/>
      <c r="H140" s="5"/>
      <c r="I140" s="5"/>
      <c r="J140" s="5"/>
      <c r="K140" s="5"/>
      <c r="L140" s="5"/>
      <c r="M140" s="5"/>
      <c r="N140" s="5"/>
      <c r="O140" s="5"/>
      <c r="P140" s="5"/>
      <c r="Q140" s="5"/>
      <c r="R140" s="5"/>
      <c r="S140" s="5"/>
      <c r="T140" s="5"/>
      <c r="U140" s="5"/>
      <c r="V140" s="5"/>
      <c r="W140" s="5"/>
    </row>
    <row r="141">
      <c r="A141" s="3" t="s">
        <v>1461</v>
      </c>
      <c r="B141" s="3" t="s">
        <v>1462</v>
      </c>
      <c r="C141" s="3" t="s">
        <v>1453</v>
      </c>
      <c r="D141" s="3" t="s">
        <v>1463</v>
      </c>
      <c r="E141" s="4" t="s">
        <v>73</v>
      </c>
      <c r="F141" s="5"/>
      <c r="G141" s="5"/>
      <c r="H141" s="5"/>
      <c r="I141" s="5"/>
      <c r="J141" s="5"/>
      <c r="K141" s="5"/>
      <c r="L141" s="5"/>
      <c r="M141" s="5"/>
      <c r="N141" s="5"/>
      <c r="O141" s="5"/>
      <c r="P141" s="5"/>
      <c r="Q141" s="5"/>
      <c r="R141" s="5"/>
      <c r="S141" s="5"/>
      <c r="T141" s="5"/>
      <c r="U141" s="5"/>
      <c r="V141" s="5"/>
      <c r="W141" s="5"/>
    </row>
    <row r="142">
      <c r="A142" s="3" t="s">
        <v>1464</v>
      </c>
      <c r="B142" s="3" t="s">
        <v>1465</v>
      </c>
      <c r="C142" s="3" t="s">
        <v>1453</v>
      </c>
      <c r="D142" s="3" t="s">
        <v>1466</v>
      </c>
      <c r="E142" s="4" t="s">
        <v>73</v>
      </c>
      <c r="F142" s="5"/>
      <c r="G142" s="5"/>
      <c r="H142" s="5"/>
      <c r="I142" s="5"/>
      <c r="J142" s="5"/>
      <c r="K142" s="5"/>
      <c r="L142" s="5"/>
      <c r="M142" s="5"/>
      <c r="N142" s="5"/>
      <c r="O142" s="5"/>
      <c r="P142" s="5"/>
      <c r="Q142" s="5"/>
      <c r="R142" s="5"/>
      <c r="S142" s="5"/>
      <c r="T142" s="5"/>
      <c r="U142" s="5"/>
      <c r="V142" s="5"/>
      <c r="W142" s="5"/>
    </row>
    <row r="143">
      <c r="A143" s="3" t="s">
        <v>1467</v>
      </c>
      <c r="B143" s="3" t="s">
        <v>1468</v>
      </c>
      <c r="C143" s="3" t="s">
        <v>1469</v>
      </c>
      <c r="D143" s="3" t="s">
        <v>1470</v>
      </c>
      <c r="E143" s="4" t="s">
        <v>73</v>
      </c>
      <c r="F143" s="5"/>
      <c r="G143" s="5"/>
      <c r="H143" s="5"/>
      <c r="I143" s="5"/>
      <c r="J143" s="5"/>
      <c r="K143" s="5"/>
      <c r="L143" s="5"/>
      <c r="M143" s="5"/>
      <c r="N143" s="5"/>
      <c r="O143" s="5"/>
      <c r="P143" s="5"/>
      <c r="Q143" s="5"/>
      <c r="R143" s="5"/>
      <c r="S143" s="5"/>
      <c r="T143" s="5"/>
      <c r="U143" s="5"/>
      <c r="V143" s="5"/>
      <c r="W143" s="5"/>
    </row>
    <row r="144">
      <c r="A144" s="3" t="s">
        <v>1471</v>
      </c>
      <c r="B144" s="3" t="s">
        <v>1472</v>
      </c>
      <c r="C144" s="3" t="s">
        <v>72</v>
      </c>
      <c r="D144" s="3" t="s">
        <v>1473</v>
      </c>
      <c r="E144" s="4" t="s">
        <v>73</v>
      </c>
      <c r="F144" s="5"/>
      <c r="G144" s="5"/>
      <c r="H144" s="5"/>
      <c r="I144" s="5"/>
      <c r="J144" s="5"/>
      <c r="K144" s="5"/>
      <c r="L144" s="5"/>
      <c r="M144" s="5"/>
      <c r="N144" s="5"/>
      <c r="O144" s="5"/>
      <c r="P144" s="5"/>
      <c r="Q144" s="5"/>
      <c r="R144" s="5"/>
      <c r="S144" s="5"/>
      <c r="T144" s="5"/>
      <c r="U144" s="5"/>
      <c r="V144" s="5"/>
      <c r="W144" s="5"/>
    </row>
    <row r="145">
      <c r="A145" s="3" t="s">
        <v>1474</v>
      </c>
      <c r="B145" s="3" t="s">
        <v>1475</v>
      </c>
      <c r="C145" s="3" t="s">
        <v>72</v>
      </c>
      <c r="D145" s="3" t="s">
        <v>1476</v>
      </c>
      <c r="E145" s="4" t="s">
        <v>73</v>
      </c>
      <c r="F145" s="5"/>
      <c r="G145" s="5"/>
      <c r="H145" s="5"/>
      <c r="I145" s="5"/>
      <c r="J145" s="5"/>
      <c r="K145" s="5"/>
      <c r="L145" s="5"/>
      <c r="M145" s="5"/>
      <c r="N145" s="5"/>
      <c r="O145" s="5"/>
      <c r="P145" s="5"/>
      <c r="Q145" s="5"/>
      <c r="R145" s="5"/>
      <c r="S145" s="5"/>
      <c r="T145" s="5"/>
      <c r="U145" s="5"/>
      <c r="V145" s="5"/>
      <c r="W145" s="5"/>
    </row>
    <row r="146">
      <c r="A146" s="3" t="s">
        <v>1477</v>
      </c>
      <c r="B146" s="3" t="s">
        <v>1478</v>
      </c>
      <c r="C146" s="3" t="s">
        <v>72</v>
      </c>
      <c r="D146" s="3" t="s">
        <v>1479</v>
      </c>
      <c r="E146" s="4" t="s">
        <v>73</v>
      </c>
      <c r="F146" s="5"/>
      <c r="G146" s="5"/>
      <c r="H146" s="5"/>
      <c r="I146" s="5"/>
      <c r="J146" s="5"/>
      <c r="K146" s="5"/>
      <c r="L146" s="5"/>
      <c r="M146" s="5"/>
      <c r="N146" s="5"/>
      <c r="O146" s="5"/>
      <c r="P146" s="5"/>
      <c r="Q146" s="5"/>
      <c r="R146" s="5"/>
      <c r="S146" s="5"/>
      <c r="T146" s="5"/>
      <c r="U146" s="5"/>
      <c r="V146" s="5"/>
      <c r="W146" s="5"/>
    </row>
    <row r="147">
      <c r="A147" s="3" t="s">
        <v>1480</v>
      </c>
      <c r="B147" s="3" t="s">
        <v>1481</v>
      </c>
      <c r="C147" s="3" t="s">
        <v>72</v>
      </c>
      <c r="D147" s="3" t="s">
        <v>1482</v>
      </c>
      <c r="E147" s="4" t="s">
        <v>73</v>
      </c>
      <c r="F147" s="5"/>
      <c r="G147" s="5"/>
      <c r="H147" s="5"/>
      <c r="I147" s="5"/>
      <c r="J147" s="5"/>
      <c r="K147" s="5"/>
      <c r="L147" s="5"/>
      <c r="M147" s="5"/>
      <c r="N147" s="5"/>
      <c r="O147" s="5"/>
      <c r="P147" s="5"/>
      <c r="Q147" s="5"/>
      <c r="R147" s="5"/>
      <c r="S147" s="5"/>
      <c r="T147" s="5"/>
      <c r="U147" s="5"/>
      <c r="V147" s="5"/>
      <c r="W147" s="5"/>
    </row>
    <row r="148">
      <c r="A148" s="3" t="s">
        <v>1483</v>
      </c>
      <c r="B148" s="3" t="s">
        <v>1484</v>
      </c>
      <c r="C148" s="3" t="s">
        <v>72</v>
      </c>
      <c r="D148" s="3" t="s">
        <v>1485</v>
      </c>
      <c r="E148" s="4" t="s">
        <v>73</v>
      </c>
      <c r="F148" s="5"/>
      <c r="G148" s="5"/>
      <c r="H148" s="5"/>
      <c r="I148" s="5"/>
      <c r="J148" s="5"/>
      <c r="K148" s="5"/>
      <c r="L148" s="5"/>
      <c r="M148" s="5"/>
      <c r="N148" s="5"/>
      <c r="O148" s="5"/>
      <c r="P148" s="5"/>
      <c r="Q148" s="5"/>
      <c r="R148" s="5"/>
      <c r="S148" s="5"/>
      <c r="T148" s="5"/>
      <c r="U148" s="5"/>
      <c r="V148" s="5"/>
      <c r="W148" s="5"/>
    </row>
    <row r="149">
      <c r="A149" s="3" t="s">
        <v>1486</v>
      </c>
      <c r="B149" s="3" t="s">
        <v>1487</v>
      </c>
      <c r="C149" s="3" t="s">
        <v>72</v>
      </c>
      <c r="D149" s="3" t="s">
        <v>1488</v>
      </c>
      <c r="E149" s="4" t="s">
        <v>73</v>
      </c>
      <c r="F149" s="5"/>
      <c r="G149" s="5"/>
      <c r="H149" s="5"/>
      <c r="I149" s="5"/>
      <c r="J149" s="5"/>
      <c r="K149" s="5"/>
      <c r="L149" s="5"/>
      <c r="M149" s="5"/>
      <c r="N149" s="5"/>
      <c r="O149" s="5"/>
      <c r="P149" s="5"/>
      <c r="Q149" s="5"/>
      <c r="R149" s="5"/>
      <c r="S149" s="5"/>
      <c r="T149" s="5"/>
      <c r="U149" s="5"/>
      <c r="V149" s="5"/>
      <c r="W149" s="5"/>
    </row>
    <row r="150">
      <c r="A150" s="3" t="s">
        <v>1489</v>
      </c>
      <c r="B150" s="3" t="s">
        <v>1490</v>
      </c>
      <c r="C150" s="3" t="s">
        <v>72</v>
      </c>
      <c r="D150" s="3" t="s">
        <v>1491</v>
      </c>
      <c r="E150" s="4" t="s">
        <v>73</v>
      </c>
      <c r="F150" s="5"/>
      <c r="G150" s="5"/>
      <c r="H150" s="5"/>
      <c r="I150" s="5"/>
      <c r="J150" s="5"/>
      <c r="K150" s="5"/>
      <c r="L150" s="5"/>
      <c r="M150" s="5"/>
      <c r="N150" s="5"/>
      <c r="O150" s="5"/>
      <c r="P150" s="5"/>
      <c r="Q150" s="5"/>
      <c r="R150" s="5"/>
      <c r="S150" s="5"/>
      <c r="T150" s="5"/>
      <c r="U150" s="5"/>
      <c r="V150" s="5"/>
      <c r="W150" s="5"/>
    </row>
    <row r="151">
      <c r="A151" s="3" t="s">
        <v>1492</v>
      </c>
      <c r="B151" s="3" t="s">
        <v>1493</v>
      </c>
      <c r="C151" s="3" t="s">
        <v>72</v>
      </c>
      <c r="D151" s="3" t="s">
        <v>1494</v>
      </c>
      <c r="E151" s="4" t="s">
        <v>73</v>
      </c>
      <c r="F151" s="5"/>
      <c r="G151" s="5"/>
      <c r="H151" s="5"/>
      <c r="I151" s="5"/>
      <c r="J151" s="5"/>
      <c r="K151" s="5"/>
      <c r="L151" s="5"/>
      <c r="M151" s="5"/>
      <c r="N151" s="5"/>
      <c r="O151" s="5"/>
      <c r="P151" s="5"/>
      <c r="Q151" s="5"/>
      <c r="R151" s="5"/>
      <c r="S151" s="5"/>
      <c r="T151" s="5"/>
      <c r="U151" s="5"/>
      <c r="V151" s="5"/>
      <c r="W151" s="5"/>
    </row>
    <row r="152">
      <c r="A152" s="3" t="s">
        <v>1495</v>
      </c>
      <c r="B152" s="3" t="s">
        <v>1496</v>
      </c>
      <c r="C152" s="3" t="s">
        <v>72</v>
      </c>
      <c r="D152" s="3" t="s">
        <v>1497</v>
      </c>
      <c r="E152" s="4" t="s">
        <v>73</v>
      </c>
      <c r="F152" s="17"/>
      <c r="G152" s="17"/>
      <c r="H152" s="17"/>
      <c r="I152" s="17"/>
      <c r="J152" s="17"/>
      <c r="K152" s="17"/>
      <c r="L152" s="17"/>
      <c r="M152" s="17"/>
      <c r="N152" s="17"/>
      <c r="O152" s="17"/>
      <c r="P152" s="17"/>
      <c r="Q152" s="17"/>
      <c r="R152" s="17"/>
      <c r="S152" s="17"/>
      <c r="T152" s="17"/>
      <c r="U152" s="17"/>
      <c r="V152" s="17"/>
      <c r="W152" s="17"/>
    </row>
    <row r="153">
      <c r="A153" s="3" t="s">
        <v>1498</v>
      </c>
      <c r="B153" s="3" t="s">
        <v>1496</v>
      </c>
      <c r="C153" s="3" t="s">
        <v>72</v>
      </c>
      <c r="D153" s="3" t="s">
        <v>1499</v>
      </c>
      <c r="E153" s="4" t="s">
        <v>73</v>
      </c>
      <c r="F153" s="17"/>
      <c r="G153" s="17"/>
      <c r="H153" s="17"/>
      <c r="I153" s="17"/>
      <c r="J153" s="17"/>
      <c r="K153" s="17"/>
      <c r="L153" s="17"/>
      <c r="M153" s="17"/>
      <c r="N153" s="17"/>
      <c r="O153" s="17"/>
      <c r="P153" s="17"/>
      <c r="Q153" s="17"/>
      <c r="R153" s="17"/>
      <c r="S153" s="17"/>
      <c r="T153" s="17"/>
      <c r="U153" s="17"/>
      <c r="V153" s="17"/>
      <c r="W153" s="17"/>
    </row>
    <row r="154">
      <c r="A154" s="3" t="s">
        <v>1500</v>
      </c>
      <c r="B154" s="3" t="s">
        <v>1501</v>
      </c>
      <c r="C154" s="3" t="s">
        <v>72</v>
      </c>
      <c r="D154" s="3" t="s">
        <v>1502</v>
      </c>
      <c r="E154" s="4" t="s">
        <v>73</v>
      </c>
      <c r="F154" s="17"/>
      <c r="G154" s="17"/>
      <c r="H154" s="17"/>
      <c r="I154" s="17"/>
      <c r="J154" s="17"/>
      <c r="K154" s="17"/>
      <c r="L154" s="17"/>
      <c r="M154" s="17"/>
      <c r="N154" s="17"/>
      <c r="O154" s="17"/>
      <c r="P154" s="17"/>
      <c r="Q154" s="17"/>
      <c r="R154" s="17"/>
      <c r="S154" s="17"/>
      <c r="T154" s="17"/>
      <c r="U154" s="17"/>
      <c r="V154" s="17"/>
      <c r="W154" s="17"/>
    </row>
    <row r="155">
      <c r="A155" s="3" t="s">
        <v>1503</v>
      </c>
      <c r="B155" s="3" t="s">
        <v>1504</v>
      </c>
      <c r="C155" s="3" t="s">
        <v>72</v>
      </c>
      <c r="D155" s="3" t="s">
        <v>1505</v>
      </c>
      <c r="E155" s="4" t="s">
        <v>73</v>
      </c>
      <c r="F155" s="17"/>
      <c r="G155" s="17"/>
      <c r="H155" s="17"/>
      <c r="I155" s="17"/>
      <c r="J155" s="17"/>
      <c r="K155" s="17"/>
      <c r="L155" s="17"/>
      <c r="M155" s="17"/>
      <c r="N155" s="17"/>
      <c r="O155" s="17"/>
      <c r="P155" s="17"/>
      <c r="Q155" s="17"/>
      <c r="R155" s="17"/>
      <c r="S155" s="17"/>
      <c r="T155" s="17"/>
      <c r="U155" s="17"/>
      <c r="V155" s="17"/>
      <c r="W155" s="17"/>
    </row>
    <row r="156">
      <c r="A156" s="3" t="s">
        <v>1506</v>
      </c>
      <c r="B156" s="3" t="s">
        <v>1507</v>
      </c>
      <c r="C156" s="3" t="s">
        <v>72</v>
      </c>
      <c r="D156" s="3" t="s">
        <v>1508</v>
      </c>
      <c r="E156" s="4" t="s">
        <v>73</v>
      </c>
      <c r="F156" s="17"/>
      <c r="G156" s="17"/>
      <c r="H156" s="17"/>
      <c r="I156" s="17"/>
      <c r="J156" s="17"/>
      <c r="K156" s="17"/>
      <c r="L156" s="17"/>
      <c r="M156" s="17"/>
      <c r="N156" s="17"/>
      <c r="O156" s="17"/>
      <c r="P156" s="17"/>
      <c r="Q156" s="17"/>
      <c r="R156" s="17"/>
      <c r="S156" s="17"/>
      <c r="T156" s="17"/>
      <c r="U156" s="17"/>
      <c r="V156" s="17"/>
      <c r="W156" s="17"/>
    </row>
    <row r="157">
      <c r="A157" s="3" t="s">
        <v>1509</v>
      </c>
      <c r="B157" s="3" t="s">
        <v>1510</v>
      </c>
      <c r="C157" s="3" t="s">
        <v>72</v>
      </c>
      <c r="D157" s="3" t="s">
        <v>1511</v>
      </c>
      <c r="E157" s="4" t="s">
        <v>73</v>
      </c>
      <c r="F157" s="17"/>
      <c r="G157" s="17"/>
      <c r="H157" s="17"/>
      <c r="I157" s="17"/>
      <c r="J157" s="17"/>
      <c r="K157" s="17"/>
      <c r="L157" s="17"/>
      <c r="M157" s="17"/>
      <c r="N157" s="17"/>
      <c r="O157" s="17"/>
      <c r="P157" s="17"/>
      <c r="Q157" s="17"/>
      <c r="R157" s="17"/>
      <c r="S157" s="17"/>
      <c r="T157" s="17"/>
      <c r="U157" s="17"/>
      <c r="V157" s="17"/>
      <c r="W157" s="17"/>
    </row>
    <row r="158">
      <c r="A158" s="3" t="s">
        <v>1512</v>
      </c>
      <c r="B158" s="3" t="s">
        <v>1513</v>
      </c>
      <c r="C158" s="3" t="s">
        <v>72</v>
      </c>
      <c r="D158" s="3" t="s">
        <v>1514</v>
      </c>
      <c r="E158" s="4" t="s">
        <v>73</v>
      </c>
      <c r="F158" s="17"/>
      <c r="G158" s="17"/>
      <c r="H158" s="17"/>
      <c r="I158" s="17"/>
      <c r="J158" s="17"/>
      <c r="K158" s="17"/>
      <c r="L158" s="17"/>
      <c r="M158" s="17"/>
      <c r="N158" s="17"/>
      <c r="O158" s="17"/>
      <c r="P158" s="17"/>
      <c r="Q158" s="17"/>
      <c r="R158" s="17"/>
      <c r="S158" s="17"/>
      <c r="T158" s="17"/>
      <c r="U158" s="17"/>
      <c r="V158" s="17"/>
      <c r="W158" s="17"/>
    </row>
    <row r="159">
      <c r="A159" s="16" t="s">
        <v>1515</v>
      </c>
      <c r="B159" s="16" t="s">
        <v>1516</v>
      </c>
      <c r="C159" s="16" t="s">
        <v>74</v>
      </c>
      <c r="D159" s="16" t="s">
        <v>1517</v>
      </c>
      <c r="E159" s="4" t="s">
        <v>75</v>
      </c>
      <c r="F159" s="17"/>
      <c r="G159" s="17"/>
      <c r="H159" s="17"/>
      <c r="I159" s="17"/>
      <c r="J159" s="17"/>
      <c r="K159" s="17"/>
      <c r="L159" s="17"/>
      <c r="M159" s="17"/>
      <c r="N159" s="17"/>
      <c r="O159" s="17"/>
      <c r="P159" s="17"/>
      <c r="Q159" s="17"/>
      <c r="R159" s="17"/>
      <c r="S159" s="17"/>
      <c r="T159" s="17"/>
      <c r="U159" s="17"/>
      <c r="V159" s="17"/>
      <c r="W159" s="17"/>
    </row>
    <row r="160">
      <c r="A160" s="3" t="s">
        <v>1518</v>
      </c>
      <c r="B160" s="3" t="s">
        <v>1519</v>
      </c>
      <c r="C160" s="3" t="s">
        <v>74</v>
      </c>
      <c r="D160" s="3" t="s">
        <v>1520</v>
      </c>
      <c r="E160" s="4" t="s">
        <v>75</v>
      </c>
      <c r="F160" s="5"/>
      <c r="G160" s="5"/>
      <c r="H160" s="5"/>
      <c r="I160" s="5"/>
      <c r="J160" s="5"/>
      <c r="K160" s="5"/>
      <c r="L160" s="5"/>
      <c r="M160" s="5"/>
      <c r="N160" s="5"/>
      <c r="O160" s="5"/>
      <c r="P160" s="5"/>
      <c r="Q160" s="5"/>
      <c r="R160" s="5"/>
      <c r="S160" s="5"/>
      <c r="T160" s="5"/>
      <c r="U160" s="5"/>
      <c r="V160" s="5"/>
      <c r="W160" s="5"/>
    </row>
    <row r="161">
      <c r="A161" s="16" t="s">
        <v>1521</v>
      </c>
      <c r="B161" s="16" t="s">
        <v>1522</v>
      </c>
      <c r="C161" s="16" t="s">
        <v>74</v>
      </c>
      <c r="D161" s="16" t="s">
        <v>1523</v>
      </c>
      <c r="E161" s="4" t="s">
        <v>75</v>
      </c>
      <c r="F161" s="17"/>
      <c r="G161" s="17"/>
      <c r="H161" s="17"/>
      <c r="I161" s="17"/>
      <c r="J161" s="17"/>
      <c r="K161" s="17"/>
      <c r="L161" s="17"/>
      <c r="M161" s="17"/>
      <c r="N161" s="17"/>
      <c r="O161" s="17"/>
      <c r="P161" s="17"/>
      <c r="Q161" s="17"/>
      <c r="R161" s="17"/>
      <c r="S161" s="17"/>
      <c r="T161" s="17"/>
      <c r="U161" s="17"/>
      <c r="V161" s="17"/>
      <c r="W161" s="17"/>
    </row>
    <row r="162">
      <c r="A162" s="20" t="s">
        <v>1524</v>
      </c>
      <c r="B162" s="20" t="s">
        <v>1525</v>
      </c>
      <c r="C162" s="20" t="s">
        <v>74</v>
      </c>
      <c r="D162" s="20" t="s">
        <v>1526</v>
      </c>
      <c r="E162" s="4" t="s">
        <v>75</v>
      </c>
      <c r="F162" s="22"/>
      <c r="G162" s="22"/>
      <c r="H162" s="22"/>
      <c r="I162" s="22"/>
      <c r="J162" s="22"/>
      <c r="K162" s="22"/>
      <c r="L162" s="22"/>
      <c r="M162" s="22"/>
      <c r="N162" s="22"/>
      <c r="O162" s="22"/>
      <c r="P162" s="22"/>
      <c r="Q162" s="22"/>
      <c r="R162" s="22"/>
      <c r="S162" s="22"/>
      <c r="T162" s="22"/>
      <c r="U162" s="22"/>
      <c r="V162" s="22"/>
      <c r="W162" s="22"/>
    </row>
    <row r="163">
      <c r="A163" s="3" t="s">
        <v>1527</v>
      </c>
      <c r="B163" s="3" t="s">
        <v>1528</v>
      </c>
      <c r="C163" s="3" t="s">
        <v>74</v>
      </c>
      <c r="D163" s="3" t="s">
        <v>1529</v>
      </c>
      <c r="E163" s="4" t="s">
        <v>75</v>
      </c>
      <c r="F163" s="5"/>
      <c r="G163" s="5"/>
      <c r="H163" s="5"/>
      <c r="I163" s="5"/>
      <c r="J163" s="5"/>
      <c r="K163" s="5"/>
      <c r="L163" s="5"/>
      <c r="M163" s="5"/>
      <c r="N163" s="5"/>
      <c r="O163" s="5"/>
      <c r="P163" s="5"/>
      <c r="Q163" s="5"/>
      <c r="R163" s="5"/>
      <c r="S163" s="5"/>
      <c r="T163" s="5"/>
      <c r="U163" s="5"/>
      <c r="V163" s="5"/>
      <c r="W163" s="5"/>
    </row>
    <row r="164">
      <c r="A164" s="16" t="s">
        <v>1530</v>
      </c>
      <c r="B164" s="16" t="s">
        <v>1531</v>
      </c>
      <c r="C164" s="16" t="s">
        <v>74</v>
      </c>
      <c r="D164" s="16" t="s">
        <v>1532</v>
      </c>
      <c r="E164" s="4" t="s">
        <v>75</v>
      </c>
      <c r="F164" s="17"/>
      <c r="G164" s="17"/>
      <c r="H164" s="17"/>
      <c r="I164" s="17"/>
      <c r="J164" s="17"/>
      <c r="K164" s="17"/>
      <c r="L164" s="17"/>
      <c r="M164" s="17"/>
      <c r="N164" s="17"/>
      <c r="O164" s="17"/>
      <c r="P164" s="17"/>
      <c r="Q164" s="17"/>
      <c r="R164" s="17"/>
      <c r="S164" s="17"/>
      <c r="T164" s="17"/>
      <c r="U164" s="17"/>
      <c r="V164" s="17"/>
      <c r="W164" s="17"/>
    </row>
    <row r="165">
      <c r="A165" s="3" t="s">
        <v>1533</v>
      </c>
      <c r="B165" s="3" t="s">
        <v>1534</v>
      </c>
      <c r="C165" s="3" t="s">
        <v>74</v>
      </c>
      <c r="D165" s="3" t="s">
        <v>1535</v>
      </c>
      <c r="E165" s="4" t="s">
        <v>75</v>
      </c>
      <c r="F165" s="5"/>
      <c r="G165" s="5"/>
      <c r="H165" s="5"/>
      <c r="I165" s="5"/>
      <c r="J165" s="5"/>
      <c r="K165" s="5"/>
      <c r="L165" s="5"/>
      <c r="M165" s="5"/>
      <c r="N165" s="5"/>
      <c r="O165" s="5"/>
      <c r="P165" s="5"/>
      <c r="Q165" s="5"/>
      <c r="R165" s="5"/>
      <c r="S165" s="5"/>
      <c r="T165" s="5"/>
      <c r="U165" s="5"/>
      <c r="V165" s="5"/>
      <c r="W165" s="5"/>
    </row>
    <row r="166">
      <c r="A166" s="3" t="s">
        <v>1536</v>
      </c>
      <c r="B166" s="3" t="s">
        <v>1537</v>
      </c>
      <c r="C166" s="3" t="s">
        <v>74</v>
      </c>
      <c r="D166" s="3" t="s">
        <v>1538</v>
      </c>
      <c r="E166" s="4" t="s">
        <v>75</v>
      </c>
      <c r="F166" s="5"/>
      <c r="G166" s="5"/>
      <c r="H166" s="5"/>
      <c r="I166" s="5"/>
      <c r="J166" s="5"/>
      <c r="K166" s="5"/>
      <c r="L166" s="5"/>
      <c r="M166" s="5"/>
      <c r="N166" s="5"/>
      <c r="O166" s="5"/>
      <c r="P166" s="5"/>
      <c r="Q166" s="5"/>
      <c r="R166" s="5"/>
      <c r="S166" s="5"/>
      <c r="T166" s="5"/>
      <c r="U166" s="5"/>
      <c r="V166" s="5"/>
      <c r="W166" s="5"/>
    </row>
    <row r="167">
      <c r="A167" s="3" t="s">
        <v>1539</v>
      </c>
      <c r="B167" s="3" t="s">
        <v>1540</v>
      </c>
      <c r="C167" s="3" t="s">
        <v>74</v>
      </c>
      <c r="D167" s="3" t="s">
        <v>1541</v>
      </c>
      <c r="E167" s="4" t="s">
        <v>75</v>
      </c>
      <c r="F167" s="5"/>
      <c r="G167" s="5"/>
      <c r="H167" s="5"/>
      <c r="I167" s="5"/>
      <c r="J167" s="5"/>
      <c r="K167" s="5"/>
      <c r="L167" s="5"/>
      <c r="M167" s="5"/>
      <c r="N167" s="5"/>
      <c r="O167" s="5"/>
      <c r="P167" s="5"/>
      <c r="Q167" s="5"/>
      <c r="R167" s="5"/>
      <c r="S167" s="5"/>
      <c r="T167" s="5"/>
      <c r="U167" s="5"/>
      <c r="V167" s="5"/>
      <c r="W167" s="5"/>
    </row>
    <row r="168">
      <c r="A168" s="16" t="s">
        <v>1542</v>
      </c>
      <c r="B168" s="16" t="s">
        <v>1543</v>
      </c>
      <c r="C168" s="16" t="s">
        <v>74</v>
      </c>
      <c r="D168" s="16" t="s">
        <v>1544</v>
      </c>
      <c r="E168" s="4" t="s">
        <v>75</v>
      </c>
      <c r="F168" s="17"/>
      <c r="G168" s="17"/>
      <c r="H168" s="17"/>
      <c r="I168" s="17"/>
      <c r="J168" s="17"/>
      <c r="K168" s="17"/>
      <c r="L168" s="17"/>
      <c r="M168" s="17"/>
      <c r="N168" s="17"/>
      <c r="O168" s="17"/>
      <c r="P168" s="17"/>
      <c r="Q168" s="17"/>
      <c r="R168" s="17"/>
      <c r="S168" s="17"/>
      <c r="T168" s="17"/>
      <c r="U168" s="17"/>
      <c r="V168" s="17"/>
      <c r="W168" s="17"/>
    </row>
    <row r="169">
      <c r="A169" s="20" t="s">
        <v>1545</v>
      </c>
      <c r="B169" s="20" t="s">
        <v>1546</v>
      </c>
      <c r="C169" s="20" t="s">
        <v>74</v>
      </c>
      <c r="D169" s="20" t="s">
        <v>1547</v>
      </c>
      <c r="E169" s="4" t="s">
        <v>75</v>
      </c>
      <c r="F169" s="3"/>
      <c r="G169" s="22"/>
      <c r="H169" s="22"/>
      <c r="I169" s="22"/>
      <c r="J169" s="22"/>
      <c r="K169" s="22"/>
      <c r="L169" s="22"/>
      <c r="M169" s="22"/>
      <c r="N169" s="22"/>
      <c r="O169" s="22"/>
      <c r="P169" s="22"/>
      <c r="Q169" s="22"/>
      <c r="R169" s="22"/>
      <c r="S169" s="22"/>
      <c r="T169" s="22"/>
      <c r="U169" s="22"/>
      <c r="V169" s="22"/>
      <c r="W169" s="22"/>
    </row>
    <row r="170">
      <c r="A170" s="3" t="s">
        <v>1548</v>
      </c>
      <c r="B170" s="16" t="s">
        <v>1549</v>
      </c>
      <c r="C170" s="16" t="s">
        <v>74</v>
      </c>
      <c r="D170" s="16" t="s">
        <v>1550</v>
      </c>
      <c r="E170" s="4" t="s">
        <v>75</v>
      </c>
      <c r="F170" s="5"/>
      <c r="G170" s="5"/>
      <c r="H170" s="5"/>
      <c r="I170" s="5"/>
      <c r="J170" s="5"/>
      <c r="K170" s="5"/>
      <c r="L170" s="5"/>
      <c r="M170" s="5"/>
      <c r="N170" s="5"/>
      <c r="O170" s="5"/>
      <c r="P170" s="5"/>
      <c r="Q170" s="5"/>
      <c r="R170" s="5"/>
      <c r="S170" s="5"/>
      <c r="T170" s="5"/>
      <c r="U170" s="5"/>
      <c r="V170" s="5"/>
      <c r="W170" s="5"/>
    </row>
    <row r="171">
      <c r="A171" s="3" t="s">
        <v>1551</v>
      </c>
      <c r="B171" s="3" t="s">
        <v>1552</v>
      </c>
      <c r="C171" s="16" t="s">
        <v>74</v>
      </c>
      <c r="D171" s="16" t="s">
        <v>1553</v>
      </c>
      <c r="E171" s="4" t="s">
        <v>75</v>
      </c>
      <c r="F171" s="5"/>
      <c r="G171" s="5"/>
      <c r="H171" s="5"/>
      <c r="I171" s="5"/>
      <c r="J171" s="5"/>
      <c r="K171" s="5"/>
      <c r="L171" s="5"/>
      <c r="M171" s="5"/>
      <c r="N171" s="5"/>
      <c r="O171" s="5"/>
      <c r="P171" s="5"/>
      <c r="Q171" s="5"/>
      <c r="R171" s="5"/>
      <c r="S171" s="5"/>
      <c r="T171" s="5"/>
      <c r="U171" s="5"/>
      <c r="V171" s="5"/>
      <c r="W171" s="5"/>
    </row>
    <row r="172">
      <c r="A172" s="3" t="s">
        <v>1554</v>
      </c>
      <c r="B172" s="3" t="s">
        <v>1555</v>
      </c>
      <c r="C172" s="3" t="s">
        <v>74</v>
      </c>
      <c r="D172" s="3" t="s">
        <v>1556</v>
      </c>
      <c r="E172" s="4" t="s">
        <v>75</v>
      </c>
      <c r="F172" s="5"/>
      <c r="G172" s="5"/>
      <c r="H172" s="5"/>
      <c r="I172" s="5"/>
      <c r="J172" s="5"/>
      <c r="K172" s="5"/>
      <c r="L172" s="5"/>
      <c r="M172" s="5"/>
      <c r="N172" s="5"/>
      <c r="O172" s="5"/>
      <c r="P172" s="5"/>
      <c r="Q172" s="5"/>
      <c r="R172" s="5"/>
      <c r="S172" s="5"/>
      <c r="T172" s="5"/>
      <c r="U172" s="5"/>
      <c r="V172" s="5"/>
      <c r="W172" s="5"/>
    </row>
    <row r="173">
      <c r="A173" s="20" t="s">
        <v>1557</v>
      </c>
      <c r="B173" s="20" t="s">
        <v>1558</v>
      </c>
      <c r="C173" s="3" t="s">
        <v>74</v>
      </c>
      <c r="D173" s="20" t="s">
        <v>1559</v>
      </c>
      <c r="E173" s="4" t="s">
        <v>75</v>
      </c>
      <c r="F173" s="22"/>
      <c r="G173" s="22"/>
      <c r="H173" s="22"/>
      <c r="I173" s="22"/>
      <c r="J173" s="22"/>
      <c r="K173" s="22"/>
      <c r="L173" s="22"/>
      <c r="M173" s="22"/>
      <c r="N173" s="22"/>
      <c r="O173" s="22"/>
      <c r="P173" s="22"/>
      <c r="Q173" s="22"/>
      <c r="R173" s="22"/>
      <c r="S173" s="22"/>
      <c r="T173" s="22"/>
      <c r="U173" s="22"/>
      <c r="V173" s="22"/>
      <c r="W173" s="22"/>
    </row>
    <row r="174">
      <c r="A174" s="20" t="s">
        <v>1560</v>
      </c>
      <c r="B174" s="20" t="s">
        <v>1561</v>
      </c>
      <c r="C174" s="20" t="s">
        <v>74</v>
      </c>
      <c r="D174" s="20" t="s">
        <v>1562</v>
      </c>
      <c r="E174" s="4" t="s">
        <v>75</v>
      </c>
      <c r="F174" s="22"/>
      <c r="G174" s="22"/>
      <c r="H174" s="22"/>
      <c r="I174" s="22"/>
      <c r="J174" s="22"/>
      <c r="K174" s="22"/>
      <c r="L174" s="22"/>
      <c r="M174" s="22"/>
      <c r="N174" s="22"/>
      <c r="O174" s="22"/>
      <c r="P174" s="22"/>
      <c r="Q174" s="22"/>
      <c r="R174" s="22"/>
      <c r="S174" s="22"/>
      <c r="T174" s="22"/>
      <c r="U174" s="22"/>
      <c r="V174" s="22"/>
      <c r="W174" s="22"/>
    </row>
    <row r="175">
      <c r="A175" s="3" t="s">
        <v>1563</v>
      </c>
      <c r="B175" s="3" t="s">
        <v>1564</v>
      </c>
      <c r="C175" s="3" t="s">
        <v>74</v>
      </c>
      <c r="D175" s="3" t="s">
        <v>1565</v>
      </c>
      <c r="E175" s="4" t="s">
        <v>75</v>
      </c>
      <c r="F175" s="5"/>
      <c r="G175" s="5"/>
      <c r="H175" s="5"/>
      <c r="I175" s="5"/>
      <c r="J175" s="5"/>
      <c r="K175" s="5"/>
      <c r="L175" s="5"/>
      <c r="M175" s="5"/>
      <c r="N175" s="5"/>
      <c r="O175" s="5"/>
      <c r="P175" s="5"/>
      <c r="Q175" s="5"/>
      <c r="R175" s="5"/>
      <c r="S175" s="5"/>
      <c r="T175" s="5"/>
      <c r="U175" s="5"/>
      <c r="V175" s="5"/>
      <c r="W175" s="5"/>
    </row>
    <row r="176">
      <c r="A176" s="3" t="s">
        <v>1566</v>
      </c>
      <c r="B176" s="3" t="s">
        <v>1567</v>
      </c>
      <c r="C176" s="3" t="s">
        <v>74</v>
      </c>
      <c r="D176" s="3" t="s">
        <v>1568</v>
      </c>
      <c r="E176" s="4" t="s">
        <v>75</v>
      </c>
      <c r="F176" s="5"/>
      <c r="G176" s="5"/>
      <c r="H176" s="5"/>
      <c r="I176" s="5"/>
      <c r="J176" s="5"/>
      <c r="K176" s="5"/>
      <c r="L176" s="5"/>
      <c r="M176" s="5"/>
      <c r="N176" s="5"/>
      <c r="O176" s="5"/>
      <c r="P176" s="5"/>
      <c r="Q176" s="5"/>
      <c r="R176" s="5"/>
      <c r="S176" s="5"/>
      <c r="T176" s="5"/>
      <c r="U176" s="5"/>
      <c r="V176" s="5"/>
      <c r="W176" s="5"/>
    </row>
    <row r="177">
      <c r="A177" s="3" t="s">
        <v>1569</v>
      </c>
      <c r="B177" s="3" t="s">
        <v>1570</v>
      </c>
      <c r="C177" s="3" t="s">
        <v>78</v>
      </c>
      <c r="D177" s="3" t="s">
        <v>1571</v>
      </c>
      <c r="E177" s="4" t="s">
        <v>1572</v>
      </c>
      <c r="F177" s="5"/>
      <c r="G177" s="5"/>
      <c r="H177" s="5"/>
      <c r="I177" s="5"/>
      <c r="J177" s="5"/>
      <c r="K177" s="5"/>
      <c r="L177" s="5"/>
      <c r="M177" s="5"/>
      <c r="N177" s="5"/>
      <c r="O177" s="5"/>
      <c r="P177" s="5"/>
      <c r="Q177" s="5"/>
      <c r="R177" s="5"/>
      <c r="S177" s="5"/>
      <c r="T177" s="5"/>
      <c r="U177" s="5"/>
      <c r="V177" s="5"/>
      <c r="W177" s="5"/>
    </row>
    <row r="178">
      <c r="A178" s="3" t="s">
        <v>1573</v>
      </c>
      <c r="B178" s="3" t="s">
        <v>1574</v>
      </c>
      <c r="C178" s="3" t="s">
        <v>80</v>
      </c>
      <c r="D178" s="3" t="s">
        <v>1575</v>
      </c>
      <c r="E178" s="4" t="s">
        <v>1576</v>
      </c>
      <c r="F178" s="5"/>
      <c r="G178" s="5"/>
      <c r="H178" s="5"/>
      <c r="I178" s="5"/>
      <c r="J178" s="5"/>
      <c r="K178" s="5"/>
      <c r="L178" s="5"/>
      <c r="M178" s="5"/>
      <c r="N178" s="5"/>
      <c r="O178" s="5"/>
      <c r="P178" s="5"/>
      <c r="Q178" s="5"/>
      <c r="R178" s="5"/>
      <c r="S178" s="5"/>
      <c r="T178" s="5"/>
      <c r="U178" s="5"/>
      <c r="V178" s="5"/>
      <c r="W178" s="5"/>
    </row>
    <row r="179">
      <c r="A179" s="3" t="s">
        <v>1577</v>
      </c>
      <c r="B179" s="3" t="s">
        <v>1578</v>
      </c>
      <c r="C179" s="3" t="s">
        <v>1579</v>
      </c>
      <c r="D179" s="3" t="s">
        <v>1580</v>
      </c>
      <c r="E179" s="4" t="s">
        <v>36</v>
      </c>
      <c r="F179" s="5"/>
      <c r="G179" s="5"/>
      <c r="H179" s="5"/>
      <c r="I179" s="5"/>
      <c r="J179" s="5"/>
      <c r="K179" s="5"/>
      <c r="L179" s="5"/>
      <c r="M179" s="5"/>
      <c r="N179" s="5"/>
      <c r="O179" s="5"/>
      <c r="P179" s="5"/>
      <c r="Q179" s="5"/>
      <c r="R179" s="5"/>
      <c r="S179" s="5"/>
      <c r="T179" s="5"/>
      <c r="U179" s="5"/>
      <c r="V179" s="5"/>
      <c r="W179" s="5"/>
    </row>
    <row r="180">
      <c r="A180" s="3" t="s">
        <v>1581</v>
      </c>
      <c r="B180" s="3" t="s">
        <v>1582</v>
      </c>
      <c r="C180" s="3" t="s">
        <v>74</v>
      </c>
      <c r="D180" s="3" t="s">
        <v>1583</v>
      </c>
      <c r="E180" s="4" t="s">
        <v>75</v>
      </c>
      <c r="F180" s="5"/>
      <c r="G180" s="5"/>
      <c r="H180" s="5"/>
      <c r="I180" s="5"/>
      <c r="J180" s="5"/>
      <c r="K180" s="5"/>
      <c r="L180" s="5"/>
      <c r="M180" s="5"/>
      <c r="N180" s="5"/>
      <c r="O180" s="5"/>
      <c r="P180" s="5"/>
      <c r="Q180" s="5"/>
      <c r="R180" s="5"/>
      <c r="S180" s="5"/>
      <c r="T180" s="5"/>
      <c r="U180" s="5"/>
      <c r="V180" s="5"/>
      <c r="W180" s="5"/>
    </row>
    <row r="181">
      <c r="A181" s="3" t="s">
        <v>1584</v>
      </c>
      <c r="B181" s="3" t="s">
        <v>1585</v>
      </c>
      <c r="C181" s="3" t="s">
        <v>74</v>
      </c>
      <c r="D181" s="3" t="s">
        <v>1586</v>
      </c>
      <c r="E181" s="4" t="s">
        <v>75</v>
      </c>
      <c r="F181" s="5"/>
      <c r="G181" s="5"/>
      <c r="H181" s="5"/>
      <c r="I181" s="5"/>
      <c r="J181" s="5"/>
      <c r="K181" s="5"/>
      <c r="L181" s="5"/>
      <c r="M181" s="5"/>
      <c r="N181" s="5"/>
      <c r="O181" s="5"/>
      <c r="P181" s="5"/>
      <c r="Q181" s="5"/>
      <c r="R181" s="5"/>
      <c r="S181" s="5"/>
      <c r="T181" s="5"/>
      <c r="U181" s="5"/>
      <c r="V181" s="5"/>
      <c r="W181" s="5"/>
    </row>
    <row r="182">
      <c r="A182" s="3" t="s">
        <v>1587</v>
      </c>
      <c r="B182" s="3" t="s">
        <v>1588</v>
      </c>
      <c r="C182" s="3" t="s">
        <v>74</v>
      </c>
      <c r="D182" s="3" t="s">
        <v>1589</v>
      </c>
      <c r="E182" s="4" t="s">
        <v>75</v>
      </c>
      <c r="F182" s="5"/>
      <c r="G182" s="5"/>
      <c r="H182" s="5"/>
      <c r="I182" s="5"/>
      <c r="J182" s="5"/>
      <c r="K182" s="5"/>
      <c r="L182" s="5"/>
      <c r="M182" s="5"/>
      <c r="N182" s="5"/>
      <c r="O182" s="5"/>
      <c r="P182" s="5"/>
      <c r="Q182" s="5"/>
      <c r="R182" s="5"/>
      <c r="S182" s="5"/>
      <c r="T182" s="5"/>
      <c r="U182" s="5"/>
      <c r="V182" s="5"/>
      <c r="W182" s="5"/>
    </row>
    <row r="183" ht="54.75" customHeight="1">
      <c r="A183" s="3" t="s">
        <v>1590</v>
      </c>
      <c r="B183" s="16" t="s">
        <v>1591</v>
      </c>
      <c r="C183" s="16" t="s">
        <v>74</v>
      </c>
      <c r="D183" s="16" t="s">
        <v>1592</v>
      </c>
      <c r="E183" s="4" t="s">
        <v>75</v>
      </c>
      <c r="F183" s="5"/>
      <c r="G183" s="5"/>
      <c r="H183" s="5"/>
      <c r="I183" s="5"/>
      <c r="J183" s="5"/>
      <c r="K183" s="5"/>
      <c r="L183" s="5"/>
      <c r="M183" s="5"/>
      <c r="N183" s="5"/>
      <c r="O183" s="5"/>
      <c r="P183" s="5"/>
      <c r="Q183" s="5"/>
      <c r="R183" s="5"/>
      <c r="S183" s="5"/>
      <c r="T183" s="5"/>
      <c r="U183" s="5"/>
      <c r="V183" s="5"/>
      <c r="W183" s="5"/>
    </row>
    <row r="184">
      <c r="A184" s="3" t="s">
        <v>1593</v>
      </c>
      <c r="B184" s="3" t="s">
        <v>1594</v>
      </c>
      <c r="C184" s="3" t="s">
        <v>74</v>
      </c>
      <c r="D184" s="3" t="s">
        <v>1595</v>
      </c>
      <c r="E184" s="4" t="s">
        <v>75</v>
      </c>
      <c r="F184" s="5"/>
      <c r="G184" s="5"/>
      <c r="H184" s="5"/>
      <c r="I184" s="5"/>
      <c r="J184" s="5"/>
      <c r="K184" s="5"/>
      <c r="L184" s="5"/>
      <c r="M184" s="5"/>
      <c r="N184" s="5"/>
      <c r="O184" s="5"/>
      <c r="P184" s="5"/>
      <c r="Q184" s="5"/>
      <c r="R184" s="5"/>
      <c r="S184" s="5"/>
      <c r="T184" s="5"/>
      <c r="U184" s="5"/>
      <c r="V184" s="5"/>
      <c r="W184" s="5"/>
    </row>
    <row r="185">
      <c r="A185" s="3" t="s">
        <v>1596</v>
      </c>
      <c r="B185" s="3" t="s">
        <v>1597</v>
      </c>
      <c r="C185" s="3" t="s">
        <v>74</v>
      </c>
      <c r="D185" s="3" t="s">
        <v>1598</v>
      </c>
      <c r="E185" s="4" t="s">
        <v>75</v>
      </c>
      <c r="F185" s="17"/>
      <c r="G185" s="17"/>
      <c r="H185" s="17"/>
      <c r="I185" s="17"/>
      <c r="J185" s="17"/>
      <c r="K185" s="17"/>
      <c r="L185" s="17"/>
      <c r="M185" s="17"/>
      <c r="N185" s="17"/>
      <c r="O185" s="17"/>
      <c r="P185" s="17"/>
      <c r="Q185" s="17"/>
      <c r="R185" s="17"/>
      <c r="S185" s="17"/>
      <c r="T185" s="17"/>
      <c r="U185" s="17"/>
      <c r="V185" s="17"/>
      <c r="W185" s="17"/>
    </row>
    <row r="186">
      <c r="A186" s="3" t="s">
        <v>1599</v>
      </c>
      <c r="B186" s="3" t="s">
        <v>1597</v>
      </c>
      <c r="C186" s="3" t="s">
        <v>74</v>
      </c>
      <c r="D186" s="3" t="s">
        <v>1600</v>
      </c>
      <c r="E186" s="4" t="s">
        <v>75</v>
      </c>
      <c r="F186" s="17"/>
      <c r="G186" s="17"/>
      <c r="H186" s="17"/>
      <c r="I186" s="17"/>
      <c r="J186" s="17"/>
      <c r="K186" s="17"/>
      <c r="L186" s="17"/>
      <c r="M186" s="17"/>
      <c r="N186" s="17"/>
      <c r="O186" s="17"/>
      <c r="P186" s="17"/>
      <c r="Q186" s="17"/>
      <c r="R186" s="17"/>
      <c r="S186" s="17"/>
      <c r="T186" s="17"/>
      <c r="U186" s="17"/>
      <c r="V186" s="17"/>
      <c r="W186" s="17"/>
    </row>
    <row r="187">
      <c r="A187" s="3" t="s">
        <v>1601</v>
      </c>
      <c r="B187" s="3" t="s">
        <v>1602</v>
      </c>
      <c r="C187" s="3" t="s">
        <v>74</v>
      </c>
      <c r="D187" s="3" t="s">
        <v>1603</v>
      </c>
      <c r="E187" s="4" t="s">
        <v>75</v>
      </c>
      <c r="F187" s="17"/>
      <c r="G187" s="17"/>
      <c r="H187" s="17"/>
      <c r="I187" s="17"/>
      <c r="J187" s="17"/>
      <c r="K187" s="17"/>
      <c r="L187" s="17"/>
      <c r="M187" s="17"/>
      <c r="N187" s="17"/>
      <c r="O187" s="17"/>
      <c r="P187" s="17"/>
      <c r="Q187" s="17"/>
      <c r="R187" s="17"/>
      <c r="S187" s="17"/>
      <c r="T187" s="17"/>
      <c r="U187" s="17"/>
      <c r="V187" s="17"/>
      <c r="W187" s="17"/>
    </row>
    <row r="188">
      <c r="A188" s="3" t="s">
        <v>1604</v>
      </c>
      <c r="B188" s="3" t="s">
        <v>1504</v>
      </c>
      <c r="C188" s="3" t="s">
        <v>74</v>
      </c>
      <c r="D188" s="3" t="s">
        <v>1605</v>
      </c>
      <c r="E188" s="4" t="s">
        <v>75</v>
      </c>
      <c r="F188" s="17"/>
      <c r="G188" s="17"/>
      <c r="H188" s="17"/>
      <c r="I188" s="17"/>
      <c r="J188" s="17"/>
      <c r="K188" s="17"/>
      <c r="L188" s="17"/>
      <c r="M188" s="17"/>
      <c r="N188" s="17"/>
      <c r="O188" s="17"/>
      <c r="P188" s="17"/>
      <c r="Q188" s="17"/>
      <c r="R188" s="17"/>
      <c r="S188" s="17"/>
      <c r="T188" s="17"/>
      <c r="U188" s="17"/>
      <c r="V188" s="17"/>
      <c r="W188" s="17"/>
    </row>
    <row r="189">
      <c r="A189" s="3" t="s">
        <v>1606</v>
      </c>
      <c r="B189" s="3" t="s">
        <v>1607</v>
      </c>
      <c r="C189" s="3" t="s">
        <v>74</v>
      </c>
      <c r="D189" s="3" t="s">
        <v>1608</v>
      </c>
      <c r="E189" s="4" t="s">
        <v>75</v>
      </c>
      <c r="F189" s="17"/>
      <c r="G189" s="17"/>
      <c r="H189" s="17"/>
      <c r="I189" s="17"/>
      <c r="J189" s="17"/>
      <c r="K189" s="17"/>
      <c r="L189" s="17"/>
      <c r="M189" s="17"/>
      <c r="N189" s="17"/>
      <c r="O189" s="17"/>
      <c r="P189" s="17"/>
      <c r="Q189" s="17"/>
      <c r="R189" s="17"/>
      <c r="S189" s="17"/>
      <c r="T189" s="17"/>
      <c r="U189" s="17"/>
      <c r="V189" s="17"/>
      <c r="W189" s="17"/>
    </row>
    <row r="190">
      <c r="A190" s="3" t="s">
        <v>1609</v>
      </c>
      <c r="B190" s="3" t="s">
        <v>1610</v>
      </c>
      <c r="C190" s="3" t="s">
        <v>74</v>
      </c>
      <c r="D190" s="3" t="s">
        <v>1611</v>
      </c>
      <c r="E190" s="4" t="s">
        <v>75</v>
      </c>
      <c r="F190" s="17"/>
      <c r="G190" s="17"/>
      <c r="H190" s="17"/>
      <c r="I190" s="17"/>
      <c r="J190" s="17"/>
      <c r="K190" s="17"/>
      <c r="L190" s="17"/>
      <c r="M190" s="17"/>
      <c r="N190" s="17"/>
      <c r="O190" s="17"/>
      <c r="P190" s="17"/>
      <c r="Q190" s="17"/>
      <c r="R190" s="17"/>
      <c r="S190" s="17"/>
      <c r="T190" s="17"/>
      <c r="U190" s="17"/>
      <c r="V190" s="17"/>
      <c r="W190" s="17"/>
    </row>
    <row r="191">
      <c r="A191" s="3" t="s">
        <v>1612</v>
      </c>
      <c r="B191" s="3" t="s">
        <v>1613</v>
      </c>
      <c r="C191" s="3" t="s">
        <v>74</v>
      </c>
      <c r="D191" s="3" t="s">
        <v>1614</v>
      </c>
      <c r="E191" s="4" t="s">
        <v>75</v>
      </c>
      <c r="F191" s="17"/>
      <c r="G191" s="17"/>
      <c r="H191" s="17"/>
      <c r="I191" s="17"/>
      <c r="J191" s="17"/>
      <c r="K191" s="17"/>
      <c r="L191" s="17"/>
      <c r="M191" s="17"/>
      <c r="N191" s="17"/>
      <c r="O191" s="17"/>
      <c r="P191" s="17"/>
      <c r="Q191" s="17"/>
      <c r="R191" s="17"/>
      <c r="S191" s="17"/>
      <c r="T191" s="17"/>
      <c r="U191" s="17"/>
      <c r="V191" s="17"/>
      <c r="W191" s="17"/>
    </row>
    <row r="192">
      <c r="A192" s="16" t="s">
        <v>1615</v>
      </c>
      <c r="B192" s="16" t="s">
        <v>1616</v>
      </c>
      <c r="C192" s="16" t="s">
        <v>76</v>
      </c>
      <c r="D192" s="16" t="s">
        <v>1617</v>
      </c>
      <c r="E192" s="25" t="s">
        <v>77</v>
      </c>
      <c r="F192" s="17"/>
      <c r="G192" s="17"/>
      <c r="H192" s="17"/>
      <c r="I192" s="17"/>
      <c r="J192" s="17"/>
      <c r="K192" s="17"/>
      <c r="L192" s="17"/>
      <c r="M192" s="17"/>
      <c r="N192" s="17"/>
      <c r="O192" s="17"/>
      <c r="P192" s="17"/>
      <c r="Q192" s="17"/>
      <c r="R192" s="17"/>
      <c r="S192" s="17"/>
      <c r="T192" s="17"/>
      <c r="U192" s="17"/>
      <c r="V192" s="17"/>
      <c r="W192" s="17"/>
    </row>
    <row r="193">
      <c r="A193" s="16" t="s">
        <v>1618</v>
      </c>
      <c r="B193" s="16" t="s">
        <v>1619</v>
      </c>
      <c r="C193" s="16" t="s">
        <v>78</v>
      </c>
      <c r="D193" s="16" t="s">
        <v>1620</v>
      </c>
      <c r="E193" s="25" t="s">
        <v>77</v>
      </c>
      <c r="F193" s="17"/>
      <c r="G193" s="17"/>
      <c r="H193" s="17"/>
      <c r="I193" s="17"/>
      <c r="J193" s="17"/>
      <c r="K193" s="17"/>
      <c r="L193" s="17"/>
      <c r="M193" s="17"/>
      <c r="N193" s="17"/>
      <c r="O193" s="17"/>
      <c r="P193" s="17"/>
      <c r="Q193" s="17"/>
      <c r="R193" s="17"/>
      <c r="S193" s="17"/>
      <c r="T193" s="17"/>
      <c r="U193" s="17"/>
      <c r="V193" s="17"/>
      <c r="W193" s="17"/>
    </row>
    <row r="194">
      <c r="A194" s="3" t="s">
        <v>1621</v>
      </c>
      <c r="B194" s="3" t="s">
        <v>1622</v>
      </c>
      <c r="C194" s="3" t="s">
        <v>80</v>
      </c>
      <c r="D194" s="3" t="s">
        <v>1623</v>
      </c>
      <c r="E194" s="25" t="s">
        <v>77</v>
      </c>
      <c r="F194" s="5"/>
      <c r="G194" s="5"/>
      <c r="H194" s="5"/>
      <c r="I194" s="5"/>
      <c r="J194" s="5"/>
      <c r="K194" s="5"/>
      <c r="L194" s="5"/>
      <c r="M194" s="5"/>
      <c r="N194" s="5"/>
      <c r="O194" s="5"/>
      <c r="P194" s="5"/>
      <c r="Q194" s="5"/>
      <c r="R194" s="5"/>
      <c r="S194" s="5"/>
      <c r="T194" s="5"/>
      <c r="U194" s="5"/>
      <c r="V194" s="5"/>
      <c r="W194" s="5"/>
    </row>
    <row r="195">
      <c r="A195" s="16" t="s">
        <v>1624</v>
      </c>
      <c r="B195" s="16" t="s">
        <v>1625</v>
      </c>
      <c r="C195" s="16" t="s">
        <v>76</v>
      </c>
      <c r="D195" s="16" t="s">
        <v>1626</v>
      </c>
      <c r="E195" s="25" t="s">
        <v>77</v>
      </c>
      <c r="F195" s="17"/>
      <c r="G195" s="17"/>
      <c r="H195" s="17"/>
      <c r="I195" s="17"/>
      <c r="J195" s="17"/>
      <c r="K195" s="17"/>
      <c r="L195" s="17"/>
      <c r="M195" s="17"/>
      <c r="N195" s="17"/>
      <c r="O195" s="17"/>
      <c r="P195" s="17"/>
      <c r="Q195" s="17"/>
      <c r="R195" s="17"/>
      <c r="S195" s="17"/>
      <c r="T195" s="17"/>
      <c r="U195" s="17"/>
      <c r="V195" s="17"/>
      <c r="W195" s="17"/>
    </row>
    <row r="196">
      <c r="A196" s="20" t="s">
        <v>1627</v>
      </c>
      <c r="B196" s="20" t="s">
        <v>1628</v>
      </c>
      <c r="C196" s="20" t="s">
        <v>76</v>
      </c>
      <c r="D196" s="20" t="s">
        <v>1629</v>
      </c>
      <c r="E196" s="25" t="s">
        <v>77</v>
      </c>
      <c r="F196" s="3"/>
      <c r="G196" s="22"/>
      <c r="H196" s="22"/>
      <c r="I196" s="22"/>
      <c r="J196" s="22"/>
      <c r="K196" s="22"/>
      <c r="L196" s="22"/>
      <c r="M196" s="22"/>
      <c r="N196" s="22"/>
      <c r="O196" s="22"/>
      <c r="P196" s="22"/>
      <c r="Q196" s="22"/>
      <c r="R196" s="22"/>
      <c r="S196" s="22"/>
      <c r="T196" s="22"/>
      <c r="U196" s="22"/>
      <c r="V196" s="22"/>
      <c r="W196" s="22"/>
    </row>
    <row r="197">
      <c r="A197" s="3" t="s">
        <v>1630</v>
      </c>
      <c r="B197" s="3" t="s">
        <v>1631</v>
      </c>
      <c r="C197" s="3" t="s">
        <v>78</v>
      </c>
      <c r="D197" s="3" t="s">
        <v>1632</v>
      </c>
      <c r="E197" s="25" t="s">
        <v>77</v>
      </c>
      <c r="F197" s="5"/>
      <c r="G197" s="5"/>
      <c r="H197" s="5"/>
      <c r="I197" s="5"/>
      <c r="J197" s="5"/>
      <c r="K197" s="5"/>
      <c r="L197" s="5"/>
      <c r="M197" s="5"/>
      <c r="N197" s="5"/>
      <c r="O197" s="5"/>
      <c r="P197" s="5"/>
      <c r="Q197" s="5"/>
      <c r="R197" s="5"/>
      <c r="S197" s="5"/>
      <c r="T197" s="5"/>
      <c r="U197" s="5"/>
      <c r="V197" s="5"/>
      <c r="W197" s="5"/>
    </row>
    <row r="198">
      <c r="A198" s="20" t="s">
        <v>1633</v>
      </c>
      <c r="B198" s="20" t="s">
        <v>1634</v>
      </c>
      <c r="C198" s="20" t="s">
        <v>78</v>
      </c>
      <c r="D198" s="20" t="s">
        <v>1635</v>
      </c>
      <c r="E198" s="25" t="s">
        <v>77</v>
      </c>
      <c r="F198" s="22"/>
      <c r="G198" s="22"/>
      <c r="H198" s="22"/>
      <c r="I198" s="22"/>
      <c r="J198" s="22"/>
      <c r="K198" s="22"/>
      <c r="L198" s="22"/>
      <c r="M198" s="22"/>
      <c r="N198" s="22"/>
      <c r="O198" s="22"/>
      <c r="P198" s="22"/>
      <c r="Q198" s="22"/>
      <c r="R198" s="22"/>
      <c r="S198" s="22"/>
      <c r="T198" s="22"/>
      <c r="U198" s="22"/>
      <c r="V198" s="22"/>
      <c r="W198" s="22"/>
    </row>
    <row r="199">
      <c r="A199" s="3" t="s">
        <v>1636</v>
      </c>
      <c r="B199" s="3" t="s">
        <v>1637</v>
      </c>
      <c r="C199" s="3" t="s">
        <v>78</v>
      </c>
      <c r="D199" s="3" t="s">
        <v>1638</v>
      </c>
      <c r="E199" s="25" t="s">
        <v>77</v>
      </c>
      <c r="F199" s="5"/>
      <c r="G199" s="5"/>
      <c r="H199" s="5"/>
      <c r="I199" s="5"/>
      <c r="J199" s="5"/>
      <c r="K199" s="5"/>
      <c r="L199" s="5"/>
      <c r="M199" s="5"/>
      <c r="N199" s="5"/>
      <c r="O199" s="5"/>
      <c r="P199" s="5"/>
      <c r="Q199" s="5"/>
      <c r="R199" s="5"/>
      <c r="S199" s="5"/>
      <c r="T199" s="5"/>
      <c r="U199" s="5"/>
      <c r="V199" s="5"/>
      <c r="W199" s="5"/>
    </row>
    <row r="200">
      <c r="A200" s="3" t="s">
        <v>1639</v>
      </c>
      <c r="B200" s="3" t="s">
        <v>1640</v>
      </c>
      <c r="C200" s="3" t="s">
        <v>78</v>
      </c>
      <c r="D200" s="3" t="s">
        <v>1641</v>
      </c>
      <c r="E200" s="25" t="s">
        <v>77</v>
      </c>
      <c r="F200" s="5"/>
      <c r="G200" s="5"/>
      <c r="H200" s="5"/>
      <c r="I200" s="5"/>
      <c r="J200" s="5"/>
      <c r="K200" s="5"/>
      <c r="L200" s="5"/>
      <c r="M200" s="5"/>
      <c r="N200" s="5"/>
      <c r="O200" s="5"/>
      <c r="P200" s="5"/>
      <c r="Q200" s="5"/>
      <c r="R200" s="5"/>
      <c r="S200" s="5"/>
      <c r="T200" s="5"/>
      <c r="U200" s="5"/>
      <c r="V200" s="5"/>
      <c r="W200" s="5"/>
    </row>
    <row r="201">
      <c r="A201" s="3" t="s">
        <v>1642</v>
      </c>
      <c r="B201" s="3" t="s">
        <v>1643</v>
      </c>
      <c r="C201" s="3" t="s">
        <v>1579</v>
      </c>
      <c r="D201" s="3" t="s">
        <v>1644</v>
      </c>
      <c r="E201" s="25" t="s">
        <v>77</v>
      </c>
      <c r="F201" s="5"/>
      <c r="G201" s="5"/>
      <c r="H201" s="5"/>
      <c r="I201" s="5"/>
      <c r="J201" s="5"/>
      <c r="K201" s="5"/>
      <c r="L201" s="5"/>
      <c r="M201" s="5"/>
      <c r="N201" s="5"/>
      <c r="O201" s="5"/>
      <c r="P201" s="5"/>
      <c r="Q201" s="5"/>
      <c r="R201" s="5"/>
      <c r="S201" s="5"/>
      <c r="T201" s="5"/>
      <c r="U201" s="5"/>
      <c r="V201" s="5"/>
      <c r="W201" s="5"/>
    </row>
    <row r="202">
      <c r="A202" s="16" t="s">
        <v>1645</v>
      </c>
      <c r="B202" s="16" t="s">
        <v>1646</v>
      </c>
      <c r="C202" s="16" t="s">
        <v>76</v>
      </c>
      <c r="D202" s="16" t="s">
        <v>1647</v>
      </c>
      <c r="E202" s="25" t="s">
        <v>77</v>
      </c>
      <c r="F202" s="17"/>
      <c r="G202" s="17"/>
      <c r="H202" s="17"/>
      <c r="I202" s="17"/>
      <c r="J202" s="17"/>
      <c r="K202" s="17"/>
      <c r="L202" s="17"/>
      <c r="M202" s="17"/>
      <c r="N202" s="17"/>
      <c r="O202" s="17"/>
      <c r="P202" s="17"/>
      <c r="Q202" s="17"/>
      <c r="R202" s="17"/>
      <c r="S202" s="17"/>
      <c r="T202" s="17"/>
      <c r="U202" s="17"/>
      <c r="V202" s="17"/>
      <c r="W202" s="17"/>
    </row>
    <row r="203">
      <c r="A203" s="3" t="s">
        <v>1648</v>
      </c>
      <c r="B203" s="3" t="s">
        <v>1649</v>
      </c>
      <c r="C203" s="3" t="s">
        <v>76</v>
      </c>
      <c r="D203" s="3" t="s">
        <v>1650</v>
      </c>
      <c r="E203" s="25" t="s">
        <v>77</v>
      </c>
      <c r="F203" s="5"/>
      <c r="G203" s="5"/>
      <c r="H203" s="5"/>
      <c r="I203" s="5"/>
      <c r="J203" s="5"/>
      <c r="K203" s="5"/>
      <c r="L203" s="5"/>
      <c r="M203" s="5"/>
      <c r="N203" s="5"/>
      <c r="O203" s="5"/>
      <c r="P203" s="5"/>
      <c r="Q203" s="5"/>
      <c r="R203" s="5"/>
      <c r="S203" s="5"/>
      <c r="T203" s="5"/>
      <c r="U203" s="5"/>
      <c r="V203" s="5"/>
      <c r="W203" s="5"/>
    </row>
    <row r="204">
      <c r="A204" s="3" t="s">
        <v>1651</v>
      </c>
      <c r="B204" s="3" t="s">
        <v>1652</v>
      </c>
      <c r="C204" s="3" t="s">
        <v>78</v>
      </c>
      <c r="D204" s="3" t="s">
        <v>1653</v>
      </c>
      <c r="E204" s="25" t="s">
        <v>77</v>
      </c>
      <c r="F204" s="5"/>
      <c r="G204" s="5"/>
      <c r="H204" s="5"/>
      <c r="I204" s="5"/>
      <c r="J204" s="5"/>
      <c r="K204" s="5"/>
      <c r="L204" s="5"/>
      <c r="M204" s="5"/>
      <c r="N204" s="5"/>
      <c r="O204" s="5"/>
      <c r="P204" s="5"/>
      <c r="Q204" s="5"/>
      <c r="R204" s="5"/>
      <c r="S204" s="5"/>
      <c r="T204" s="5"/>
      <c r="U204" s="5"/>
      <c r="V204" s="5"/>
      <c r="W204" s="5"/>
    </row>
    <row r="205">
      <c r="A205" s="3" t="s">
        <v>1654</v>
      </c>
      <c r="B205" s="3" t="s">
        <v>1655</v>
      </c>
      <c r="C205" s="3" t="s">
        <v>78</v>
      </c>
      <c r="D205" s="3" t="s">
        <v>1656</v>
      </c>
      <c r="E205" s="25" t="s">
        <v>77</v>
      </c>
      <c r="F205" s="5"/>
      <c r="G205" s="5"/>
      <c r="H205" s="5"/>
      <c r="I205" s="5"/>
      <c r="J205" s="5"/>
      <c r="K205" s="5"/>
      <c r="L205" s="5"/>
      <c r="M205" s="5"/>
      <c r="N205" s="5"/>
      <c r="O205" s="5"/>
      <c r="P205" s="5"/>
      <c r="Q205" s="5"/>
      <c r="R205" s="5"/>
      <c r="S205" s="5"/>
      <c r="T205" s="5"/>
      <c r="U205" s="5"/>
      <c r="V205" s="5"/>
      <c r="W205" s="5"/>
    </row>
    <row r="206">
      <c r="A206" s="3" t="s">
        <v>1657</v>
      </c>
      <c r="B206" s="3" t="s">
        <v>1658</v>
      </c>
      <c r="C206" s="3" t="s">
        <v>78</v>
      </c>
      <c r="D206" s="3" t="s">
        <v>1659</v>
      </c>
      <c r="E206" s="25" t="s">
        <v>77</v>
      </c>
      <c r="F206" s="5"/>
      <c r="G206" s="5"/>
      <c r="H206" s="5"/>
      <c r="I206" s="5"/>
      <c r="J206" s="5"/>
      <c r="K206" s="5"/>
      <c r="L206" s="5"/>
      <c r="M206" s="5"/>
      <c r="N206" s="5"/>
      <c r="O206" s="5"/>
      <c r="P206" s="5"/>
      <c r="Q206" s="5"/>
      <c r="R206" s="5"/>
      <c r="S206" s="5"/>
      <c r="T206" s="5"/>
      <c r="U206" s="5"/>
      <c r="V206" s="5"/>
      <c r="W206" s="5"/>
    </row>
    <row r="207">
      <c r="A207" s="3" t="s">
        <v>1660</v>
      </c>
      <c r="B207" s="3" t="s">
        <v>1661</v>
      </c>
      <c r="C207" s="3" t="s">
        <v>1579</v>
      </c>
      <c r="D207" s="3" t="s">
        <v>1662</v>
      </c>
      <c r="E207" s="25" t="s">
        <v>77</v>
      </c>
      <c r="F207" s="5"/>
      <c r="G207" s="5"/>
      <c r="H207" s="5"/>
      <c r="I207" s="5"/>
      <c r="J207" s="5"/>
      <c r="K207" s="5"/>
      <c r="L207" s="5"/>
      <c r="M207" s="5"/>
      <c r="N207" s="5"/>
      <c r="O207" s="5"/>
      <c r="P207" s="5"/>
      <c r="Q207" s="5"/>
      <c r="R207" s="5"/>
      <c r="S207" s="5"/>
      <c r="T207" s="5"/>
      <c r="U207" s="5"/>
      <c r="V207" s="5"/>
      <c r="W207" s="5"/>
    </row>
    <row r="208">
      <c r="A208" s="3" t="s">
        <v>1663</v>
      </c>
      <c r="B208" s="3" t="s">
        <v>1664</v>
      </c>
      <c r="C208" s="3" t="s">
        <v>78</v>
      </c>
      <c r="D208" s="3" t="s">
        <v>1665</v>
      </c>
      <c r="E208" s="25" t="s">
        <v>77</v>
      </c>
      <c r="F208" s="5"/>
      <c r="G208" s="5"/>
      <c r="H208" s="5"/>
      <c r="I208" s="5"/>
      <c r="J208" s="5"/>
      <c r="K208" s="5"/>
      <c r="L208" s="5"/>
      <c r="M208" s="5"/>
      <c r="N208" s="5"/>
      <c r="O208" s="5"/>
      <c r="P208" s="5"/>
      <c r="Q208" s="5"/>
      <c r="R208" s="5"/>
      <c r="S208" s="5"/>
      <c r="T208" s="5"/>
      <c r="U208" s="5"/>
      <c r="V208" s="5"/>
      <c r="W208" s="5"/>
    </row>
    <row r="209">
      <c r="A209" s="3" t="s">
        <v>1666</v>
      </c>
      <c r="B209" s="3" t="s">
        <v>1667</v>
      </c>
      <c r="C209" s="3" t="s">
        <v>1579</v>
      </c>
      <c r="D209" s="3" t="s">
        <v>1668</v>
      </c>
      <c r="E209" s="25" t="s">
        <v>77</v>
      </c>
      <c r="F209" s="5"/>
      <c r="G209" s="5"/>
      <c r="H209" s="5"/>
      <c r="I209" s="5"/>
      <c r="J209" s="5"/>
      <c r="K209" s="5"/>
      <c r="L209" s="5"/>
      <c r="M209" s="5"/>
      <c r="N209" s="5"/>
      <c r="O209" s="5"/>
      <c r="P209" s="5"/>
      <c r="Q209" s="5"/>
      <c r="R209" s="5"/>
      <c r="S209" s="5"/>
      <c r="T209" s="5"/>
      <c r="U209" s="5"/>
      <c r="V209" s="5"/>
      <c r="W209" s="5"/>
    </row>
    <row r="210">
      <c r="A210" s="16" t="s">
        <v>1669</v>
      </c>
      <c r="B210" s="16" t="s">
        <v>1670</v>
      </c>
      <c r="C210" s="16" t="s">
        <v>78</v>
      </c>
      <c r="D210" s="16" t="s">
        <v>1671</v>
      </c>
      <c r="E210" s="25" t="s">
        <v>77</v>
      </c>
      <c r="F210" s="17"/>
      <c r="G210" s="17"/>
      <c r="H210" s="17"/>
      <c r="I210" s="17"/>
      <c r="J210" s="17"/>
      <c r="K210" s="17"/>
      <c r="L210" s="17"/>
      <c r="M210" s="17"/>
      <c r="N210" s="17"/>
      <c r="O210" s="17"/>
      <c r="P210" s="17"/>
      <c r="Q210" s="17"/>
      <c r="R210" s="17"/>
      <c r="S210" s="17"/>
      <c r="T210" s="17"/>
      <c r="U210" s="17"/>
      <c r="V210" s="17"/>
      <c r="W210" s="17"/>
    </row>
    <row r="211">
      <c r="A211" s="16" t="s">
        <v>1672</v>
      </c>
      <c r="B211" s="16" t="s">
        <v>1673</v>
      </c>
      <c r="C211" s="16" t="s">
        <v>1579</v>
      </c>
      <c r="D211" s="16" t="s">
        <v>1674</v>
      </c>
      <c r="E211" s="25" t="s">
        <v>77</v>
      </c>
      <c r="F211" s="17"/>
      <c r="G211" s="17"/>
      <c r="H211" s="17"/>
      <c r="I211" s="17"/>
      <c r="J211" s="17"/>
      <c r="K211" s="17"/>
      <c r="L211" s="17"/>
      <c r="M211" s="17"/>
      <c r="N211" s="17"/>
      <c r="O211" s="17"/>
      <c r="P211" s="17"/>
      <c r="Q211" s="17"/>
      <c r="R211" s="17"/>
      <c r="S211" s="17"/>
      <c r="T211" s="17"/>
      <c r="U211" s="17"/>
      <c r="V211" s="17"/>
      <c r="W211" s="17"/>
    </row>
    <row r="212">
      <c r="A212" s="16" t="s">
        <v>1675</v>
      </c>
      <c r="B212" s="16" t="s">
        <v>1676</v>
      </c>
      <c r="C212" s="16" t="s">
        <v>76</v>
      </c>
      <c r="D212" s="16" t="s">
        <v>1677</v>
      </c>
      <c r="E212" s="25" t="s">
        <v>77</v>
      </c>
      <c r="F212" s="17"/>
      <c r="G212" s="17"/>
      <c r="H212" s="17"/>
      <c r="I212" s="17"/>
      <c r="J212" s="17"/>
      <c r="K212" s="17"/>
      <c r="L212" s="17"/>
      <c r="M212" s="17"/>
      <c r="N212" s="17"/>
      <c r="O212" s="17"/>
      <c r="P212" s="17"/>
      <c r="Q212" s="17"/>
      <c r="R212" s="17"/>
      <c r="S212" s="17"/>
      <c r="T212" s="17"/>
      <c r="U212" s="17"/>
      <c r="V212" s="17"/>
      <c r="W212" s="17"/>
    </row>
    <row r="213">
      <c r="A213" s="16" t="s">
        <v>1678</v>
      </c>
      <c r="B213" s="16" t="s">
        <v>1679</v>
      </c>
      <c r="C213" s="16" t="s">
        <v>80</v>
      </c>
      <c r="D213" s="16" t="s">
        <v>1680</v>
      </c>
      <c r="E213" s="25" t="s">
        <v>77</v>
      </c>
      <c r="F213" s="17"/>
      <c r="G213" s="17"/>
      <c r="H213" s="17"/>
      <c r="I213" s="17"/>
      <c r="J213" s="17"/>
      <c r="K213" s="17"/>
      <c r="L213" s="17"/>
      <c r="M213" s="17"/>
      <c r="N213" s="17"/>
      <c r="O213" s="17"/>
      <c r="P213" s="17"/>
      <c r="Q213" s="17"/>
      <c r="R213" s="17"/>
      <c r="S213" s="17"/>
      <c r="T213" s="17"/>
      <c r="U213" s="17"/>
      <c r="V213" s="17"/>
      <c r="W213" s="17"/>
    </row>
    <row r="214">
      <c r="A214" s="20" t="s">
        <v>1681</v>
      </c>
      <c r="B214" s="20" t="s">
        <v>1682</v>
      </c>
      <c r="C214" s="20" t="s">
        <v>80</v>
      </c>
      <c r="D214" s="20" t="s">
        <v>1683</v>
      </c>
      <c r="E214" s="25" t="s">
        <v>77</v>
      </c>
      <c r="F214" s="3"/>
      <c r="G214" s="22"/>
      <c r="H214" s="22"/>
      <c r="I214" s="22"/>
      <c r="J214" s="22"/>
      <c r="K214" s="22"/>
      <c r="L214" s="22"/>
      <c r="M214" s="22"/>
      <c r="N214" s="22"/>
      <c r="O214" s="22"/>
      <c r="P214" s="22"/>
      <c r="Q214" s="22"/>
      <c r="R214" s="22"/>
      <c r="S214" s="22"/>
      <c r="T214" s="22"/>
      <c r="U214" s="22"/>
      <c r="V214" s="22"/>
      <c r="W214" s="22"/>
    </row>
    <row r="215">
      <c r="A215" s="20" t="s">
        <v>1684</v>
      </c>
      <c r="B215" s="20" t="s">
        <v>1685</v>
      </c>
      <c r="C215" s="20" t="s">
        <v>80</v>
      </c>
      <c r="D215" s="20" t="s">
        <v>1686</v>
      </c>
      <c r="E215" s="25" t="s">
        <v>77</v>
      </c>
      <c r="F215" s="22"/>
      <c r="G215" s="22"/>
      <c r="H215" s="22"/>
      <c r="I215" s="22"/>
      <c r="J215" s="22"/>
      <c r="K215" s="22"/>
      <c r="L215" s="22"/>
      <c r="M215" s="22"/>
      <c r="N215" s="22"/>
      <c r="O215" s="22"/>
      <c r="P215" s="22"/>
      <c r="Q215" s="22"/>
      <c r="R215" s="22"/>
      <c r="S215" s="22"/>
      <c r="T215" s="22"/>
      <c r="U215" s="22"/>
      <c r="V215" s="22"/>
      <c r="W215" s="22"/>
    </row>
    <row r="216">
      <c r="A216" s="3" t="s">
        <v>1687</v>
      </c>
      <c r="B216" s="3" t="s">
        <v>1688</v>
      </c>
      <c r="C216" s="3" t="s">
        <v>76</v>
      </c>
      <c r="D216" s="3" t="s">
        <v>1689</v>
      </c>
      <c r="E216" s="25" t="s">
        <v>77</v>
      </c>
      <c r="F216" s="5"/>
      <c r="G216" s="5"/>
      <c r="H216" s="5"/>
      <c r="I216" s="5"/>
      <c r="J216" s="5"/>
      <c r="K216" s="5"/>
      <c r="L216" s="5"/>
      <c r="M216" s="5"/>
      <c r="N216" s="5"/>
      <c r="O216" s="5"/>
      <c r="P216" s="5"/>
      <c r="Q216" s="5"/>
      <c r="R216" s="5"/>
      <c r="S216" s="5"/>
      <c r="T216" s="5"/>
      <c r="U216" s="5"/>
      <c r="V216" s="5"/>
      <c r="W216" s="5"/>
    </row>
    <row r="217">
      <c r="A217" s="20" t="s">
        <v>1690</v>
      </c>
      <c r="B217" s="20" t="s">
        <v>1691</v>
      </c>
      <c r="C217" s="20" t="s">
        <v>76</v>
      </c>
      <c r="D217" s="20" t="s">
        <v>1692</v>
      </c>
      <c r="E217" s="25" t="s">
        <v>77</v>
      </c>
      <c r="F217" s="3"/>
      <c r="G217" s="22"/>
      <c r="H217" s="22"/>
      <c r="I217" s="22"/>
      <c r="J217" s="22"/>
      <c r="K217" s="22"/>
      <c r="L217" s="22"/>
      <c r="M217" s="22"/>
      <c r="N217" s="22"/>
      <c r="O217" s="22"/>
      <c r="P217" s="22"/>
      <c r="Q217" s="22"/>
      <c r="R217" s="22"/>
      <c r="S217" s="22"/>
      <c r="T217" s="22"/>
      <c r="U217" s="22"/>
      <c r="V217" s="22"/>
      <c r="W217" s="22"/>
    </row>
    <row r="218">
      <c r="A218" s="3" t="s">
        <v>1693</v>
      </c>
      <c r="B218" s="3" t="s">
        <v>1694</v>
      </c>
      <c r="C218" s="3" t="s">
        <v>80</v>
      </c>
      <c r="D218" s="3" t="s">
        <v>1695</v>
      </c>
      <c r="E218" s="25" t="s">
        <v>77</v>
      </c>
      <c r="F218" s="5"/>
      <c r="G218" s="5"/>
      <c r="H218" s="5"/>
      <c r="I218" s="5"/>
      <c r="J218" s="5"/>
      <c r="K218" s="5"/>
      <c r="L218" s="5"/>
      <c r="M218" s="5"/>
      <c r="N218" s="5"/>
      <c r="O218" s="5"/>
      <c r="P218" s="5"/>
      <c r="Q218" s="5"/>
      <c r="R218" s="5"/>
      <c r="S218" s="5"/>
      <c r="T218" s="5"/>
      <c r="U218" s="5"/>
      <c r="V218" s="5"/>
      <c r="W218" s="5"/>
    </row>
    <row r="219">
      <c r="A219" s="3" t="s">
        <v>1696</v>
      </c>
      <c r="B219" s="3" t="s">
        <v>1697</v>
      </c>
      <c r="C219" s="3" t="s">
        <v>78</v>
      </c>
      <c r="D219" s="3" t="s">
        <v>1698</v>
      </c>
      <c r="E219" s="25" t="s">
        <v>77</v>
      </c>
      <c r="F219" s="5"/>
      <c r="G219" s="5"/>
      <c r="H219" s="5"/>
      <c r="I219" s="5"/>
      <c r="J219" s="5"/>
      <c r="K219" s="5"/>
      <c r="L219" s="5"/>
      <c r="M219" s="5"/>
      <c r="N219" s="5"/>
      <c r="O219" s="5"/>
      <c r="P219" s="5"/>
      <c r="Q219" s="5"/>
      <c r="R219" s="5"/>
      <c r="S219" s="5"/>
      <c r="T219" s="5"/>
      <c r="U219" s="5"/>
      <c r="V219" s="5"/>
      <c r="W219" s="5"/>
    </row>
    <row r="220">
      <c r="A220" s="3" t="s">
        <v>1699</v>
      </c>
      <c r="B220" s="16" t="s">
        <v>1700</v>
      </c>
      <c r="C220" s="16" t="s">
        <v>78</v>
      </c>
      <c r="D220" s="16" t="s">
        <v>1701</v>
      </c>
      <c r="E220" s="25" t="s">
        <v>77</v>
      </c>
      <c r="F220" s="5"/>
      <c r="G220" s="5"/>
      <c r="H220" s="5"/>
      <c r="I220" s="5"/>
      <c r="J220" s="5"/>
      <c r="K220" s="5"/>
      <c r="L220" s="5"/>
      <c r="M220" s="5"/>
      <c r="N220" s="5"/>
      <c r="O220" s="5"/>
      <c r="P220" s="5"/>
      <c r="Q220" s="5"/>
      <c r="R220" s="5"/>
      <c r="S220" s="5"/>
      <c r="T220" s="5"/>
      <c r="U220" s="5"/>
      <c r="V220" s="5"/>
      <c r="W220" s="5"/>
    </row>
    <row r="221">
      <c r="A221" s="3" t="s">
        <v>1702</v>
      </c>
      <c r="B221" s="3" t="s">
        <v>1703</v>
      </c>
      <c r="C221" s="3" t="s">
        <v>76</v>
      </c>
      <c r="D221" s="3" t="s">
        <v>1704</v>
      </c>
      <c r="E221" s="25" t="s">
        <v>77</v>
      </c>
      <c r="F221" s="5"/>
      <c r="G221" s="5"/>
      <c r="H221" s="5"/>
      <c r="I221" s="5"/>
      <c r="J221" s="5"/>
      <c r="K221" s="5"/>
      <c r="L221" s="5"/>
      <c r="M221" s="5"/>
      <c r="N221" s="5"/>
      <c r="O221" s="5"/>
      <c r="P221" s="5"/>
      <c r="Q221" s="5"/>
      <c r="R221" s="5"/>
      <c r="S221" s="5"/>
      <c r="T221" s="5"/>
      <c r="U221" s="5"/>
      <c r="V221" s="5"/>
      <c r="W221" s="5"/>
    </row>
    <row r="222">
      <c r="A222" s="3" t="s">
        <v>1705</v>
      </c>
      <c r="B222" s="3" t="s">
        <v>1706</v>
      </c>
      <c r="C222" s="16" t="s">
        <v>76</v>
      </c>
      <c r="D222" s="16" t="s">
        <v>1707</v>
      </c>
      <c r="E222" s="25" t="s">
        <v>77</v>
      </c>
      <c r="F222" s="3"/>
      <c r="G222" s="3"/>
      <c r="H222" s="3"/>
      <c r="I222" s="3"/>
      <c r="J222" s="5"/>
      <c r="K222" s="5"/>
      <c r="L222" s="5"/>
      <c r="M222" s="5"/>
      <c r="N222" s="5"/>
      <c r="O222" s="5"/>
      <c r="P222" s="5"/>
      <c r="Q222" s="5"/>
      <c r="R222" s="5"/>
      <c r="S222" s="5"/>
      <c r="T222" s="5"/>
      <c r="U222" s="5"/>
      <c r="V222" s="5"/>
      <c r="W222" s="5"/>
    </row>
    <row r="223">
      <c r="A223" s="3" t="s">
        <v>1708</v>
      </c>
      <c r="B223" s="3" t="s">
        <v>1706</v>
      </c>
      <c r="C223" s="3" t="s">
        <v>76</v>
      </c>
      <c r="D223" s="3" t="s">
        <v>1709</v>
      </c>
      <c r="E223" s="25" t="s">
        <v>77</v>
      </c>
      <c r="F223" s="5"/>
      <c r="G223" s="5"/>
      <c r="H223" s="5"/>
      <c r="I223" s="5"/>
      <c r="J223" s="5"/>
      <c r="K223" s="5"/>
      <c r="L223" s="5"/>
      <c r="M223" s="5"/>
      <c r="N223" s="5"/>
      <c r="O223" s="5"/>
      <c r="P223" s="5"/>
      <c r="Q223" s="5"/>
      <c r="R223" s="5"/>
      <c r="S223" s="5"/>
      <c r="T223" s="5"/>
      <c r="U223" s="5"/>
      <c r="V223" s="5"/>
      <c r="W223" s="5"/>
    </row>
    <row r="224">
      <c r="A224" s="3" t="s">
        <v>1710</v>
      </c>
      <c r="B224" s="3" t="s">
        <v>1711</v>
      </c>
      <c r="C224" s="3" t="s">
        <v>76</v>
      </c>
      <c r="D224" s="3" t="s">
        <v>1712</v>
      </c>
      <c r="E224" s="25" t="s">
        <v>77</v>
      </c>
      <c r="F224" s="5"/>
      <c r="G224" s="5"/>
      <c r="H224" s="5"/>
      <c r="I224" s="5"/>
      <c r="J224" s="5"/>
      <c r="K224" s="5"/>
      <c r="L224" s="5"/>
      <c r="M224" s="5"/>
      <c r="N224" s="5"/>
      <c r="O224" s="5"/>
      <c r="P224" s="5"/>
      <c r="Q224" s="5"/>
      <c r="R224" s="5"/>
      <c r="S224" s="5"/>
      <c r="T224" s="5"/>
      <c r="U224" s="5"/>
      <c r="V224" s="5"/>
      <c r="W224" s="5"/>
    </row>
    <row r="225">
      <c r="A225" s="3" t="s">
        <v>1713</v>
      </c>
      <c r="B225" s="3" t="s">
        <v>1504</v>
      </c>
      <c r="C225" s="3" t="s">
        <v>76</v>
      </c>
      <c r="D225" s="3" t="s">
        <v>1714</v>
      </c>
      <c r="E225" s="25" t="s">
        <v>77</v>
      </c>
      <c r="F225" s="5"/>
      <c r="G225" s="5"/>
      <c r="H225" s="5"/>
      <c r="I225" s="5"/>
      <c r="J225" s="5"/>
      <c r="K225" s="5"/>
      <c r="L225" s="5"/>
      <c r="M225" s="5"/>
      <c r="N225" s="5"/>
      <c r="O225" s="5"/>
      <c r="P225" s="5"/>
      <c r="Q225" s="5"/>
      <c r="R225" s="5"/>
      <c r="S225" s="5"/>
      <c r="T225" s="5"/>
      <c r="U225" s="5"/>
      <c r="V225" s="5"/>
      <c r="W225" s="5"/>
    </row>
    <row r="226">
      <c r="A226" s="3" t="s">
        <v>1715</v>
      </c>
      <c r="B226" s="3" t="s">
        <v>1716</v>
      </c>
      <c r="C226" s="3" t="s">
        <v>76</v>
      </c>
      <c r="D226" s="3" t="s">
        <v>1717</v>
      </c>
      <c r="E226" s="25" t="s">
        <v>77</v>
      </c>
      <c r="F226" s="5"/>
      <c r="G226" s="5"/>
      <c r="H226" s="5"/>
      <c r="I226" s="5"/>
      <c r="J226" s="5"/>
      <c r="K226" s="5"/>
      <c r="L226" s="5"/>
      <c r="M226" s="5"/>
      <c r="N226" s="5"/>
      <c r="O226" s="5"/>
      <c r="P226" s="5"/>
      <c r="Q226" s="5"/>
      <c r="R226" s="5"/>
      <c r="S226" s="5"/>
      <c r="T226" s="5"/>
      <c r="U226" s="5"/>
      <c r="V226" s="5"/>
      <c r="W226" s="5"/>
    </row>
    <row r="227">
      <c r="A227" s="3" t="s">
        <v>1718</v>
      </c>
      <c r="B227" s="3" t="s">
        <v>1719</v>
      </c>
      <c r="C227" s="3" t="s">
        <v>76</v>
      </c>
      <c r="D227" s="3" t="s">
        <v>1720</v>
      </c>
      <c r="E227" s="25" t="s">
        <v>77</v>
      </c>
      <c r="F227" s="5"/>
      <c r="G227" s="5"/>
      <c r="H227" s="5"/>
      <c r="I227" s="5"/>
      <c r="J227" s="5"/>
      <c r="K227" s="5"/>
      <c r="L227" s="5"/>
      <c r="M227" s="5"/>
      <c r="N227" s="5"/>
      <c r="O227" s="5"/>
      <c r="P227" s="5"/>
      <c r="Q227" s="5"/>
      <c r="R227" s="5"/>
      <c r="S227" s="5"/>
      <c r="T227" s="5"/>
      <c r="U227" s="5"/>
      <c r="V227" s="5"/>
      <c r="W227" s="5"/>
    </row>
    <row r="228">
      <c r="A228" s="3" t="s">
        <v>1721</v>
      </c>
      <c r="B228" s="3" t="s">
        <v>1722</v>
      </c>
      <c r="C228" s="3" t="s">
        <v>76</v>
      </c>
      <c r="D228" s="3" t="s">
        <v>1723</v>
      </c>
      <c r="E228" s="25" t="s">
        <v>77</v>
      </c>
      <c r="F228" s="5"/>
      <c r="G228" s="5"/>
      <c r="H228" s="5"/>
      <c r="I228" s="5"/>
      <c r="J228" s="5"/>
      <c r="K228" s="5"/>
      <c r="L228" s="5"/>
      <c r="M228" s="5"/>
      <c r="N228" s="5"/>
      <c r="O228" s="5"/>
      <c r="P228" s="5"/>
      <c r="Q228" s="5"/>
      <c r="R228" s="5"/>
      <c r="S228" s="5"/>
      <c r="T228" s="5"/>
      <c r="U228" s="5"/>
      <c r="V228" s="5"/>
      <c r="W228" s="5"/>
    </row>
    <row r="229">
      <c r="A229" s="3" t="s">
        <v>1724</v>
      </c>
      <c r="B229" s="3" t="s">
        <v>1725</v>
      </c>
      <c r="C229" s="3" t="s">
        <v>1726</v>
      </c>
      <c r="D229" s="3" t="s">
        <v>1727</v>
      </c>
      <c r="E229" s="4" t="s">
        <v>79</v>
      </c>
      <c r="F229" s="5"/>
      <c r="G229" s="5"/>
      <c r="H229" s="5"/>
      <c r="I229" s="5"/>
      <c r="J229" s="5"/>
      <c r="K229" s="5"/>
      <c r="L229" s="5"/>
      <c r="M229" s="5"/>
      <c r="N229" s="5"/>
      <c r="O229" s="5"/>
      <c r="P229" s="5"/>
      <c r="Q229" s="5"/>
      <c r="R229" s="5"/>
      <c r="S229" s="5"/>
      <c r="T229" s="5"/>
      <c r="U229" s="5"/>
      <c r="V229" s="5"/>
      <c r="W229" s="5"/>
    </row>
    <row r="230">
      <c r="A230" s="3" t="s">
        <v>1728</v>
      </c>
      <c r="B230" s="3" t="s">
        <v>1729</v>
      </c>
      <c r="C230" s="3" t="s">
        <v>1730</v>
      </c>
      <c r="D230" s="3" t="s">
        <v>1731</v>
      </c>
      <c r="E230" s="4" t="s">
        <v>79</v>
      </c>
      <c r="F230" s="5"/>
      <c r="G230" s="5"/>
      <c r="H230" s="5"/>
      <c r="I230" s="5"/>
      <c r="J230" s="5"/>
      <c r="K230" s="5"/>
      <c r="L230" s="5"/>
      <c r="M230" s="5"/>
      <c r="N230" s="5"/>
      <c r="O230" s="5"/>
      <c r="P230" s="5"/>
      <c r="Q230" s="5"/>
      <c r="R230" s="5"/>
      <c r="S230" s="5"/>
      <c r="T230" s="5"/>
      <c r="U230" s="5"/>
      <c r="V230" s="5"/>
      <c r="W230" s="5"/>
    </row>
    <row r="231">
      <c r="A231" s="3" t="s">
        <v>1732</v>
      </c>
      <c r="B231" s="16" t="s">
        <v>1733</v>
      </c>
      <c r="C231" s="16" t="s">
        <v>1726</v>
      </c>
      <c r="D231" s="16" t="s">
        <v>1562</v>
      </c>
      <c r="E231" s="4" t="s">
        <v>79</v>
      </c>
      <c r="F231" s="5"/>
      <c r="G231" s="5"/>
      <c r="H231" s="5"/>
      <c r="I231" s="5"/>
      <c r="J231" s="5"/>
      <c r="K231" s="5"/>
      <c r="L231" s="5"/>
      <c r="M231" s="5"/>
      <c r="N231" s="5"/>
      <c r="O231" s="5"/>
      <c r="P231" s="5"/>
      <c r="Q231" s="5"/>
      <c r="R231" s="5"/>
      <c r="S231" s="5"/>
      <c r="T231" s="5"/>
      <c r="U231" s="5"/>
      <c r="V231" s="5"/>
      <c r="W231" s="5"/>
    </row>
    <row r="232">
      <c r="A232" s="3" t="s">
        <v>1734</v>
      </c>
      <c r="B232" s="3" t="s">
        <v>1735</v>
      </c>
      <c r="C232" s="3" t="s">
        <v>1726</v>
      </c>
      <c r="D232" s="3" t="s">
        <v>1736</v>
      </c>
      <c r="E232" s="4" t="s">
        <v>79</v>
      </c>
      <c r="F232" s="5"/>
      <c r="G232" s="5"/>
      <c r="H232" s="5"/>
      <c r="I232" s="5"/>
      <c r="J232" s="5"/>
      <c r="K232" s="5"/>
      <c r="L232" s="5"/>
      <c r="M232" s="5"/>
      <c r="N232" s="5"/>
      <c r="O232" s="5"/>
      <c r="P232" s="5"/>
      <c r="Q232" s="5"/>
      <c r="R232" s="5"/>
      <c r="S232" s="5"/>
      <c r="T232" s="5"/>
      <c r="U232" s="5"/>
      <c r="V232" s="5"/>
      <c r="W232" s="5"/>
    </row>
    <row r="233" ht="222.0" customHeight="1">
      <c r="A233" s="16" t="s">
        <v>1737</v>
      </c>
      <c r="B233" s="16" t="s">
        <v>1738</v>
      </c>
      <c r="C233" s="16" t="s">
        <v>1726</v>
      </c>
      <c r="D233" s="16" t="s">
        <v>1739</v>
      </c>
      <c r="E233" s="4" t="s">
        <v>79</v>
      </c>
      <c r="F233" s="17"/>
      <c r="G233" s="17"/>
      <c r="H233" s="17"/>
      <c r="I233" s="17"/>
      <c r="J233" s="17"/>
      <c r="K233" s="17"/>
      <c r="L233" s="17"/>
      <c r="M233" s="17"/>
      <c r="N233" s="17"/>
      <c r="O233" s="17"/>
      <c r="P233" s="17"/>
      <c r="Q233" s="17"/>
      <c r="R233" s="17"/>
      <c r="S233" s="17"/>
      <c r="T233" s="17"/>
      <c r="U233" s="17"/>
      <c r="V233" s="17"/>
      <c r="W233" s="17"/>
    </row>
    <row r="234">
      <c r="A234" s="16" t="s">
        <v>1651</v>
      </c>
      <c r="B234" s="16" t="s">
        <v>1740</v>
      </c>
      <c r="C234" s="16" t="s">
        <v>1726</v>
      </c>
      <c r="D234" s="16" t="s">
        <v>1741</v>
      </c>
      <c r="E234" s="4" t="s">
        <v>79</v>
      </c>
      <c r="F234" s="17"/>
      <c r="G234" s="17"/>
      <c r="H234" s="17"/>
      <c r="I234" s="17"/>
      <c r="J234" s="17"/>
      <c r="K234" s="17"/>
      <c r="L234" s="17"/>
      <c r="M234" s="17"/>
      <c r="N234" s="17"/>
      <c r="O234" s="17"/>
      <c r="P234" s="17"/>
      <c r="Q234" s="17"/>
      <c r="R234" s="17"/>
      <c r="S234" s="17"/>
      <c r="T234" s="17"/>
      <c r="U234" s="17"/>
      <c r="V234" s="17"/>
      <c r="W234" s="17"/>
    </row>
    <row r="235">
      <c r="A235" s="3" t="s">
        <v>1742</v>
      </c>
      <c r="B235" s="3" t="s">
        <v>1743</v>
      </c>
      <c r="C235" s="3" t="s">
        <v>1726</v>
      </c>
      <c r="D235" s="3" t="s">
        <v>1744</v>
      </c>
      <c r="E235" s="4" t="s">
        <v>79</v>
      </c>
      <c r="F235" s="5"/>
      <c r="G235" s="5"/>
      <c r="H235" s="5"/>
      <c r="I235" s="5"/>
      <c r="J235" s="5"/>
      <c r="K235" s="5"/>
      <c r="L235" s="5"/>
      <c r="M235" s="5"/>
      <c r="N235" s="5"/>
      <c r="O235" s="5"/>
      <c r="P235" s="5"/>
      <c r="Q235" s="5"/>
      <c r="R235" s="5"/>
      <c r="S235" s="5"/>
      <c r="T235" s="5"/>
      <c r="U235" s="5"/>
      <c r="V235" s="5"/>
      <c r="W235" s="5"/>
    </row>
    <row r="236">
      <c r="A236" s="16" t="s">
        <v>1745</v>
      </c>
      <c r="B236" s="16" t="s">
        <v>1746</v>
      </c>
      <c r="C236" s="16" t="s">
        <v>1726</v>
      </c>
      <c r="D236" s="16" t="s">
        <v>1747</v>
      </c>
      <c r="E236" s="4" t="s">
        <v>79</v>
      </c>
      <c r="F236" s="17"/>
      <c r="G236" s="17"/>
      <c r="H236" s="17"/>
      <c r="I236" s="17"/>
      <c r="J236" s="17"/>
      <c r="K236" s="17"/>
      <c r="L236" s="17"/>
      <c r="M236" s="17"/>
      <c r="N236" s="17"/>
      <c r="O236" s="17"/>
      <c r="P236" s="17"/>
      <c r="Q236" s="17"/>
      <c r="R236" s="17"/>
      <c r="S236" s="17"/>
      <c r="T236" s="17"/>
      <c r="U236" s="17"/>
      <c r="V236" s="17"/>
      <c r="W236" s="17"/>
    </row>
    <row r="237">
      <c r="A237" s="20" t="s">
        <v>1748</v>
      </c>
      <c r="B237" s="20" t="s">
        <v>1749</v>
      </c>
      <c r="C237" s="20" t="s">
        <v>1726</v>
      </c>
      <c r="D237" s="20" t="s">
        <v>1750</v>
      </c>
      <c r="E237" s="4" t="s">
        <v>79</v>
      </c>
      <c r="F237" s="3"/>
      <c r="G237" s="22"/>
      <c r="H237" s="22"/>
      <c r="I237" s="22"/>
      <c r="J237" s="22"/>
      <c r="K237" s="22"/>
      <c r="L237" s="22"/>
      <c r="M237" s="22"/>
      <c r="N237" s="22"/>
      <c r="O237" s="22"/>
      <c r="P237" s="22"/>
      <c r="Q237" s="22"/>
      <c r="R237" s="22"/>
      <c r="S237" s="22"/>
      <c r="T237" s="22"/>
      <c r="U237" s="22"/>
      <c r="V237" s="22"/>
      <c r="W237" s="22"/>
    </row>
    <row r="238">
      <c r="A238" s="20" t="s">
        <v>1751</v>
      </c>
      <c r="B238" s="20" t="s">
        <v>1752</v>
      </c>
      <c r="C238" s="20" t="s">
        <v>1726</v>
      </c>
      <c r="D238" s="20" t="s">
        <v>1753</v>
      </c>
      <c r="E238" s="4" t="s">
        <v>79</v>
      </c>
      <c r="F238" s="22"/>
      <c r="G238" s="22"/>
      <c r="H238" s="22"/>
      <c r="I238" s="22"/>
      <c r="J238" s="22"/>
      <c r="K238" s="22"/>
      <c r="L238" s="22"/>
      <c r="M238" s="22"/>
      <c r="N238" s="22"/>
      <c r="O238" s="22"/>
      <c r="P238" s="22"/>
      <c r="Q238" s="22"/>
      <c r="R238" s="22"/>
      <c r="S238" s="22"/>
      <c r="T238" s="22"/>
      <c r="U238" s="22"/>
      <c r="V238" s="22"/>
      <c r="W238" s="22"/>
    </row>
    <row r="239">
      <c r="A239" s="3" t="s">
        <v>1754</v>
      </c>
      <c r="B239" s="3" t="s">
        <v>1755</v>
      </c>
      <c r="C239" s="20" t="s">
        <v>1726</v>
      </c>
      <c r="D239" s="3" t="s">
        <v>1756</v>
      </c>
      <c r="E239" s="4" t="s">
        <v>79</v>
      </c>
      <c r="F239" s="5"/>
      <c r="G239" s="5"/>
      <c r="H239" s="5"/>
      <c r="I239" s="5"/>
      <c r="J239" s="5"/>
      <c r="K239" s="5"/>
      <c r="L239" s="5"/>
      <c r="M239" s="5"/>
      <c r="N239" s="5"/>
      <c r="O239" s="5"/>
      <c r="P239" s="5"/>
      <c r="Q239" s="5"/>
      <c r="R239" s="5"/>
      <c r="S239" s="5"/>
      <c r="T239" s="5"/>
      <c r="U239" s="5"/>
      <c r="V239" s="5"/>
      <c r="W239" s="5"/>
    </row>
    <row r="240">
      <c r="A240" s="3" t="s">
        <v>1569</v>
      </c>
      <c r="B240" s="3" t="s">
        <v>1757</v>
      </c>
      <c r="C240" s="3" t="s">
        <v>1726</v>
      </c>
      <c r="D240" s="3" t="s">
        <v>1758</v>
      </c>
      <c r="E240" s="4" t="s">
        <v>79</v>
      </c>
      <c r="F240" s="5"/>
      <c r="G240" s="5"/>
      <c r="H240" s="5"/>
      <c r="I240" s="5"/>
      <c r="J240" s="5"/>
      <c r="K240" s="5"/>
      <c r="L240" s="5"/>
      <c r="M240" s="5"/>
      <c r="N240" s="5"/>
      <c r="O240" s="5"/>
      <c r="P240" s="5"/>
      <c r="Q240" s="5"/>
      <c r="R240" s="5"/>
      <c r="S240" s="5"/>
      <c r="T240" s="5"/>
      <c r="U240" s="5"/>
      <c r="V240" s="5"/>
      <c r="W240" s="5"/>
    </row>
    <row r="241">
      <c r="A241" s="3" t="s">
        <v>1693</v>
      </c>
      <c r="B241" s="3" t="s">
        <v>1759</v>
      </c>
      <c r="C241" s="3" t="s">
        <v>1760</v>
      </c>
      <c r="D241" s="3" t="s">
        <v>1761</v>
      </c>
      <c r="E241" s="4" t="s">
        <v>79</v>
      </c>
      <c r="F241" s="5"/>
      <c r="G241" s="5"/>
      <c r="H241" s="5"/>
      <c r="I241" s="5"/>
      <c r="J241" s="5"/>
      <c r="K241" s="5"/>
      <c r="L241" s="5"/>
      <c r="M241" s="5"/>
      <c r="N241" s="5"/>
      <c r="O241" s="5"/>
      <c r="P241" s="5"/>
      <c r="Q241" s="5"/>
      <c r="R241" s="5"/>
      <c r="S241" s="5"/>
      <c r="T241" s="5"/>
      <c r="U241" s="5"/>
      <c r="V241" s="5"/>
      <c r="W241" s="5"/>
    </row>
    <row r="242">
      <c r="A242" s="3" t="s">
        <v>1762</v>
      </c>
      <c r="B242" s="3" t="s">
        <v>1763</v>
      </c>
      <c r="C242" s="3" t="s">
        <v>1726</v>
      </c>
      <c r="D242" s="3" t="s">
        <v>1764</v>
      </c>
      <c r="E242" s="4" t="s">
        <v>79</v>
      </c>
      <c r="F242" s="5"/>
      <c r="G242" s="5"/>
      <c r="H242" s="5"/>
      <c r="I242" s="5"/>
      <c r="J242" s="5"/>
      <c r="K242" s="5"/>
      <c r="L242" s="5"/>
      <c r="M242" s="5"/>
      <c r="N242" s="5"/>
      <c r="O242" s="5"/>
      <c r="P242" s="5"/>
      <c r="Q242" s="5"/>
      <c r="R242" s="5"/>
      <c r="S242" s="5"/>
      <c r="T242" s="5"/>
      <c r="U242" s="5"/>
      <c r="V242" s="5"/>
      <c r="W242" s="5"/>
    </row>
    <row r="243">
      <c r="A243" s="3" t="s">
        <v>1765</v>
      </c>
      <c r="B243" s="16" t="s">
        <v>1766</v>
      </c>
      <c r="C243" s="16" t="s">
        <v>1726</v>
      </c>
      <c r="D243" s="16" t="s">
        <v>1767</v>
      </c>
      <c r="E243" s="4" t="s">
        <v>79</v>
      </c>
      <c r="F243" s="5"/>
      <c r="G243" s="5"/>
      <c r="H243" s="5"/>
      <c r="I243" s="5"/>
      <c r="J243" s="5"/>
      <c r="K243" s="5"/>
      <c r="L243" s="5"/>
      <c r="M243" s="5"/>
      <c r="N243" s="5"/>
      <c r="O243" s="5"/>
      <c r="P243" s="5"/>
      <c r="Q243" s="5"/>
      <c r="R243" s="5"/>
      <c r="S243" s="5"/>
      <c r="T243" s="5"/>
      <c r="U243" s="5"/>
      <c r="V243" s="5"/>
      <c r="W243" s="5"/>
    </row>
    <row r="244">
      <c r="A244" s="3" t="s">
        <v>1768</v>
      </c>
      <c r="B244" s="3" t="s">
        <v>1769</v>
      </c>
      <c r="C244" s="3" t="s">
        <v>1726</v>
      </c>
      <c r="D244" s="3" t="s">
        <v>1770</v>
      </c>
      <c r="E244" s="4" t="s">
        <v>79</v>
      </c>
      <c r="F244" s="5"/>
      <c r="G244" s="5"/>
      <c r="H244" s="5"/>
      <c r="I244" s="5"/>
      <c r="J244" s="5"/>
      <c r="K244" s="5"/>
      <c r="L244" s="5"/>
      <c r="M244" s="5"/>
      <c r="N244" s="5"/>
      <c r="O244" s="5"/>
      <c r="P244" s="5"/>
      <c r="Q244" s="5"/>
      <c r="R244" s="5"/>
      <c r="S244" s="5"/>
      <c r="T244" s="5"/>
      <c r="U244" s="5"/>
      <c r="V244" s="5"/>
      <c r="W244" s="5"/>
    </row>
    <row r="245">
      <c r="A245" s="16" t="s">
        <v>1771</v>
      </c>
      <c r="B245" s="16" t="s">
        <v>1772</v>
      </c>
      <c r="C245" s="16" t="s">
        <v>1726</v>
      </c>
      <c r="D245" s="16" t="s">
        <v>1773</v>
      </c>
      <c r="E245" s="4" t="s">
        <v>79</v>
      </c>
      <c r="F245" s="17"/>
      <c r="G245" s="17"/>
      <c r="H245" s="17"/>
      <c r="I245" s="17"/>
      <c r="J245" s="17"/>
      <c r="K245" s="17"/>
      <c r="L245" s="17"/>
      <c r="M245" s="17"/>
      <c r="N245" s="17"/>
      <c r="O245" s="17"/>
      <c r="P245" s="17"/>
      <c r="Q245" s="17"/>
      <c r="R245" s="17"/>
      <c r="S245" s="17"/>
      <c r="T245" s="17"/>
      <c r="U245" s="17"/>
      <c r="V245" s="17"/>
      <c r="W245" s="17"/>
    </row>
    <row r="246">
      <c r="A246" s="3" t="s">
        <v>1774</v>
      </c>
      <c r="B246" s="3" t="s">
        <v>1775</v>
      </c>
      <c r="C246" s="3" t="s">
        <v>1776</v>
      </c>
      <c r="D246" s="3" t="s">
        <v>1777</v>
      </c>
      <c r="E246" s="4" t="s">
        <v>79</v>
      </c>
      <c r="F246" s="5"/>
      <c r="G246" s="5"/>
      <c r="H246" s="5"/>
      <c r="I246" s="5"/>
      <c r="J246" s="5"/>
      <c r="K246" s="5"/>
      <c r="L246" s="5"/>
      <c r="M246" s="5"/>
      <c r="N246" s="5"/>
      <c r="O246" s="5"/>
      <c r="P246" s="5"/>
      <c r="Q246" s="5"/>
      <c r="R246" s="5"/>
      <c r="S246" s="5"/>
      <c r="T246" s="5"/>
      <c r="U246" s="5"/>
      <c r="V246" s="5"/>
      <c r="W246" s="5"/>
    </row>
    <row r="247">
      <c r="A247" s="16" t="s">
        <v>1778</v>
      </c>
      <c r="B247" s="16" t="s">
        <v>1779</v>
      </c>
      <c r="C247" s="16" t="s">
        <v>1726</v>
      </c>
      <c r="D247" s="16" t="s">
        <v>1780</v>
      </c>
      <c r="E247" s="4" t="s">
        <v>79</v>
      </c>
      <c r="F247" s="17"/>
      <c r="G247" s="17"/>
      <c r="H247" s="17"/>
      <c r="I247" s="17"/>
      <c r="J247" s="17"/>
      <c r="K247" s="17"/>
      <c r="L247" s="17"/>
      <c r="M247" s="17"/>
      <c r="N247" s="17"/>
      <c r="O247" s="17"/>
      <c r="P247" s="17"/>
      <c r="Q247" s="17"/>
      <c r="R247" s="17"/>
      <c r="S247" s="17"/>
      <c r="T247" s="17"/>
      <c r="U247" s="17"/>
      <c r="V247" s="17"/>
      <c r="W247" s="17"/>
    </row>
    <row r="248">
      <c r="A248" s="3" t="s">
        <v>1781</v>
      </c>
      <c r="B248" s="16" t="s">
        <v>1779</v>
      </c>
      <c r="C248" s="16" t="s">
        <v>1776</v>
      </c>
      <c r="D248" s="16" t="s">
        <v>1707</v>
      </c>
      <c r="E248" s="4" t="s">
        <v>79</v>
      </c>
      <c r="F248" s="3"/>
      <c r="G248" s="3"/>
      <c r="H248" s="3"/>
      <c r="I248" s="3"/>
      <c r="J248" s="5"/>
      <c r="K248" s="5"/>
      <c r="L248" s="5"/>
      <c r="M248" s="5"/>
      <c r="N248" s="5"/>
      <c r="O248" s="5"/>
      <c r="P248" s="5"/>
      <c r="Q248" s="5"/>
      <c r="R248" s="5"/>
      <c r="S248" s="5"/>
      <c r="T248" s="5"/>
      <c r="U248" s="5"/>
      <c r="V248" s="5"/>
      <c r="W248" s="5"/>
    </row>
    <row r="249">
      <c r="A249" s="3" t="s">
        <v>1782</v>
      </c>
      <c r="B249" s="16" t="s">
        <v>1779</v>
      </c>
      <c r="C249" s="16" t="s">
        <v>1776</v>
      </c>
      <c r="D249" s="3" t="s">
        <v>1783</v>
      </c>
      <c r="E249" s="4" t="s">
        <v>79</v>
      </c>
      <c r="F249" s="5"/>
      <c r="G249" s="5"/>
      <c r="H249" s="5"/>
      <c r="I249" s="5"/>
      <c r="J249" s="5"/>
      <c r="K249" s="5"/>
      <c r="L249" s="5"/>
      <c r="M249" s="5"/>
      <c r="N249" s="5"/>
      <c r="O249" s="5"/>
      <c r="P249" s="5"/>
      <c r="Q249" s="5"/>
      <c r="R249" s="5"/>
      <c r="S249" s="5"/>
      <c r="T249" s="5"/>
      <c r="U249" s="5"/>
      <c r="V249" s="5"/>
      <c r="W249" s="5"/>
    </row>
    <row r="250">
      <c r="A250" s="3" t="s">
        <v>1784</v>
      </c>
      <c r="B250" s="3" t="s">
        <v>1711</v>
      </c>
      <c r="C250" s="16" t="s">
        <v>1776</v>
      </c>
      <c r="D250" s="3" t="s">
        <v>1785</v>
      </c>
      <c r="E250" s="4" t="s">
        <v>79</v>
      </c>
      <c r="F250" s="5"/>
      <c r="G250" s="5"/>
      <c r="H250" s="5"/>
      <c r="I250" s="5"/>
      <c r="J250" s="5"/>
      <c r="K250" s="5"/>
      <c r="L250" s="5"/>
      <c r="M250" s="5"/>
      <c r="N250" s="5"/>
      <c r="O250" s="5"/>
      <c r="P250" s="5"/>
      <c r="Q250" s="5"/>
      <c r="R250" s="5"/>
      <c r="S250" s="5"/>
      <c r="T250" s="5"/>
      <c r="U250" s="5"/>
      <c r="V250" s="5"/>
      <c r="W250" s="5"/>
    </row>
    <row r="251">
      <c r="A251" s="3" t="s">
        <v>1786</v>
      </c>
      <c r="B251" s="3" t="s">
        <v>1504</v>
      </c>
      <c r="C251" s="16" t="s">
        <v>1776</v>
      </c>
      <c r="D251" s="3" t="s">
        <v>1787</v>
      </c>
      <c r="E251" s="4" t="s">
        <v>79</v>
      </c>
      <c r="F251" s="5"/>
      <c r="G251" s="5"/>
      <c r="H251" s="5"/>
      <c r="I251" s="5"/>
      <c r="J251" s="5"/>
      <c r="K251" s="5"/>
      <c r="L251" s="5"/>
      <c r="M251" s="5"/>
      <c r="N251" s="5"/>
      <c r="O251" s="5"/>
      <c r="P251" s="5"/>
      <c r="Q251" s="5"/>
      <c r="R251" s="5"/>
      <c r="S251" s="5"/>
      <c r="T251" s="5"/>
      <c r="U251" s="5"/>
      <c r="V251" s="5"/>
      <c r="W251" s="5"/>
    </row>
    <row r="252">
      <c r="A252" s="3" t="s">
        <v>1788</v>
      </c>
      <c r="B252" s="16" t="s">
        <v>1789</v>
      </c>
      <c r="C252" s="16" t="s">
        <v>1776</v>
      </c>
      <c r="D252" s="3" t="s">
        <v>1790</v>
      </c>
      <c r="E252" s="4" t="s">
        <v>79</v>
      </c>
      <c r="F252" s="5"/>
      <c r="G252" s="5"/>
      <c r="H252" s="5"/>
      <c r="I252" s="5"/>
      <c r="J252" s="5"/>
      <c r="K252" s="5"/>
      <c r="L252" s="5"/>
      <c r="M252" s="5"/>
      <c r="N252" s="5"/>
      <c r="O252" s="5"/>
      <c r="P252" s="5"/>
      <c r="Q252" s="5"/>
      <c r="R252" s="5"/>
      <c r="S252" s="5"/>
      <c r="T252" s="5"/>
      <c r="U252" s="5"/>
      <c r="V252" s="5"/>
      <c r="W252" s="5"/>
    </row>
    <row r="253">
      <c r="A253" s="3" t="s">
        <v>1791</v>
      </c>
      <c r="B253" s="3" t="s">
        <v>1792</v>
      </c>
      <c r="C253" s="16" t="s">
        <v>1776</v>
      </c>
      <c r="D253" s="3" t="s">
        <v>1793</v>
      </c>
      <c r="E253" s="4" t="s">
        <v>79</v>
      </c>
      <c r="F253" s="5"/>
      <c r="G253" s="5"/>
      <c r="H253" s="5"/>
      <c r="I253" s="5"/>
      <c r="J253" s="5"/>
      <c r="K253" s="5"/>
      <c r="L253" s="5"/>
      <c r="M253" s="5"/>
      <c r="N253" s="5"/>
      <c r="O253" s="5"/>
      <c r="P253" s="5"/>
      <c r="Q253" s="5"/>
      <c r="R253" s="5"/>
      <c r="S253" s="5"/>
      <c r="T253" s="5"/>
      <c r="U253" s="5"/>
      <c r="V253" s="5"/>
      <c r="W253" s="5"/>
    </row>
    <row r="254">
      <c r="A254" s="3" t="s">
        <v>1794</v>
      </c>
      <c r="B254" s="3" t="s">
        <v>1795</v>
      </c>
      <c r="C254" s="16" t="s">
        <v>1776</v>
      </c>
      <c r="D254" s="3" t="s">
        <v>1796</v>
      </c>
      <c r="E254" s="4" t="s">
        <v>79</v>
      </c>
      <c r="F254" s="5"/>
      <c r="G254" s="5"/>
      <c r="H254" s="5"/>
      <c r="I254" s="5"/>
      <c r="J254" s="5"/>
      <c r="K254" s="5"/>
      <c r="L254" s="5"/>
      <c r="M254" s="5"/>
      <c r="N254" s="5"/>
      <c r="O254" s="5"/>
      <c r="P254" s="5"/>
      <c r="Q254" s="5"/>
      <c r="R254" s="5"/>
      <c r="S254" s="5"/>
      <c r="T254" s="5"/>
      <c r="U254" s="5"/>
      <c r="V254" s="5"/>
      <c r="W254" s="5"/>
    </row>
    <row r="255">
      <c r="A255" s="16" t="s">
        <v>1797</v>
      </c>
      <c r="B255" s="16" t="s">
        <v>1789</v>
      </c>
      <c r="C255" s="16" t="s">
        <v>1776</v>
      </c>
      <c r="D255" s="16" t="s">
        <v>1798</v>
      </c>
      <c r="E255" s="4" t="s">
        <v>79</v>
      </c>
      <c r="F255" s="17"/>
      <c r="G255" s="17"/>
      <c r="H255" s="17"/>
      <c r="I255" s="17"/>
      <c r="J255" s="17"/>
      <c r="K255" s="17"/>
      <c r="L255" s="17"/>
      <c r="M255" s="17"/>
      <c r="N255" s="17"/>
      <c r="O255" s="17"/>
      <c r="P255" s="17"/>
      <c r="Q255" s="17"/>
      <c r="R255" s="17"/>
      <c r="S255" s="17"/>
      <c r="T255" s="17"/>
      <c r="U255" s="17"/>
      <c r="V255" s="17"/>
      <c r="W255" s="17"/>
    </row>
    <row r="256">
      <c r="A256" s="16" t="s">
        <v>1799</v>
      </c>
      <c r="B256" s="16" t="s">
        <v>1800</v>
      </c>
      <c r="C256" s="16" t="s">
        <v>1776</v>
      </c>
      <c r="D256" s="16" t="s">
        <v>1801</v>
      </c>
      <c r="E256" s="4" t="s">
        <v>79</v>
      </c>
      <c r="F256" s="17"/>
      <c r="G256" s="17"/>
      <c r="H256" s="17"/>
      <c r="I256" s="17"/>
      <c r="J256" s="17"/>
      <c r="K256" s="17"/>
      <c r="L256" s="17"/>
      <c r="M256" s="17"/>
      <c r="N256" s="17"/>
      <c r="O256" s="17"/>
      <c r="P256" s="17"/>
      <c r="Q256" s="17"/>
      <c r="R256" s="17"/>
      <c r="S256" s="17"/>
      <c r="T256" s="17"/>
      <c r="U256" s="17"/>
      <c r="V256" s="17"/>
      <c r="W256" s="17"/>
    </row>
    <row r="257">
      <c r="A257" s="16" t="s">
        <v>1802</v>
      </c>
      <c r="B257" s="16" t="s">
        <v>1803</v>
      </c>
      <c r="C257" s="16" t="s">
        <v>1804</v>
      </c>
      <c r="D257" s="16" t="s">
        <v>1805</v>
      </c>
      <c r="E257" s="4" t="s">
        <v>79</v>
      </c>
      <c r="F257" s="17"/>
      <c r="G257" s="17"/>
      <c r="H257" s="17"/>
      <c r="I257" s="17"/>
      <c r="J257" s="17"/>
      <c r="K257" s="17"/>
      <c r="L257" s="17"/>
      <c r="M257" s="17"/>
      <c r="N257" s="17"/>
      <c r="O257" s="17"/>
      <c r="P257" s="17"/>
      <c r="Q257" s="17"/>
      <c r="R257" s="17"/>
      <c r="S257" s="17"/>
      <c r="T257" s="17"/>
      <c r="U257" s="17"/>
      <c r="V257" s="17"/>
      <c r="W257" s="17"/>
    </row>
    <row r="258">
      <c r="A258" s="16" t="s">
        <v>1806</v>
      </c>
      <c r="B258" s="16" t="s">
        <v>1807</v>
      </c>
      <c r="C258" s="16" t="s">
        <v>1808</v>
      </c>
      <c r="D258" s="16" t="s">
        <v>1809</v>
      </c>
      <c r="E258" s="4" t="s">
        <v>79</v>
      </c>
      <c r="F258" s="17"/>
      <c r="G258" s="17"/>
      <c r="H258" s="17"/>
      <c r="I258" s="17"/>
      <c r="J258" s="17"/>
      <c r="K258" s="17"/>
      <c r="L258" s="17"/>
      <c r="M258" s="17"/>
      <c r="N258" s="17"/>
      <c r="O258" s="17"/>
      <c r="P258" s="17"/>
      <c r="Q258" s="17"/>
      <c r="R258" s="17"/>
      <c r="S258" s="17"/>
      <c r="T258" s="17"/>
      <c r="U258" s="17"/>
      <c r="V258" s="17"/>
      <c r="W258" s="17"/>
    </row>
    <row r="259">
      <c r="A259" s="16" t="s">
        <v>1810</v>
      </c>
      <c r="B259" s="16" t="s">
        <v>1811</v>
      </c>
      <c r="C259" s="16" t="s">
        <v>1776</v>
      </c>
      <c r="D259" s="16" t="s">
        <v>1812</v>
      </c>
      <c r="E259" s="4" t="s">
        <v>79</v>
      </c>
      <c r="F259" s="17"/>
      <c r="G259" s="17"/>
      <c r="H259" s="17"/>
      <c r="I259" s="17"/>
      <c r="J259" s="17"/>
      <c r="K259" s="17"/>
      <c r="L259" s="17"/>
      <c r="M259" s="17"/>
      <c r="N259" s="17"/>
      <c r="O259" s="17"/>
      <c r="P259" s="17"/>
      <c r="Q259" s="17"/>
      <c r="R259" s="17"/>
      <c r="S259" s="17"/>
      <c r="T259" s="17"/>
      <c r="U259" s="17"/>
      <c r="V259" s="17"/>
      <c r="W259" s="17"/>
    </row>
    <row r="260">
      <c r="A260" s="16" t="s">
        <v>1813</v>
      </c>
      <c r="B260" s="16" t="s">
        <v>1814</v>
      </c>
      <c r="C260" s="16" t="s">
        <v>1776</v>
      </c>
      <c r="D260" s="16" t="s">
        <v>1815</v>
      </c>
      <c r="E260" s="4" t="s">
        <v>79</v>
      </c>
      <c r="F260" s="17"/>
      <c r="G260" s="17"/>
      <c r="H260" s="17"/>
      <c r="I260" s="17"/>
      <c r="J260" s="17"/>
      <c r="K260" s="17"/>
      <c r="L260" s="17"/>
      <c r="M260" s="17"/>
      <c r="N260" s="17"/>
      <c r="O260" s="17"/>
      <c r="P260" s="17"/>
      <c r="Q260" s="17"/>
      <c r="R260" s="17"/>
      <c r="S260" s="17"/>
      <c r="T260" s="17"/>
      <c r="U260" s="17"/>
      <c r="V260" s="17"/>
      <c r="W260" s="17"/>
    </row>
    <row r="261">
      <c r="A261" s="16" t="s">
        <v>1816</v>
      </c>
      <c r="B261" s="16" t="s">
        <v>1817</v>
      </c>
      <c r="C261" s="16" t="s">
        <v>1776</v>
      </c>
      <c r="D261" s="16" t="s">
        <v>1818</v>
      </c>
      <c r="E261" s="4" t="s">
        <v>79</v>
      </c>
      <c r="F261" s="17"/>
      <c r="G261" s="17"/>
      <c r="H261" s="17"/>
      <c r="I261" s="17"/>
      <c r="J261" s="17"/>
      <c r="K261" s="17"/>
      <c r="L261" s="17"/>
      <c r="M261" s="17"/>
      <c r="N261" s="17"/>
      <c r="O261" s="17"/>
      <c r="P261" s="17"/>
      <c r="Q261" s="17"/>
      <c r="R261" s="17"/>
      <c r="S261" s="17"/>
      <c r="T261" s="17"/>
      <c r="U261" s="17"/>
      <c r="V261" s="17"/>
      <c r="W261" s="17"/>
    </row>
    <row r="262">
      <c r="A262" s="16" t="s">
        <v>1819</v>
      </c>
      <c r="B262" s="16" t="s">
        <v>1820</v>
      </c>
      <c r="C262" s="16" t="s">
        <v>1776</v>
      </c>
      <c r="D262" s="16" t="s">
        <v>1821</v>
      </c>
      <c r="E262" s="4" t="s">
        <v>79</v>
      </c>
      <c r="F262" s="17"/>
      <c r="G262" s="17"/>
      <c r="H262" s="17"/>
      <c r="I262" s="17"/>
      <c r="J262" s="17"/>
      <c r="K262" s="17"/>
      <c r="L262" s="17"/>
      <c r="M262" s="17"/>
      <c r="N262" s="17"/>
      <c r="O262" s="17"/>
      <c r="P262" s="17"/>
      <c r="Q262" s="17"/>
      <c r="R262" s="17"/>
      <c r="S262" s="17"/>
      <c r="T262" s="17"/>
      <c r="U262" s="17"/>
      <c r="V262" s="17"/>
      <c r="W262" s="17"/>
    </row>
    <row r="263">
      <c r="A263" s="16" t="s">
        <v>1822</v>
      </c>
      <c r="B263" s="16" t="s">
        <v>1823</v>
      </c>
      <c r="C263" s="16" t="s">
        <v>1804</v>
      </c>
      <c r="D263" s="16" t="s">
        <v>1824</v>
      </c>
      <c r="E263" s="4" t="s">
        <v>79</v>
      </c>
      <c r="F263" s="17"/>
      <c r="G263" s="17"/>
      <c r="H263" s="17"/>
      <c r="I263" s="17"/>
      <c r="J263" s="17"/>
      <c r="K263" s="17"/>
      <c r="L263" s="17"/>
      <c r="M263" s="17"/>
      <c r="N263" s="17"/>
      <c r="O263" s="17"/>
      <c r="P263" s="17"/>
      <c r="Q263" s="17"/>
      <c r="R263" s="17"/>
      <c r="S263" s="17"/>
      <c r="T263" s="17"/>
      <c r="U263" s="17"/>
      <c r="V263" s="17"/>
      <c r="W263" s="17"/>
    </row>
    <row r="264">
      <c r="A264" s="16" t="s">
        <v>1825</v>
      </c>
      <c r="B264" s="16" t="s">
        <v>1826</v>
      </c>
      <c r="C264" s="16" t="s">
        <v>1776</v>
      </c>
      <c r="D264" s="16" t="s">
        <v>1827</v>
      </c>
      <c r="E264" s="4" t="s">
        <v>79</v>
      </c>
      <c r="F264" s="17"/>
      <c r="G264" s="17"/>
      <c r="H264" s="17"/>
      <c r="I264" s="17"/>
      <c r="J264" s="17"/>
      <c r="K264" s="17"/>
      <c r="L264" s="17"/>
      <c r="M264" s="17"/>
      <c r="N264" s="17"/>
      <c r="O264" s="17"/>
      <c r="P264" s="17"/>
      <c r="Q264" s="17"/>
      <c r="R264" s="17"/>
      <c r="S264" s="17"/>
      <c r="T264" s="17"/>
      <c r="U264" s="17"/>
      <c r="V264" s="17"/>
      <c r="W264" s="17"/>
    </row>
    <row r="265">
      <c r="A265" s="20" t="s">
        <v>1799</v>
      </c>
      <c r="B265" s="20" t="s">
        <v>1828</v>
      </c>
      <c r="C265" s="20" t="s">
        <v>1776</v>
      </c>
      <c r="D265" s="20" t="s">
        <v>1829</v>
      </c>
      <c r="E265" s="4" t="s">
        <v>79</v>
      </c>
      <c r="F265" s="22"/>
      <c r="G265" s="22"/>
      <c r="H265" s="22"/>
      <c r="I265" s="22"/>
      <c r="J265" s="22"/>
      <c r="K265" s="22"/>
      <c r="L265" s="22"/>
      <c r="M265" s="22"/>
      <c r="N265" s="22"/>
      <c r="O265" s="22"/>
      <c r="P265" s="22"/>
      <c r="Q265" s="22"/>
      <c r="R265" s="22"/>
      <c r="S265" s="22"/>
      <c r="T265" s="22"/>
      <c r="U265" s="22"/>
      <c r="V265" s="22"/>
      <c r="W265" s="22"/>
    </row>
    <row r="266">
      <c r="A266" s="3" t="s">
        <v>1830</v>
      </c>
      <c r="B266" s="3" t="s">
        <v>1831</v>
      </c>
      <c r="C266" s="3" t="s">
        <v>1804</v>
      </c>
      <c r="D266" s="3" t="s">
        <v>1805</v>
      </c>
      <c r="E266" s="4" t="s">
        <v>79</v>
      </c>
      <c r="F266" s="5"/>
      <c r="G266" s="5"/>
      <c r="H266" s="5"/>
      <c r="I266" s="5"/>
      <c r="J266" s="5"/>
      <c r="K266" s="5"/>
      <c r="L266" s="5"/>
      <c r="M266" s="5"/>
      <c r="N266" s="5"/>
      <c r="O266" s="5"/>
      <c r="P266" s="5"/>
      <c r="Q266" s="5"/>
      <c r="R266" s="5"/>
      <c r="S266" s="5"/>
      <c r="T266" s="5"/>
      <c r="U266" s="5"/>
      <c r="V266" s="5"/>
      <c r="W266" s="5"/>
    </row>
    <row r="267">
      <c r="A267" s="20" t="s">
        <v>1832</v>
      </c>
      <c r="B267" s="20" t="s">
        <v>1833</v>
      </c>
      <c r="C267" s="20" t="s">
        <v>1808</v>
      </c>
      <c r="D267" s="20" t="s">
        <v>1834</v>
      </c>
      <c r="E267" s="4" t="s">
        <v>79</v>
      </c>
      <c r="F267" s="22"/>
      <c r="G267" s="22"/>
      <c r="H267" s="22"/>
      <c r="I267" s="22"/>
      <c r="J267" s="22"/>
      <c r="K267" s="22"/>
      <c r="L267" s="22"/>
      <c r="M267" s="22"/>
      <c r="N267" s="22"/>
      <c r="O267" s="22"/>
      <c r="P267" s="22"/>
      <c r="Q267" s="22"/>
      <c r="R267" s="22"/>
      <c r="S267" s="22"/>
      <c r="T267" s="22"/>
      <c r="U267" s="22"/>
      <c r="V267" s="22"/>
      <c r="W267" s="22"/>
    </row>
    <row r="268">
      <c r="A268" s="3" t="s">
        <v>1816</v>
      </c>
      <c r="B268" s="3" t="s">
        <v>1835</v>
      </c>
      <c r="C268" s="3" t="s">
        <v>1776</v>
      </c>
      <c r="D268" s="3" t="s">
        <v>1836</v>
      </c>
      <c r="E268" s="4" t="s">
        <v>79</v>
      </c>
      <c r="F268" s="5"/>
      <c r="G268" s="5"/>
      <c r="H268" s="5"/>
      <c r="I268" s="5"/>
      <c r="J268" s="5"/>
      <c r="K268" s="5"/>
      <c r="L268" s="5"/>
      <c r="M268" s="5"/>
      <c r="N268" s="5"/>
      <c r="O268" s="5"/>
      <c r="P268" s="5"/>
      <c r="Q268" s="5"/>
      <c r="R268" s="5"/>
      <c r="S268" s="5"/>
      <c r="T268" s="5"/>
      <c r="U268" s="5"/>
      <c r="V268" s="5"/>
      <c r="W268" s="5"/>
    </row>
    <row r="269">
      <c r="A269" s="16" t="s">
        <v>1819</v>
      </c>
      <c r="B269" s="16" t="s">
        <v>1837</v>
      </c>
      <c r="C269" s="16" t="s">
        <v>1776</v>
      </c>
      <c r="D269" s="16" t="s">
        <v>1838</v>
      </c>
      <c r="E269" s="4" t="s">
        <v>79</v>
      </c>
      <c r="F269" s="17"/>
      <c r="G269" s="17"/>
      <c r="H269" s="17"/>
      <c r="I269" s="17"/>
      <c r="J269" s="17"/>
      <c r="K269" s="17"/>
      <c r="L269" s="17"/>
      <c r="M269" s="17"/>
      <c r="N269" s="17"/>
      <c r="O269" s="17"/>
      <c r="P269" s="17"/>
      <c r="Q269" s="17"/>
      <c r="R269" s="17"/>
      <c r="S269" s="17"/>
      <c r="T269" s="17"/>
      <c r="U269" s="17"/>
      <c r="V269" s="17"/>
      <c r="W269" s="17"/>
    </row>
    <row r="270">
      <c r="A270" s="16" t="s">
        <v>1822</v>
      </c>
      <c r="B270" s="16" t="s">
        <v>1839</v>
      </c>
      <c r="C270" s="16" t="s">
        <v>1804</v>
      </c>
      <c r="D270" s="16" t="s">
        <v>1840</v>
      </c>
      <c r="E270" s="4" t="s">
        <v>79</v>
      </c>
      <c r="F270" s="17"/>
      <c r="G270" s="17"/>
      <c r="H270" s="17"/>
      <c r="I270" s="17"/>
      <c r="J270" s="17"/>
      <c r="K270" s="17"/>
      <c r="L270" s="17"/>
      <c r="M270" s="17"/>
      <c r="N270" s="17"/>
      <c r="O270" s="17"/>
      <c r="P270" s="17"/>
      <c r="Q270" s="17"/>
      <c r="R270" s="17"/>
      <c r="S270" s="17"/>
      <c r="T270" s="17"/>
      <c r="U270" s="17"/>
      <c r="V270" s="17"/>
      <c r="W270" s="17"/>
    </row>
    <row r="271">
      <c r="A271" s="3" t="s">
        <v>1825</v>
      </c>
      <c r="B271" s="3" t="s">
        <v>1841</v>
      </c>
      <c r="C271" s="3" t="s">
        <v>1776</v>
      </c>
      <c r="D271" s="3" t="s">
        <v>1842</v>
      </c>
      <c r="E271" s="4" t="s">
        <v>79</v>
      </c>
      <c r="F271" s="5"/>
      <c r="G271" s="5"/>
      <c r="H271" s="5"/>
      <c r="I271" s="5"/>
      <c r="J271" s="5"/>
      <c r="K271" s="5"/>
      <c r="L271" s="5"/>
      <c r="M271" s="5"/>
      <c r="N271" s="5"/>
      <c r="O271" s="5"/>
      <c r="P271" s="5"/>
      <c r="Q271" s="5"/>
      <c r="R271" s="5"/>
      <c r="S271" s="5"/>
      <c r="T271" s="5"/>
      <c r="U271" s="5"/>
      <c r="V271" s="5"/>
      <c r="W271" s="5"/>
    </row>
    <row r="272">
      <c r="A272" s="16" t="s">
        <v>1621</v>
      </c>
      <c r="B272" s="16" t="s">
        <v>1843</v>
      </c>
      <c r="C272" s="16" t="s">
        <v>1760</v>
      </c>
      <c r="D272" s="16" t="s">
        <v>1844</v>
      </c>
      <c r="E272" s="26" t="s">
        <v>81</v>
      </c>
      <c r="F272" s="17"/>
      <c r="G272" s="17"/>
      <c r="H272" s="17"/>
      <c r="I272" s="17"/>
      <c r="J272" s="17"/>
      <c r="K272" s="17"/>
      <c r="L272" s="17"/>
      <c r="M272" s="17"/>
      <c r="N272" s="17"/>
      <c r="O272" s="17"/>
      <c r="P272" s="17"/>
      <c r="Q272" s="17"/>
      <c r="R272" s="17"/>
      <c r="S272" s="17"/>
      <c r="T272" s="17"/>
      <c r="U272" s="17"/>
      <c r="V272" s="17"/>
      <c r="W272" s="17"/>
    </row>
    <row r="273">
      <c r="A273" s="16" t="s">
        <v>1845</v>
      </c>
      <c r="B273" s="16" t="s">
        <v>1846</v>
      </c>
      <c r="C273" s="16" t="s">
        <v>1760</v>
      </c>
      <c r="D273" s="16" t="s">
        <v>1847</v>
      </c>
      <c r="E273" s="26" t="s">
        <v>81</v>
      </c>
      <c r="F273" s="17"/>
      <c r="G273" s="17"/>
      <c r="H273" s="17"/>
      <c r="I273" s="17"/>
      <c r="J273" s="17"/>
      <c r="K273" s="17"/>
      <c r="L273" s="17"/>
      <c r="M273" s="17"/>
      <c r="N273" s="17"/>
      <c r="O273" s="17"/>
      <c r="P273" s="17"/>
      <c r="Q273" s="17"/>
      <c r="R273" s="17"/>
      <c r="S273" s="17"/>
      <c r="T273" s="17"/>
      <c r="U273" s="17"/>
      <c r="V273" s="17"/>
      <c r="W273" s="17"/>
    </row>
    <row r="274">
      <c r="A274" s="16" t="s">
        <v>1848</v>
      </c>
      <c r="B274" s="16" t="s">
        <v>1849</v>
      </c>
      <c r="C274" s="16" t="s">
        <v>1760</v>
      </c>
      <c r="D274" s="16" t="s">
        <v>1850</v>
      </c>
      <c r="E274" s="26" t="s">
        <v>81</v>
      </c>
      <c r="F274" s="17"/>
      <c r="G274" s="17"/>
      <c r="H274" s="17"/>
      <c r="I274" s="17"/>
      <c r="J274" s="17"/>
      <c r="K274" s="17"/>
      <c r="L274" s="17"/>
      <c r="M274" s="17"/>
      <c r="N274" s="17"/>
      <c r="O274" s="17"/>
      <c r="P274" s="17"/>
      <c r="Q274" s="17"/>
      <c r="R274" s="17"/>
      <c r="S274" s="17"/>
      <c r="T274" s="17"/>
      <c r="U274" s="17"/>
      <c r="V274" s="17"/>
      <c r="W274" s="17"/>
    </row>
    <row r="275">
      <c r="A275" s="3" t="s">
        <v>1675</v>
      </c>
      <c r="B275" s="3" t="s">
        <v>1851</v>
      </c>
      <c r="C275" s="16" t="s">
        <v>1760</v>
      </c>
      <c r="D275" s="3" t="s">
        <v>1852</v>
      </c>
      <c r="E275" s="26" t="s">
        <v>81</v>
      </c>
      <c r="F275" s="5"/>
      <c r="G275" s="5"/>
      <c r="H275" s="5"/>
      <c r="I275" s="5"/>
      <c r="J275" s="5"/>
      <c r="K275" s="5"/>
      <c r="L275" s="5"/>
      <c r="M275" s="5"/>
      <c r="N275" s="5"/>
      <c r="O275" s="5"/>
      <c r="P275" s="5"/>
      <c r="Q275" s="5"/>
      <c r="R275" s="5"/>
      <c r="S275" s="5"/>
      <c r="T275" s="5"/>
      <c r="U275" s="5"/>
      <c r="V275" s="5"/>
      <c r="W275" s="5"/>
    </row>
    <row r="276">
      <c r="A276" s="16" t="s">
        <v>1853</v>
      </c>
      <c r="B276" s="16" t="s">
        <v>1854</v>
      </c>
      <c r="C276" s="16" t="s">
        <v>1760</v>
      </c>
      <c r="D276" s="16" t="s">
        <v>1855</v>
      </c>
      <c r="E276" s="26" t="s">
        <v>81</v>
      </c>
      <c r="F276" s="17"/>
      <c r="G276" s="17"/>
      <c r="H276" s="17"/>
      <c r="I276" s="17"/>
      <c r="J276" s="17"/>
      <c r="K276" s="17"/>
      <c r="L276" s="17"/>
      <c r="M276" s="17"/>
      <c r="N276" s="17"/>
      <c r="O276" s="17"/>
      <c r="P276" s="17"/>
      <c r="Q276" s="17"/>
      <c r="R276" s="17"/>
      <c r="S276" s="17"/>
      <c r="T276" s="17"/>
      <c r="U276" s="17"/>
      <c r="V276" s="17"/>
      <c r="W276" s="17"/>
    </row>
    <row r="277">
      <c r="A277" s="20" t="s">
        <v>1856</v>
      </c>
      <c r="B277" s="20" t="s">
        <v>1857</v>
      </c>
      <c r="C277" s="16" t="s">
        <v>1760</v>
      </c>
      <c r="D277" s="20" t="s">
        <v>1858</v>
      </c>
      <c r="E277" s="26" t="s">
        <v>81</v>
      </c>
      <c r="F277" s="3"/>
      <c r="G277" s="22"/>
      <c r="H277" s="22"/>
      <c r="I277" s="22"/>
      <c r="J277" s="22"/>
      <c r="K277" s="22"/>
      <c r="L277" s="22"/>
      <c r="M277" s="22"/>
      <c r="N277" s="22"/>
      <c r="O277" s="22"/>
      <c r="P277" s="22"/>
      <c r="Q277" s="22"/>
      <c r="R277" s="22"/>
      <c r="S277" s="22"/>
      <c r="T277" s="22"/>
      <c r="U277" s="22"/>
      <c r="V277" s="22"/>
      <c r="W277" s="22"/>
    </row>
    <row r="278">
      <c r="A278" s="20" t="s">
        <v>1859</v>
      </c>
      <c r="B278" s="20" t="s">
        <v>1860</v>
      </c>
      <c r="C278" s="16" t="s">
        <v>1760</v>
      </c>
      <c r="D278" s="20" t="s">
        <v>1861</v>
      </c>
      <c r="E278" s="26" t="s">
        <v>81</v>
      </c>
      <c r="F278" s="22"/>
      <c r="G278" s="22"/>
      <c r="H278" s="22"/>
      <c r="I278" s="22"/>
      <c r="J278" s="22"/>
      <c r="K278" s="22"/>
      <c r="L278" s="22"/>
      <c r="M278" s="22"/>
      <c r="N278" s="22"/>
      <c r="O278" s="22"/>
      <c r="P278" s="22"/>
      <c r="Q278" s="22"/>
      <c r="R278" s="22"/>
      <c r="S278" s="22"/>
      <c r="T278" s="22"/>
      <c r="U278" s="22"/>
      <c r="V278" s="22"/>
      <c r="W278" s="22"/>
    </row>
    <row r="279">
      <c r="A279" s="3" t="s">
        <v>1862</v>
      </c>
      <c r="B279" s="3" t="s">
        <v>1863</v>
      </c>
      <c r="C279" s="16" t="s">
        <v>1760</v>
      </c>
      <c r="D279" s="3" t="s">
        <v>1864</v>
      </c>
      <c r="E279" s="26" t="s">
        <v>81</v>
      </c>
      <c r="F279" s="5"/>
      <c r="G279" s="5"/>
      <c r="H279" s="5"/>
      <c r="I279" s="5"/>
      <c r="J279" s="5"/>
      <c r="K279" s="5"/>
      <c r="L279" s="5"/>
      <c r="M279" s="5"/>
      <c r="N279" s="5"/>
      <c r="O279" s="5"/>
      <c r="P279" s="5"/>
      <c r="Q279" s="5"/>
      <c r="R279" s="5"/>
      <c r="S279" s="5"/>
      <c r="T279" s="5"/>
      <c r="U279" s="5"/>
      <c r="V279" s="5"/>
      <c r="W279" s="5"/>
    </row>
    <row r="280">
      <c r="A280" s="20" t="s">
        <v>1865</v>
      </c>
      <c r="B280" s="20" t="s">
        <v>1866</v>
      </c>
      <c r="C280" s="16" t="s">
        <v>1760</v>
      </c>
      <c r="D280" s="20" t="s">
        <v>1867</v>
      </c>
      <c r="E280" s="26" t="s">
        <v>81</v>
      </c>
      <c r="F280" s="22"/>
      <c r="G280" s="22"/>
      <c r="H280" s="22"/>
      <c r="I280" s="22"/>
      <c r="J280" s="22"/>
      <c r="K280" s="22"/>
      <c r="L280" s="22"/>
      <c r="M280" s="22"/>
      <c r="N280" s="22"/>
      <c r="O280" s="22"/>
      <c r="P280" s="22"/>
      <c r="Q280" s="22"/>
      <c r="R280" s="22"/>
      <c r="S280" s="22"/>
      <c r="T280" s="22"/>
      <c r="U280" s="22"/>
      <c r="V280" s="22"/>
      <c r="W280" s="22"/>
    </row>
    <row r="281">
      <c r="A281" s="3" t="s">
        <v>1868</v>
      </c>
      <c r="B281" s="3" t="s">
        <v>1869</v>
      </c>
      <c r="C281" s="16" t="s">
        <v>1760</v>
      </c>
      <c r="D281" s="3" t="s">
        <v>1870</v>
      </c>
      <c r="E281" s="26" t="s">
        <v>81</v>
      </c>
      <c r="F281" s="5"/>
      <c r="G281" s="5"/>
      <c r="H281" s="5"/>
      <c r="I281" s="5"/>
      <c r="J281" s="5"/>
      <c r="K281" s="5"/>
      <c r="L281" s="5"/>
      <c r="M281" s="5"/>
      <c r="N281" s="5"/>
      <c r="O281" s="5"/>
      <c r="P281" s="5"/>
      <c r="Q281" s="5"/>
      <c r="R281" s="5"/>
      <c r="S281" s="5"/>
      <c r="T281" s="5"/>
      <c r="U281" s="5"/>
      <c r="V281" s="5"/>
      <c r="W281" s="5"/>
    </row>
    <row r="282">
      <c r="A282" s="3" t="s">
        <v>1871</v>
      </c>
      <c r="B282" s="16" t="s">
        <v>1872</v>
      </c>
      <c r="C282" s="16" t="s">
        <v>1760</v>
      </c>
      <c r="D282" s="16" t="s">
        <v>1873</v>
      </c>
      <c r="E282" s="26" t="s">
        <v>81</v>
      </c>
      <c r="F282" s="5"/>
      <c r="G282" s="5"/>
      <c r="H282" s="5"/>
      <c r="I282" s="5"/>
      <c r="J282" s="5"/>
      <c r="K282" s="5"/>
      <c r="L282" s="5"/>
      <c r="M282" s="5"/>
      <c r="N282" s="5"/>
      <c r="O282" s="5"/>
      <c r="P282" s="5"/>
      <c r="Q282" s="5"/>
      <c r="R282" s="5"/>
      <c r="S282" s="5"/>
      <c r="T282" s="5"/>
      <c r="U282" s="5"/>
      <c r="V282" s="5"/>
      <c r="W282" s="5"/>
    </row>
    <row r="283">
      <c r="A283" s="3" t="s">
        <v>1874</v>
      </c>
      <c r="B283" s="3" t="s">
        <v>1875</v>
      </c>
      <c r="C283" s="16" t="s">
        <v>1760</v>
      </c>
      <c r="D283" s="3" t="s">
        <v>1876</v>
      </c>
      <c r="E283" s="26" t="s">
        <v>81</v>
      </c>
      <c r="F283" s="5"/>
      <c r="G283" s="5"/>
      <c r="H283" s="5"/>
      <c r="I283" s="5"/>
      <c r="J283" s="5"/>
      <c r="K283" s="5"/>
      <c r="L283" s="5"/>
      <c r="M283" s="5"/>
      <c r="N283" s="5"/>
      <c r="O283" s="5"/>
      <c r="P283" s="5"/>
      <c r="Q283" s="5"/>
      <c r="R283" s="5"/>
      <c r="S283" s="5"/>
      <c r="T283" s="5"/>
      <c r="U283" s="5"/>
      <c r="V283" s="5"/>
      <c r="W283" s="5"/>
    </row>
    <row r="284">
      <c r="A284" s="16" t="s">
        <v>1877</v>
      </c>
      <c r="B284" s="16" t="s">
        <v>1878</v>
      </c>
      <c r="C284" s="16" t="s">
        <v>1760</v>
      </c>
      <c r="D284" s="16" t="s">
        <v>1879</v>
      </c>
      <c r="E284" s="26" t="s">
        <v>81</v>
      </c>
      <c r="F284" s="17"/>
      <c r="G284" s="17"/>
      <c r="H284" s="17"/>
      <c r="I284" s="17"/>
      <c r="J284" s="17"/>
      <c r="K284" s="17"/>
      <c r="L284" s="17"/>
      <c r="M284" s="17"/>
      <c r="N284" s="17"/>
      <c r="O284" s="17"/>
      <c r="P284" s="17"/>
      <c r="Q284" s="17"/>
      <c r="R284" s="17"/>
      <c r="S284" s="17"/>
      <c r="T284" s="17"/>
      <c r="U284" s="17"/>
      <c r="V284" s="17"/>
      <c r="W284" s="17"/>
    </row>
    <row r="285">
      <c r="A285" s="16" t="s">
        <v>1880</v>
      </c>
      <c r="B285" s="16" t="s">
        <v>1881</v>
      </c>
      <c r="C285" s="16" t="s">
        <v>1760</v>
      </c>
      <c r="D285" s="16" t="s">
        <v>1882</v>
      </c>
      <c r="E285" s="26" t="s">
        <v>81</v>
      </c>
      <c r="F285" s="17"/>
      <c r="G285" s="17"/>
      <c r="H285" s="17"/>
      <c r="I285" s="17"/>
      <c r="J285" s="17"/>
      <c r="K285" s="17"/>
      <c r="L285" s="17"/>
      <c r="M285" s="17"/>
      <c r="N285" s="17"/>
      <c r="O285" s="17"/>
      <c r="P285" s="17"/>
      <c r="Q285" s="17"/>
      <c r="R285" s="17"/>
      <c r="S285" s="17"/>
      <c r="T285" s="17"/>
      <c r="U285" s="17"/>
      <c r="V285" s="17"/>
      <c r="W285" s="17"/>
    </row>
    <row r="286">
      <c r="A286" s="16" t="s">
        <v>1883</v>
      </c>
      <c r="B286" s="16" t="s">
        <v>1884</v>
      </c>
      <c r="C286" s="16" t="s">
        <v>1760</v>
      </c>
      <c r="D286" s="16" t="s">
        <v>1885</v>
      </c>
      <c r="E286" s="26" t="s">
        <v>81</v>
      </c>
      <c r="F286" s="17"/>
      <c r="G286" s="17"/>
      <c r="H286" s="17"/>
      <c r="I286" s="17"/>
      <c r="J286" s="17"/>
      <c r="K286" s="17"/>
      <c r="L286" s="17"/>
      <c r="M286" s="17"/>
      <c r="N286" s="17"/>
      <c r="O286" s="17"/>
      <c r="P286" s="17"/>
      <c r="Q286" s="17"/>
      <c r="R286" s="17"/>
      <c r="S286" s="17"/>
      <c r="T286" s="17"/>
      <c r="U286" s="17"/>
      <c r="V286" s="17"/>
      <c r="W286" s="17"/>
    </row>
    <row r="287">
      <c r="A287" s="16" t="s">
        <v>1886</v>
      </c>
      <c r="B287" s="16" t="s">
        <v>1887</v>
      </c>
      <c r="C287" s="16" t="s">
        <v>1760</v>
      </c>
      <c r="D287" s="16" t="s">
        <v>1888</v>
      </c>
      <c r="E287" s="26" t="s">
        <v>81</v>
      </c>
      <c r="F287" s="17"/>
      <c r="G287" s="17"/>
      <c r="H287" s="17"/>
      <c r="I287" s="17"/>
      <c r="J287" s="17"/>
      <c r="K287" s="17"/>
      <c r="L287" s="17"/>
      <c r="M287" s="17"/>
      <c r="N287" s="17"/>
      <c r="O287" s="17"/>
      <c r="P287" s="17"/>
      <c r="Q287" s="17"/>
      <c r="R287" s="17"/>
      <c r="S287" s="17"/>
      <c r="T287" s="17"/>
      <c r="U287" s="17"/>
      <c r="V287" s="17"/>
      <c r="W287" s="17"/>
    </row>
    <row r="288">
      <c r="A288" s="16" t="s">
        <v>1889</v>
      </c>
      <c r="B288" s="16" t="s">
        <v>1890</v>
      </c>
      <c r="C288" s="16" t="s">
        <v>1760</v>
      </c>
      <c r="D288" s="16" t="s">
        <v>1891</v>
      </c>
      <c r="E288" s="26" t="s">
        <v>81</v>
      </c>
      <c r="F288" s="17"/>
      <c r="G288" s="17"/>
      <c r="H288" s="17"/>
      <c r="I288" s="17"/>
      <c r="J288" s="17"/>
      <c r="K288" s="17"/>
      <c r="L288" s="17"/>
      <c r="M288" s="17"/>
      <c r="N288" s="17"/>
      <c r="O288" s="17"/>
      <c r="P288" s="17"/>
      <c r="Q288" s="17"/>
      <c r="R288" s="17"/>
      <c r="S288" s="17"/>
      <c r="T288" s="17"/>
      <c r="U288" s="17"/>
      <c r="V288" s="17"/>
      <c r="W288" s="17"/>
    </row>
    <row r="289">
      <c r="A289" s="20" t="s">
        <v>1892</v>
      </c>
      <c r="B289" s="20" t="s">
        <v>1893</v>
      </c>
      <c r="C289" s="16" t="s">
        <v>1760</v>
      </c>
      <c r="D289" s="20" t="s">
        <v>1894</v>
      </c>
      <c r="E289" s="26" t="s">
        <v>81</v>
      </c>
      <c r="F289" s="3"/>
      <c r="G289" s="22"/>
      <c r="H289" s="22"/>
      <c r="I289" s="22"/>
      <c r="J289" s="22"/>
      <c r="K289" s="22"/>
      <c r="L289" s="22"/>
      <c r="M289" s="22"/>
      <c r="N289" s="22"/>
      <c r="O289" s="22"/>
      <c r="P289" s="22"/>
      <c r="Q289" s="22"/>
      <c r="R289" s="22"/>
      <c r="S289" s="22"/>
      <c r="T289" s="22"/>
      <c r="U289" s="22"/>
      <c r="V289" s="22"/>
      <c r="W289" s="22"/>
    </row>
    <row r="290">
      <c r="A290" s="20" t="s">
        <v>1895</v>
      </c>
      <c r="B290" s="20" t="s">
        <v>1896</v>
      </c>
      <c r="C290" s="16" t="s">
        <v>1760</v>
      </c>
      <c r="D290" s="20" t="s">
        <v>1897</v>
      </c>
      <c r="E290" s="26" t="s">
        <v>81</v>
      </c>
      <c r="F290" s="22"/>
      <c r="G290" s="22"/>
      <c r="H290" s="22"/>
      <c r="I290" s="22"/>
      <c r="J290" s="22"/>
      <c r="K290" s="22"/>
      <c r="L290" s="22"/>
      <c r="M290" s="22"/>
      <c r="N290" s="22"/>
      <c r="O290" s="22"/>
      <c r="P290" s="22"/>
      <c r="Q290" s="22"/>
      <c r="R290" s="22"/>
      <c r="S290" s="22"/>
      <c r="T290" s="22"/>
      <c r="U290" s="22"/>
      <c r="V290" s="22"/>
      <c r="W290" s="22"/>
    </row>
    <row r="291">
      <c r="A291" s="3" t="s">
        <v>1898</v>
      </c>
      <c r="B291" s="20" t="s">
        <v>1694</v>
      </c>
      <c r="C291" s="16" t="s">
        <v>1760</v>
      </c>
      <c r="D291" s="3" t="s">
        <v>1899</v>
      </c>
      <c r="E291" s="26" t="s">
        <v>81</v>
      </c>
      <c r="F291" s="5"/>
      <c r="G291" s="5"/>
      <c r="H291" s="5"/>
      <c r="I291" s="5"/>
      <c r="J291" s="5"/>
      <c r="K291" s="5"/>
      <c r="L291" s="5"/>
      <c r="M291" s="5"/>
      <c r="N291" s="5"/>
      <c r="O291" s="5"/>
      <c r="P291" s="5"/>
      <c r="Q291" s="5"/>
      <c r="R291" s="5"/>
      <c r="S291" s="5"/>
      <c r="T291" s="5"/>
      <c r="U291" s="5"/>
      <c r="V291" s="5"/>
      <c r="W291" s="5"/>
    </row>
    <row r="292">
      <c r="A292" s="3" t="s">
        <v>1900</v>
      </c>
      <c r="B292" s="3" t="s">
        <v>1901</v>
      </c>
      <c r="C292" s="16" t="s">
        <v>1760</v>
      </c>
      <c r="D292" s="3" t="s">
        <v>1902</v>
      </c>
      <c r="E292" s="26" t="s">
        <v>81</v>
      </c>
      <c r="F292" s="5"/>
      <c r="G292" s="5"/>
      <c r="H292" s="5"/>
      <c r="I292" s="5"/>
      <c r="J292" s="5"/>
      <c r="K292" s="5"/>
      <c r="L292" s="5"/>
      <c r="M292" s="5"/>
      <c r="N292" s="5"/>
      <c r="O292" s="5"/>
      <c r="P292" s="5"/>
      <c r="Q292" s="5"/>
      <c r="R292" s="5"/>
      <c r="S292" s="5"/>
      <c r="T292" s="5"/>
      <c r="U292" s="5"/>
      <c r="V292" s="5"/>
      <c r="W292" s="5"/>
    </row>
    <row r="293">
      <c r="A293" s="3" t="s">
        <v>1903</v>
      </c>
      <c r="B293" s="16" t="s">
        <v>1904</v>
      </c>
      <c r="C293" s="16" t="s">
        <v>1760</v>
      </c>
      <c r="D293" s="16" t="s">
        <v>1905</v>
      </c>
      <c r="E293" s="26" t="s">
        <v>81</v>
      </c>
      <c r="F293" s="5"/>
      <c r="G293" s="5"/>
      <c r="H293" s="5"/>
      <c r="I293" s="5"/>
      <c r="J293" s="5"/>
      <c r="K293" s="5"/>
      <c r="L293" s="5"/>
      <c r="M293" s="5"/>
      <c r="N293" s="5"/>
      <c r="O293" s="5"/>
      <c r="P293" s="5"/>
      <c r="Q293" s="5"/>
      <c r="R293" s="5"/>
      <c r="S293" s="5"/>
      <c r="T293" s="5"/>
      <c r="U293" s="5"/>
      <c r="V293" s="5"/>
      <c r="W293" s="5"/>
    </row>
    <row r="294">
      <c r="A294" s="3" t="s">
        <v>1906</v>
      </c>
      <c r="B294" s="3" t="s">
        <v>1907</v>
      </c>
      <c r="C294" s="16" t="s">
        <v>1760</v>
      </c>
      <c r="D294" s="3" t="s">
        <v>1908</v>
      </c>
      <c r="E294" s="26" t="s">
        <v>81</v>
      </c>
      <c r="F294" s="5"/>
      <c r="G294" s="5"/>
      <c r="H294" s="5"/>
      <c r="I294" s="5"/>
      <c r="J294" s="5"/>
      <c r="K294" s="5"/>
      <c r="L294" s="5"/>
      <c r="M294" s="5"/>
      <c r="N294" s="5"/>
      <c r="O294" s="5"/>
      <c r="P294" s="5"/>
      <c r="Q294" s="5"/>
      <c r="R294" s="5"/>
      <c r="S294" s="5"/>
      <c r="T294" s="5"/>
      <c r="U294" s="5"/>
      <c r="V294" s="5"/>
      <c r="W294" s="5"/>
    </row>
    <row r="295">
      <c r="A295" s="16" t="s">
        <v>1909</v>
      </c>
      <c r="B295" s="16" t="s">
        <v>1910</v>
      </c>
      <c r="C295" s="16" t="s">
        <v>1760</v>
      </c>
      <c r="D295" s="16" t="s">
        <v>1911</v>
      </c>
      <c r="E295" s="26" t="s">
        <v>81</v>
      </c>
      <c r="F295" s="17"/>
      <c r="G295" s="17"/>
      <c r="H295" s="17"/>
      <c r="I295" s="17"/>
      <c r="J295" s="17"/>
      <c r="K295" s="17"/>
      <c r="L295" s="17"/>
      <c r="M295" s="17"/>
      <c r="N295" s="17"/>
      <c r="O295" s="17"/>
      <c r="P295" s="17"/>
      <c r="Q295" s="17"/>
      <c r="R295" s="17"/>
      <c r="S295" s="17"/>
      <c r="T295" s="17"/>
      <c r="U295" s="17"/>
      <c r="V295" s="17"/>
      <c r="W295" s="17"/>
    </row>
    <row r="296">
      <c r="A296" s="16" t="s">
        <v>1912</v>
      </c>
      <c r="B296" s="16" t="s">
        <v>1913</v>
      </c>
      <c r="C296" s="16" t="s">
        <v>80</v>
      </c>
      <c r="D296" s="16" t="s">
        <v>1914</v>
      </c>
      <c r="E296" s="26" t="s">
        <v>81</v>
      </c>
      <c r="F296" s="17"/>
      <c r="G296" s="17"/>
      <c r="H296" s="17"/>
      <c r="I296" s="17"/>
      <c r="J296" s="17"/>
      <c r="K296" s="17"/>
      <c r="L296" s="17"/>
      <c r="M296" s="17"/>
      <c r="N296" s="17"/>
      <c r="O296" s="17"/>
      <c r="P296" s="17"/>
      <c r="Q296" s="17"/>
      <c r="R296" s="17"/>
      <c r="S296" s="17"/>
      <c r="T296" s="17"/>
      <c r="U296" s="17"/>
      <c r="V296" s="17"/>
      <c r="W296" s="17"/>
    </row>
    <row r="297">
      <c r="A297" s="16" t="s">
        <v>1915</v>
      </c>
      <c r="B297" s="16" t="s">
        <v>1916</v>
      </c>
      <c r="C297" s="16" t="s">
        <v>80</v>
      </c>
      <c r="D297" s="16" t="s">
        <v>1899</v>
      </c>
      <c r="E297" s="26" t="s">
        <v>81</v>
      </c>
      <c r="F297" s="17"/>
      <c r="G297" s="17"/>
      <c r="H297" s="17"/>
      <c r="I297" s="17"/>
      <c r="J297" s="17"/>
      <c r="K297" s="17"/>
      <c r="L297" s="17"/>
      <c r="M297" s="17"/>
      <c r="N297" s="17"/>
      <c r="O297" s="17"/>
      <c r="P297" s="17"/>
      <c r="Q297" s="17"/>
      <c r="R297" s="17"/>
      <c r="S297" s="17"/>
      <c r="T297" s="17"/>
      <c r="U297" s="17"/>
      <c r="V297" s="17"/>
      <c r="W297" s="17"/>
    </row>
    <row r="298">
      <c r="A298" s="16" t="s">
        <v>1917</v>
      </c>
      <c r="B298" s="3" t="s">
        <v>1918</v>
      </c>
      <c r="C298" s="16" t="s">
        <v>80</v>
      </c>
      <c r="D298" s="16" t="s">
        <v>1919</v>
      </c>
      <c r="E298" s="26" t="s">
        <v>81</v>
      </c>
      <c r="F298" s="3"/>
      <c r="G298" s="3"/>
      <c r="H298" s="3"/>
      <c r="I298" s="3"/>
      <c r="J298" s="5"/>
      <c r="K298" s="5"/>
      <c r="L298" s="5"/>
      <c r="M298" s="5"/>
      <c r="N298" s="5"/>
      <c r="O298" s="5"/>
      <c r="P298" s="5"/>
      <c r="Q298" s="5"/>
      <c r="R298" s="5"/>
      <c r="S298" s="5"/>
      <c r="T298" s="5"/>
      <c r="U298" s="5"/>
      <c r="V298" s="5"/>
      <c r="W298" s="5"/>
    </row>
    <row r="299">
      <c r="A299" s="3" t="s">
        <v>1920</v>
      </c>
      <c r="B299" s="3" t="s">
        <v>1921</v>
      </c>
      <c r="C299" s="16" t="s">
        <v>80</v>
      </c>
      <c r="D299" s="3" t="s">
        <v>1922</v>
      </c>
      <c r="E299" s="26" t="s">
        <v>81</v>
      </c>
      <c r="F299" s="5"/>
      <c r="G299" s="5"/>
      <c r="H299" s="5"/>
      <c r="I299" s="5"/>
      <c r="J299" s="5"/>
      <c r="K299" s="5"/>
      <c r="L299" s="5"/>
      <c r="M299" s="5"/>
      <c r="N299" s="5"/>
      <c r="O299" s="5"/>
      <c r="P299" s="5"/>
      <c r="Q299" s="5"/>
      <c r="R299" s="5"/>
      <c r="S299" s="5"/>
      <c r="T299" s="5"/>
      <c r="U299" s="5"/>
      <c r="V299" s="5"/>
      <c r="W299" s="5"/>
    </row>
    <row r="300">
      <c r="A300" s="3" t="s">
        <v>1923</v>
      </c>
      <c r="B300" s="3" t="s">
        <v>1924</v>
      </c>
      <c r="C300" s="16" t="s">
        <v>80</v>
      </c>
      <c r="D300" s="3" t="s">
        <v>1925</v>
      </c>
      <c r="E300" s="26" t="s">
        <v>81</v>
      </c>
      <c r="F300" s="5"/>
      <c r="G300" s="5"/>
      <c r="H300" s="5"/>
      <c r="I300" s="5"/>
      <c r="J300" s="5"/>
      <c r="K300" s="5"/>
      <c r="L300" s="5"/>
      <c r="M300" s="5"/>
      <c r="N300" s="5"/>
      <c r="O300" s="5"/>
      <c r="P300" s="5"/>
      <c r="Q300" s="5"/>
      <c r="R300" s="5"/>
      <c r="S300" s="5"/>
      <c r="T300" s="5"/>
      <c r="U300" s="5"/>
      <c r="V300" s="5"/>
      <c r="W300" s="5"/>
    </row>
    <row r="301">
      <c r="A301" s="3" t="s">
        <v>1926</v>
      </c>
      <c r="B301" s="3" t="s">
        <v>1504</v>
      </c>
      <c r="C301" s="16" t="s">
        <v>80</v>
      </c>
      <c r="D301" s="3" t="s">
        <v>1927</v>
      </c>
      <c r="E301" s="26" t="s">
        <v>81</v>
      </c>
      <c r="F301" s="5"/>
      <c r="G301" s="5"/>
      <c r="H301" s="5"/>
      <c r="I301" s="5"/>
      <c r="J301" s="5"/>
      <c r="K301" s="5"/>
      <c r="L301" s="5"/>
      <c r="M301" s="5"/>
      <c r="N301" s="5"/>
      <c r="O301" s="5"/>
      <c r="P301" s="5"/>
      <c r="Q301" s="5"/>
      <c r="R301" s="5"/>
      <c r="S301" s="5"/>
      <c r="T301" s="5"/>
      <c r="U301" s="5"/>
      <c r="V301" s="5"/>
      <c r="W301" s="5"/>
    </row>
    <row r="302">
      <c r="A302" s="3" t="s">
        <v>1928</v>
      </c>
      <c r="B302" s="3" t="s">
        <v>1929</v>
      </c>
      <c r="C302" s="16" t="s">
        <v>80</v>
      </c>
      <c r="D302" s="3" t="s">
        <v>1930</v>
      </c>
      <c r="E302" s="26" t="s">
        <v>81</v>
      </c>
      <c r="F302" s="5"/>
      <c r="G302" s="5"/>
      <c r="H302" s="5"/>
      <c r="I302" s="5"/>
      <c r="J302" s="5"/>
      <c r="K302" s="5"/>
      <c r="L302" s="5"/>
      <c r="M302" s="5"/>
      <c r="N302" s="5"/>
      <c r="O302" s="5"/>
      <c r="P302" s="5"/>
      <c r="Q302" s="5"/>
      <c r="R302" s="5"/>
      <c r="S302" s="5"/>
      <c r="T302" s="5"/>
      <c r="U302" s="5"/>
      <c r="V302" s="5"/>
      <c r="W302" s="5"/>
    </row>
    <row r="303">
      <c r="A303" s="3" t="s">
        <v>1931</v>
      </c>
      <c r="B303" s="3" t="s">
        <v>1932</v>
      </c>
      <c r="C303" s="16" t="s">
        <v>80</v>
      </c>
      <c r="D303" s="3" t="s">
        <v>1933</v>
      </c>
      <c r="E303" s="26" t="s">
        <v>81</v>
      </c>
      <c r="F303" s="5"/>
      <c r="G303" s="5"/>
      <c r="H303" s="5"/>
      <c r="I303" s="5"/>
      <c r="J303" s="5"/>
      <c r="K303" s="5"/>
      <c r="L303" s="5"/>
      <c r="M303" s="5"/>
      <c r="N303" s="5"/>
      <c r="O303" s="5"/>
      <c r="P303" s="5"/>
      <c r="Q303" s="5"/>
      <c r="R303" s="5"/>
      <c r="S303" s="5"/>
      <c r="T303" s="5"/>
      <c r="U303" s="5"/>
      <c r="V303" s="5"/>
      <c r="W303" s="5"/>
    </row>
    <row r="304">
      <c r="A304" s="3" t="s">
        <v>1934</v>
      </c>
      <c r="B304" s="3" t="s">
        <v>1935</v>
      </c>
      <c r="C304" s="16" t="s">
        <v>80</v>
      </c>
      <c r="D304" s="3" t="s">
        <v>1936</v>
      </c>
      <c r="E304" s="26" t="s">
        <v>81</v>
      </c>
      <c r="F304" s="5"/>
      <c r="G304" s="5"/>
      <c r="H304" s="5"/>
      <c r="I304" s="5"/>
      <c r="J304" s="5"/>
      <c r="K304" s="5"/>
      <c r="L304" s="5"/>
      <c r="M304" s="5"/>
      <c r="N304" s="5"/>
      <c r="O304" s="5"/>
      <c r="P304" s="5"/>
      <c r="Q304" s="5"/>
      <c r="R304" s="5"/>
      <c r="S304" s="5"/>
      <c r="T304" s="5"/>
      <c r="U304" s="5"/>
      <c r="V304" s="5"/>
      <c r="W304" s="5"/>
    </row>
    <row r="305">
      <c r="A305" s="3" t="s">
        <v>1937</v>
      </c>
      <c r="B305" s="3" t="s">
        <v>1938</v>
      </c>
      <c r="C305" s="3" t="s">
        <v>80</v>
      </c>
      <c r="D305" s="3" t="s">
        <v>1939</v>
      </c>
      <c r="E305" s="26" t="s">
        <v>81</v>
      </c>
      <c r="F305" s="5"/>
      <c r="G305" s="5"/>
      <c r="H305" s="5"/>
      <c r="I305" s="5"/>
      <c r="J305" s="5"/>
      <c r="K305" s="5"/>
      <c r="L305" s="5"/>
      <c r="M305" s="5"/>
      <c r="N305" s="5"/>
      <c r="O305" s="5"/>
      <c r="P305" s="5"/>
      <c r="Q305" s="5"/>
      <c r="R305" s="5"/>
      <c r="S305" s="5"/>
      <c r="T305" s="5"/>
      <c r="U305" s="5"/>
      <c r="V305" s="5"/>
      <c r="W305" s="5"/>
    </row>
    <row r="306">
      <c r="A306" s="20" t="s">
        <v>1940</v>
      </c>
      <c r="B306" s="20" t="s">
        <v>1941</v>
      </c>
      <c r="C306" s="20" t="s">
        <v>80</v>
      </c>
      <c r="D306" s="20" t="s">
        <v>1942</v>
      </c>
      <c r="E306" s="26" t="s">
        <v>81</v>
      </c>
      <c r="F306" s="22"/>
      <c r="G306" s="22"/>
      <c r="H306" s="22"/>
      <c r="I306" s="22"/>
      <c r="J306" s="22"/>
      <c r="K306" s="22"/>
      <c r="L306" s="22"/>
      <c r="M306" s="22"/>
      <c r="N306" s="22"/>
      <c r="O306" s="22"/>
      <c r="P306" s="22"/>
      <c r="Q306" s="22"/>
      <c r="R306" s="22"/>
      <c r="S306" s="22"/>
      <c r="T306" s="22"/>
      <c r="U306" s="22"/>
      <c r="V306" s="22"/>
      <c r="W306" s="22"/>
    </row>
    <row r="307">
      <c r="A307" s="3" t="s">
        <v>1943</v>
      </c>
      <c r="B307" s="3" t="s">
        <v>1944</v>
      </c>
      <c r="C307" s="3" t="s">
        <v>80</v>
      </c>
      <c r="D307" s="3" t="s">
        <v>1945</v>
      </c>
      <c r="E307" s="26" t="s">
        <v>81</v>
      </c>
      <c r="F307" s="5"/>
      <c r="G307" s="5"/>
      <c r="H307" s="5"/>
      <c r="I307" s="5"/>
      <c r="J307" s="5"/>
      <c r="K307" s="5"/>
      <c r="L307" s="5"/>
      <c r="M307" s="5"/>
      <c r="N307" s="5"/>
      <c r="O307" s="5"/>
      <c r="P307" s="5"/>
      <c r="Q307" s="5"/>
      <c r="R307" s="5"/>
      <c r="S307" s="5"/>
      <c r="T307" s="5"/>
      <c r="U307" s="5"/>
      <c r="V307" s="5"/>
      <c r="W307" s="5"/>
    </row>
    <row r="308">
      <c r="A308" s="3" t="s">
        <v>1946</v>
      </c>
      <c r="B308" s="3" t="s">
        <v>1947</v>
      </c>
      <c r="C308" s="3" t="s">
        <v>80</v>
      </c>
      <c r="D308" s="3" t="s">
        <v>1948</v>
      </c>
      <c r="E308" s="26" t="s">
        <v>81</v>
      </c>
      <c r="F308" s="5"/>
      <c r="G308" s="5"/>
      <c r="H308" s="5"/>
      <c r="I308" s="5"/>
      <c r="J308" s="5"/>
      <c r="K308" s="5"/>
      <c r="L308" s="5"/>
      <c r="M308" s="5"/>
      <c r="N308" s="5"/>
      <c r="O308" s="5"/>
      <c r="P308" s="5"/>
      <c r="Q308" s="5"/>
      <c r="R308" s="5"/>
      <c r="S308" s="5"/>
      <c r="T308" s="5"/>
      <c r="U308" s="5"/>
      <c r="V308" s="5"/>
      <c r="W308" s="5"/>
    </row>
    <row r="309">
      <c r="A309" s="3" t="s">
        <v>1949</v>
      </c>
      <c r="B309" s="3" t="s">
        <v>1950</v>
      </c>
      <c r="C309" s="3" t="s">
        <v>80</v>
      </c>
      <c r="D309" s="3" t="s">
        <v>1951</v>
      </c>
      <c r="E309" s="26" t="s">
        <v>81</v>
      </c>
      <c r="F309" s="5"/>
      <c r="G309" s="5"/>
      <c r="H309" s="5"/>
      <c r="I309" s="5"/>
      <c r="J309" s="5"/>
      <c r="K309" s="5"/>
      <c r="L309" s="5"/>
      <c r="M309" s="5"/>
      <c r="N309" s="5"/>
      <c r="O309" s="5"/>
      <c r="P309" s="5"/>
      <c r="Q309" s="5"/>
      <c r="R309" s="5"/>
      <c r="S309" s="5"/>
      <c r="T309" s="5"/>
      <c r="U309" s="5"/>
      <c r="V309" s="5"/>
      <c r="W309" s="5"/>
    </row>
    <row r="310">
      <c r="A310" s="3" t="s">
        <v>1952</v>
      </c>
      <c r="B310" s="3" t="s">
        <v>1953</v>
      </c>
      <c r="C310" s="3" t="s">
        <v>80</v>
      </c>
      <c r="D310" s="3" t="s">
        <v>1954</v>
      </c>
      <c r="E310" s="26" t="s">
        <v>81</v>
      </c>
      <c r="F310" s="5"/>
      <c r="G310" s="5"/>
      <c r="H310" s="5"/>
      <c r="I310" s="5"/>
      <c r="J310" s="5"/>
      <c r="K310" s="5"/>
      <c r="L310" s="5"/>
      <c r="M310" s="5"/>
      <c r="N310" s="5"/>
      <c r="O310" s="5"/>
      <c r="P310" s="5"/>
      <c r="Q310" s="5"/>
      <c r="R310" s="5"/>
      <c r="S310" s="5"/>
      <c r="T310" s="5"/>
      <c r="U310" s="5"/>
      <c r="V310" s="5"/>
      <c r="W310" s="5"/>
    </row>
    <row r="311">
      <c r="A311" s="3" t="s">
        <v>1955</v>
      </c>
      <c r="B311" s="3" t="s">
        <v>1956</v>
      </c>
      <c r="C311" s="3" t="s">
        <v>80</v>
      </c>
      <c r="D311" s="3" t="s">
        <v>1957</v>
      </c>
      <c r="E311" s="26" t="s">
        <v>81</v>
      </c>
      <c r="F311" s="5"/>
      <c r="G311" s="5"/>
      <c r="H311" s="5"/>
      <c r="I311" s="5"/>
      <c r="J311" s="5"/>
      <c r="K311" s="5"/>
      <c r="L311" s="5"/>
      <c r="M311" s="5"/>
      <c r="N311" s="5"/>
      <c r="O311" s="5"/>
      <c r="P311" s="5"/>
      <c r="Q311" s="5"/>
      <c r="R311" s="5"/>
      <c r="S311" s="5"/>
      <c r="T311" s="5"/>
      <c r="U311" s="5"/>
      <c r="V311" s="5"/>
      <c r="W311" s="5"/>
    </row>
    <row r="312">
      <c r="A312" s="3" t="s">
        <v>1958</v>
      </c>
      <c r="B312" s="3" t="s">
        <v>1959</v>
      </c>
      <c r="C312" s="3" t="s">
        <v>82</v>
      </c>
      <c r="D312" s="3" t="s">
        <v>1960</v>
      </c>
      <c r="E312" s="26" t="s">
        <v>83</v>
      </c>
      <c r="F312" s="5"/>
      <c r="G312" s="5"/>
      <c r="H312" s="5"/>
      <c r="I312" s="5"/>
      <c r="J312" s="5"/>
      <c r="K312" s="5"/>
      <c r="L312" s="5"/>
      <c r="M312" s="5"/>
      <c r="N312" s="5"/>
      <c r="O312" s="5"/>
      <c r="P312" s="5"/>
      <c r="Q312" s="5"/>
      <c r="R312" s="5"/>
      <c r="S312" s="5"/>
      <c r="T312" s="5"/>
      <c r="U312" s="5"/>
      <c r="V312" s="5"/>
      <c r="W312" s="5"/>
    </row>
    <row r="313">
      <c r="A313" s="16" t="s">
        <v>1961</v>
      </c>
      <c r="B313" s="16" t="s">
        <v>1962</v>
      </c>
      <c r="C313" s="3" t="s">
        <v>82</v>
      </c>
      <c r="D313" s="16" t="s">
        <v>1963</v>
      </c>
      <c r="E313" s="26" t="s">
        <v>83</v>
      </c>
      <c r="F313" s="17"/>
      <c r="G313" s="17"/>
      <c r="H313" s="17"/>
      <c r="I313" s="17"/>
      <c r="J313" s="17"/>
      <c r="K313" s="17"/>
      <c r="L313" s="17"/>
      <c r="M313" s="17"/>
      <c r="N313" s="17"/>
      <c r="O313" s="17"/>
      <c r="P313" s="17"/>
      <c r="Q313" s="17"/>
      <c r="R313" s="17"/>
      <c r="S313" s="17"/>
      <c r="T313" s="17"/>
      <c r="U313" s="17"/>
      <c r="V313" s="17"/>
      <c r="W313" s="17"/>
    </row>
    <row r="314">
      <c r="A314" s="16" t="s">
        <v>1964</v>
      </c>
      <c r="B314" s="16" t="s">
        <v>1965</v>
      </c>
      <c r="C314" s="3" t="s">
        <v>1966</v>
      </c>
      <c r="D314" s="16" t="s">
        <v>1967</v>
      </c>
      <c r="E314" s="26" t="s">
        <v>83</v>
      </c>
      <c r="F314" s="17"/>
      <c r="G314" s="17"/>
      <c r="H314" s="17"/>
      <c r="I314" s="17"/>
      <c r="J314" s="17"/>
      <c r="K314" s="17"/>
      <c r="L314" s="17"/>
      <c r="M314" s="17"/>
      <c r="N314" s="17"/>
      <c r="O314" s="17"/>
      <c r="P314" s="17"/>
      <c r="Q314" s="17"/>
      <c r="R314" s="17"/>
      <c r="S314" s="17"/>
      <c r="T314" s="17"/>
      <c r="U314" s="17"/>
      <c r="V314" s="17"/>
      <c r="W314" s="17"/>
    </row>
    <row r="315">
      <c r="A315" s="16" t="s">
        <v>1968</v>
      </c>
      <c r="B315" s="16" t="s">
        <v>1969</v>
      </c>
      <c r="C315" s="3" t="s">
        <v>1970</v>
      </c>
      <c r="D315" s="16" t="s">
        <v>1971</v>
      </c>
      <c r="E315" s="26" t="s">
        <v>83</v>
      </c>
      <c r="F315" s="17"/>
      <c r="G315" s="17"/>
      <c r="H315" s="17"/>
      <c r="I315" s="17"/>
      <c r="J315" s="17"/>
      <c r="K315" s="17"/>
      <c r="L315" s="17"/>
      <c r="M315" s="17"/>
      <c r="N315" s="17"/>
      <c r="O315" s="17"/>
      <c r="P315" s="17"/>
      <c r="Q315" s="17"/>
      <c r="R315" s="17"/>
      <c r="S315" s="17"/>
      <c r="T315" s="17"/>
      <c r="U315" s="17"/>
      <c r="V315" s="17"/>
      <c r="W315" s="17"/>
    </row>
    <row r="316">
      <c r="A316" s="16" t="s">
        <v>1972</v>
      </c>
      <c r="B316" s="16" t="s">
        <v>1973</v>
      </c>
      <c r="C316" s="3" t="s">
        <v>1974</v>
      </c>
      <c r="D316" s="16" t="s">
        <v>1975</v>
      </c>
      <c r="E316" s="26" t="s">
        <v>83</v>
      </c>
      <c r="F316" s="17"/>
      <c r="G316" s="17"/>
      <c r="H316" s="17"/>
      <c r="I316" s="17"/>
      <c r="J316" s="17"/>
      <c r="K316" s="17"/>
      <c r="L316" s="17"/>
      <c r="M316" s="17"/>
      <c r="N316" s="17"/>
      <c r="O316" s="17"/>
      <c r="P316" s="17"/>
      <c r="Q316" s="17"/>
      <c r="R316" s="17"/>
      <c r="S316" s="17"/>
      <c r="T316" s="17"/>
      <c r="U316" s="17"/>
      <c r="V316" s="17"/>
      <c r="W316" s="17"/>
    </row>
    <row r="317">
      <c r="A317" s="16" t="s">
        <v>1976</v>
      </c>
      <c r="B317" s="16" t="s">
        <v>1977</v>
      </c>
      <c r="C317" s="3" t="s">
        <v>1978</v>
      </c>
      <c r="D317" s="16" t="s">
        <v>1979</v>
      </c>
      <c r="E317" s="26" t="s">
        <v>83</v>
      </c>
      <c r="F317" s="17"/>
      <c r="G317" s="17"/>
      <c r="H317" s="17"/>
      <c r="I317" s="17"/>
      <c r="J317" s="17"/>
      <c r="K317" s="17"/>
      <c r="L317" s="17"/>
      <c r="M317" s="17"/>
      <c r="N317" s="17"/>
      <c r="O317" s="17"/>
      <c r="P317" s="17"/>
      <c r="Q317" s="17"/>
      <c r="R317" s="17"/>
      <c r="S317" s="17"/>
      <c r="T317" s="17"/>
      <c r="U317" s="17"/>
      <c r="V317" s="17"/>
      <c r="W317" s="17"/>
    </row>
    <row r="318">
      <c r="A318" s="16" t="s">
        <v>1980</v>
      </c>
      <c r="B318" s="16" t="s">
        <v>1981</v>
      </c>
      <c r="C318" s="3" t="s">
        <v>1982</v>
      </c>
      <c r="D318" s="16" t="s">
        <v>1983</v>
      </c>
      <c r="E318" s="26" t="s">
        <v>83</v>
      </c>
      <c r="F318" s="17"/>
      <c r="G318" s="17"/>
      <c r="H318" s="17"/>
      <c r="I318" s="17"/>
      <c r="J318" s="17"/>
      <c r="K318" s="17"/>
      <c r="L318" s="17"/>
      <c r="M318" s="17"/>
      <c r="N318" s="17"/>
      <c r="O318" s="17"/>
      <c r="P318" s="17"/>
      <c r="Q318" s="17"/>
      <c r="R318" s="17"/>
      <c r="S318" s="17"/>
      <c r="T318" s="17"/>
      <c r="U318" s="17"/>
      <c r="V318" s="17"/>
      <c r="W318" s="17"/>
    </row>
    <row r="319">
      <c r="A319" s="16" t="s">
        <v>1984</v>
      </c>
      <c r="B319" s="16" t="s">
        <v>1985</v>
      </c>
      <c r="C319" s="3" t="s">
        <v>1986</v>
      </c>
      <c r="D319" s="16" t="s">
        <v>1987</v>
      </c>
      <c r="E319" s="26" t="s">
        <v>83</v>
      </c>
      <c r="F319" s="17"/>
      <c r="G319" s="17"/>
      <c r="H319" s="17"/>
      <c r="I319" s="17"/>
      <c r="J319" s="17"/>
      <c r="K319" s="17"/>
      <c r="L319" s="17"/>
      <c r="M319" s="17"/>
      <c r="N319" s="17"/>
      <c r="O319" s="17"/>
      <c r="P319" s="17"/>
      <c r="Q319" s="17"/>
      <c r="R319" s="17"/>
      <c r="S319" s="17"/>
      <c r="T319" s="17"/>
      <c r="U319" s="17"/>
      <c r="V319" s="17"/>
      <c r="W319" s="17"/>
    </row>
    <row r="320">
      <c r="A320" s="16" t="s">
        <v>1988</v>
      </c>
      <c r="B320" s="16" t="s">
        <v>1989</v>
      </c>
      <c r="C320" s="3" t="s">
        <v>1990</v>
      </c>
      <c r="D320" s="16" t="s">
        <v>1991</v>
      </c>
      <c r="E320" s="26" t="s">
        <v>83</v>
      </c>
      <c r="F320" s="17"/>
      <c r="G320" s="17"/>
      <c r="H320" s="17"/>
      <c r="I320" s="17"/>
      <c r="J320" s="17"/>
      <c r="K320" s="17"/>
      <c r="L320" s="17"/>
      <c r="M320" s="17"/>
      <c r="N320" s="17"/>
      <c r="O320" s="17"/>
      <c r="P320" s="17"/>
      <c r="Q320" s="17"/>
      <c r="R320" s="17"/>
      <c r="S320" s="17"/>
      <c r="T320" s="17"/>
      <c r="U320" s="17"/>
      <c r="V320" s="17"/>
      <c r="W320" s="17"/>
    </row>
    <row r="321">
      <c r="A321" s="16" t="s">
        <v>1992</v>
      </c>
      <c r="B321" s="16" t="s">
        <v>1993</v>
      </c>
      <c r="C321" s="3" t="s">
        <v>1994</v>
      </c>
      <c r="D321" s="16" t="s">
        <v>1995</v>
      </c>
      <c r="E321" s="26" t="s">
        <v>83</v>
      </c>
      <c r="F321" s="17"/>
      <c r="G321" s="17"/>
      <c r="H321" s="17"/>
      <c r="I321" s="17"/>
      <c r="J321" s="17"/>
      <c r="K321" s="17"/>
      <c r="L321" s="17"/>
      <c r="M321" s="17"/>
      <c r="N321" s="17"/>
      <c r="O321" s="17"/>
      <c r="P321" s="17"/>
      <c r="Q321" s="17"/>
      <c r="R321" s="17"/>
      <c r="S321" s="17"/>
      <c r="T321" s="17"/>
      <c r="U321" s="17"/>
      <c r="V321" s="17"/>
      <c r="W321" s="17"/>
    </row>
    <row r="322">
      <c r="A322" s="16" t="s">
        <v>1996</v>
      </c>
      <c r="B322" s="16" t="s">
        <v>1997</v>
      </c>
      <c r="C322" s="3" t="s">
        <v>1998</v>
      </c>
      <c r="D322" s="16" t="s">
        <v>1999</v>
      </c>
      <c r="E322" s="26" t="s">
        <v>83</v>
      </c>
      <c r="F322" s="17"/>
      <c r="G322" s="17"/>
      <c r="H322" s="17"/>
      <c r="I322" s="17"/>
      <c r="J322" s="17"/>
      <c r="K322" s="17"/>
      <c r="L322" s="17"/>
      <c r="M322" s="17"/>
      <c r="N322" s="17"/>
      <c r="O322" s="17"/>
      <c r="P322" s="17"/>
      <c r="Q322" s="17"/>
      <c r="R322" s="17"/>
      <c r="S322" s="17"/>
      <c r="T322" s="17"/>
      <c r="U322" s="17"/>
      <c r="V322" s="17"/>
      <c r="W322" s="17"/>
    </row>
    <row r="323">
      <c r="A323" s="3" t="s">
        <v>2000</v>
      </c>
      <c r="B323" s="3" t="s">
        <v>2001</v>
      </c>
      <c r="C323" s="3" t="s">
        <v>82</v>
      </c>
      <c r="D323" s="3" t="s">
        <v>2002</v>
      </c>
      <c r="E323" s="26" t="s">
        <v>83</v>
      </c>
      <c r="F323" s="3"/>
      <c r="G323" s="5"/>
      <c r="H323" s="5"/>
      <c r="I323" s="5"/>
      <c r="J323" s="5"/>
      <c r="K323" s="5"/>
      <c r="L323" s="5"/>
      <c r="M323" s="5"/>
      <c r="N323" s="5"/>
      <c r="O323" s="5"/>
      <c r="P323" s="5"/>
      <c r="Q323" s="5"/>
      <c r="R323" s="5"/>
      <c r="S323" s="5"/>
      <c r="T323" s="5"/>
      <c r="U323" s="5"/>
      <c r="V323" s="5"/>
      <c r="W323" s="5"/>
    </row>
    <row r="324">
      <c r="A324" s="20" t="s">
        <v>2003</v>
      </c>
      <c r="B324" s="20" t="s">
        <v>2004</v>
      </c>
      <c r="C324" s="3" t="s">
        <v>82</v>
      </c>
      <c r="D324" s="20" t="s">
        <v>2005</v>
      </c>
      <c r="E324" s="26" t="s">
        <v>83</v>
      </c>
      <c r="F324" s="22"/>
      <c r="G324" s="22"/>
      <c r="H324" s="22"/>
      <c r="I324" s="22"/>
      <c r="J324" s="22"/>
      <c r="K324" s="22"/>
      <c r="L324" s="22"/>
      <c r="M324" s="22"/>
      <c r="N324" s="22"/>
      <c r="O324" s="22"/>
      <c r="P324" s="22"/>
      <c r="Q324" s="22"/>
      <c r="R324" s="22"/>
      <c r="S324" s="22"/>
      <c r="T324" s="22"/>
      <c r="U324" s="22"/>
      <c r="V324" s="22"/>
      <c r="W324" s="22"/>
    </row>
    <row r="325">
      <c r="A325" s="3" t="s">
        <v>2006</v>
      </c>
      <c r="B325" s="3" t="s">
        <v>2007</v>
      </c>
      <c r="C325" s="3" t="s">
        <v>82</v>
      </c>
      <c r="D325" s="3" t="s">
        <v>2008</v>
      </c>
      <c r="E325" s="26" t="s">
        <v>83</v>
      </c>
      <c r="F325" s="5"/>
      <c r="G325" s="5"/>
      <c r="H325" s="5"/>
      <c r="I325" s="5"/>
      <c r="J325" s="5"/>
      <c r="K325" s="5"/>
      <c r="L325" s="5"/>
      <c r="M325" s="5"/>
      <c r="N325" s="5"/>
      <c r="O325" s="5"/>
      <c r="P325" s="5"/>
      <c r="Q325" s="5"/>
      <c r="R325" s="5"/>
      <c r="S325" s="5"/>
      <c r="T325" s="5"/>
      <c r="U325" s="5"/>
      <c r="V325" s="5"/>
      <c r="W325" s="5"/>
    </row>
    <row r="326">
      <c r="A326" s="3" t="s">
        <v>2009</v>
      </c>
      <c r="B326" s="3" t="s">
        <v>2010</v>
      </c>
      <c r="C326" s="3" t="s">
        <v>82</v>
      </c>
      <c r="D326" s="3" t="s">
        <v>2011</v>
      </c>
      <c r="E326" s="26" t="s">
        <v>83</v>
      </c>
      <c r="F326" s="5"/>
      <c r="G326" s="5"/>
      <c r="H326" s="5"/>
      <c r="I326" s="5"/>
      <c r="J326" s="5"/>
      <c r="K326" s="5"/>
      <c r="L326" s="5"/>
      <c r="M326" s="5"/>
      <c r="N326" s="5"/>
      <c r="O326" s="5"/>
      <c r="P326" s="5"/>
      <c r="Q326" s="5"/>
      <c r="R326" s="5"/>
      <c r="S326" s="5"/>
      <c r="T326" s="5"/>
      <c r="U326" s="5"/>
      <c r="V326" s="5"/>
      <c r="W326" s="5"/>
    </row>
    <row r="327">
      <c r="A327" s="3" t="s">
        <v>2012</v>
      </c>
      <c r="B327" s="3" t="s">
        <v>2013</v>
      </c>
      <c r="C327" s="3" t="s">
        <v>82</v>
      </c>
      <c r="D327" s="3" t="s">
        <v>2014</v>
      </c>
      <c r="E327" s="26" t="s">
        <v>83</v>
      </c>
      <c r="F327" s="5"/>
      <c r="G327" s="5"/>
      <c r="H327" s="5"/>
      <c r="I327" s="5"/>
      <c r="J327" s="5"/>
      <c r="K327" s="5"/>
      <c r="L327" s="5"/>
      <c r="M327" s="5"/>
      <c r="N327" s="5"/>
      <c r="O327" s="5"/>
      <c r="P327" s="5"/>
      <c r="Q327" s="5"/>
      <c r="R327" s="5"/>
      <c r="S327" s="5"/>
      <c r="T327" s="5"/>
      <c r="U327" s="5"/>
      <c r="V327" s="5"/>
      <c r="W327" s="5"/>
    </row>
    <row r="328">
      <c r="A328" s="3" t="s">
        <v>2015</v>
      </c>
      <c r="B328" s="3" t="s">
        <v>2016</v>
      </c>
      <c r="C328" s="3" t="s">
        <v>82</v>
      </c>
      <c r="D328" s="3" t="s">
        <v>2017</v>
      </c>
      <c r="E328" s="26" t="s">
        <v>83</v>
      </c>
      <c r="F328" s="5"/>
      <c r="G328" s="5"/>
      <c r="H328" s="5"/>
      <c r="I328" s="5"/>
      <c r="J328" s="5"/>
      <c r="K328" s="5"/>
      <c r="L328" s="5"/>
      <c r="M328" s="5"/>
      <c r="N328" s="5"/>
      <c r="O328" s="5"/>
      <c r="P328" s="5"/>
      <c r="Q328" s="5"/>
      <c r="R328" s="5"/>
      <c r="S328" s="5"/>
      <c r="T328" s="5"/>
      <c r="U328" s="5"/>
      <c r="V328" s="5"/>
      <c r="W328" s="5"/>
    </row>
    <row r="329">
      <c r="A329" s="3" t="s">
        <v>2018</v>
      </c>
      <c r="B329" s="3" t="s">
        <v>2019</v>
      </c>
      <c r="C329" s="3" t="s">
        <v>82</v>
      </c>
      <c r="D329" s="3" t="s">
        <v>2020</v>
      </c>
      <c r="E329" s="26" t="s">
        <v>83</v>
      </c>
      <c r="F329" s="5"/>
      <c r="G329" s="5"/>
      <c r="H329" s="5"/>
      <c r="I329" s="5"/>
      <c r="J329" s="5"/>
      <c r="K329" s="5"/>
      <c r="L329" s="5"/>
      <c r="M329" s="5"/>
      <c r="N329" s="5"/>
      <c r="O329" s="5"/>
      <c r="P329" s="5"/>
      <c r="Q329" s="5"/>
      <c r="R329" s="5"/>
      <c r="S329" s="5"/>
      <c r="T329" s="5"/>
      <c r="U329" s="5"/>
      <c r="V329" s="5"/>
      <c r="W329" s="5"/>
    </row>
    <row r="330">
      <c r="A330" s="3" t="s">
        <v>2021</v>
      </c>
      <c r="B330" s="3" t="s">
        <v>2022</v>
      </c>
      <c r="C330" s="3" t="s">
        <v>82</v>
      </c>
      <c r="D330" s="3" t="s">
        <v>2023</v>
      </c>
      <c r="E330" s="26" t="s">
        <v>83</v>
      </c>
      <c r="F330" s="5"/>
      <c r="G330" s="5"/>
      <c r="H330" s="5"/>
      <c r="I330" s="5"/>
      <c r="J330" s="5"/>
      <c r="K330" s="5"/>
      <c r="L330" s="5"/>
      <c r="M330" s="5"/>
      <c r="N330" s="5"/>
      <c r="O330" s="5"/>
      <c r="P330" s="5"/>
      <c r="Q330" s="5"/>
      <c r="R330" s="5"/>
      <c r="S330" s="5"/>
      <c r="T330" s="5"/>
      <c r="U330" s="5"/>
      <c r="V330" s="5"/>
      <c r="W330" s="5"/>
    </row>
    <row r="331">
      <c r="A331" s="3" t="s">
        <v>2024</v>
      </c>
      <c r="B331" s="3" t="s">
        <v>2025</v>
      </c>
      <c r="C331" s="3" t="s">
        <v>82</v>
      </c>
      <c r="D331" s="3" t="s">
        <v>2026</v>
      </c>
      <c r="E331" s="26" t="s">
        <v>83</v>
      </c>
      <c r="F331" s="5"/>
      <c r="G331" s="5"/>
      <c r="H331" s="5"/>
      <c r="I331" s="5"/>
      <c r="J331" s="5"/>
      <c r="K331" s="5"/>
      <c r="L331" s="5"/>
      <c r="M331" s="5"/>
      <c r="N331" s="5"/>
      <c r="O331" s="5"/>
      <c r="P331" s="5"/>
      <c r="Q331" s="5"/>
      <c r="R331" s="5"/>
      <c r="S331" s="5"/>
      <c r="T331" s="5"/>
      <c r="U331" s="5"/>
      <c r="V331" s="5"/>
      <c r="W331" s="5"/>
    </row>
    <row r="332">
      <c r="A332" s="3" t="s">
        <v>2027</v>
      </c>
      <c r="B332" s="3" t="s">
        <v>2028</v>
      </c>
      <c r="C332" s="3" t="s">
        <v>82</v>
      </c>
      <c r="D332" s="3" t="s">
        <v>2029</v>
      </c>
      <c r="E332" s="26" t="s">
        <v>83</v>
      </c>
      <c r="F332" s="5"/>
      <c r="G332" s="5"/>
      <c r="H332" s="5"/>
      <c r="I332" s="5"/>
      <c r="J332" s="5"/>
      <c r="K332" s="5"/>
      <c r="L332" s="5"/>
      <c r="M332" s="5"/>
      <c r="N332" s="5"/>
      <c r="O332" s="5"/>
      <c r="P332" s="5"/>
      <c r="Q332" s="5"/>
      <c r="R332" s="5"/>
      <c r="S332" s="5"/>
      <c r="T332" s="5"/>
      <c r="U332" s="5"/>
      <c r="V332" s="5"/>
      <c r="W332" s="5"/>
    </row>
    <row r="333">
      <c r="A333" s="3" t="s">
        <v>2030</v>
      </c>
      <c r="B333" s="3" t="s">
        <v>2031</v>
      </c>
      <c r="C333" s="3" t="s">
        <v>82</v>
      </c>
      <c r="D333" s="3" t="s">
        <v>2032</v>
      </c>
      <c r="E333" s="26" t="s">
        <v>83</v>
      </c>
      <c r="F333" s="5"/>
      <c r="G333" s="5"/>
      <c r="H333" s="5"/>
      <c r="I333" s="5"/>
      <c r="J333" s="5"/>
      <c r="K333" s="5"/>
      <c r="L333" s="5"/>
      <c r="M333" s="5"/>
      <c r="N333" s="5"/>
      <c r="O333" s="5"/>
      <c r="P333" s="5"/>
      <c r="Q333" s="5"/>
      <c r="R333" s="5"/>
      <c r="S333" s="5"/>
      <c r="T333" s="5"/>
      <c r="U333" s="5"/>
      <c r="V333" s="5"/>
      <c r="W333" s="5"/>
    </row>
    <row r="334">
      <c r="A334" s="3" t="s">
        <v>2033</v>
      </c>
      <c r="B334" s="3" t="s">
        <v>2034</v>
      </c>
      <c r="C334" s="3" t="s">
        <v>82</v>
      </c>
      <c r="D334" s="3" t="s">
        <v>2035</v>
      </c>
      <c r="E334" s="26" t="s">
        <v>83</v>
      </c>
      <c r="F334" s="5"/>
      <c r="G334" s="5"/>
      <c r="H334" s="5"/>
      <c r="I334" s="5"/>
      <c r="J334" s="5"/>
      <c r="K334" s="5"/>
      <c r="L334" s="5"/>
      <c r="M334" s="5"/>
      <c r="N334" s="5"/>
      <c r="O334" s="5"/>
      <c r="P334" s="5"/>
      <c r="Q334" s="5"/>
      <c r="R334" s="5"/>
      <c r="S334" s="5"/>
      <c r="T334" s="5"/>
      <c r="U334" s="5"/>
      <c r="V334" s="5"/>
      <c r="W334" s="5"/>
    </row>
    <row r="335">
      <c r="A335" s="3" t="s">
        <v>2036</v>
      </c>
      <c r="B335" s="3" t="s">
        <v>2037</v>
      </c>
      <c r="C335" s="3" t="s">
        <v>82</v>
      </c>
      <c r="D335" s="3" t="s">
        <v>2038</v>
      </c>
      <c r="E335" s="26" t="s">
        <v>83</v>
      </c>
      <c r="F335" s="5"/>
      <c r="G335" s="5"/>
      <c r="H335" s="5"/>
      <c r="I335" s="5"/>
      <c r="J335" s="5"/>
      <c r="K335" s="5"/>
      <c r="L335" s="5"/>
      <c r="M335" s="5"/>
      <c r="N335" s="5"/>
      <c r="O335" s="5"/>
      <c r="P335" s="5"/>
      <c r="Q335" s="5"/>
      <c r="R335" s="5"/>
      <c r="S335" s="5"/>
      <c r="T335" s="5"/>
      <c r="U335" s="5"/>
      <c r="V335" s="5"/>
      <c r="W335" s="5"/>
    </row>
    <row r="336">
      <c r="A336" s="3" t="s">
        <v>2039</v>
      </c>
      <c r="B336" s="3" t="s">
        <v>2040</v>
      </c>
      <c r="C336" s="3" t="s">
        <v>82</v>
      </c>
      <c r="D336" s="3" t="s">
        <v>2041</v>
      </c>
      <c r="E336" s="26" t="s">
        <v>83</v>
      </c>
      <c r="F336" s="5"/>
      <c r="G336" s="5"/>
      <c r="H336" s="5"/>
      <c r="I336" s="5"/>
      <c r="J336" s="5"/>
      <c r="K336" s="5"/>
      <c r="L336" s="5"/>
      <c r="M336" s="5"/>
      <c r="N336" s="5"/>
      <c r="O336" s="5"/>
      <c r="P336" s="5"/>
      <c r="Q336" s="5"/>
      <c r="R336" s="5"/>
      <c r="S336" s="5"/>
      <c r="T336" s="5"/>
      <c r="U336" s="5"/>
      <c r="V336" s="5"/>
      <c r="W336" s="5"/>
    </row>
    <row r="337">
      <c r="A337" s="3" t="s">
        <v>2042</v>
      </c>
      <c r="B337" s="3" t="s">
        <v>2043</v>
      </c>
      <c r="C337" s="3" t="s">
        <v>82</v>
      </c>
      <c r="D337" s="3" t="s">
        <v>2044</v>
      </c>
      <c r="E337" s="26" t="s">
        <v>83</v>
      </c>
      <c r="F337" s="5"/>
      <c r="G337" s="5"/>
      <c r="H337" s="5"/>
      <c r="I337" s="5"/>
      <c r="J337" s="5"/>
      <c r="K337" s="5"/>
      <c r="L337" s="5"/>
      <c r="M337" s="5"/>
      <c r="N337" s="5"/>
      <c r="O337" s="5"/>
      <c r="P337" s="5"/>
      <c r="Q337" s="5"/>
      <c r="R337" s="5"/>
      <c r="S337" s="5"/>
      <c r="T337" s="5"/>
      <c r="U337" s="5"/>
      <c r="V337" s="5"/>
      <c r="W337" s="5"/>
    </row>
    <row r="338">
      <c r="A338" s="3" t="s">
        <v>2045</v>
      </c>
      <c r="B338" s="3" t="s">
        <v>2046</v>
      </c>
      <c r="C338" s="3" t="s">
        <v>82</v>
      </c>
      <c r="D338" s="3" t="s">
        <v>2047</v>
      </c>
      <c r="E338" s="26" t="s">
        <v>83</v>
      </c>
      <c r="F338" s="5"/>
      <c r="G338" s="5"/>
      <c r="H338" s="5"/>
      <c r="I338" s="5"/>
      <c r="J338" s="5"/>
      <c r="K338" s="5"/>
      <c r="L338" s="5"/>
      <c r="M338" s="5"/>
      <c r="N338" s="5"/>
      <c r="O338" s="5"/>
      <c r="P338" s="5"/>
      <c r="Q338" s="5"/>
      <c r="R338" s="5"/>
      <c r="S338" s="5"/>
      <c r="T338" s="5"/>
      <c r="U338" s="5"/>
      <c r="V338" s="5"/>
      <c r="W338" s="5"/>
    </row>
    <row r="339">
      <c r="A339" s="3" t="s">
        <v>2048</v>
      </c>
      <c r="B339" s="3" t="s">
        <v>2049</v>
      </c>
      <c r="C339" s="3" t="s">
        <v>82</v>
      </c>
      <c r="D339" s="3" t="s">
        <v>2050</v>
      </c>
      <c r="E339" s="26" t="s">
        <v>83</v>
      </c>
      <c r="F339" s="5"/>
      <c r="G339" s="5"/>
      <c r="H339" s="5"/>
      <c r="I339" s="5"/>
      <c r="J339" s="5"/>
      <c r="K339" s="5"/>
      <c r="L339" s="5"/>
      <c r="M339" s="5"/>
      <c r="N339" s="5"/>
      <c r="O339" s="5"/>
      <c r="P339" s="5"/>
      <c r="Q339" s="5"/>
      <c r="R339" s="5"/>
      <c r="S339" s="5"/>
      <c r="T339" s="5"/>
      <c r="U339" s="5"/>
      <c r="V339" s="5"/>
      <c r="W339" s="5"/>
    </row>
    <row r="340">
      <c r="A340" s="16" t="s">
        <v>2051</v>
      </c>
      <c r="B340" s="3" t="s">
        <v>2052</v>
      </c>
      <c r="C340" s="16" t="s">
        <v>82</v>
      </c>
      <c r="D340" s="16" t="s">
        <v>2053</v>
      </c>
      <c r="E340" s="26" t="s">
        <v>83</v>
      </c>
      <c r="F340" s="3"/>
      <c r="G340" s="3"/>
      <c r="H340" s="3"/>
      <c r="I340" s="3"/>
      <c r="J340" s="5"/>
      <c r="K340" s="5"/>
      <c r="L340" s="5"/>
      <c r="M340" s="5"/>
      <c r="N340" s="5"/>
      <c r="O340" s="5"/>
      <c r="P340" s="5"/>
      <c r="Q340" s="5"/>
      <c r="R340" s="5"/>
      <c r="S340" s="5"/>
      <c r="T340" s="5"/>
      <c r="U340" s="5"/>
      <c r="V340" s="5"/>
      <c r="W340" s="5"/>
    </row>
    <row r="341">
      <c r="A341" s="3" t="s">
        <v>2054</v>
      </c>
      <c r="B341" s="3" t="s">
        <v>2055</v>
      </c>
      <c r="C341" s="16" t="s">
        <v>82</v>
      </c>
      <c r="D341" s="3" t="s">
        <v>2056</v>
      </c>
      <c r="E341" s="26" t="s">
        <v>83</v>
      </c>
      <c r="F341" s="5"/>
      <c r="G341" s="5"/>
      <c r="H341" s="5"/>
      <c r="I341" s="5"/>
      <c r="J341" s="5"/>
      <c r="K341" s="5"/>
      <c r="L341" s="5"/>
      <c r="M341" s="5"/>
      <c r="N341" s="5"/>
      <c r="O341" s="5"/>
      <c r="P341" s="5"/>
      <c r="Q341" s="5"/>
      <c r="R341" s="5"/>
      <c r="S341" s="5"/>
      <c r="T341" s="5"/>
      <c r="U341" s="5"/>
      <c r="V341" s="5"/>
      <c r="W341" s="5"/>
    </row>
    <row r="342">
      <c r="A342" s="3" t="s">
        <v>2057</v>
      </c>
      <c r="B342" s="3" t="s">
        <v>1924</v>
      </c>
      <c r="C342" s="16" t="s">
        <v>82</v>
      </c>
      <c r="D342" s="3" t="s">
        <v>2058</v>
      </c>
      <c r="E342" s="26" t="s">
        <v>83</v>
      </c>
      <c r="F342" s="5"/>
      <c r="G342" s="5"/>
      <c r="H342" s="5"/>
      <c r="I342" s="5"/>
      <c r="J342" s="5"/>
      <c r="K342" s="5"/>
      <c r="L342" s="5"/>
      <c r="M342" s="5"/>
      <c r="N342" s="5"/>
      <c r="O342" s="5"/>
      <c r="P342" s="5"/>
      <c r="Q342" s="5"/>
      <c r="R342" s="5"/>
      <c r="S342" s="5"/>
      <c r="T342" s="5"/>
      <c r="U342" s="5"/>
      <c r="V342" s="5"/>
      <c r="W342" s="5"/>
    </row>
    <row r="343">
      <c r="A343" s="3" t="s">
        <v>2059</v>
      </c>
      <c r="B343" s="3" t="s">
        <v>2060</v>
      </c>
      <c r="C343" s="16" t="s">
        <v>82</v>
      </c>
      <c r="D343" s="3" t="s">
        <v>2061</v>
      </c>
      <c r="E343" s="26" t="s">
        <v>83</v>
      </c>
      <c r="F343" s="5"/>
      <c r="G343" s="5"/>
      <c r="H343" s="5"/>
      <c r="I343" s="5"/>
      <c r="J343" s="5"/>
      <c r="K343" s="5"/>
      <c r="L343" s="5"/>
      <c r="M343" s="5"/>
      <c r="N343" s="5"/>
      <c r="O343" s="5"/>
      <c r="P343" s="5"/>
      <c r="Q343" s="5"/>
      <c r="R343" s="5"/>
      <c r="S343" s="5"/>
      <c r="T343" s="5"/>
      <c r="U343" s="5"/>
      <c r="V343" s="5"/>
      <c r="W343" s="5"/>
    </row>
    <row r="344">
      <c r="A344" s="3" t="s">
        <v>2062</v>
      </c>
      <c r="B344" s="3" t="s">
        <v>2063</v>
      </c>
      <c r="C344" s="16" t="s">
        <v>82</v>
      </c>
      <c r="D344" s="3" t="s">
        <v>2064</v>
      </c>
      <c r="E344" s="26" t="s">
        <v>83</v>
      </c>
      <c r="F344" s="5"/>
      <c r="G344" s="5"/>
      <c r="H344" s="5"/>
      <c r="I344" s="5"/>
      <c r="J344" s="5"/>
      <c r="K344" s="5"/>
      <c r="L344" s="5"/>
      <c r="M344" s="5"/>
      <c r="N344" s="5"/>
      <c r="O344" s="5"/>
      <c r="P344" s="5"/>
      <c r="Q344" s="5"/>
      <c r="R344" s="5"/>
      <c r="S344" s="5"/>
      <c r="T344" s="5"/>
      <c r="U344" s="5"/>
      <c r="V344" s="5"/>
      <c r="W344" s="5"/>
    </row>
    <row r="345">
      <c r="A345" s="3" t="s">
        <v>2065</v>
      </c>
      <c r="B345" s="3" t="s">
        <v>2066</v>
      </c>
      <c r="C345" s="16" t="s">
        <v>82</v>
      </c>
      <c r="D345" s="3" t="s">
        <v>2067</v>
      </c>
      <c r="E345" s="26" t="s">
        <v>83</v>
      </c>
      <c r="F345" s="5"/>
      <c r="G345" s="5"/>
      <c r="H345" s="5"/>
      <c r="I345" s="5"/>
      <c r="J345" s="5"/>
      <c r="K345" s="5"/>
      <c r="L345" s="5"/>
      <c r="M345" s="5"/>
      <c r="N345" s="5"/>
      <c r="O345" s="5"/>
      <c r="P345" s="5"/>
      <c r="Q345" s="5"/>
      <c r="R345" s="5"/>
      <c r="S345" s="5"/>
      <c r="T345" s="5"/>
      <c r="U345" s="5"/>
      <c r="V345" s="5"/>
      <c r="W345" s="5"/>
    </row>
    <row r="346">
      <c r="A346" s="3" t="s">
        <v>2068</v>
      </c>
      <c r="B346" s="3" t="s">
        <v>2069</v>
      </c>
      <c r="C346" s="16" t="s">
        <v>82</v>
      </c>
      <c r="D346" s="3" t="s">
        <v>2070</v>
      </c>
      <c r="E346" s="26" t="s">
        <v>83</v>
      </c>
      <c r="F346" s="5"/>
      <c r="G346" s="5"/>
      <c r="H346" s="5"/>
      <c r="I346" s="5"/>
      <c r="J346" s="5"/>
      <c r="K346" s="5"/>
      <c r="L346" s="5"/>
      <c r="M346" s="5"/>
      <c r="N346" s="5"/>
      <c r="O346" s="5"/>
      <c r="P346" s="5"/>
      <c r="Q346" s="5"/>
      <c r="R346" s="5"/>
      <c r="S346" s="5"/>
      <c r="T346" s="5"/>
      <c r="U346" s="5"/>
      <c r="V346" s="5"/>
      <c r="W346" s="5"/>
    </row>
    <row r="347">
      <c r="A347" s="3" t="s">
        <v>2071</v>
      </c>
      <c r="B347" s="3" t="s">
        <v>2072</v>
      </c>
      <c r="C347" s="3" t="s">
        <v>84</v>
      </c>
      <c r="D347" s="3" t="s">
        <v>2073</v>
      </c>
      <c r="E347" s="4" t="s">
        <v>85</v>
      </c>
      <c r="F347" s="5"/>
      <c r="G347" s="5"/>
      <c r="H347" s="5"/>
      <c r="I347" s="5"/>
      <c r="J347" s="5"/>
      <c r="K347" s="5"/>
      <c r="L347" s="5"/>
      <c r="M347" s="5"/>
      <c r="N347" s="5"/>
      <c r="O347" s="5"/>
      <c r="P347" s="5"/>
      <c r="Q347" s="5"/>
      <c r="R347" s="5"/>
      <c r="S347" s="5"/>
      <c r="T347" s="5"/>
      <c r="U347" s="5"/>
      <c r="V347" s="5"/>
      <c r="W347" s="5"/>
    </row>
    <row r="348">
      <c r="A348" s="3" t="s">
        <v>2074</v>
      </c>
      <c r="B348" s="3" t="s">
        <v>2075</v>
      </c>
      <c r="C348" s="3" t="s">
        <v>2076</v>
      </c>
      <c r="D348" s="3" t="s">
        <v>2077</v>
      </c>
      <c r="E348" s="4" t="s">
        <v>85</v>
      </c>
      <c r="F348" s="5"/>
      <c r="G348" s="5"/>
      <c r="H348" s="5"/>
      <c r="I348" s="5"/>
      <c r="J348" s="5"/>
      <c r="K348" s="5"/>
      <c r="L348" s="5"/>
      <c r="M348" s="5"/>
      <c r="N348" s="5"/>
      <c r="O348" s="5"/>
      <c r="P348" s="5"/>
      <c r="Q348" s="5"/>
      <c r="R348" s="5"/>
      <c r="S348" s="5"/>
      <c r="T348" s="5"/>
      <c r="U348" s="5"/>
      <c r="V348" s="5"/>
      <c r="W348" s="5"/>
    </row>
    <row r="349">
      <c r="A349" s="3" t="s">
        <v>2078</v>
      </c>
      <c r="B349" s="3" t="s">
        <v>2079</v>
      </c>
      <c r="C349" s="3" t="s">
        <v>2076</v>
      </c>
      <c r="D349" s="3" t="s">
        <v>2080</v>
      </c>
      <c r="E349" s="4" t="s">
        <v>85</v>
      </c>
      <c r="F349" s="5"/>
      <c r="G349" s="5"/>
      <c r="H349" s="5"/>
      <c r="I349" s="5"/>
      <c r="J349" s="5"/>
      <c r="K349" s="5"/>
      <c r="L349" s="5"/>
      <c r="M349" s="5"/>
      <c r="N349" s="5"/>
      <c r="O349" s="5"/>
      <c r="P349" s="5"/>
      <c r="Q349" s="5"/>
      <c r="R349" s="5"/>
      <c r="S349" s="5"/>
      <c r="T349" s="5"/>
      <c r="U349" s="5"/>
      <c r="V349" s="5"/>
      <c r="W349" s="5"/>
    </row>
    <row r="350">
      <c r="A350" s="3" t="s">
        <v>2081</v>
      </c>
      <c r="B350" s="3" t="s">
        <v>2082</v>
      </c>
      <c r="C350" s="3" t="s">
        <v>2076</v>
      </c>
      <c r="D350" s="3" t="s">
        <v>2083</v>
      </c>
      <c r="E350" s="4" t="s">
        <v>85</v>
      </c>
      <c r="F350" s="5"/>
      <c r="G350" s="5"/>
      <c r="H350" s="5"/>
      <c r="I350" s="5"/>
      <c r="J350" s="5"/>
      <c r="K350" s="5"/>
      <c r="L350" s="5"/>
      <c r="M350" s="5"/>
      <c r="N350" s="5"/>
      <c r="O350" s="5"/>
      <c r="P350" s="5"/>
      <c r="Q350" s="5"/>
      <c r="R350" s="5"/>
      <c r="S350" s="5"/>
      <c r="T350" s="5"/>
      <c r="U350" s="5"/>
      <c r="V350" s="5"/>
      <c r="W350" s="5"/>
    </row>
    <row r="351">
      <c r="A351" s="3" t="s">
        <v>2084</v>
      </c>
      <c r="B351" s="3" t="s">
        <v>2085</v>
      </c>
      <c r="C351" s="3" t="s">
        <v>2076</v>
      </c>
      <c r="D351" s="3" t="s">
        <v>2086</v>
      </c>
      <c r="E351" s="4" t="s">
        <v>85</v>
      </c>
      <c r="F351" s="5"/>
      <c r="G351" s="5"/>
      <c r="H351" s="5"/>
      <c r="I351" s="5"/>
      <c r="J351" s="5"/>
      <c r="K351" s="5"/>
      <c r="L351" s="5"/>
      <c r="M351" s="5"/>
      <c r="N351" s="5"/>
      <c r="O351" s="5"/>
      <c r="P351" s="5"/>
      <c r="Q351" s="5"/>
      <c r="R351" s="5"/>
      <c r="S351" s="5"/>
      <c r="T351" s="5"/>
      <c r="U351" s="5"/>
      <c r="V351" s="5"/>
      <c r="W351" s="5"/>
    </row>
    <row r="352">
      <c r="A352" s="3" t="s">
        <v>2087</v>
      </c>
      <c r="B352" s="3" t="s">
        <v>2088</v>
      </c>
      <c r="C352" s="3" t="s">
        <v>2076</v>
      </c>
      <c r="D352" s="3" t="s">
        <v>2089</v>
      </c>
      <c r="E352" s="4" t="s">
        <v>85</v>
      </c>
      <c r="F352" s="5"/>
      <c r="G352" s="5"/>
      <c r="H352" s="5"/>
      <c r="I352" s="5"/>
      <c r="J352" s="5"/>
      <c r="K352" s="5"/>
      <c r="L352" s="5"/>
      <c r="M352" s="5"/>
      <c r="N352" s="5"/>
      <c r="O352" s="5"/>
      <c r="P352" s="5"/>
      <c r="Q352" s="5"/>
      <c r="R352" s="5"/>
      <c r="S352" s="5"/>
      <c r="T352" s="5"/>
      <c r="U352" s="5"/>
      <c r="V352" s="5"/>
      <c r="W352" s="5"/>
    </row>
    <row r="353">
      <c r="A353" s="3" t="s">
        <v>2090</v>
      </c>
      <c r="B353" s="3" t="s">
        <v>2091</v>
      </c>
      <c r="C353" s="3" t="s">
        <v>2076</v>
      </c>
      <c r="D353" s="3" t="s">
        <v>2092</v>
      </c>
      <c r="E353" s="4" t="s">
        <v>85</v>
      </c>
      <c r="F353" s="5"/>
      <c r="G353" s="5"/>
      <c r="H353" s="5"/>
      <c r="I353" s="5"/>
      <c r="J353" s="5"/>
      <c r="K353" s="5"/>
      <c r="L353" s="5"/>
      <c r="M353" s="5"/>
      <c r="N353" s="5"/>
      <c r="O353" s="5"/>
      <c r="P353" s="5"/>
      <c r="Q353" s="5"/>
      <c r="R353" s="5"/>
      <c r="S353" s="5"/>
      <c r="T353" s="5"/>
      <c r="U353" s="5"/>
      <c r="V353" s="5"/>
      <c r="W353" s="5"/>
    </row>
    <row r="354">
      <c r="A354" s="3" t="s">
        <v>2093</v>
      </c>
      <c r="B354" s="3" t="s">
        <v>2094</v>
      </c>
      <c r="C354" s="3" t="s">
        <v>2076</v>
      </c>
      <c r="D354" s="3" t="s">
        <v>2095</v>
      </c>
      <c r="E354" s="4" t="s">
        <v>85</v>
      </c>
      <c r="F354" s="5"/>
      <c r="G354" s="5"/>
      <c r="H354" s="5"/>
      <c r="I354" s="5"/>
      <c r="J354" s="5"/>
      <c r="K354" s="5"/>
      <c r="L354" s="5"/>
      <c r="M354" s="5"/>
      <c r="N354" s="5"/>
      <c r="O354" s="5"/>
      <c r="P354" s="5"/>
      <c r="Q354" s="5"/>
      <c r="R354" s="5"/>
      <c r="S354" s="5"/>
      <c r="T354" s="5"/>
      <c r="U354" s="5"/>
      <c r="V354" s="5"/>
      <c r="W354" s="5"/>
    </row>
    <row r="355">
      <c r="A355" s="3" t="s">
        <v>2096</v>
      </c>
      <c r="B355" s="3" t="s">
        <v>2097</v>
      </c>
      <c r="C355" s="3" t="s">
        <v>2076</v>
      </c>
      <c r="D355" s="3" t="s">
        <v>2098</v>
      </c>
      <c r="E355" s="4" t="s">
        <v>85</v>
      </c>
      <c r="F355" s="5"/>
      <c r="G355" s="5"/>
      <c r="H355" s="5"/>
      <c r="I355" s="5"/>
      <c r="J355" s="5"/>
      <c r="K355" s="5"/>
      <c r="L355" s="5"/>
      <c r="M355" s="5"/>
      <c r="N355" s="5"/>
      <c r="O355" s="5"/>
      <c r="P355" s="5"/>
      <c r="Q355" s="5"/>
      <c r="R355" s="5"/>
      <c r="S355" s="5"/>
      <c r="T355" s="5"/>
      <c r="U355" s="5"/>
      <c r="V355" s="5"/>
      <c r="W355" s="5"/>
    </row>
    <row r="356">
      <c r="A356" s="3" t="s">
        <v>2099</v>
      </c>
      <c r="B356" s="3" t="s">
        <v>2100</v>
      </c>
      <c r="C356" s="3" t="s">
        <v>2076</v>
      </c>
      <c r="D356" s="3" t="s">
        <v>2101</v>
      </c>
      <c r="E356" s="4" t="s">
        <v>85</v>
      </c>
      <c r="F356" s="5"/>
      <c r="G356" s="5"/>
      <c r="H356" s="5"/>
      <c r="I356" s="5"/>
      <c r="J356" s="5"/>
      <c r="K356" s="5"/>
      <c r="L356" s="5"/>
      <c r="M356" s="5"/>
      <c r="N356" s="5"/>
      <c r="O356" s="5"/>
      <c r="P356" s="5"/>
      <c r="Q356" s="5"/>
      <c r="R356" s="5"/>
      <c r="S356" s="5"/>
      <c r="T356" s="5"/>
      <c r="U356" s="5"/>
      <c r="V356" s="5"/>
      <c r="W356" s="5"/>
    </row>
    <row r="357">
      <c r="A357" s="3" t="s">
        <v>2102</v>
      </c>
      <c r="B357" s="3" t="s">
        <v>2103</v>
      </c>
      <c r="C357" s="3" t="s">
        <v>2076</v>
      </c>
      <c r="D357" s="3" t="s">
        <v>2104</v>
      </c>
      <c r="E357" s="4" t="s">
        <v>85</v>
      </c>
      <c r="F357" s="5"/>
      <c r="G357" s="5"/>
      <c r="H357" s="5"/>
      <c r="I357" s="5"/>
      <c r="J357" s="5"/>
      <c r="K357" s="5"/>
      <c r="L357" s="5"/>
      <c r="M357" s="5"/>
      <c r="N357" s="5"/>
      <c r="O357" s="5"/>
      <c r="P357" s="5"/>
      <c r="Q357" s="5"/>
      <c r="R357" s="5"/>
      <c r="S357" s="5"/>
      <c r="T357" s="5"/>
      <c r="U357" s="5"/>
      <c r="V357" s="5"/>
      <c r="W357" s="5"/>
    </row>
    <row r="358">
      <c r="A358" s="3" t="s">
        <v>2105</v>
      </c>
      <c r="B358" s="3" t="s">
        <v>2106</v>
      </c>
      <c r="C358" s="3" t="s">
        <v>2076</v>
      </c>
      <c r="D358" s="3" t="s">
        <v>2107</v>
      </c>
      <c r="E358" s="4" t="s">
        <v>85</v>
      </c>
      <c r="F358" s="5"/>
      <c r="G358" s="5"/>
      <c r="H358" s="5"/>
      <c r="I358" s="5"/>
      <c r="J358" s="5"/>
      <c r="K358" s="5"/>
      <c r="L358" s="5"/>
      <c r="M358" s="5"/>
      <c r="N358" s="5"/>
      <c r="O358" s="5"/>
      <c r="P358" s="5"/>
      <c r="Q358" s="5"/>
      <c r="R358" s="5"/>
      <c r="S358" s="5"/>
      <c r="T358" s="5"/>
      <c r="U358" s="5"/>
      <c r="V358" s="5"/>
      <c r="W358" s="5"/>
    </row>
    <row r="359">
      <c r="A359" s="3" t="s">
        <v>2108</v>
      </c>
      <c r="B359" s="3" t="s">
        <v>2109</v>
      </c>
      <c r="C359" s="3" t="s">
        <v>2076</v>
      </c>
      <c r="D359" s="3" t="s">
        <v>2110</v>
      </c>
      <c r="E359" s="4" t="s">
        <v>85</v>
      </c>
      <c r="F359" s="5"/>
      <c r="G359" s="5"/>
      <c r="H359" s="5"/>
      <c r="I359" s="5"/>
      <c r="J359" s="5"/>
      <c r="K359" s="5"/>
      <c r="L359" s="5"/>
      <c r="M359" s="5"/>
      <c r="N359" s="5"/>
      <c r="O359" s="5"/>
      <c r="P359" s="5"/>
      <c r="Q359" s="5"/>
      <c r="R359" s="5"/>
      <c r="S359" s="5"/>
      <c r="T359" s="5"/>
      <c r="U359" s="5"/>
      <c r="V359" s="5"/>
      <c r="W359" s="5"/>
    </row>
    <row r="360">
      <c r="A360" s="3" t="s">
        <v>2111</v>
      </c>
      <c r="B360" s="3" t="s">
        <v>2112</v>
      </c>
      <c r="C360" s="3" t="s">
        <v>2076</v>
      </c>
      <c r="D360" s="3" t="s">
        <v>2113</v>
      </c>
      <c r="E360" s="4" t="s">
        <v>85</v>
      </c>
      <c r="F360" s="5"/>
      <c r="G360" s="5"/>
      <c r="H360" s="5"/>
      <c r="I360" s="5"/>
      <c r="J360" s="5"/>
      <c r="K360" s="5"/>
      <c r="L360" s="5"/>
      <c r="M360" s="5"/>
      <c r="N360" s="5"/>
      <c r="O360" s="5"/>
      <c r="P360" s="5"/>
      <c r="Q360" s="5"/>
      <c r="R360" s="5"/>
      <c r="S360" s="5"/>
      <c r="T360" s="5"/>
      <c r="U360" s="5"/>
      <c r="V360" s="5"/>
      <c r="W360" s="5"/>
    </row>
    <row r="361">
      <c r="A361" s="3" t="s">
        <v>2114</v>
      </c>
      <c r="B361" s="3" t="s">
        <v>2115</v>
      </c>
      <c r="C361" s="3" t="s">
        <v>2076</v>
      </c>
      <c r="D361" s="3" t="s">
        <v>2116</v>
      </c>
      <c r="E361" s="4" t="s">
        <v>85</v>
      </c>
      <c r="F361" s="5"/>
      <c r="G361" s="5"/>
      <c r="H361" s="5"/>
      <c r="I361" s="5"/>
      <c r="J361" s="5"/>
      <c r="K361" s="5"/>
      <c r="L361" s="5"/>
      <c r="M361" s="5"/>
      <c r="N361" s="5"/>
      <c r="O361" s="5"/>
      <c r="P361" s="5"/>
      <c r="Q361" s="5"/>
      <c r="R361" s="5"/>
      <c r="S361" s="5"/>
      <c r="T361" s="5"/>
      <c r="U361" s="5"/>
      <c r="V361" s="5"/>
      <c r="W361" s="5"/>
    </row>
    <row r="362">
      <c r="A362" s="3" t="s">
        <v>2117</v>
      </c>
      <c r="B362" s="3" t="s">
        <v>2118</v>
      </c>
      <c r="C362" s="3" t="s">
        <v>84</v>
      </c>
      <c r="D362" s="3" t="s">
        <v>2119</v>
      </c>
      <c r="E362" s="4" t="s">
        <v>85</v>
      </c>
      <c r="F362" s="5"/>
      <c r="G362" s="5"/>
      <c r="H362" s="5"/>
      <c r="I362" s="5"/>
      <c r="J362" s="5"/>
      <c r="K362" s="5"/>
      <c r="L362" s="5"/>
      <c r="M362" s="5"/>
      <c r="N362" s="5"/>
      <c r="O362" s="5"/>
      <c r="P362" s="5"/>
      <c r="Q362" s="5"/>
      <c r="R362" s="5"/>
      <c r="S362" s="5"/>
      <c r="T362" s="5"/>
      <c r="U362" s="5"/>
      <c r="V362" s="5"/>
      <c r="W362" s="5"/>
    </row>
    <row r="363">
      <c r="A363" s="3" t="s">
        <v>2120</v>
      </c>
      <c r="B363" s="3" t="s">
        <v>2121</v>
      </c>
      <c r="C363" s="3" t="s">
        <v>84</v>
      </c>
      <c r="D363" s="3" t="s">
        <v>2122</v>
      </c>
      <c r="E363" s="4" t="s">
        <v>85</v>
      </c>
      <c r="F363" s="5"/>
      <c r="G363" s="5"/>
      <c r="H363" s="5"/>
      <c r="I363" s="5"/>
      <c r="J363" s="5"/>
      <c r="K363" s="5"/>
      <c r="L363" s="5"/>
      <c r="M363" s="5"/>
      <c r="N363" s="5"/>
      <c r="O363" s="5"/>
      <c r="P363" s="5"/>
      <c r="Q363" s="5"/>
      <c r="R363" s="5"/>
      <c r="S363" s="5"/>
      <c r="T363" s="5"/>
      <c r="U363" s="5"/>
      <c r="V363" s="5"/>
      <c r="W363" s="5"/>
    </row>
    <row r="364">
      <c r="A364" s="3" t="s">
        <v>2123</v>
      </c>
      <c r="B364" s="3" t="s">
        <v>2124</v>
      </c>
      <c r="C364" s="3" t="s">
        <v>84</v>
      </c>
      <c r="D364" s="3" t="s">
        <v>2125</v>
      </c>
      <c r="E364" s="4" t="s">
        <v>85</v>
      </c>
      <c r="F364" s="5"/>
      <c r="G364" s="5"/>
      <c r="H364" s="5"/>
      <c r="I364" s="5"/>
      <c r="J364" s="5"/>
      <c r="K364" s="5"/>
      <c r="L364" s="5"/>
      <c r="M364" s="5"/>
      <c r="N364" s="5"/>
      <c r="O364" s="5"/>
      <c r="P364" s="5"/>
      <c r="Q364" s="5"/>
      <c r="R364" s="5"/>
      <c r="S364" s="5"/>
      <c r="T364" s="5"/>
      <c r="U364" s="5"/>
      <c r="V364" s="5"/>
      <c r="W364" s="5"/>
    </row>
    <row r="365">
      <c r="A365" s="3" t="s">
        <v>2126</v>
      </c>
      <c r="B365" s="3" t="s">
        <v>2127</v>
      </c>
      <c r="C365" s="3" t="s">
        <v>84</v>
      </c>
      <c r="D365" s="3" t="s">
        <v>2128</v>
      </c>
      <c r="E365" s="4" t="s">
        <v>85</v>
      </c>
      <c r="F365" s="5"/>
      <c r="G365" s="5"/>
      <c r="H365" s="5"/>
      <c r="I365" s="5"/>
      <c r="J365" s="5"/>
      <c r="K365" s="5"/>
      <c r="L365" s="5"/>
      <c r="M365" s="5"/>
      <c r="N365" s="5"/>
      <c r="O365" s="5"/>
      <c r="P365" s="5"/>
      <c r="Q365" s="5"/>
      <c r="R365" s="5"/>
      <c r="S365" s="5"/>
      <c r="T365" s="5"/>
      <c r="U365" s="5"/>
      <c r="V365" s="5"/>
      <c r="W365" s="5"/>
    </row>
    <row r="366">
      <c r="A366" s="3" t="s">
        <v>2129</v>
      </c>
      <c r="B366" s="3" t="s">
        <v>2130</v>
      </c>
      <c r="C366" s="3" t="s">
        <v>84</v>
      </c>
      <c r="D366" s="3" t="s">
        <v>2131</v>
      </c>
      <c r="E366" s="4" t="s">
        <v>85</v>
      </c>
      <c r="F366" s="5"/>
      <c r="G366" s="5"/>
      <c r="H366" s="5"/>
      <c r="I366" s="5"/>
      <c r="J366" s="5"/>
      <c r="K366" s="5"/>
      <c r="L366" s="5"/>
      <c r="M366" s="5"/>
      <c r="N366" s="5"/>
      <c r="O366" s="5"/>
      <c r="P366" s="5"/>
      <c r="Q366" s="5"/>
      <c r="R366" s="5"/>
      <c r="S366" s="5"/>
      <c r="T366" s="5"/>
      <c r="U366" s="5"/>
      <c r="V366" s="5"/>
      <c r="W366" s="5"/>
    </row>
    <row r="367">
      <c r="A367" s="3" t="s">
        <v>2132</v>
      </c>
      <c r="B367" s="3" t="s">
        <v>2133</v>
      </c>
      <c r="C367" s="3" t="s">
        <v>2076</v>
      </c>
      <c r="D367" s="3" t="s">
        <v>2134</v>
      </c>
      <c r="E367" s="4" t="s">
        <v>85</v>
      </c>
      <c r="F367" s="5"/>
      <c r="G367" s="5"/>
      <c r="H367" s="5"/>
      <c r="I367" s="5"/>
      <c r="J367" s="5"/>
      <c r="K367" s="5"/>
      <c r="L367" s="5"/>
      <c r="M367" s="5"/>
      <c r="N367" s="5"/>
      <c r="O367" s="5"/>
      <c r="P367" s="5"/>
      <c r="Q367" s="5"/>
      <c r="R367" s="5"/>
      <c r="S367" s="5"/>
      <c r="T367" s="5"/>
      <c r="U367" s="5"/>
      <c r="V367" s="5"/>
      <c r="W367" s="5"/>
    </row>
    <row r="368">
      <c r="A368" s="3" t="s">
        <v>2135</v>
      </c>
      <c r="B368" s="3" t="s">
        <v>2136</v>
      </c>
      <c r="C368" s="3" t="s">
        <v>2076</v>
      </c>
      <c r="D368" s="3" t="s">
        <v>2137</v>
      </c>
      <c r="E368" s="4" t="s">
        <v>85</v>
      </c>
      <c r="F368" s="5"/>
      <c r="G368" s="5"/>
      <c r="H368" s="5"/>
      <c r="I368" s="5"/>
      <c r="J368" s="5"/>
      <c r="K368" s="5"/>
      <c r="L368" s="5"/>
      <c r="M368" s="5"/>
      <c r="N368" s="5"/>
      <c r="O368" s="5"/>
      <c r="P368" s="5"/>
      <c r="Q368" s="5"/>
      <c r="R368" s="5"/>
      <c r="S368" s="5"/>
      <c r="T368" s="5"/>
      <c r="U368" s="5"/>
      <c r="V368" s="5"/>
      <c r="W368" s="5"/>
    </row>
    <row r="369">
      <c r="A369" s="3" t="s">
        <v>2138</v>
      </c>
      <c r="B369" s="3" t="s">
        <v>2139</v>
      </c>
      <c r="C369" s="3" t="s">
        <v>2076</v>
      </c>
      <c r="D369" s="3" t="s">
        <v>2140</v>
      </c>
      <c r="E369" s="4" t="s">
        <v>85</v>
      </c>
      <c r="F369" s="5"/>
      <c r="G369" s="5"/>
      <c r="H369" s="5"/>
      <c r="I369" s="5"/>
      <c r="J369" s="5"/>
      <c r="K369" s="5"/>
      <c r="L369" s="5"/>
      <c r="M369" s="5"/>
      <c r="N369" s="5"/>
      <c r="O369" s="5"/>
      <c r="P369" s="5"/>
      <c r="Q369" s="5"/>
      <c r="R369" s="5"/>
      <c r="S369" s="5"/>
      <c r="T369" s="5"/>
      <c r="U369" s="5"/>
      <c r="V369" s="5"/>
      <c r="W369" s="5"/>
    </row>
    <row r="370">
      <c r="A370" s="3" t="s">
        <v>2141</v>
      </c>
      <c r="B370" s="3" t="s">
        <v>2142</v>
      </c>
      <c r="C370" s="3" t="s">
        <v>2076</v>
      </c>
      <c r="D370" s="3" t="s">
        <v>2143</v>
      </c>
      <c r="E370" s="4" t="s">
        <v>85</v>
      </c>
      <c r="F370" s="5"/>
      <c r="G370" s="5"/>
      <c r="H370" s="5"/>
      <c r="I370" s="5"/>
      <c r="J370" s="5"/>
      <c r="K370" s="5"/>
      <c r="L370" s="5"/>
      <c r="M370" s="5"/>
      <c r="N370" s="5"/>
      <c r="O370" s="5"/>
      <c r="P370" s="5"/>
      <c r="Q370" s="5"/>
      <c r="R370" s="5"/>
      <c r="S370" s="5"/>
      <c r="T370" s="5"/>
      <c r="U370" s="5"/>
      <c r="V370" s="5"/>
      <c r="W370" s="5"/>
    </row>
    <row r="371">
      <c r="A371" s="3" t="s">
        <v>2144</v>
      </c>
      <c r="B371" s="3" t="s">
        <v>2145</v>
      </c>
      <c r="C371" s="3" t="s">
        <v>2076</v>
      </c>
      <c r="D371" s="3" t="s">
        <v>2146</v>
      </c>
      <c r="E371" s="4" t="s">
        <v>85</v>
      </c>
      <c r="F371" s="5"/>
      <c r="G371" s="5"/>
      <c r="H371" s="5"/>
      <c r="I371" s="5"/>
      <c r="J371" s="5"/>
      <c r="K371" s="5"/>
      <c r="L371" s="5"/>
      <c r="M371" s="5"/>
      <c r="N371" s="5"/>
      <c r="O371" s="5"/>
      <c r="P371" s="5"/>
      <c r="Q371" s="5"/>
      <c r="R371" s="5"/>
      <c r="S371" s="5"/>
      <c r="T371" s="5"/>
      <c r="U371" s="5"/>
      <c r="V371" s="5"/>
      <c r="W371" s="5"/>
    </row>
    <row r="372">
      <c r="A372" s="3" t="s">
        <v>2147</v>
      </c>
      <c r="B372" s="3" t="s">
        <v>2148</v>
      </c>
      <c r="C372" s="3" t="s">
        <v>2076</v>
      </c>
      <c r="D372" s="3" t="s">
        <v>2149</v>
      </c>
      <c r="E372" s="4" t="s">
        <v>85</v>
      </c>
      <c r="F372" s="5"/>
      <c r="G372" s="5"/>
      <c r="H372" s="5"/>
      <c r="I372" s="5"/>
      <c r="J372" s="5"/>
      <c r="K372" s="5"/>
      <c r="L372" s="5"/>
      <c r="M372" s="5"/>
      <c r="N372" s="5"/>
      <c r="O372" s="5"/>
      <c r="P372" s="5"/>
      <c r="Q372" s="5"/>
      <c r="R372" s="5"/>
      <c r="S372" s="5"/>
      <c r="T372" s="5"/>
      <c r="U372" s="5"/>
      <c r="V372" s="5"/>
      <c r="W372" s="5"/>
    </row>
    <row r="373">
      <c r="A373" s="3" t="s">
        <v>2150</v>
      </c>
      <c r="B373" s="3" t="s">
        <v>2151</v>
      </c>
      <c r="C373" s="3" t="s">
        <v>2076</v>
      </c>
      <c r="D373" s="3" t="s">
        <v>2152</v>
      </c>
      <c r="E373" s="4" t="s">
        <v>85</v>
      </c>
      <c r="F373" s="5"/>
      <c r="G373" s="5"/>
      <c r="H373" s="5"/>
      <c r="I373" s="5"/>
      <c r="J373" s="5"/>
      <c r="K373" s="5"/>
      <c r="L373" s="5"/>
      <c r="M373" s="5"/>
      <c r="N373" s="5"/>
      <c r="O373" s="5"/>
      <c r="P373" s="5"/>
      <c r="Q373" s="5"/>
      <c r="R373" s="5"/>
      <c r="S373" s="5"/>
      <c r="T373" s="5"/>
      <c r="U373" s="5"/>
      <c r="V373" s="5"/>
      <c r="W373" s="5"/>
    </row>
    <row r="374">
      <c r="A374" s="3" t="s">
        <v>2153</v>
      </c>
      <c r="B374" s="3" t="s">
        <v>2154</v>
      </c>
      <c r="C374" s="3" t="s">
        <v>2076</v>
      </c>
      <c r="D374" s="3" t="s">
        <v>2155</v>
      </c>
      <c r="E374" s="4" t="s">
        <v>85</v>
      </c>
      <c r="F374" s="5"/>
      <c r="G374" s="5"/>
      <c r="H374" s="5"/>
      <c r="I374" s="5"/>
      <c r="J374" s="5"/>
      <c r="K374" s="5"/>
      <c r="L374" s="5"/>
      <c r="M374" s="5"/>
      <c r="N374" s="5"/>
      <c r="O374" s="5"/>
      <c r="P374" s="5"/>
      <c r="Q374" s="5"/>
      <c r="R374" s="5"/>
      <c r="S374" s="5"/>
      <c r="T374" s="5"/>
      <c r="U374" s="5"/>
      <c r="V374" s="5"/>
      <c r="W374" s="5"/>
    </row>
    <row r="375">
      <c r="A375" s="3" t="s">
        <v>2156</v>
      </c>
      <c r="B375" s="3" t="s">
        <v>2157</v>
      </c>
      <c r="C375" s="3" t="s">
        <v>2076</v>
      </c>
      <c r="D375" s="3" t="s">
        <v>2158</v>
      </c>
      <c r="E375" s="4" t="s">
        <v>85</v>
      </c>
      <c r="F375" s="5"/>
      <c r="G375" s="5"/>
      <c r="H375" s="5"/>
      <c r="I375" s="5"/>
      <c r="J375" s="5"/>
      <c r="K375" s="5"/>
      <c r="L375" s="5"/>
      <c r="M375" s="5"/>
      <c r="N375" s="5"/>
      <c r="O375" s="5"/>
      <c r="P375" s="5"/>
      <c r="Q375" s="5"/>
      <c r="R375" s="5"/>
      <c r="S375" s="5"/>
      <c r="T375" s="5"/>
      <c r="U375" s="5"/>
      <c r="V375" s="5"/>
      <c r="W375" s="5"/>
    </row>
    <row r="376">
      <c r="A376" s="3" t="s">
        <v>2159</v>
      </c>
      <c r="B376" s="3" t="s">
        <v>2160</v>
      </c>
      <c r="C376" s="3" t="s">
        <v>2076</v>
      </c>
      <c r="D376" s="3" t="s">
        <v>2161</v>
      </c>
      <c r="E376" s="4" t="s">
        <v>85</v>
      </c>
      <c r="F376" s="5"/>
      <c r="G376" s="5"/>
      <c r="H376" s="5"/>
      <c r="I376" s="5"/>
      <c r="J376" s="5"/>
      <c r="K376" s="5"/>
      <c r="L376" s="5"/>
      <c r="M376" s="5"/>
      <c r="N376" s="5"/>
      <c r="O376" s="5"/>
      <c r="P376" s="5"/>
      <c r="Q376" s="5"/>
      <c r="R376" s="5"/>
      <c r="S376" s="5"/>
      <c r="T376" s="5"/>
      <c r="U376" s="5"/>
      <c r="V376" s="5"/>
      <c r="W376" s="5"/>
    </row>
    <row r="377">
      <c r="A377" s="3" t="s">
        <v>2162</v>
      </c>
      <c r="B377" s="3" t="s">
        <v>2163</v>
      </c>
      <c r="C377" s="3" t="s">
        <v>2076</v>
      </c>
      <c r="D377" s="3" t="s">
        <v>2164</v>
      </c>
      <c r="E377" s="4" t="s">
        <v>85</v>
      </c>
      <c r="F377" s="5"/>
      <c r="G377" s="5"/>
      <c r="H377" s="5"/>
      <c r="I377" s="5"/>
      <c r="J377" s="5"/>
      <c r="K377" s="5"/>
      <c r="L377" s="5"/>
      <c r="M377" s="5"/>
      <c r="N377" s="5"/>
      <c r="O377" s="5"/>
      <c r="P377" s="5"/>
      <c r="Q377" s="5"/>
      <c r="R377" s="5"/>
      <c r="S377" s="5"/>
      <c r="T377" s="5"/>
      <c r="U377" s="5"/>
      <c r="V377" s="5"/>
      <c r="W377" s="5"/>
    </row>
    <row r="378">
      <c r="A378" s="3" t="s">
        <v>2165</v>
      </c>
      <c r="B378" s="3" t="s">
        <v>2166</v>
      </c>
      <c r="C378" s="3" t="s">
        <v>84</v>
      </c>
      <c r="D378" s="3" t="s">
        <v>2167</v>
      </c>
      <c r="E378" s="4" t="s">
        <v>85</v>
      </c>
      <c r="F378" s="5"/>
      <c r="G378" s="5"/>
      <c r="H378" s="5"/>
      <c r="I378" s="5"/>
      <c r="J378" s="5"/>
      <c r="K378" s="5"/>
      <c r="L378" s="5"/>
      <c r="M378" s="5"/>
      <c r="N378" s="5"/>
      <c r="O378" s="5"/>
      <c r="P378" s="5"/>
      <c r="Q378" s="5"/>
      <c r="R378" s="5"/>
      <c r="S378" s="5"/>
      <c r="T378" s="5"/>
      <c r="U378" s="5"/>
      <c r="V378" s="5"/>
      <c r="W378" s="5"/>
    </row>
    <row r="379">
      <c r="A379" s="3" t="s">
        <v>2168</v>
      </c>
      <c r="B379" s="3" t="s">
        <v>2169</v>
      </c>
      <c r="C379" s="3" t="s">
        <v>84</v>
      </c>
      <c r="D379" s="3" t="s">
        <v>2170</v>
      </c>
      <c r="E379" s="4" t="s">
        <v>85</v>
      </c>
      <c r="F379" s="5"/>
      <c r="G379" s="5"/>
      <c r="H379" s="5"/>
      <c r="I379" s="5"/>
      <c r="J379" s="5"/>
      <c r="K379" s="5"/>
      <c r="L379" s="5"/>
      <c r="M379" s="5"/>
      <c r="N379" s="5"/>
      <c r="O379" s="5"/>
      <c r="P379" s="5"/>
      <c r="Q379" s="5"/>
      <c r="R379" s="5"/>
      <c r="S379" s="5"/>
      <c r="T379" s="5"/>
      <c r="U379" s="5"/>
      <c r="V379" s="5"/>
      <c r="W379" s="5"/>
    </row>
    <row r="380">
      <c r="A380" s="3" t="s">
        <v>2171</v>
      </c>
      <c r="B380" s="3" t="s">
        <v>2172</v>
      </c>
      <c r="C380" s="3" t="s">
        <v>84</v>
      </c>
      <c r="D380" s="3" t="s">
        <v>2173</v>
      </c>
      <c r="E380" s="4" t="s">
        <v>85</v>
      </c>
      <c r="F380" s="5"/>
      <c r="G380" s="5"/>
      <c r="H380" s="5"/>
      <c r="I380" s="5"/>
      <c r="J380" s="5"/>
      <c r="K380" s="5"/>
      <c r="L380" s="5"/>
      <c r="M380" s="5"/>
      <c r="N380" s="5"/>
      <c r="O380" s="5"/>
      <c r="P380" s="5"/>
      <c r="Q380" s="5"/>
      <c r="R380" s="5"/>
      <c r="S380" s="5"/>
      <c r="T380" s="5"/>
      <c r="U380" s="5"/>
      <c r="V380" s="5"/>
      <c r="W380" s="5"/>
    </row>
    <row r="381">
      <c r="A381" s="3" t="s">
        <v>2174</v>
      </c>
      <c r="B381" s="3" t="s">
        <v>2175</v>
      </c>
      <c r="C381" s="3" t="s">
        <v>84</v>
      </c>
      <c r="D381" s="3" t="s">
        <v>2176</v>
      </c>
      <c r="E381" s="4" t="s">
        <v>85</v>
      </c>
      <c r="F381" s="5"/>
      <c r="G381" s="5"/>
      <c r="H381" s="5"/>
      <c r="I381" s="5"/>
      <c r="J381" s="5"/>
      <c r="K381" s="5"/>
      <c r="L381" s="5"/>
      <c r="M381" s="5"/>
      <c r="N381" s="5"/>
      <c r="O381" s="5"/>
      <c r="P381" s="5"/>
      <c r="Q381" s="5"/>
      <c r="R381" s="5"/>
      <c r="S381" s="5"/>
      <c r="T381" s="5"/>
      <c r="U381" s="5"/>
      <c r="V381" s="5"/>
      <c r="W381" s="5"/>
    </row>
    <row r="382">
      <c r="A382" s="3" t="s">
        <v>2177</v>
      </c>
      <c r="B382" s="3" t="s">
        <v>2178</v>
      </c>
      <c r="C382" s="3" t="s">
        <v>84</v>
      </c>
      <c r="D382" s="3" t="s">
        <v>2179</v>
      </c>
      <c r="E382" s="4" t="s">
        <v>85</v>
      </c>
      <c r="F382" s="5"/>
      <c r="G382" s="5"/>
      <c r="H382" s="5"/>
      <c r="I382" s="5"/>
      <c r="J382" s="5"/>
      <c r="K382" s="5"/>
      <c r="L382" s="5"/>
      <c r="M382" s="5"/>
      <c r="N382" s="5"/>
      <c r="O382" s="5"/>
      <c r="P382" s="5"/>
      <c r="Q382" s="5"/>
      <c r="R382" s="5"/>
      <c r="S382" s="5"/>
      <c r="T382" s="5"/>
      <c r="U382" s="5"/>
      <c r="V382" s="5"/>
      <c r="W382" s="5"/>
    </row>
    <row r="383">
      <c r="A383" s="3" t="s">
        <v>2180</v>
      </c>
      <c r="B383" s="3" t="s">
        <v>2181</v>
      </c>
      <c r="C383" s="3" t="s">
        <v>84</v>
      </c>
      <c r="D383" s="3" t="s">
        <v>2182</v>
      </c>
      <c r="E383" s="4" t="s">
        <v>85</v>
      </c>
      <c r="F383" s="5"/>
      <c r="G383" s="5"/>
      <c r="H383" s="5"/>
      <c r="I383" s="5"/>
      <c r="J383" s="5"/>
      <c r="K383" s="5"/>
      <c r="L383" s="5"/>
      <c r="M383" s="5"/>
      <c r="N383" s="5"/>
      <c r="O383" s="5"/>
      <c r="P383" s="5"/>
      <c r="Q383" s="5"/>
      <c r="R383" s="5"/>
      <c r="S383" s="5"/>
      <c r="T383" s="5"/>
      <c r="U383" s="5"/>
      <c r="V383" s="5"/>
      <c r="W383" s="5"/>
    </row>
    <row r="384">
      <c r="A384" s="3" t="s">
        <v>2183</v>
      </c>
      <c r="B384" s="3" t="s">
        <v>2184</v>
      </c>
      <c r="C384" s="3" t="s">
        <v>84</v>
      </c>
      <c r="D384" s="3" t="s">
        <v>2185</v>
      </c>
      <c r="E384" s="4" t="s">
        <v>85</v>
      </c>
      <c r="F384" s="5"/>
      <c r="G384" s="5"/>
      <c r="H384" s="5"/>
      <c r="I384" s="5"/>
      <c r="J384" s="5"/>
      <c r="K384" s="5"/>
      <c r="L384" s="5"/>
      <c r="M384" s="5"/>
      <c r="N384" s="5"/>
      <c r="O384" s="5"/>
      <c r="P384" s="5"/>
      <c r="Q384" s="5"/>
      <c r="R384" s="5"/>
      <c r="S384" s="5"/>
      <c r="T384" s="5"/>
      <c r="U384" s="5"/>
      <c r="V384" s="5"/>
      <c r="W384" s="5"/>
    </row>
    <row r="385">
      <c r="A385" s="3" t="s">
        <v>2186</v>
      </c>
      <c r="B385" s="3" t="s">
        <v>2187</v>
      </c>
      <c r="C385" s="3" t="s">
        <v>84</v>
      </c>
      <c r="D385" s="3" t="s">
        <v>2188</v>
      </c>
      <c r="E385" s="4" t="s">
        <v>85</v>
      </c>
      <c r="F385" s="5"/>
      <c r="G385" s="5"/>
      <c r="H385" s="5"/>
      <c r="I385" s="5"/>
      <c r="J385" s="5"/>
      <c r="K385" s="5"/>
      <c r="L385" s="5"/>
      <c r="M385" s="5"/>
      <c r="N385" s="5"/>
      <c r="O385" s="5"/>
      <c r="P385" s="5"/>
      <c r="Q385" s="5"/>
      <c r="R385" s="5"/>
      <c r="S385" s="5"/>
      <c r="T385" s="5"/>
      <c r="U385" s="5"/>
      <c r="V385" s="5"/>
      <c r="W385" s="5"/>
    </row>
    <row r="386">
      <c r="A386" s="3" t="s">
        <v>2189</v>
      </c>
      <c r="B386" s="3" t="s">
        <v>2190</v>
      </c>
      <c r="C386" s="3" t="s">
        <v>84</v>
      </c>
      <c r="D386" s="3" t="s">
        <v>2191</v>
      </c>
      <c r="E386" s="4" t="s">
        <v>85</v>
      </c>
      <c r="F386" s="5"/>
      <c r="G386" s="5"/>
      <c r="H386" s="5"/>
      <c r="I386" s="5"/>
      <c r="J386" s="5"/>
      <c r="K386" s="5"/>
      <c r="L386" s="5"/>
      <c r="M386" s="5"/>
      <c r="N386" s="5"/>
      <c r="O386" s="5"/>
      <c r="P386" s="5"/>
      <c r="Q386" s="5"/>
      <c r="R386" s="5"/>
      <c r="S386" s="5"/>
      <c r="T386" s="5"/>
      <c r="U386" s="5"/>
      <c r="V386" s="5"/>
      <c r="W386" s="5"/>
    </row>
    <row r="387">
      <c r="A387" s="3" t="s">
        <v>2192</v>
      </c>
      <c r="B387" s="3" t="s">
        <v>2193</v>
      </c>
      <c r="C387" s="3" t="s">
        <v>84</v>
      </c>
      <c r="D387" s="3" t="s">
        <v>2194</v>
      </c>
      <c r="E387" s="4" t="s">
        <v>85</v>
      </c>
      <c r="F387" s="5"/>
      <c r="G387" s="5"/>
      <c r="H387" s="5"/>
      <c r="I387" s="5"/>
      <c r="J387" s="5"/>
      <c r="K387" s="5"/>
      <c r="L387" s="5"/>
      <c r="M387" s="5"/>
      <c r="N387" s="5"/>
      <c r="O387" s="5"/>
      <c r="P387" s="5"/>
      <c r="Q387" s="5"/>
      <c r="R387" s="5"/>
      <c r="S387" s="5"/>
      <c r="T387" s="5"/>
      <c r="U387" s="5"/>
      <c r="V387" s="5"/>
      <c r="W387" s="5"/>
    </row>
    <row r="388">
      <c r="A388" s="3" t="s">
        <v>2195</v>
      </c>
      <c r="B388" s="3" t="s">
        <v>2196</v>
      </c>
      <c r="C388" s="3" t="s">
        <v>84</v>
      </c>
      <c r="D388" s="3" t="s">
        <v>2197</v>
      </c>
      <c r="E388" s="4" t="s">
        <v>85</v>
      </c>
      <c r="F388" s="5"/>
      <c r="G388" s="5"/>
      <c r="H388" s="5"/>
      <c r="I388" s="5"/>
      <c r="J388" s="5"/>
      <c r="K388" s="5"/>
      <c r="L388" s="5"/>
      <c r="M388" s="5"/>
      <c r="N388" s="5"/>
      <c r="O388" s="5"/>
      <c r="P388" s="5"/>
      <c r="Q388" s="5"/>
      <c r="R388" s="5"/>
      <c r="S388" s="5"/>
      <c r="T388" s="5"/>
      <c r="U388" s="5"/>
      <c r="V388" s="5"/>
      <c r="W388" s="5"/>
    </row>
    <row r="389">
      <c r="A389" s="3" t="s">
        <v>2198</v>
      </c>
      <c r="B389" s="3" t="s">
        <v>2199</v>
      </c>
      <c r="C389" s="3" t="s">
        <v>804</v>
      </c>
      <c r="D389" s="3" t="s">
        <v>2200</v>
      </c>
      <c r="E389" s="4" t="s">
        <v>85</v>
      </c>
      <c r="F389" s="5"/>
      <c r="G389" s="5"/>
      <c r="H389" s="5"/>
      <c r="I389" s="5"/>
      <c r="J389" s="5"/>
      <c r="K389" s="5"/>
      <c r="L389" s="5"/>
      <c r="M389" s="5"/>
      <c r="N389" s="5"/>
      <c r="O389" s="5"/>
      <c r="P389" s="5"/>
      <c r="Q389" s="5"/>
      <c r="R389" s="5"/>
      <c r="S389" s="5"/>
      <c r="T389" s="5"/>
      <c r="U389" s="5"/>
      <c r="V389" s="5"/>
      <c r="W389" s="5"/>
    </row>
    <row r="390">
      <c r="A390" s="3" t="s">
        <v>2201</v>
      </c>
      <c r="B390" s="3" t="s">
        <v>2202</v>
      </c>
      <c r="C390" s="3" t="s">
        <v>804</v>
      </c>
      <c r="D390" s="3" t="s">
        <v>2203</v>
      </c>
      <c r="E390" s="4" t="s">
        <v>85</v>
      </c>
      <c r="F390" s="5"/>
      <c r="G390" s="5"/>
      <c r="H390" s="5"/>
      <c r="I390" s="5"/>
      <c r="J390" s="5"/>
      <c r="K390" s="5"/>
      <c r="L390" s="5"/>
      <c r="M390" s="5"/>
      <c r="N390" s="5"/>
      <c r="O390" s="5"/>
      <c r="P390" s="5"/>
      <c r="Q390" s="5"/>
      <c r="R390" s="5"/>
      <c r="S390" s="5"/>
      <c r="T390" s="5"/>
      <c r="U390" s="5"/>
      <c r="V390" s="5"/>
      <c r="W390" s="5"/>
    </row>
    <row r="391">
      <c r="A391" s="3" t="s">
        <v>2204</v>
      </c>
      <c r="B391" s="3" t="s">
        <v>2205</v>
      </c>
      <c r="C391" s="3" t="s">
        <v>804</v>
      </c>
      <c r="D391" s="3" t="s">
        <v>2206</v>
      </c>
      <c r="E391" s="4" t="s">
        <v>85</v>
      </c>
      <c r="F391" s="5"/>
      <c r="G391" s="5"/>
      <c r="H391" s="5"/>
      <c r="I391" s="5"/>
      <c r="J391" s="5"/>
      <c r="K391" s="5"/>
      <c r="L391" s="5"/>
      <c r="M391" s="5"/>
      <c r="N391" s="5"/>
      <c r="O391" s="5"/>
      <c r="P391" s="5"/>
      <c r="Q391" s="5"/>
      <c r="R391" s="5"/>
      <c r="S391" s="5"/>
      <c r="T391" s="5"/>
      <c r="U391" s="5"/>
      <c r="V391" s="5"/>
      <c r="W391" s="5"/>
    </row>
    <row r="392">
      <c r="A392" s="3" t="s">
        <v>2207</v>
      </c>
      <c r="B392" s="3" t="s">
        <v>2208</v>
      </c>
      <c r="C392" s="3" t="s">
        <v>804</v>
      </c>
      <c r="D392" s="3" t="s">
        <v>2209</v>
      </c>
      <c r="E392" s="4" t="s">
        <v>85</v>
      </c>
      <c r="F392" s="5"/>
      <c r="G392" s="5"/>
      <c r="H392" s="5"/>
      <c r="I392" s="5"/>
      <c r="J392" s="5"/>
      <c r="K392" s="5"/>
      <c r="L392" s="5"/>
      <c r="M392" s="5"/>
      <c r="N392" s="5"/>
      <c r="O392" s="5"/>
      <c r="P392" s="5"/>
      <c r="Q392" s="5"/>
      <c r="R392" s="5"/>
      <c r="S392" s="5"/>
      <c r="T392" s="5"/>
      <c r="U392" s="5"/>
      <c r="V392" s="5"/>
      <c r="W392" s="5"/>
    </row>
    <row r="393">
      <c r="A393" s="3" t="s">
        <v>2210</v>
      </c>
      <c r="B393" s="3" t="s">
        <v>2211</v>
      </c>
      <c r="C393" s="3" t="s">
        <v>804</v>
      </c>
      <c r="D393" s="3" t="s">
        <v>2212</v>
      </c>
      <c r="E393" s="4" t="s">
        <v>85</v>
      </c>
      <c r="F393" s="5"/>
      <c r="G393" s="5"/>
      <c r="H393" s="5"/>
      <c r="I393" s="5"/>
      <c r="J393" s="5"/>
      <c r="K393" s="5"/>
      <c r="L393" s="5"/>
      <c r="M393" s="5"/>
      <c r="N393" s="5"/>
      <c r="O393" s="5"/>
      <c r="P393" s="5"/>
      <c r="Q393" s="5"/>
      <c r="R393" s="5"/>
      <c r="S393" s="5"/>
      <c r="T393" s="5"/>
      <c r="U393" s="5"/>
      <c r="V393" s="5"/>
      <c r="W393" s="5"/>
    </row>
    <row r="394">
      <c r="A394" s="3" t="s">
        <v>2213</v>
      </c>
      <c r="B394" s="3" t="s">
        <v>2214</v>
      </c>
      <c r="C394" s="3" t="s">
        <v>84</v>
      </c>
      <c r="D394" s="3" t="s">
        <v>2215</v>
      </c>
      <c r="E394" s="4" t="s">
        <v>85</v>
      </c>
      <c r="F394" s="5"/>
      <c r="G394" s="5"/>
      <c r="H394" s="5"/>
      <c r="I394" s="5"/>
      <c r="J394" s="5"/>
      <c r="K394" s="5"/>
      <c r="L394" s="5"/>
      <c r="M394" s="5"/>
      <c r="N394" s="5"/>
      <c r="O394" s="5"/>
      <c r="P394" s="5"/>
      <c r="Q394" s="5"/>
      <c r="R394" s="5"/>
      <c r="S394" s="5"/>
      <c r="T394" s="5"/>
      <c r="U394" s="5"/>
      <c r="V394" s="5"/>
      <c r="W394" s="5"/>
    </row>
    <row r="395">
      <c r="A395" s="3" t="s">
        <v>2216</v>
      </c>
      <c r="B395" s="3" t="s">
        <v>2217</v>
      </c>
      <c r="C395" s="3" t="s">
        <v>84</v>
      </c>
      <c r="D395" s="3" t="s">
        <v>2218</v>
      </c>
      <c r="E395" s="4" t="s">
        <v>85</v>
      </c>
      <c r="F395" s="5"/>
      <c r="G395" s="5"/>
      <c r="H395" s="5"/>
      <c r="I395" s="5"/>
      <c r="J395" s="5"/>
      <c r="K395" s="5"/>
      <c r="L395" s="5"/>
      <c r="M395" s="5"/>
      <c r="N395" s="5"/>
      <c r="O395" s="5"/>
      <c r="P395" s="5"/>
      <c r="Q395" s="5"/>
      <c r="R395" s="5"/>
      <c r="S395" s="5"/>
      <c r="T395" s="5"/>
      <c r="U395" s="5"/>
      <c r="V395" s="5"/>
      <c r="W395" s="5"/>
    </row>
    <row r="396">
      <c r="A396" s="3" t="s">
        <v>2219</v>
      </c>
      <c r="B396" s="3" t="s">
        <v>2220</v>
      </c>
      <c r="C396" s="3" t="s">
        <v>84</v>
      </c>
      <c r="D396" s="3" t="s">
        <v>2221</v>
      </c>
      <c r="E396" s="4" t="s">
        <v>85</v>
      </c>
      <c r="F396" s="5"/>
      <c r="G396" s="5"/>
      <c r="H396" s="5"/>
      <c r="I396" s="5"/>
      <c r="J396" s="5"/>
      <c r="K396" s="5"/>
      <c r="L396" s="5"/>
      <c r="M396" s="5"/>
      <c r="N396" s="5"/>
      <c r="O396" s="5"/>
      <c r="P396" s="5"/>
      <c r="Q396" s="5"/>
      <c r="R396" s="5"/>
      <c r="S396" s="5"/>
      <c r="T396" s="5"/>
      <c r="U396" s="5"/>
      <c r="V396" s="5"/>
      <c r="W396" s="5"/>
    </row>
    <row r="397">
      <c r="A397" s="3" t="s">
        <v>1920</v>
      </c>
      <c r="B397" s="3" t="s">
        <v>2222</v>
      </c>
      <c r="C397" s="16" t="s">
        <v>80</v>
      </c>
      <c r="D397" s="3" t="s">
        <v>1922</v>
      </c>
      <c r="E397" s="4" t="s">
        <v>85</v>
      </c>
      <c r="F397" s="5"/>
      <c r="G397" s="5"/>
      <c r="H397" s="5"/>
      <c r="I397" s="5"/>
      <c r="J397" s="5"/>
      <c r="K397" s="5"/>
      <c r="L397" s="5"/>
      <c r="M397" s="5"/>
      <c r="N397" s="5"/>
      <c r="O397" s="5"/>
      <c r="P397" s="5"/>
      <c r="Q397" s="5"/>
      <c r="R397" s="5"/>
      <c r="S397" s="5"/>
      <c r="T397" s="5"/>
      <c r="U397" s="5"/>
      <c r="V397" s="5"/>
      <c r="W397" s="5"/>
    </row>
    <row r="398">
      <c r="A398" s="3" t="s">
        <v>2223</v>
      </c>
      <c r="B398" s="3" t="s">
        <v>2224</v>
      </c>
      <c r="C398" s="3" t="s">
        <v>84</v>
      </c>
      <c r="D398" s="3" t="s">
        <v>2225</v>
      </c>
      <c r="E398" s="4" t="s">
        <v>85</v>
      </c>
      <c r="F398" s="5"/>
      <c r="G398" s="5"/>
      <c r="H398" s="5"/>
      <c r="I398" s="5"/>
      <c r="J398" s="5"/>
      <c r="K398" s="5"/>
      <c r="L398" s="5"/>
      <c r="M398" s="5"/>
      <c r="N398" s="5"/>
      <c r="O398" s="5"/>
      <c r="P398" s="5"/>
      <c r="Q398" s="5"/>
      <c r="R398" s="5"/>
      <c r="S398" s="5"/>
      <c r="T398" s="5"/>
      <c r="U398" s="5"/>
      <c r="V398" s="5"/>
      <c r="W398" s="5"/>
    </row>
    <row r="399">
      <c r="A399" s="3" t="s">
        <v>2226</v>
      </c>
      <c r="B399" s="3" t="s">
        <v>2227</v>
      </c>
      <c r="C399" s="3" t="s">
        <v>84</v>
      </c>
      <c r="D399" s="3" t="s">
        <v>2228</v>
      </c>
      <c r="E399" s="4" t="s">
        <v>85</v>
      </c>
      <c r="F399" s="5"/>
      <c r="G399" s="5"/>
      <c r="H399" s="5"/>
      <c r="I399" s="5"/>
      <c r="J399" s="5"/>
      <c r="K399" s="5"/>
      <c r="L399" s="5"/>
      <c r="M399" s="5"/>
      <c r="N399" s="5"/>
      <c r="O399" s="5"/>
      <c r="P399" s="5"/>
      <c r="Q399" s="5"/>
      <c r="R399" s="5"/>
      <c r="S399" s="5"/>
      <c r="T399" s="5"/>
      <c r="U399" s="5"/>
      <c r="V399" s="5"/>
      <c r="W399" s="5"/>
    </row>
    <row r="400">
      <c r="A400" s="3" t="s">
        <v>2229</v>
      </c>
      <c r="B400" s="3" t="s">
        <v>1504</v>
      </c>
      <c r="C400" s="3" t="s">
        <v>84</v>
      </c>
      <c r="D400" s="3" t="s">
        <v>2230</v>
      </c>
      <c r="E400" s="4" t="s">
        <v>85</v>
      </c>
      <c r="F400" s="5"/>
      <c r="G400" s="5"/>
      <c r="H400" s="5"/>
      <c r="I400" s="5"/>
      <c r="J400" s="5"/>
      <c r="K400" s="5"/>
      <c r="L400" s="5"/>
      <c r="M400" s="5"/>
      <c r="N400" s="5"/>
      <c r="O400" s="5"/>
      <c r="P400" s="5"/>
      <c r="Q400" s="5"/>
      <c r="R400" s="5"/>
      <c r="S400" s="5"/>
      <c r="T400" s="5"/>
      <c r="U400" s="5"/>
      <c r="V400" s="5"/>
      <c r="W400" s="5"/>
    </row>
    <row r="401">
      <c r="A401" s="3" t="s">
        <v>2231</v>
      </c>
      <c r="B401" s="3" t="s">
        <v>2232</v>
      </c>
      <c r="C401" s="16" t="s">
        <v>2233</v>
      </c>
      <c r="D401" s="3" t="s">
        <v>2234</v>
      </c>
      <c r="E401" s="4" t="s">
        <v>85</v>
      </c>
      <c r="F401" s="5"/>
      <c r="G401" s="5"/>
      <c r="H401" s="5"/>
      <c r="I401" s="5"/>
      <c r="J401" s="5"/>
      <c r="K401" s="5"/>
      <c r="L401" s="5"/>
      <c r="M401" s="5"/>
      <c r="N401" s="5"/>
      <c r="O401" s="5"/>
      <c r="P401" s="5"/>
      <c r="Q401" s="5"/>
      <c r="R401" s="5"/>
      <c r="S401" s="5"/>
      <c r="T401" s="5"/>
      <c r="U401" s="5"/>
      <c r="V401" s="5"/>
      <c r="W401" s="5"/>
    </row>
    <row r="402">
      <c r="A402" s="3" t="s">
        <v>2235</v>
      </c>
      <c r="B402" s="3" t="s">
        <v>2236</v>
      </c>
      <c r="C402" s="16" t="s">
        <v>2233</v>
      </c>
      <c r="D402" s="3" t="s">
        <v>2237</v>
      </c>
      <c r="E402" s="4" t="s">
        <v>85</v>
      </c>
      <c r="F402" s="5"/>
      <c r="G402" s="5"/>
      <c r="H402" s="5"/>
      <c r="I402" s="5"/>
      <c r="J402" s="5"/>
      <c r="K402" s="5"/>
      <c r="L402" s="5"/>
      <c r="M402" s="5"/>
      <c r="N402" s="5"/>
      <c r="O402" s="5"/>
      <c r="P402" s="5"/>
      <c r="Q402" s="5"/>
      <c r="R402" s="5"/>
      <c r="S402" s="5"/>
      <c r="T402" s="5"/>
      <c r="U402" s="5"/>
      <c r="V402" s="5"/>
      <c r="W402" s="5"/>
    </row>
    <row r="403">
      <c r="A403" s="3" t="s">
        <v>2238</v>
      </c>
      <c r="B403" s="3" t="s">
        <v>2239</v>
      </c>
      <c r="C403" s="16" t="s">
        <v>2233</v>
      </c>
      <c r="D403" s="3" t="s">
        <v>2240</v>
      </c>
      <c r="E403" s="4" t="s">
        <v>85</v>
      </c>
      <c r="F403" s="5"/>
      <c r="G403" s="5"/>
      <c r="H403" s="5"/>
      <c r="I403" s="5"/>
      <c r="J403" s="5"/>
      <c r="K403" s="5"/>
      <c r="L403" s="5"/>
      <c r="M403" s="5"/>
      <c r="N403" s="5"/>
      <c r="O403" s="5"/>
      <c r="P403" s="5"/>
      <c r="Q403" s="5"/>
      <c r="R403" s="5"/>
      <c r="S403" s="5"/>
      <c r="T403" s="5"/>
      <c r="U403" s="5"/>
      <c r="V403" s="5"/>
      <c r="W403" s="5"/>
    </row>
    <row r="404">
      <c r="A404" s="3" t="s">
        <v>2241</v>
      </c>
      <c r="B404" s="3" t="s">
        <v>2242</v>
      </c>
      <c r="C404" s="3" t="s">
        <v>2243</v>
      </c>
      <c r="D404" s="3" t="s">
        <v>2244</v>
      </c>
      <c r="E404" s="4" t="s">
        <v>87</v>
      </c>
      <c r="F404" s="5"/>
      <c r="G404" s="5"/>
      <c r="H404" s="5"/>
      <c r="I404" s="5"/>
      <c r="J404" s="5"/>
      <c r="K404" s="5"/>
      <c r="L404" s="5"/>
      <c r="M404" s="5"/>
      <c r="N404" s="5"/>
      <c r="O404" s="5"/>
      <c r="P404" s="5"/>
      <c r="Q404" s="5"/>
      <c r="R404" s="5"/>
      <c r="S404" s="5"/>
      <c r="T404" s="5"/>
      <c r="U404" s="5"/>
      <c r="V404" s="5"/>
      <c r="W404" s="5"/>
    </row>
    <row r="405">
      <c r="A405" s="3" t="s">
        <v>2245</v>
      </c>
      <c r="B405" s="3" t="s">
        <v>2246</v>
      </c>
      <c r="C405" s="3" t="s">
        <v>2243</v>
      </c>
      <c r="D405" s="3" t="s">
        <v>2247</v>
      </c>
      <c r="E405" s="4" t="s">
        <v>87</v>
      </c>
      <c r="F405" s="5"/>
      <c r="G405" s="5"/>
      <c r="H405" s="5"/>
      <c r="I405" s="5"/>
      <c r="J405" s="5"/>
      <c r="K405" s="5"/>
      <c r="L405" s="5"/>
      <c r="M405" s="5"/>
      <c r="N405" s="5"/>
      <c r="O405" s="5"/>
      <c r="P405" s="5"/>
      <c r="Q405" s="5"/>
      <c r="R405" s="5"/>
      <c r="S405" s="5"/>
      <c r="T405" s="5"/>
      <c r="U405" s="5"/>
      <c r="V405" s="5"/>
      <c r="W405" s="5"/>
    </row>
    <row r="406">
      <c r="A406" s="3" t="s">
        <v>2248</v>
      </c>
      <c r="B406" s="3" t="s">
        <v>2249</v>
      </c>
      <c r="C406" s="3" t="s">
        <v>2250</v>
      </c>
      <c r="D406" s="3" t="s">
        <v>2251</v>
      </c>
      <c r="E406" s="4" t="s">
        <v>87</v>
      </c>
      <c r="F406" s="5"/>
      <c r="G406" s="5"/>
      <c r="H406" s="5"/>
      <c r="I406" s="5"/>
      <c r="J406" s="5"/>
      <c r="K406" s="5"/>
      <c r="L406" s="5"/>
      <c r="M406" s="5"/>
      <c r="N406" s="5"/>
      <c r="O406" s="5"/>
      <c r="P406" s="5"/>
      <c r="Q406" s="5"/>
      <c r="R406" s="5"/>
      <c r="S406" s="5"/>
      <c r="T406" s="5"/>
      <c r="U406" s="5"/>
      <c r="V406" s="5"/>
      <c r="W406" s="5"/>
    </row>
    <row r="407">
      <c r="A407" s="3" t="s">
        <v>2252</v>
      </c>
      <c r="B407" s="3" t="s">
        <v>2253</v>
      </c>
      <c r="C407" s="3" t="s">
        <v>2254</v>
      </c>
      <c r="D407" s="3" t="s">
        <v>2255</v>
      </c>
      <c r="E407" s="4" t="s">
        <v>87</v>
      </c>
      <c r="F407" s="5"/>
      <c r="G407" s="5"/>
      <c r="H407" s="5"/>
      <c r="I407" s="5"/>
      <c r="J407" s="5"/>
      <c r="K407" s="5"/>
      <c r="L407" s="5"/>
      <c r="M407" s="5"/>
      <c r="N407" s="5"/>
      <c r="O407" s="5"/>
      <c r="P407" s="5"/>
      <c r="Q407" s="5"/>
      <c r="R407" s="5"/>
      <c r="S407" s="5"/>
      <c r="T407" s="5"/>
      <c r="U407" s="5"/>
      <c r="V407" s="5"/>
      <c r="W407" s="5"/>
    </row>
    <row r="408">
      <c r="A408" s="3" t="s">
        <v>2256</v>
      </c>
      <c r="B408" s="3" t="s">
        <v>2257</v>
      </c>
      <c r="C408" s="3" t="s">
        <v>2258</v>
      </c>
      <c r="D408" s="3" t="s">
        <v>2259</v>
      </c>
      <c r="E408" s="4" t="s">
        <v>87</v>
      </c>
      <c r="F408" s="5"/>
      <c r="G408" s="5"/>
      <c r="H408" s="5"/>
      <c r="I408" s="5"/>
      <c r="J408" s="5"/>
      <c r="K408" s="5"/>
      <c r="L408" s="5"/>
      <c r="M408" s="5"/>
      <c r="N408" s="5"/>
      <c r="O408" s="5"/>
      <c r="P408" s="5"/>
      <c r="Q408" s="5"/>
      <c r="R408" s="5"/>
      <c r="S408" s="5"/>
      <c r="T408" s="5"/>
      <c r="U408" s="5"/>
      <c r="V408" s="5"/>
      <c r="W408" s="5"/>
    </row>
    <row r="409">
      <c r="A409" s="3" t="s">
        <v>2260</v>
      </c>
      <c r="B409" s="3" t="s">
        <v>2261</v>
      </c>
      <c r="C409" s="3" t="s">
        <v>2262</v>
      </c>
      <c r="D409" s="3" t="s">
        <v>2263</v>
      </c>
      <c r="E409" s="4" t="s">
        <v>87</v>
      </c>
      <c r="F409" s="5"/>
      <c r="G409" s="5"/>
      <c r="H409" s="5"/>
      <c r="I409" s="5"/>
      <c r="J409" s="5"/>
      <c r="K409" s="5"/>
      <c r="L409" s="5"/>
      <c r="M409" s="5"/>
      <c r="N409" s="5"/>
      <c r="O409" s="5"/>
      <c r="P409" s="5"/>
      <c r="Q409" s="5"/>
      <c r="R409" s="5"/>
      <c r="S409" s="5"/>
      <c r="T409" s="5"/>
      <c r="U409" s="5"/>
      <c r="V409" s="5"/>
      <c r="W409" s="5"/>
    </row>
    <row r="410">
      <c r="A410" s="3" t="s">
        <v>2264</v>
      </c>
      <c r="B410" s="3" t="s">
        <v>2265</v>
      </c>
      <c r="C410" s="3" t="s">
        <v>2262</v>
      </c>
      <c r="D410" s="3" t="s">
        <v>2266</v>
      </c>
      <c r="E410" s="4" t="s">
        <v>87</v>
      </c>
      <c r="F410" s="5"/>
      <c r="G410" s="5"/>
      <c r="H410" s="5"/>
      <c r="I410" s="5"/>
      <c r="J410" s="5"/>
      <c r="K410" s="5"/>
      <c r="L410" s="5"/>
      <c r="M410" s="5"/>
      <c r="N410" s="5"/>
      <c r="O410" s="5"/>
      <c r="P410" s="5"/>
      <c r="Q410" s="5"/>
      <c r="R410" s="5"/>
      <c r="S410" s="5"/>
      <c r="T410" s="5"/>
      <c r="U410" s="5"/>
      <c r="V410" s="5"/>
      <c r="W410" s="5"/>
    </row>
    <row r="411">
      <c r="A411" s="3" t="s">
        <v>2267</v>
      </c>
      <c r="B411" s="3" t="s">
        <v>2268</v>
      </c>
      <c r="C411" s="3" t="s">
        <v>2262</v>
      </c>
      <c r="D411" s="3" t="s">
        <v>2269</v>
      </c>
      <c r="E411" s="4" t="s">
        <v>87</v>
      </c>
      <c r="F411" s="5"/>
      <c r="G411" s="5"/>
      <c r="H411" s="5"/>
      <c r="I411" s="5"/>
      <c r="J411" s="5"/>
      <c r="K411" s="5"/>
      <c r="L411" s="5"/>
      <c r="M411" s="5"/>
      <c r="N411" s="5"/>
      <c r="O411" s="5"/>
      <c r="P411" s="5"/>
      <c r="Q411" s="5"/>
      <c r="R411" s="5"/>
      <c r="S411" s="5"/>
      <c r="T411" s="5"/>
      <c r="U411" s="5"/>
      <c r="V411" s="5"/>
      <c r="W411" s="5"/>
    </row>
    <row r="412">
      <c r="A412" s="3" t="s">
        <v>2270</v>
      </c>
      <c r="B412" s="3" t="s">
        <v>2271</v>
      </c>
      <c r="C412" s="3" t="s">
        <v>2272</v>
      </c>
      <c r="D412" s="3" t="s">
        <v>2273</v>
      </c>
      <c r="E412" s="4" t="s">
        <v>87</v>
      </c>
      <c r="F412" s="5"/>
      <c r="G412" s="5"/>
      <c r="H412" s="5"/>
      <c r="I412" s="5"/>
      <c r="J412" s="5"/>
      <c r="K412" s="5"/>
      <c r="L412" s="5"/>
      <c r="M412" s="5"/>
      <c r="N412" s="5"/>
      <c r="O412" s="5"/>
      <c r="P412" s="5"/>
      <c r="Q412" s="5"/>
      <c r="R412" s="5"/>
      <c r="S412" s="5"/>
      <c r="T412" s="5"/>
      <c r="U412" s="5"/>
      <c r="V412" s="5"/>
      <c r="W412" s="5"/>
    </row>
    <row r="413">
      <c r="A413" s="3" t="s">
        <v>2274</v>
      </c>
      <c r="B413" s="3" t="s">
        <v>2275</v>
      </c>
      <c r="C413" s="3" t="s">
        <v>2276</v>
      </c>
      <c r="D413" s="3" t="s">
        <v>2277</v>
      </c>
      <c r="E413" s="4" t="s">
        <v>87</v>
      </c>
      <c r="F413" s="5"/>
      <c r="G413" s="5"/>
      <c r="H413" s="5"/>
      <c r="I413" s="5"/>
      <c r="J413" s="5"/>
      <c r="K413" s="5"/>
      <c r="L413" s="5"/>
      <c r="M413" s="5"/>
      <c r="N413" s="5"/>
      <c r="O413" s="5"/>
      <c r="P413" s="5"/>
      <c r="Q413" s="5"/>
      <c r="R413" s="5"/>
      <c r="S413" s="5"/>
      <c r="T413" s="5"/>
      <c r="U413" s="5"/>
      <c r="V413" s="5"/>
      <c r="W413" s="5"/>
    </row>
    <row r="414">
      <c r="A414" s="3" t="s">
        <v>2278</v>
      </c>
      <c r="B414" s="3" t="s">
        <v>2279</v>
      </c>
      <c r="C414" s="3" t="s">
        <v>2276</v>
      </c>
      <c r="D414" s="3" t="s">
        <v>2280</v>
      </c>
      <c r="E414" s="4" t="s">
        <v>87</v>
      </c>
      <c r="F414" s="5"/>
      <c r="G414" s="5"/>
      <c r="H414" s="5"/>
      <c r="I414" s="5"/>
      <c r="J414" s="5"/>
      <c r="K414" s="5"/>
      <c r="L414" s="5"/>
      <c r="M414" s="5"/>
      <c r="N414" s="5"/>
      <c r="O414" s="5"/>
      <c r="P414" s="5"/>
      <c r="Q414" s="5"/>
      <c r="R414" s="5"/>
      <c r="S414" s="5"/>
      <c r="T414" s="5"/>
      <c r="U414" s="5"/>
      <c r="V414" s="5"/>
      <c r="W414" s="5"/>
    </row>
    <row r="415">
      <c r="A415" s="3" t="s">
        <v>2281</v>
      </c>
      <c r="B415" s="3" t="s">
        <v>2282</v>
      </c>
      <c r="C415" s="3" t="s">
        <v>2276</v>
      </c>
      <c r="D415" s="3" t="s">
        <v>2283</v>
      </c>
      <c r="E415" s="4" t="s">
        <v>87</v>
      </c>
      <c r="F415" s="5"/>
      <c r="G415" s="5"/>
      <c r="H415" s="5"/>
      <c r="I415" s="5"/>
      <c r="J415" s="5"/>
      <c r="K415" s="5"/>
      <c r="L415" s="5"/>
      <c r="M415" s="5"/>
      <c r="N415" s="5"/>
      <c r="O415" s="5"/>
      <c r="P415" s="5"/>
      <c r="Q415" s="5"/>
      <c r="R415" s="5"/>
      <c r="S415" s="5"/>
      <c r="T415" s="5"/>
      <c r="U415" s="5"/>
      <c r="V415" s="5"/>
      <c r="W415" s="5"/>
    </row>
    <row r="416">
      <c r="A416" s="3" t="s">
        <v>2284</v>
      </c>
      <c r="B416" s="3" t="s">
        <v>2285</v>
      </c>
      <c r="C416" s="3" t="s">
        <v>2286</v>
      </c>
      <c r="D416" s="3" t="s">
        <v>2287</v>
      </c>
      <c r="E416" s="4" t="s">
        <v>87</v>
      </c>
      <c r="F416" s="5"/>
      <c r="G416" s="5"/>
      <c r="H416" s="5"/>
      <c r="I416" s="5"/>
      <c r="J416" s="5"/>
      <c r="K416" s="5"/>
      <c r="L416" s="5"/>
      <c r="M416" s="5"/>
      <c r="N416" s="5"/>
      <c r="O416" s="5"/>
      <c r="P416" s="5"/>
      <c r="Q416" s="5"/>
      <c r="R416" s="5"/>
      <c r="S416" s="5"/>
      <c r="T416" s="5"/>
      <c r="U416" s="5"/>
      <c r="V416" s="5"/>
      <c r="W416" s="5"/>
    </row>
    <row r="417">
      <c r="A417" s="3" t="s">
        <v>2288</v>
      </c>
      <c r="B417" s="3" t="s">
        <v>2289</v>
      </c>
      <c r="C417" s="3" t="s">
        <v>2286</v>
      </c>
      <c r="D417" s="3" t="s">
        <v>2290</v>
      </c>
      <c r="E417" s="4" t="s">
        <v>87</v>
      </c>
      <c r="F417" s="5"/>
      <c r="G417" s="5"/>
      <c r="H417" s="5"/>
      <c r="I417" s="5"/>
      <c r="J417" s="5"/>
      <c r="K417" s="5"/>
      <c r="L417" s="5"/>
      <c r="M417" s="5"/>
      <c r="N417" s="5"/>
      <c r="O417" s="5"/>
      <c r="P417" s="5"/>
      <c r="Q417" s="5"/>
      <c r="R417" s="5"/>
      <c r="S417" s="5"/>
      <c r="T417" s="5"/>
      <c r="U417" s="5"/>
      <c r="V417" s="5"/>
      <c r="W417" s="5"/>
    </row>
    <row r="418">
      <c r="A418" s="3" t="s">
        <v>2291</v>
      </c>
      <c r="B418" s="3" t="s">
        <v>2292</v>
      </c>
      <c r="C418" s="3" t="s">
        <v>2286</v>
      </c>
      <c r="D418" s="3" t="s">
        <v>2293</v>
      </c>
      <c r="E418" s="4" t="s">
        <v>87</v>
      </c>
      <c r="F418" s="5"/>
      <c r="G418" s="5"/>
      <c r="H418" s="5"/>
      <c r="I418" s="5"/>
      <c r="J418" s="5"/>
      <c r="K418" s="5"/>
      <c r="L418" s="5"/>
      <c r="M418" s="5"/>
      <c r="N418" s="5"/>
      <c r="O418" s="5"/>
      <c r="P418" s="5"/>
      <c r="Q418" s="5"/>
      <c r="R418" s="5"/>
      <c r="S418" s="5"/>
      <c r="T418" s="5"/>
      <c r="U418" s="5"/>
      <c r="V418" s="5"/>
      <c r="W418" s="5"/>
    </row>
    <row r="419">
      <c r="A419" s="3" t="s">
        <v>2248</v>
      </c>
      <c r="B419" s="3" t="s">
        <v>2294</v>
      </c>
      <c r="C419" s="3" t="s">
        <v>2250</v>
      </c>
      <c r="D419" s="3" t="s">
        <v>2295</v>
      </c>
      <c r="E419" s="4" t="s">
        <v>87</v>
      </c>
      <c r="F419" s="5"/>
      <c r="G419" s="5"/>
      <c r="H419" s="5"/>
      <c r="I419" s="5"/>
      <c r="J419" s="5"/>
      <c r="K419" s="5"/>
      <c r="L419" s="5"/>
      <c r="M419" s="5"/>
      <c r="N419" s="5"/>
      <c r="O419" s="5"/>
      <c r="P419" s="5"/>
      <c r="Q419" s="5"/>
      <c r="R419" s="5"/>
      <c r="S419" s="5"/>
      <c r="T419" s="5"/>
      <c r="U419" s="5"/>
      <c r="V419" s="5"/>
      <c r="W419" s="5"/>
    </row>
    <row r="420">
      <c r="A420" s="3" t="s">
        <v>2296</v>
      </c>
      <c r="B420" s="3" t="s">
        <v>2297</v>
      </c>
      <c r="C420" s="3" t="s">
        <v>2250</v>
      </c>
      <c r="D420" s="3" t="s">
        <v>2298</v>
      </c>
      <c r="E420" s="4" t="s">
        <v>87</v>
      </c>
      <c r="F420" s="5"/>
      <c r="G420" s="5"/>
      <c r="H420" s="5"/>
      <c r="I420" s="5"/>
      <c r="J420" s="5"/>
      <c r="K420" s="5"/>
      <c r="L420" s="5"/>
      <c r="M420" s="5"/>
      <c r="N420" s="5"/>
      <c r="O420" s="5"/>
      <c r="P420" s="5"/>
      <c r="Q420" s="5"/>
      <c r="R420" s="5"/>
      <c r="S420" s="5"/>
      <c r="T420" s="5"/>
      <c r="U420" s="5"/>
      <c r="V420" s="5"/>
      <c r="W420" s="5"/>
    </row>
    <row r="421">
      <c r="A421" s="3" t="s">
        <v>2299</v>
      </c>
      <c r="B421" s="3" t="s">
        <v>2300</v>
      </c>
      <c r="C421" s="3" t="s">
        <v>2250</v>
      </c>
      <c r="D421" s="3" t="s">
        <v>2301</v>
      </c>
      <c r="E421" s="4" t="s">
        <v>87</v>
      </c>
      <c r="F421" s="5"/>
      <c r="G421" s="5"/>
      <c r="H421" s="5"/>
      <c r="I421" s="5"/>
      <c r="J421" s="5"/>
      <c r="K421" s="5"/>
      <c r="L421" s="5"/>
      <c r="M421" s="5"/>
      <c r="N421" s="5"/>
      <c r="O421" s="5"/>
      <c r="P421" s="5"/>
      <c r="Q421" s="5"/>
      <c r="R421" s="5"/>
      <c r="S421" s="5"/>
      <c r="T421" s="5"/>
      <c r="U421" s="5"/>
      <c r="V421" s="5"/>
      <c r="W421" s="5"/>
    </row>
    <row r="422">
      <c r="A422" s="3" t="s">
        <v>2302</v>
      </c>
      <c r="B422" s="3" t="s">
        <v>2303</v>
      </c>
      <c r="C422" s="3" t="s">
        <v>2250</v>
      </c>
      <c r="D422" s="3" t="s">
        <v>2304</v>
      </c>
      <c r="E422" s="4" t="s">
        <v>87</v>
      </c>
      <c r="F422" s="5"/>
      <c r="G422" s="5"/>
      <c r="H422" s="5"/>
      <c r="I422" s="5"/>
      <c r="J422" s="5"/>
      <c r="K422" s="5"/>
      <c r="L422" s="5"/>
      <c r="M422" s="5"/>
      <c r="N422" s="5"/>
      <c r="O422" s="5"/>
      <c r="P422" s="5"/>
      <c r="Q422" s="5"/>
      <c r="R422" s="5"/>
      <c r="S422" s="5"/>
      <c r="T422" s="5"/>
      <c r="U422" s="5"/>
      <c r="V422" s="5"/>
      <c r="W422" s="5"/>
    </row>
    <row r="423">
      <c r="A423" s="3" t="s">
        <v>2305</v>
      </c>
      <c r="B423" s="3" t="s">
        <v>2306</v>
      </c>
      <c r="C423" s="3" t="s">
        <v>2250</v>
      </c>
      <c r="D423" s="3" t="s">
        <v>2307</v>
      </c>
      <c r="E423" s="4" t="s">
        <v>87</v>
      </c>
      <c r="F423" s="5"/>
      <c r="G423" s="5"/>
      <c r="H423" s="5"/>
      <c r="I423" s="5"/>
      <c r="J423" s="5"/>
      <c r="K423" s="5"/>
      <c r="L423" s="5"/>
      <c r="M423" s="5"/>
      <c r="N423" s="5"/>
      <c r="O423" s="5"/>
      <c r="P423" s="5"/>
      <c r="Q423" s="5"/>
      <c r="R423" s="5"/>
      <c r="S423" s="5"/>
      <c r="T423" s="5"/>
      <c r="U423" s="5"/>
      <c r="V423" s="5"/>
      <c r="W423" s="5"/>
    </row>
    <row r="424">
      <c r="A424" s="3" t="s">
        <v>2308</v>
      </c>
      <c r="B424" s="3" t="s">
        <v>2309</v>
      </c>
      <c r="C424" s="3" t="s">
        <v>2250</v>
      </c>
      <c r="D424" s="3" t="s">
        <v>2310</v>
      </c>
      <c r="E424" s="4" t="s">
        <v>87</v>
      </c>
      <c r="F424" s="5"/>
      <c r="G424" s="5"/>
      <c r="H424" s="5"/>
      <c r="I424" s="5"/>
      <c r="J424" s="5"/>
      <c r="K424" s="5"/>
      <c r="L424" s="5"/>
      <c r="M424" s="5"/>
      <c r="N424" s="5"/>
      <c r="O424" s="5"/>
      <c r="P424" s="5"/>
      <c r="Q424" s="5"/>
      <c r="R424" s="5"/>
      <c r="S424" s="5"/>
      <c r="T424" s="5"/>
      <c r="U424" s="5"/>
      <c r="V424" s="5"/>
      <c r="W424" s="5"/>
    </row>
    <row r="425">
      <c r="A425" s="3" t="s">
        <v>2311</v>
      </c>
      <c r="B425" s="3" t="s">
        <v>2312</v>
      </c>
      <c r="C425" s="3" t="s">
        <v>86</v>
      </c>
      <c r="D425" s="3" t="s">
        <v>2313</v>
      </c>
      <c r="E425" s="4" t="s">
        <v>2314</v>
      </c>
      <c r="F425" s="5"/>
      <c r="G425" s="5"/>
      <c r="H425" s="5"/>
      <c r="I425" s="5"/>
      <c r="J425" s="5"/>
      <c r="K425" s="5"/>
      <c r="L425" s="5"/>
      <c r="M425" s="5"/>
      <c r="N425" s="5"/>
      <c r="O425" s="5"/>
      <c r="P425" s="5"/>
      <c r="Q425" s="5"/>
      <c r="R425" s="5"/>
      <c r="S425" s="5"/>
      <c r="T425" s="5"/>
      <c r="U425" s="5"/>
      <c r="V425" s="5"/>
      <c r="W425" s="5"/>
    </row>
    <row r="426">
      <c r="A426" s="16" t="s">
        <v>2315</v>
      </c>
      <c r="B426" s="16" t="s">
        <v>2316</v>
      </c>
      <c r="C426" s="16" t="s">
        <v>86</v>
      </c>
      <c r="D426" s="16" t="s">
        <v>2317</v>
      </c>
      <c r="E426" s="25" t="s">
        <v>2314</v>
      </c>
      <c r="F426" s="16"/>
      <c r="G426" s="16"/>
      <c r="H426" s="16"/>
      <c r="I426" s="16"/>
      <c r="J426" s="17"/>
      <c r="K426" s="17"/>
      <c r="L426" s="17"/>
      <c r="M426" s="17"/>
      <c r="N426" s="17"/>
      <c r="O426" s="17"/>
      <c r="P426" s="17"/>
      <c r="Q426" s="17"/>
      <c r="R426" s="17"/>
      <c r="S426" s="17"/>
      <c r="T426" s="17"/>
      <c r="U426" s="17"/>
      <c r="V426" s="17"/>
      <c r="W426" s="17"/>
    </row>
    <row r="427">
      <c r="A427" s="3" t="s">
        <v>2318</v>
      </c>
      <c r="B427" s="3" t="s">
        <v>2319</v>
      </c>
      <c r="C427" s="3" t="s">
        <v>86</v>
      </c>
      <c r="D427" s="3" t="s">
        <v>2320</v>
      </c>
      <c r="E427" s="4" t="s">
        <v>2314</v>
      </c>
      <c r="F427" s="5"/>
      <c r="G427" s="5"/>
      <c r="H427" s="5"/>
      <c r="I427" s="5"/>
      <c r="J427" s="5"/>
      <c r="K427" s="5"/>
      <c r="L427" s="5"/>
      <c r="M427" s="5"/>
      <c r="N427" s="5"/>
      <c r="O427" s="5"/>
      <c r="P427" s="5"/>
      <c r="Q427" s="5"/>
      <c r="R427" s="5"/>
      <c r="S427" s="5"/>
      <c r="T427" s="5"/>
      <c r="U427" s="5"/>
      <c r="V427" s="5"/>
      <c r="W427" s="5"/>
    </row>
    <row r="428">
      <c r="A428" s="3" t="s">
        <v>2321</v>
      </c>
      <c r="B428" s="3" t="s">
        <v>2322</v>
      </c>
      <c r="C428" s="3" t="s">
        <v>86</v>
      </c>
      <c r="D428" s="3" t="s">
        <v>2323</v>
      </c>
      <c r="E428" s="4" t="s">
        <v>2314</v>
      </c>
      <c r="F428" s="5"/>
      <c r="G428" s="5"/>
      <c r="H428" s="5"/>
      <c r="I428" s="5"/>
      <c r="J428" s="5"/>
      <c r="K428" s="5"/>
      <c r="L428" s="5"/>
      <c r="M428" s="5"/>
      <c r="N428" s="5"/>
      <c r="O428" s="5"/>
      <c r="P428" s="5"/>
      <c r="Q428" s="5"/>
      <c r="R428" s="5"/>
      <c r="S428" s="5"/>
      <c r="T428" s="5"/>
      <c r="U428" s="5"/>
      <c r="V428" s="5"/>
      <c r="W428" s="5"/>
    </row>
    <row r="429">
      <c r="A429" s="3" t="s">
        <v>2324</v>
      </c>
      <c r="B429" s="3" t="s">
        <v>2325</v>
      </c>
      <c r="C429" s="3" t="s">
        <v>86</v>
      </c>
      <c r="D429" s="3" t="s">
        <v>2326</v>
      </c>
      <c r="E429" s="4" t="s">
        <v>2314</v>
      </c>
      <c r="F429" s="5"/>
      <c r="G429" s="5"/>
      <c r="H429" s="5"/>
      <c r="I429" s="5"/>
      <c r="J429" s="5"/>
      <c r="K429" s="5"/>
      <c r="L429" s="5"/>
      <c r="M429" s="5"/>
      <c r="N429" s="5"/>
      <c r="O429" s="5"/>
      <c r="P429" s="5"/>
      <c r="Q429" s="5"/>
      <c r="R429" s="5"/>
      <c r="S429" s="5"/>
      <c r="T429" s="5"/>
      <c r="U429" s="5"/>
      <c r="V429" s="5"/>
      <c r="W429" s="5"/>
    </row>
    <row r="430">
      <c r="A430" s="3" t="s">
        <v>2327</v>
      </c>
      <c r="B430" s="3" t="s">
        <v>2328</v>
      </c>
      <c r="C430" s="3" t="s">
        <v>86</v>
      </c>
      <c r="D430" s="3" t="s">
        <v>2329</v>
      </c>
      <c r="E430" s="4" t="s">
        <v>2314</v>
      </c>
      <c r="F430" s="5"/>
      <c r="G430" s="5"/>
      <c r="H430" s="5"/>
      <c r="I430" s="5"/>
      <c r="J430" s="5"/>
      <c r="K430" s="5"/>
      <c r="L430" s="5"/>
      <c r="M430" s="5"/>
      <c r="N430" s="5"/>
      <c r="O430" s="5"/>
      <c r="P430" s="5"/>
      <c r="Q430" s="5"/>
      <c r="R430" s="5"/>
      <c r="S430" s="5"/>
      <c r="T430" s="5"/>
      <c r="U430" s="5"/>
      <c r="V430" s="5"/>
      <c r="W430" s="5"/>
    </row>
    <row r="431">
      <c r="A431" s="3" t="s">
        <v>2330</v>
      </c>
      <c r="B431" s="3" t="s">
        <v>2331</v>
      </c>
      <c r="C431" s="3" t="s">
        <v>86</v>
      </c>
      <c r="D431" s="3" t="s">
        <v>2332</v>
      </c>
      <c r="E431" s="4" t="s">
        <v>2314</v>
      </c>
      <c r="F431" s="5"/>
      <c r="G431" s="5"/>
      <c r="H431" s="5"/>
      <c r="I431" s="5"/>
      <c r="J431" s="5"/>
      <c r="K431" s="5"/>
      <c r="L431" s="5"/>
      <c r="M431" s="5"/>
      <c r="N431" s="5"/>
      <c r="O431" s="5"/>
      <c r="P431" s="5"/>
      <c r="Q431" s="5"/>
      <c r="R431" s="5"/>
      <c r="S431" s="5"/>
      <c r="T431" s="5"/>
      <c r="U431" s="5"/>
      <c r="V431" s="5"/>
      <c r="W431" s="5"/>
    </row>
    <row r="432">
      <c r="A432" s="3" t="s">
        <v>2333</v>
      </c>
      <c r="B432" s="3" t="s">
        <v>2334</v>
      </c>
      <c r="C432" s="3" t="s">
        <v>2335</v>
      </c>
      <c r="D432" s="3" t="s">
        <v>2336</v>
      </c>
      <c r="E432" s="4" t="s">
        <v>2314</v>
      </c>
      <c r="F432" s="5"/>
      <c r="G432" s="5"/>
      <c r="H432" s="5"/>
      <c r="I432" s="5"/>
      <c r="J432" s="5"/>
      <c r="K432" s="5"/>
      <c r="L432" s="5"/>
      <c r="M432" s="5"/>
      <c r="N432" s="5"/>
      <c r="O432" s="5"/>
      <c r="P432" s="5"/>
      <c r="Q432" s="5"/>
      <c r="R432" s="5"/>
      <c r="S432" s="5"/>
      <c r="T432" s="5"/>
      <c r="U432" s="5"/>
      <c r="V432" s="5"/>
      <c r="W432" s="5"/>
    </row>
    <row r="433">
      <c r="A433" s="3" t="s">
        <v>2337</v>
      </c>
      <c r="B433" s="3" t="s">
        <v>2338</v>
      </c>
      <c r="C433" s="3" t="s">
        <v>2339</v>
      </c>
      <c r="D433" s="3" t="s">
        <v>2340</v>
      </c>
      <c r="E433" s="4" t="s">
        <v>2314</v>
      </c>
      <c r="F433" s="5"/>
      <c r="G433" s="5"/>
      <c r="H433" s="5"/>
      <c r="I433" s="5"/>
      <c r="J433" s="5"/>
      <c r="K433" s="5"/>
      <c r="L433" s="5"/>
      <c r="M433" s="5"/>
      <c r="N433" s="5"/>
      <c r="O433" s="5"/>
      <c r="P433" s="5"/>
      <c r="Q433" s="5"/>
      <c r="R433" s="5"/>
      <c r="S433" s="5"/>
      <c r="T433" s="5"/>
      <c r="U433" s="5"/>
      <c r="V433" s="5"/>
      <c r="W433" s="5"/>
    </row>
    <row r="434">
      <c r="A434" s="3" t="s">
        <v>2341</v>
      </c>
      <c r="B434" s="3" t="s">
        <v>2342</v>
      </c>
      <c r="C434" s="3" t="s">
        <v>2343</v>
      </c>
      <c r="D434" s="3" t="s">
        <v>2344</v>
      </c>
      <c r="E434" s="4" t="s">
        <v>2314</v>
      </c>
      <c r="F434" s="5"/>
      <c r="G434" s="5"/>
      <c r="H434" s="5"/>
      <c r="I434" s="5"/>
      <c r="J434" s="5"/>
      <c r="K434" s="5"/>
      <c r="L434" s="5"/>
      <c r="M434" s="5"/>
      <c r="N434" s="5"/>
      <c r="O434" s="5"/>
      <c r="P434" s="5"/>
      <c r="Q434" s="5"/>
      <c r="R434" s="5"/>
      <c r="S434" s="5"/>
      <c r="T434" s="5"/>
      <c r="U434" s="5"/>
      <c r="V434" s="5"/>
      <c r="W434" s="5"/>
    </row>
    <row r="435">
      <c r="A435" s="3" t="s">
        <v>2345</v>
      </c>
      <c r="B435" s="3" t="s">
        <v>2346</v>
      </c>
      <c r="C435" s="3" t="s">
        <v>2286</v>
      </c>
      <c r="D435" s="3" t="s">
        <v>2347</v>
      </c>
      <c r="E435" s="4" t="s">
        <v>2314</v>
      </c>
      <c r="F435" s="5"/>
      <c r="G435" s="5"/>
      <c r="H435" s="5"/>
      <c r="I435" s="5"/>
      <c r="J435" s="5"/>
      <c r="K435" s="5"/>
      <c r="L435" s="5"/>
      <c r="M435" s="5"/>
      <c r="N435" s="5"/>
      <c r="O435" s="5"/>
      <c r="P435" s="5"/>
      <c r="Q435" s="5"/>
      <c r="R435" s="5"/>
      <c r="S435" s="5"/>
      <c r="T435" s="5"/>
      <c r="U435" s="5"/>
      <c r="V435" s="5"/>
      <c r="W435" s="5"/>
    </row>
    <row r="436">
      <c r="A436" s="3" t="s">
        <v>2348</v>
      </c>
      <c r="B436" s="3" t="s">
        <v>2349</v>
      </c>
      <c r="C436" s="3" t="s">
        <v>2286</v>
      </c>
      <c r="D436" s="3" t="s">
        <v>2350</v>
      </c>
      <c r="E436" s="4" t="s">
        <v>2314</v>
      </c>
      <c r="F436" s="5"/>
      <c r="G436" s="5"/>
      <c r="H436" s="5"/>
      <c r="I436" s="5"/>
      <c r="J436" s="5"/>
      <c r="K436" s="5"/>
      <c r="L436" s="5"/>
      <c r="M436" s="5"/>
      <c r="N436" s="5"/>
      <c r="O436" s="5"/>
      <c r="P436" s="5"/>
      <c r="Q436" s="5"/>
      <c r="R436" s="5"/>
      <c r="S436" s="5"/>
      <c r="T436" s="5"/>
      <c r="U436" s="5"/>
      <c r="V436" s="5"/>
      <c r="W436" s="5"/>
    </row>
    <row r="437">
      <c r="A437" s="3" t="s">
        <v>2351</v>
      </c>
      <c r="B437" s="3" t="s">
        <v>2352</v>
      </c>
      <c r="C437" s="3" t="s">
        <v>2353</v>
      </c>
      <c r="D437" s="3" t="s">
        <v>2354</v>
      </c>
      <c r="E437" s="4" t="s">
        <v>2314</v>
      </c>
      <c r="F437" s="5"/>
      <c r="G437" s="5"/>
      <c r="H437" s="5"/>
      <c r="I437" s="5"/>
      <c r="J437" s="5"/>
      <c r="K437" s="5"/>
      <c r="L437" s="5"/>
      <c r="M437" s="5"/>
      <c r="N437" s="5"/>
      <c r="O437" s="5"/>
      <c r="P437" s="5"/>
      <c r="Q437" s="5"/>
      <c r="R437" s="5"/>
      <c r="S437" s="5"/>
      <c r="T437" s="5"/>
      <c r="U437" s="5"/>
      <c r="V437" s="5"/>
      <c r="W437" s="5"/>
    </row>
    <row r="438">
      <c r="A438" s="3" t="s">
        <v>2355</v>
      </c>
      <c r="B438" s="3" t="s">
        <v>2356</v>
      </c>
      <c r="C438" s="3" t="s">
        <v>2357</v>
      </c>
      <c r="D438" s="3" t="s">
        <v>2358</v>
      </c>
      <c r="E438" s="4" t="s">
        <v>2314</v>
      </c>
      <c r="F438" s="5"/>
      <c r="G438" s="5"/>
      <c r="H438" s="5"/>
      <c r="I438" s="5"/>
      <c r="J438" s="5"/>
      <c r="K438" s="5"/>
      <c r="L438" s="5"/>
      <c r="M438" s="5"/>
      <c r="N438" s="5"/>
      <c r="O438" s="5"/>
      <c r="P438" s="5"/>
      <c r="Q438" s="5"/>
      <c r="R438" s="5"/>
      <c r="S438" s="5"/>
      <c r="T438" s="5"/>
      <c r="U438" s="5"/>
      <c r="V438" s="5"/>
      <c r="W438" s="5"/>
    </row>
    <row r="439">
      <c r="A439" s="3" t="s">
        <v>2359</v>
      </c>
      <c r="B439" s="3" t="s">
        <v>2360</v>
      </c>
      <c r="C439" s="3" t="s">
        <v>2361</v>
      </c>
      <c r="D439" s="3" t="s">
        <v>2362</v>
      </c>
      <c r="E439" s="4" t="s">
        <v>2314</v>
      </c>
      <c r="F439" s="5"/>
      <c r="G439" s="5"/>
      <c r="H439" s="5"/>
      <c r="I439" s="5"/>
      <c r="J439" s="5"/>
      <c r="K439" s="5"/>
      <c r="L439" s="5"/>
      <c r="M439" s="5"/>
      <c r="N439" s="5"/>
      <c r="O439" s="5"/>
      <c r="P439" s="5"/>
      <c r="Q439" s="5"/>
      <c r="R439" s="5"/>
      <c r="S439" s="5"/>
      <c r="T439" s="5"/>
      <c r="U439" s="5"/>
      <c r="V439" s="5"/>
      <c r="W439" s="5"/>
    </row>
    <row r="440">
      <c r="A440" s="3" t="s">
        <v>2363</v>
      </c>
      <c r="B440" s="3" t="s">
        <v>2364</v>
      </c>
      <c r="C440" s="3" t="s">
        <v>2361</v>
      </c>
      <c r="D440" s="3" t="s">
        <v>2365</v>
      </c>
      <c r="E440" s="4" t="s">
        <v>2314</v>
      </c>
      <c r="F440" s="5"/>
      <c r="G440" s="5"/>
      <c r="H440" s="5"/>
      <c r="I440" s="5"/>
      <c r="J440" s="5"/>
      <c r="K440" s="5"/>
      <c r="L440" s="5"/>
      <c r="M440" s="5"/>
      <c r="N440" s="5"/>
      <c r="O440" s="5"/>
      <c r="P440" s="5"/>
      <c r="Q440" s="5"/>
      <c r="R440" s="5"/>
      <c r="S440" s="5"/>
      <c r="T440" s="5"/>
      <c r="U440" s="5"/>
      <c r="V440" s="5"/>
      <c r="W440" s="5"/>
    </row>
    <row r="441">
      <c r="A441" s="3" t="s">
        <v>2366</v>
      </c>
      <c r="B441" s="3" t="s">
        <v>2367</v>
      </c>
      <c r="C441" s="3" t="s">
        <v>2361</v>
      </c>
      <c r="D441" s="3" t="s">
        <v>2368</v>
      </c>
      <c r="E441" s="4" t="s">
        <v>2314</v>
      </c>
      <c r="F441" s="5"/>
      <c r="G441" s="5"/>
      <c r="H441" s="5"/>
      <c r="I441" s="5"/>
      <c r="J441" s="5"/>
      <c r="K441" s="5"/>
      <c r="L441" s="5"/>
      <c r="M441" s="5"/>
      <c r="N441" s="5"/>
      <c r="O441" s="5"/>
      <c r="P441" s="5"/>
      <c r="Q441" s="5"/>
      <c r="R441" s="5"/>
      <c r="S441" s="5"/>
      <c r="T441" s="5"/>
      <c r="U441" s="5"/>
      <c r="V441" s="5"/>
      <c r="W441" s="5"/>
    </row>
    <row r="442">
      <c r="A442" s="3" t="s">
        <v>2369</v>
      </c>
      <c r="B442" s="3" t="s">
        <v>2370</v>
      </c>
      <c r="C442" s="3" t="s">
        <v>2371</v>
      </c>
      <c r="D442" s="3" t="s">
        <v>2372</v>
      </c>
      <c r="E442" s="4" t="s">
        <v>2314</v>
      </c>
      <c r="F442" s="5"/>
      <c r="G442" s="5"/>
      <c r="H442" s="5"/>
      <c r="I442" s="5"/>
      <c r="J442" s="5"/>
      <c r="K442" s="5"/>
      <c r="L442" s="5"/>
      <c r="M442" s="5"/>
      <c r="N442" s="5"/>
      <c r="O442" s="5"/>
      <c r="P442" s="5"/>
      <c r="Q442" s="5"/>
      <c r="R442" s="5"/>
      <c r="S442" s="5"/>
      <c r="T442" s="5"/>
      <c r="U442" s="5"/>
      <c r="V442" s="5"/>
      <c r="W442" s="5"/>
    </row>
    <row r="443">
      <c r="A443" s="3" t="s">
        <v>2373</v>
      </c>
      <c r="B443" s="3" t="s">
        <v>2374</v>
      </c>
      <c r="C443" s="3" t="s">
        <v>2375</v>
      </c>
      <c r="D443" s="3" t="s">
        <v>2376</v>
      </c>
      <c r="E443" s="4" t="s">
        <v>89</v>
      </c>
      <c r="F443" s="5"/>
      <c r="G443" s="5"/>
      <c r="H443" s="5"/>
      <c r="I443" s="5"/>
      <c r="J443" s="5"/>
      <c r="K443" s="5"/>
      <c r="L443" s="5"/>
      <c r="M443" s="5"/>
      <c r="N443" s="5"/>
      <c r="O443" s="5"/>
      <c r="P443" s="5"/>
      <c r="Q443" s="5"/>
      <c r="R443" s="5"/>
      <c r="S443" s="5"/>
      <c r="T443" s="5"/>
      <c r="U443" s="5"/>
      <c r="V443" s="5"/>
      <c r="W443" s="5"/>
    </row>
    <row r="444">
      <c r="A444" s="3" t="s">
        <v>2377</v>
      </c>
      <c r="B444" s="3" t="s">
        <v>2378</v>
      </c>
      <c r="C444" s="3" t="s">
        <v>2375</v>
      </c>
      <c r="D444" s="3" t="s">
        <v>2379</v>
      </c>
      <c r="E444" s="4" t="s">
        <v>89</v>
      </c>
      <c r="F444" s="5"/>
      <c r="G444" s="5"/>
      <c r="H444" s="5"/>
      <c r="I444" s="5"/>
      <c r="J444" s="5"/>
      <c r="K444" s="5"/>
      <c r="L444" s="5"/>
      <c r="M444" s="5"/>
      <c r="N444" s="5"/>
      <c r="O444" s="5"/>
      <c r="P444" s="5"/>
      <c r="Q444" s="5"/>
      <c r="R444" s="5"/>
      <c r="S444" s="5"/>
      <c r="T444" s="5"/>
      <c r="U444" s="5"/>
      <c r="V444" s="5"/>
      <c r="W444" s="5"/>
    </row>
    <row r="445">
      <c r="A445" s="3" t="s">
        <v>2380</v>
      </c>
      <c r="B445" s="3" t="s">
        <v>2381</v>
      </c>
      <c r="C445" s="3" t="s">
        <v>2375</v>
      </c>
      <c r="D445" s="3" t="s">
        <v>2382</v>
      </c>
      <c r="E445" s="4" t="s">
        <v>89</v>
      </c>
      <c r="F445" s="5"/>
      <c r="G445" s="5"/>
      <c r="H445" s="5"/>
      <c r="I445" s="5"/>
      <c r="J445" s="5"/>
      <c r="K445" s="5"/>
      <c r="L445" s="5"/>
      <c r="M445" s="5"/>
      <c r="N445" s="5"/>
      <c r="O445" s="5"/>
      <c r="P445" s="5"/>
      <c r="Q445" s="5"/>
      <c r="R445" s="5"/>
      <c r="S445" s="5"/>
      <c r="T445" s="5"/>
      <c r="U445" s="5"/>
      <c r="V445" s="5"/>
      <c r="W445" s="5"/>
    </row>
    <row r="446">
      <c r="A446" s="3" t="s">
        <v>2383</v>
      </c>
      <c r="B446" s="3" t="s">
        <v>2384</v>
      </c>
      <c r="C446" s="3" t="s">
        <v>2375</v>
      </c>
      <c r="D446" s="3" t="s">
        <v>2385</v>
      </c>
      <c r="E446" s="4" t="s">
        <v>89</v>
      </c>
      <c r="F446" s="5"/>
      <c r="G446" s="5"/>
      <c r="H446" s="5"/>
      <c r="I446" s="5"/>
      <c r="J446" s="5"/>
      <c r="K446" s="5"/>
      <c r="L446" s="5"/>
      <c r="M446" s="5"/>
      <c r="N446" s="5"/>
      <c r="O446" s="5"/>
      <c r="P446" s="5"/>
      <c r="Q446" s="5"/>
      <c r="R446" s="5"/>
      <c r="S446" s="5"/>
      <c r="T446" s="5"/>
      <c r="U446" s="5"/>
      <c r="V446" s="5"/>
      <c r="W446" s="5"/>
    </row>
    <row r="447">
      <c r="A447" s="3" t="s">
        <v>2386</v>
      </c>
      <c r="B447" s="3" t="s">
        <v>2387</v>
      </c>
      <c r="C447" s="3" t="s">
        <v>2375</v>
      </c>
      <c r="D447" s="3" t="s">
        <v>2388</v>
      </c>
      <c r="E447" s="4" t="s">
        <v>89</v>
      </c>
      <c r="F447" s="5"/>
      <c r="G447" s="5"/>
      <c r="H447" s="5"/>
      <c r="I447" s="5"/>
      <c r="J447" s="5"/>
      <c r="K447" s="5"/>
      <c r="L447" s="5"/>
      <c r="M447" s="5"/>
      <c r="N447" s="5"/>
      <c r="O447" s="5"/>
      <c r="P447" s="5"/>
      <c r="Q447" s="5"/>
      <c r="R447" s="5"/>
      <c r="S447" s="5"/>
      <c r="T447" s="5"/>
      <c r="U447" s="5"/>
      <c r="V447" s="5"/>
      <c r="W447" s="5"/>
    </row>
    <row r="448">
      <c r="A448" s="3" t="s">
        <v>2389</v>
      </c>
      <c r="B448" s="3" t="s">
        <v>2390</v>
      </c>
      <c r="C448" s="3" t="s">
        <v>2375</v>
      </c>
      <c r="D448" s="3" t="s">
        <v>2391</v>
      </c>
      <c r="E448" s="4" t="s">
        <v>89</v>
      </c>
      <c r="F448" s="5"/>
      <c r="G448" s="5"/>
      <c r="H448" s="5"/>
      <c r="I448" s="5"/>
      <c r="J448" s="5"/>
      <c r="K448" s="5"/>
      <c r="L448" s="5"/>
      <c r="M448" s="5"/>
      <c r="N448" s="5"/>
      <c r="O448" s="5"/>
      <c r="P448" s="5"/>
      <c r="Q448" s="5"/>
      <c r="R448" s="5"/>
      <c r="S448" s="5"/>
      <c r="T448" s="5"/>
      <c r="U448" s="5"/>
      <c r="V448" s="5"/>
      <c r="W448" s="5"/>
    </row>
    <row r="449">
      <c r="A449" s="3" t="s">
        <v>2392</v>
      </c>
      <c r="B449" s="3" t="s">
        <v>2393</v>
      </c>
      <c r="C449" s="3" t="s">
        <v>2375</v>
      </c>
      <c r="D449" s="3" t="s">
        <v>2394</v>
      </c>
      <c r="E449" s="4" t="s">
        <v>89</v>
      </c>
      <c r="F449" s="5"/>
      <c r="G449" s="5"/>
      <c r="H449" s="5"/>
      <c r="I449" s="5"/>
      <c r="J449" s="5"/>
      <c r="K449" s="5"/>
      <c r="L449" s="5"/>
      <c r="M449" s="5"/>
      <c r="N449" s="5"/>
      <c r="O449" s="5"/>
      <c r="P449" s="5"/>
      <c r="Q449" s="5"/>
      <c r="R449" s="5"/>
      <c r="S449" s="5"/>
      <c r="T449" s="5"/>
      <c r="U449" s="5"/>
      <c r="V449" s="5"/>
      <c r="W449" s="5"/>
    </row>
    <row r="450">
      <c r="A450" s="3" t="s">
        <v>2395</v>
      </c>
      <c r="B450" s="3" t="s">
        <v>2396</v>
      </c>
      <c r="C450" s="3" t="s">
        <v>2375</v>
      </c>
      <c r="D450" s="3" t="s">
        <v>2397</v>
      </c>
      <c r="E450" s="4" t="s">
        <v>89</v>
      </c>
      <c r="F450" s="5"/>
      <c r="G450" s="5"/>
      <c r="H450" s="5"/>
      <c r="I450" s="5"/>
      <c r="J450" s="5"/>
      <c r="K450" s="5"/>
      <c r="L450" s="5"/>
      <c r="M450" s="5"/>
      <c r="N450" s="5"/>
      <c r="O450" s="5"/>
      <c r="P450" s="5"/>
      <c r="Q450" s="5"/>
      <c r="R450" s="5"/>
      <c r="S450" s="5"/>
      <c r="T450" s="5"/>
      <c r="U450" s="5"/>
      <c r="V450" s="5"/>
      <c r="W450" s="5"/>
    </row>
    <row r="451">
      <c r="A451" s="3" t="s">
        <v>2398</v>
      </c>
      <c r="B451" s="3" t="s">
        <v>2399</v>
      </c>
      <c r="C451" s="3" t="s">
        <v>2375</v>
      </c>
      <c r="D451" s="3" t="s">
        <v>2400</v>
      </c>
      <c r="E451" s="4" t="s">
        <v>89</v>
      </c>
      <c r="F451" s="5"/>
      <c r="G451" s="5"/>
      <c r="H451" s="5"/>
      <c r="I451" s="5"/>
      <c r="J451" s="5"/>
      <c r="K451" s="5"/>
      <c r="L451" s="5"/>
      <c r="M451" s="5"/>
      <c r="N451" s="5"/>
      <c r="O451" s="5"/>
      <c r="P451" s="5"/>
      <c r="Q451" s="5"/>
      <c r="R451" s="5"/>
      <c r="S451" s="5"/>
      <c r="T451" s="5"/>
      <c r="U451" s="5"/>
      <c r="V451" s="5"/>
      <c r="W451" s="5"/>
    </row>
    <row r="452">
      <c r="A452" s="3" t="s">
        <v>2401</v>
      </c>
      <c r="B452" s="3" t="s">
        <v>2402</v>
      </c>
      <c r="C452" s="3" t="s">
        <v>2375</v>
      </c>
      <c r="D452" s="3" t="s">
        <v>2403</v>
      </c>
      <c r="E452" s="4" t="s">
        <v>89</v>
      </c>
      <c r="F452" s="5"/>
      <c r="G452" s="5"/>
      <c r="H452" s="5"/>
      <c r="I452" s="5"/>
      <c r="J452" s="5"/>
      <c r="K452" s="5"/>
      <c r="L452" s="5"/>
      <c r="M452" s="5"/>
      <c r="N452" s="5"/>
      <c r="O452" s="5"/>
      <c r="P452" s="5"/>
      <c r="Q452" s="5"/>
      <c r="R452" s="5"/>
      <c r="S452" s="5"/>
      <c r="T452" s="5"/>
      <c r="U452" s="5"/>
      <c r="V452" s="5"/>
      <c r="W452" s="5"/>
    </row>
    <row r="453">
      <c r="A453" s="3" t="s">
        <v>2404</v>
      </c>
      <c r="B453" s="3" t="s">
        <v>2393</v>
      </c>
      <c r="C453" s="3" t="s">
        <v>2375</v>
      </c>
      <c r="D453" s="3" t="s">
        <v>2405</v>
      </c>
      <c r="E453" s="4" t="s">
        <v>89</v>
      </c>
      <c r="F453" s="5"/>
      <c r="G453" s="5"/>
      <c r="H453" s="5"/>
      <c r="I453" s="5"/>
      <c r="J453" s="5"/>
      <c r="K453" s="5"/>
      <c r="L453" s="5"/>
      <c r="M453" s="5"/>
      <c r="N453" s="5"/>
      <c r="O453" s="5"/>
      <c r="P453" s="5"/>
      <c r="Q453" s="5"/>
      <c r="R453" s="5"/>
      <c r="S453" s="5"/>
      <c r="T453" s="5"/>
      <c r="U453" s="5"/>
      <c r="V453" s="5"/>
      <c r="W453" s="5"/>
    </row>
    <row r="454">
      <c r="A454" s="3" t="s">
        <v>2406</v>
      </c>
      <c r="B454" s="3" t="s">
        <v>2407</v>
      </c>
      <c r="C454" s="3" t="s">
        <v>2375</v>
      </c>
      <c r="D454" s="3" t="s">
        <v>2408</v>
      </c>
      <c r="E454" s="4" t="s">
        <v>89</v>
      </c>
      <c r="F454" s="5"/>
      <c r="G454" s="5"/>
      <c r="H454" s="5"/>
      <c r="I454" s="5"/>
      <c r="J454" s="5"/>
      <c r="K454" s="5"/>
      <c r="L454" s="5"/>
      <c r="M454" s="5"/>
      <c r="N454" s="5"/>
      <c r="O454" s="5"/>
      <c r="P454" s="5"/>
      <c r="Q454" s="5"/>
      <c r="R454" s="5"/>
      <c r="S454" s="5"/>
      <c r="T454" s="5"/>
      <c r="U454" s="5"/>
      <c r="V454" s="5"/>
      <c r="W454" s="5"/>
    </row>
    <row r="455">
      <c r="A455" s="3" t="s">
        <v>2409</v>
      </c>
      <c r="B455" s="3" t="s">
        <v>2410</v>
      </c>
      <c r="C455" s="3" t="s">
        <v>2375</v>
      </c>
      <c r="D455" s="3" t="s">
        <v>2411</v>
      </c>
      <c r="E455" s="4" t="s">
        <v>89</v>
      </c>
      <c r="F455" s="5"/>
      <c r="G455" s="5"/>
      <c r="H455" s="5"/>
      <c r="I455" s="5"/>
      <c r="J455" s="5"/>
      <c r="K455" s="5"/>
      <c r="L455" s="5"/>
      <c r="M455" s="5"/>
      <c r="N455" s="5"/>
      <c r="O455" s="5"/>
      <c r="P455" s="5"/>
      <c r="Q455" s="5"/>
      <c r="R455" s="5"/>
      <c r="S455" s="5"/>
      <c r="T455" s="5"/>
      <c r="U455" s="5"/>
      <c r="V455" s="5"/>
      <c r="W455" s="5"/>
    </row>
    <row r="456">
      <c r="A456" s="3" t="s">
        <v>2412</v>
      </c>
      <c r="B456" s="3" t="s">
        <v>2413</v>
      </c>
      <c r="C456" s="3" t="s">
        <v>2375</v>
      </c>
      <c r="D456" s="3" t="s">
        <v>2414</v>
      </c>
      <c r="E456" s="4" t="s">
        <v>89</v>
      </c>
      <c r="F456" s="5"/>
      <c r="G456" s="5"/>
      <c r="H456" s="5"/>
      <c r="I456" s="5"/>
      <c r="J456" s="5"/>
      <c r="K456" s="5"/>
      <c r="L456" s="5"/>
      <c r="M456" s="5"/>
      <c r="N456" s="5"/>
      <c r="O456" s="5"/>
      <c r="P456" s="5"/>
      <c r="Q456" s="5"/>
      <c r="R456" s="5"/>
      <c r="S456" s="5"/>
      <c r="T456" s="5"/>
      <c r="U456" s="5"/>
      <c r="V456" s="5"/>
      <c r="W456" s="5"/>
    </row>
    <row r="457">
      <c r="A457" s="3" t="s">
        <v>2415</v>
      </c>
      <c r="B457" s="3" t="s">
        <v>2416</v>
      </c>
      <c r="C457" s="3" t="s">
        <v>2375</v>
      </c>
      <c r="D457" s="3" t="s">
        <v>2417</v>
      </c>
      <c r="E457" s="4" t="s">
        <v>89</v>
      </c>
      <c r="F457" s="5"/>
      <c r="G457" s="5"/>
      <c r="H457" s="5"/>
      <c r="I457" s="5"/>
      <c r="J457" s="5"/>
      <c r="K457" s="5"/>
      <c r="L457" s="5"/>
      <c r="M457" s="5"/>
      <c r="N457" s="5"/>
      <c r="O457" s="5"/>
      <c r="P457" s="5"/>
      <c r="Q457" s="5"/>
      <c r="R457" s="5"/>
      <c r="S457" s="5"/>
      <c r="T457" s="5"/>
      <c r="U457" s="5"/>
      <c r="V457" s="5"/>
      <c r="W457" s="5"/>
    </row>
    <row r="458">
      <c r="A458" s="3" t="s">
        <v>762</v>
      </c>
      <c r="B458" s="3" t="s">
        <v>2418</v>
      </c>
      <c r="C458" s="3" t="s">
        <v>2375</v>
      </c>
      <c r="D458" s="3" t="s">
        <v>2419</v>
      </c>
      <c r="E458" s="4" t="s">
        <v>89</v>
      </c>
      <c r="F458" s="5"/>
      <c r="G458" s="5"/>
      <c r="H458" s="5"/>
      <c r="I458" s="5"/>
      <c r="J458" s="5"/>
      <c r="K458" s="5"/>
      <c r="L458" s="5"/>
      <c r="M458" s="5"/>
      <c r="N458" s="5"/>
      <c r="O458" s="5"/>
      <c r="P458" s="5"/>
      <c r="Q458" s="5"/>
      <c r="R458" s="5"/>
      <c r="S458" s="5"/>
      <c r="T458" s="5"/>
      <c r="U458" s="5"/>
      <c r="V458" s="5"/>
      <c r="W458" s="5"/>
    </row>
    <row r="459">
      <c r="A459" s="3" t="s">
        <v>768</v>
      </c>
      <c r="B459" s="3" t="s">
        <v>2420</v>
      </c>
      <c r="C459" s="3" t="s">
        <v>2375</v>
      </c>
      <c r="D459" s="3" t="s">
        <v>2421</v>
      </c>
      <c r="E459" s="4" t="s">
        <v>89</v>
      </c>
      <c r="F459" s="5"/>
      <c r="G459" s="5"/>
      <c r="H459" s="5"/>
      <c r="I459" s="5"/>
      <c r="J459" s="5"/>
      <c r="K459" s="5"/>
      <c r="L459" s="5"/>
      <c r="M459" s="5"/>
      <c r="N459" s="5"/>
      <c r="O459" s="5"/>
      <c r="P459" s="5"/>
      <c r="Q459" s="5"/>
      <c r="R459" s="5"/>
      <c r="S459" s="5"/>
      <c r="T459" s="5"/>
      <c r="U459" s="5"/>
      <c r="V459" s="5"/>
      <c r="W459" s="5"/>
    </row>
    <row r="460">
      <c r="A460" s="3" t="s">
        <v>774</v>
      </c>
      <c r="B460" s="3" t="s">
        <v>2422</v>
      </c>
      <c r="C460" s="3" t="s">
        <v>2375</v>
      </c>
      <c r="D460" s="3" t="s">
        <v>2423</v>
      </c>
      <c r="E460" s="4" t="s">
        <v>89</v>
      </c>
      <c r="F460" s="5"/>
      <c r="G460" s="5"/>
      <c r="H460" s="5"/>
      <c r="I460" s="5"/>
      <c r="J460" s="5"/>
      <c r="K460" s="5"/>
      <c r="L460" s="5"/>
      <c r="M460" s="5"/>
      <c r="N460" s="5"/>
      <c r="O460" s="5"/>
      <c r="P460" s="5"/>
      <c r="Q460" s="5"/>
      <c r="R460" s="5"/>
      <c r="S460" s="5"/>
      <c r="T460" s="5"/>
      <c r="U460" s="5"/>
      <c r="V460" s="5"/>
      <c r="W460" s="5"/>
    </row>
    <row r="461">
      <c r="A461" s="3" t="s">
        <v>780</v>
      </c>
      <c r="B461" s="3" t="s">
        <v>2424</v>
      </c>
      <c r="C461" s="3" t="s">
        <v>2375</v>
      </c>
      <c r="D461" s="3" t="s">
        <v>2425</v>
      </c>
      <c r="E461" s="4" t="s">
        <v>89</v>
      </c>
      <c r="F461" s="5"/>
      <c r="G461" s="5"/>
      <c r="H461" s="5"/>
      <c r="I461" s="5"/>
      <c r="J461" s="5"/>
      <c r="K461" s="5"/>
      <c r="L461" s="5"/>
      <c r="M461" s="5"/>
      <c r="N461" s="5"/>
      <c r="O461" s="5"/>
      <c r="P461" s="5"/>
      <c r="Q461" s="5"/>
      <c r="R461" s="5"/>
      <c r="S461" s="5"/>
      <c r="T461" s="5"/>
      <c r="U461" s="5"/>
      <c r="V461" s="5"/>
      <c r="W461" s="5"/>
    </row>
    <row r="462">
      <c r="A462" s="3" t="s">
        <v>786</v>
      </c>
      <c r="B462" s="3" t="s">
        <v>2426</v>
      </c>
      <c r="C462" s="3" t="s">
        <v>2375</v>
      </c>
      <c r="D462" s="3" t="s">
        <v>2427</v>
      </c>
      <c r="E462" s="4" t="s">
        <v>89</v>
      </c>
      <c r="F462" s="5"/>
      <c r="G462" s="5"/>
      <c r="H462" s="5"/>
      <c r="I462" s="5"/>
      <c r="J462" s="5"/>
      <c r="K462" s="5"/>
      <c r="L462" s="5"/>
      <c r="M462" s="5"/>
      <c r="N462" s="5"/>
      <c r="O462" s="5"/>
      <c r="P462" s="5"/>
      <c r="Q462" s="5"/>
      <c r="R462" s="5"/>
      <c r="S462" s="5"/>
      <c r="T462" s="5"/>
      <c r="U462" s="5"/>
      <c r="V462" s="5"/>
      <c r="W462" s="5"/>
    </row>
    <row r="463">
      <c r="A463" s="3" t="s">
        <v>792</v>
      </c>
      <c r="B463" s="3" t="s">
        <v>2428</v>
      </c>
      <c r="C463" s="3" t="s">
        <v>2375</v>
      </c>
      <c r="D463" s="3" t="s">
        <v>2429</v>
      </c>
      <c r="E463" s="4" t="s">
        <v>89</v>
      </c>
      <c r="F463" s="5"/>
      <c r="G463" s="5"/>
      <c r="H463" s="5"/>
      <c r="I463" s="5"/>
      <c r="J463" s="5"/>
      <c r="K463" s="5"/>
      <c r="L463" s="5"/>
      <c r="M463" s="5"/>
      <c r="N463" s="5"/>
      <c r="O463" s="5"/>
      <c r="P463" s="5"/>
      <c r="Q463" s="5"/>
      <c r="R463" s="5"/>
      <c r="S463" s="5"/>
      <c r="T463" s="5"/>
      <c r="U463" s="5"/>
      <c r="V463" s="5"/>
      <c r="W463" s="5"/>
    </row>
    <row r="464">
      <c r="A464" s="3" t="s">
        <v>2430</v>
      </c>
      <c r="B464" s="3" t="s">
        <v>2431</v>
      </c>
      <c r="C464" s="3" t="s">
        <v>2375</v>
      </c>
      <c r="D464" s="3" t="s">
        <v>2432</v>
      </c>
      <c r="E464" s="4" t="s">
        <v>89</v>
      </c>
      <c r="F464" s="5"/>
      <c r="G464" s="5"/>
      <c r="H464" s="5"/>
      <c r="I464" s="5"/>
      <c r="J464" s="5"/>
      <c r="K464" s="5"/>
      <c r="L464" s="5"/>
      <c r="M464" s="5"/>
      <c r="N464" s="5"/>
      <c r="O464" s="5"/>
      <c r="P464" s="5"/>
      <c r="Q464" s="5"/>
      <c r="R464" s="5"/>
      <c r="S464" s="5"/>
      <c r="T464" s="5"/>
      <c r="U464" s="5"/>
      <c r="V464" s="5"/>
      <c r="W464" s="5"/>
    </row>
    <row r="465">
      <c r="A465" s="3" t="s">
        <v>2433</v>
      </c>
      <c r="B465" s="3" t="s">
        <v>2434</v>
      </c>
      <c r="C465" s="3" t="s">
        <v>2375</v>
      </c>
      <c r="D465" s="3" t="s">
        <v>2435</v>
      </c>
      <c r="E465" s="4" t="s">
        <v>89</v>
      </c>
      <c r="F465" s="5"/>
      <c r="G465" s="5"/>
      <c r="H465" s="5"/>
      <c r="I465" s="5"/>
      <c r="J465" s="5"/>
      <c r="K465" s="5"/>
      <c r="L465" s="5"/>
      <c r="M465" s="5"/>
      <c r="N465" s="5"/>
      <c r="O465" s="5"/>
      <c r="P465" s="5"/>
      <c r="Q465" s="5"/>
      <c r="R465" s="5"/>
      <c r="S465" s="5"/>
      <c r="T465" s="5"/>
      <c r="U465" s="5"/>
      <c r="V465" s="5"/>
      <c r="W465" s="5"/>
    </row>
    <row r="466">
      <c r="A466" s="3" t="s">
        <v>2436</v>
      </c>
      <c r="B466" s="3" t="s">
        <v>2437</v>
      </c>
      <c r="C466" s="3" t="s">
        <v>2375</v>
      </c>
      <c r="D466" s="16" t="s">
        <v>2438</v>
      </c>
      <c r="E466" s="4" t="s">
        <v>89</v>
      </c>
      <c r="F466" s="3"/>
      <c r="G466" s="3"/>
      <c r="H466" s="3"/>
      <c r="I466" s="3"/>
      <c r="J466" s="5"/>
      <c r="K466" s="5"/>
      <c r="L466" s="5"/>
      <c r="M466" s="5"/>
      <c r="N466" s="5"/>
      <c r="O466" s="5"/>
      <c r="P466" s="5"/>
      <c r="Q466" s="5"/>
      <c r="R466" s="5"/>
      <c r="S466" s="5"/>
      <c r="T466" s="5"/>
      <c r="U466" s="5"/>
      <c r="V466" s="5"/>
      <c r="W466" s="5"/>
    </row>
    <row r="467">
      <c r="A467" s="3" t="s">
        <v>2439</v>
      </c>
      <c r="B467" s="3" t="s">
        <v>2437</v>
      </c>
      <c r="C467" s="3" t="s">
        <v>2375</v>
      </c>
      <c r="D467" s="3" t="s">
        <v>2440</v>
      </c>
      <c r="E467" s="4" t="s">
        <v>89</v>
      </c>
      <c r="F467" s="5"/>
      <c r="G467" s="5"/>
      <c r="H467" s="5"/>
      <c r="I467" s="5"/>
      <c r="J467" s="5"/>
      <c r="K467" s="5"/>
      <c r="L467" s="5"/>
      <c r="M467" s="5"/>
      <c r="N467" s="5"/>
      <c r="O467" s="5"/>
      <c r="P467" s="5"/>
      <c r="Q467" s="5"/>
      <c r="R467" s="5"/>
      <c r="S467" s="5"/>
      <c r="T467" s="5"/>
      <c r="U467" s="5"/>
      <c r="V467" s="5"/>
      <c r="W467" s="5"/>
    </row>
    <row r="468">
      <c r="A468" s="3" t="s">
        <v>2441</v>
      </c>
      <c r="B468" s="3" t="s">
        <v>2442</v>
      </c>
      <c r="C468" s="3" t="s">
        <v>2375</v>
      </c>
      <c r="D468" s="3" t="s">
        <v>2443</v>
      </c>
      <c r="E468" s="4" t="s">
        <v>89</v>
      </c>
      <c r="F468" s="5"/>
      <c r="G468" s="5"/>
      <c r="H468" s="5"/>
      <c r="I468" s="5"/>
      <c r="J468" s="5"/>
      <c r="K468" s="5"/>
      <c r="L468" s="5"/>
      <c r="M468" s="5"/>
      <c r="N468" s="5"/>
      <c r="O468" s="5"/>
      <c r="P468" s="5"/>
      <c r="Q468" s="5"/>
      <c r="R468" s="5"/>
      <c r="S468" s="5"/>
      <c r="T468" s="5"/>
      <c r="U468" s="5"/>
      <c r="V468" s="5"/>
      <c r="W468" s="5"/>
    </row>
    <row r="469">
      <c r="A469" s="3" t="s">
        <v>2444</v>
      </c>
      <c r="B469" s="3" t="s">
        <v>2445</v>
      </c>
      <c r="C469" s="3" t="s">
        <v>2375</v>
      </c>
      <c r="D469" s="3" t="s">
        <v>2446</v>
      </c>
      <c r="E469" s="4" t="s">
        <v>89</v>
      </c>
      <c r="F469" s="5"/>
      <c r="G469" s="5"/>
      <c r="H469" s="5"/>
      <c r="I469" s="5"/>
      <c r="J469" s="5"/>
      <c r="K469" s="5"/>
      <c r="L469" s="5"/>
      <c r="M469" s="5"/>
      <c r="N469" s="5"/>
      <c r="O469" s="5"/>
      <c r="P469" s="5"/>
      <c r="Q469" s="5"/>
      <c r="R469" s="5"/>
      <c r="S469" s="5"/>
      <c r="T469" s="5"/>
      <c r="U469" s="5"/>
      <c r="V469" s="5"/>
      <c r="W469" s="5"/>
    </row>
    <row r="470">
      <c r="A470" s="3" t="s">
        <v>2447</v>
      </c>
      <c r="B470" s="3" t="s">
        <v>2448</v>
      </c>
      <c r="C470" s="3" t="s">
        <v>2375</v>
      </c>
      <c r="D470" s="3" t="s">
        <v>2449</v>
      </c>
      <c r="E470" s="4" t="s">
        <v>89</v>
      </c>
      <c r="F470" s="5"/>
      <c r="G470" s="5"/>
      <c r="H470" s="5"/>
      <c r="I470" s="5"/>
      <c r="J470" s="5"/>
      <c r="K470" s="5"/>
      <c r="L470" s="5"/>
      <c r="M470" s="5"/>
      <c r="N470" s="5"/>
      <c r="O470" s="5"/>
      <c r="P470" s="5"/>
      <c r="Q470" s="5"/>
      <c r="R470" s="5"/>
      <c r="S470" s="5"/>
      <c r="T470" s="5"/>
      <c r="U470" s="5"/>
      <c r="V470" s="5"/>
      <c r="W470" s="5"/>
    </row>
    <row r="471">
      <c r="A471" s="3" t="s">
        <v>2450</v>
      </c>
      <c r="B471" s="3" t="s">
        <v>2451</v>
      </c>
      <c r="C471" s="3" t="s">
        <v>2375</v>
      </c>
      <c r="D471" s="3" t="s">
        <v>2452</v>
      </c>
      <c r="E471" s="4" t="s">
        <v>89</v>
      </c>
      <c r="F471" s="5"/>
      <c r="G471" s="5"/>
      <c r="H471" s="5"/>
      <c r="I471" s="5"/>
      <c r="J471" s="5"/>
      <c r="K471" s="5"/>
      <c r="L471" s="5"/>
      <c r="M471" s="5"/>
      <c r="N471" s="5"/>
      <c r="O471" s="5"/>
      <c r="P471" s="5"/>
      <c r="Q471" s="5"/>
      <c r="R471" s="5"/>
      <c r="S471" s="5"/>
      <c r="T471" s="5"/>
      <c r="U471" s="5"/>
      <c r="V471" s="5"/>
      <c r="W471" s="5"/>
    </row>
    <row r="472">
      <c r="A472" s="3" t="s">
        <v>2453</v>
      </c>
      <c r="B472" s="3" t="s">
        <v>2454</v>
      </c>
      <c r="C472" s="3" t="s">
        <v>2375</v>
      </c>
      <c r="D472" s="3" t="s">
        <v>2455</v>
      </c>
      <c r="E472" s="4" t="s">
        <v>89</v>
      </c>
      <c r="F472" s="5"/>
      <c r="G472" s="5"/>
      <c r="H472" s="5"/>
      <c r="I472" s="5"/>
      <c r="J472" s="5"/>
      <c r="K472" s="5"/>
      <c r="L472" s="5"/>
      <c r="M472" s="5"/>
      <c r="N472" s="5"/>
      <c r="O472" s="5"/>
      <c r="P472" s="5"/>
      <c r="Q472" s="5"/>
      <c r="R472" s="5"/>
      <c r="S472" s="5"/>
      <c r="T472" s="5"/>
      <c r="U472" s="5"/>
      <c r="V472" s="5"/>
      <c r="W472" s="5"/>
    </row>
    <row r="473">
      <c r="A473" s="3" t="s">
        <v>2456</v>
      </c>
      <c r="B473" s="3" t="s">
        <v>2457</v>
      </c>
      <c r="C473" s="3" t="s">
        <v>2375</v>
      </c>
      <c r="D473" s="3" t="s">
        <v>2458</v>
      </c>
      <c r="E473" s="4" t="s">
        <v>89</v>
      </c>
      <c r="F473" s="5"/>
      <c r="G473" s="5"/>
      <c r="H473" s="5"/>
      <c r="I473" s="5"/>
      <c r="J473" s="5"/>
      <c r="K473" s="5"/>
      <c r="L473" s="5"/>
      <c r="M473" s="5"/>
      <c r="N473" s="5"/>
      <c r="O473" s="5"/>
      <c r="P473" s="5"/>
      <c r="Q473" s="5"/>
      <c r="R473" s="5"/>
      <c r="S473" s="5"/>
      <c r="T473" s="5"/>
      <c r="U473" s="5"/>
      <c r="V473" s="5"/>
      <c r="W473" s="5"/>
    </row>
    <row r="474">
      <c r="A474" s="3" t="s">
        <v>2459</v>
      </c>
      <c r="B474" s="3" t="s">
        <v>2460</v>
      </c>
      <c r="C474" s="3" t="s">
        <v>2375</v>
      </c>
      <c r="D474" s="3" t="s">
        <v>2461</v>
      </c>
      <c r="E474" s="4" t="s">
        <v>89</v>
      </c>
      <c r="F474" s="5"/>
      <c r="G474" s="5"/>
      <c r="H474" s="5"/>
      <c r="I474" s="5"/>
      <c r="J474" s="5"/>
      <c r="K474" s="5"/>
      <c r="L474" s="5"/>
      <c r="M474" s="5"/>
      <c r="N474" s="5"/>
      <c r="O474" s="5"/>
      <c r="P474" s="5"/>
      <c r="Q474" s="5"/>
      <c r="R474" s="5"/>
      <c r="S474" s="5"/>
      <c r="T474" s="5"/>
      <c r="U474" s="5"/>
      <c r="V474" s="5"/>
      <c r="W474" s="5"/>
    </row>
    <row r="475">
      <c r="A475" s="3" t="s">
        <v>2462</v>
      </c>
      <c r="B475" s="3" t="s">
        <v>2463</v>
      </c>
      <c r="C475" s="3" t="s">
        <v>2375</v>
      </c>
      <c r="D475" s="3" t="s">
        <v>2464</v>
      </c>
      <c r="E475" s="4" t="s">
        <v>89</v>
      </c>
      <c r="F475" s="5"/>
      <c r="G475" s="5"/>
      <c r="H475" s="5"/>
      <c r="I475" s="5"/>
      <c r="J475" s="5"/>
      <c r="K475" s="5"/>
      <c r="L475" s="5"/>
      <c r="M475" s="5"/>
      <c r="N475" s="5"/>
      <c r="O475" s="5"/>
      <c r="P475" s="5"/>
      <c r="Q475" s="5"/>
      <c r="R475" s="5"/>
      <c r="S475" s="5"/>
      <c r="T475" s="5"/>
      <c r="U475" s="5"/>
      <c r="V475" s="5"/>
      <c r="W475" s="5"/>
    </row>
    <row r="476">
      <c r="A476" s="3" t="s">
        <v>2465</v>
      </c>
      <c r="B476" s="3" t="s">
        <v>2466</v>
      </c>
      <c r="C476" s="3" t="s">
        <v>2375</v>
      </c>
      <c r="D476" s="3" t="s">
        <v>2467</v>
      </c>
      <c r="E476" s="4" t="s">
        <v>89</v>
      </c>
      <c r="F476" s="5"/>
      <c r="G476" s="5"/>
      <c r="H476" s="5"/>
      <c r="I476" s="5"/>
      <c r="J476" s="5"/>
      <c r="K476" s="5"/>
      <c r="L476" s="5"/>
      <c r="M476" s="5"/>
      <c r="N476" s="5"/>
      <c r="O476" s="5"/>
      <c r="P476" s="5"/>
      <c r="Q476" s="5"/>
      <c r="R476" s="5"/>
      <c r="S476" s="5"/>
      <c r="T476" s="5"/>
      <c r="U476" s="5"/>
      <c r="V476" s="5"/>
      <c r="W476" s="5"/>
    </row>
    <row r="477">
      <c r="A477" s="3" t="s">
        <v>2468</v>
      </c>
      <c r="B477" s="3" t="s">
        <v>2469</v>
      </c>
      <c r="C477" s="3" t="s">
        <v>2375</v>
      </c>
      <c r="D477" s="3" t="s">
        <v>2470</v>
      </c>
      <c r="E477" s="4" t="s">
        <v>89</v>
      </c>
      <c r="F477" s="5"/>
      <c r="G477" s="5"/>
      <c r="H477" s="5"/>
      <c r="I477" s="5"/>
      <c r="J477" s="5"/>
      <c r="K477" s="5"/>
      <c r="L477" s="5"/>
      <c r="M477" s="5"/>
      <c r="N477" s="5"/>
      <c r="O477" s="5"/>
      <c r="P477" s="5"/>
      <c r="Q477" s="5"/>
      <c r="R477" s="5"/>
      <c r="S477" s="5"/>
      <c r="T477" s="5"/>
      <c r="U477" s="5"/>
      <c r="V477" s="5"/>
      <c r="W477" s="5"/>
    </row>
    <row r="478">
      <c r="A478" s="3" t="s">
        <v>2471</v>
      </c>
      <c r="B478" s="3" t="s">
        <v>2472</v>
      </c>
      <c r="C478" s="3" t="s">
        <v>2375</v>
      </c>
      <c r="D478" s="3" t="s">
        <v>2473</v>
      </c>
      <c r="E478" s="4" t="s">
        <v>89</v>
      </c>
      <c r="F478" s="5"/>
      <c r="G478" s="5"/>
      <c r="H478" s="5"/>
      <c r="I478" s="5"/>
      <c r="J478" s="5"/>
      <c r="K478" s="5"/>
      <c r="L478" s="5"/>
      <c r="M478" s="5"/>
      <c r="N478" s="5"/>
      <c r="O478" s="5"/>
      <c r="P478" s="5"/>
      <c r="Q478" s="5"/>
      <c r="R478" s="5"/>
      <c r="S478" s="5"/>
      <c r="T478" s="5"/>
      <c r="U478" s="5"/>
      <c r="V478" s="5"/>
      <c r="W478" s="5"/>
    </row>
    <row r="479">
      <c r="A479" s="3" t="s">
        <v>2474</v>
      </c>
      <c r="B479" s="3" t="s">
        <v>2475</v>
      </c>
      <c r="C479" s="3" t="s">
        <v>2375</v>
      </c>
      <c r="D479" s="3" t="s">
        <v>2476</v>
      </c>
      <c r="E479" s="4" t="s">
        <v>89</v>
      </c>
      <c r="F479" s="5"/>
      <c r="G479" s="5"/>
      <c r="H479" s="5"/>
      <c r="I479" s="5"/>
      <c r="J479" s="5"/>
      <c r="K479" s="5"/>
      <c r="L479" s="5"/>
      <c r="M479" s="5"/>
      <c r="N479" s="5"/>
      <c r="O479" s="5"/>
      <c r="P479" s="5"/>
      <c r="Q479" s="5"/>
      <c r="R479" s="5"/>
      <c r="S479" s="5"/>
      <c r="T479" s="5"/>
      <c r="U479" s="5"/>
      <c r="V479" s="5"/>
      <c r="W479" s="5"/>
    </row>
    <row r="480">
      <c r="A480" s="3" t="s">
        <v>2477</v>
      </c>
      <c r="B480" s="3" t="s">
        <v>2478</v>
      </c>
      <c r="C480" s="3" t="s">
        <v>2375</v>
      </c>
      <c r="D480" s="3" t="s">
        <v>2479</v>
      </c>
      <c r="E480" s="4" t="s">
        <v>89</v>
      </c>
      <c r="F480" s="5"/>
      <c r="G480" s="5"/>
      <c r="H480" s="5"/>
      <c r="I480" s="5"/>
      <c r="J480" s="5"/>
      <c r="K480" s="5"/>
      <c r="L480" s="5"/>
      <c r="M480" s="5"/>
      <c r="N480" s="5"/>
      <c r="O480" s="5"/>
      <c r="P480" s="5"/>
      <c r="Q480" s="5"/>
      <c r="R480" s="5"/>
      <c r="S480" s="5"/>
      <c r="T480" s="5"/>
      <c r="U480" s="5"/>
      <c r="V480" s="5"/>
      <c r="W480" s="5"/>
    </row>
    <row r="481">
      <c r="A481" s="3" t="s">
        <v>2480</v>
      </c>
      <c r="B481" s="3" t="s">
        <v>2481</v>
      </c>
      <c r="C481" s="3" t="s">
        <v>2375</v>
      </c>
      <c r="D481" s="3" t="s">
        <v>2482</v>
      </c>
      <c r="E481" s="4" t="s">
        <v>89</v>
      </c>
      <c r="F481" s="5"/>
      <c r="G481" s="5"/>
      <c r="H481" s="5"/>
      <c r="I481" s="5"/>
      <c r="J481" s="5"/>
      <c r="K481" s="5"/>
      <c r="L481" s="5"/>
      <c r="M481" s="5"/>
      <c r="N481" s="5"/>
      <c r="O481" s="5"/>
      <c r="P481" s="5"/>
      <c r="Q481" s="5"/>
      <c r="R481" s="5"/>
      <c r="S481" s="5"/>
      <c r="T481" s="5"/>
      <c r="U481" s="5"/>
      <c r="V481" s="5"/>
      <c r="W481" s="5"/>
    </row>
    <row r="482">
      <c r="A482" s="3" t="s">
        <v>2483</v>
      </c>
      <c r="B482" s="3" t="s">
        <v>2484</v>
      </c>
      <c r="C482" s="3" t="s">
        <v>2375</v>
      </c>
      <c r="D482" s="3" t="s">
        <v>2485</v>
      </c>
      <c r="E482" s="4" t="s">
        <v>89</v>
      </c>
      <c r="F482" s="5"/>
      <c r="G482" s="5"/>
      <c r="H482" s="5"/>
      <c r="I482" s="5"/>
      <c r="J482" s="5"/>
      <c r="K482" s="5"/>
      <c r="L482" s="5"/>
      <c r="M482" s="5"/>
      <c r="N482" s="5"/>
      <c r="O482" s="5"/>
      <c r="P482" s="5"/>
      <c r="Q482" s="5"/>
      <c r="R482" s="5"/>
      <c r="S482" s="5"/>
      <c r="T482" s="5"/>
      <c r="U482" s="5"/>
      <c r="V482" s="5"/>
      <c r="W482" s="5"/>
    </row>
    <row r="483">
      <c r="A483" s="3" t="s">
        <v>2486</v>
      </c>
      <c r="B483" s="3" t="s">
        <v>2487</v>
      </c>
      <c r="C483" s="3" t="s">
        <v>2375</v>
      </c>
      <c r="D483" s="3" t="s">
        <v>2488</v>
      </c>
      <c r="E483" s="4" t="s">
        <v>89</v>
      </c>
      <c r="F483" s="5"/>
      <c r="G483" s="5"/>
      <c r="H483" s="5"/>
      <c r="I483" s="5"/>
      <c r="J483" s="5"/>
      <c r="K483" s="5"/>
      <c r="L483" s="5"/>
      <c r="M483" s="5"/>
      <c r="N483" s="5"/>
      <c r="O483" s="5"/>
      <c r="P483" s="5"/>
      <c r="Q483" s="5"/>
      <c r="R483" s="5"/>
      <c r="S483" s="5"/>
      <c r="T483" s="5"/>
      <c r="U483" s="5"/>
      <c r="V483" s="5"/>
      <c r="W483" s="5"/>
    </row>
    <row r="484">
      <c r="A484" s="3" t="s">
        <v>2489</v>
      </c>
      <c r="B484" s="3" t="s">
        <v>2490</v>
      </c>
      <c r="C484" s="3" t="s">
        <v>90</v>
      </c>
      <c r="D484" s="3" t="s">
        <v>2491</v>
      </c>
      <c r="E484" s="4" t="s">
        <v>91</v>
      </c>
      <c r="F484" s="5"/>
      <c r="G484" s="5"/>
      <c r="H484" s="5"/>
      <c r="I484" s="5"/>
      <c r="J484" s="5"/>
      <c r="K484" s="5"/>
      <c r="L484" s="5"/>
      <c r="M484" s="5"/>
      <c r="N484" s="5"/>
      <c r="O484" s="5"/>
      <c r="P484" s="5"/>
      <c r="Q484" s="5"/>
      <c r="R484" s="5"/>
      <c r="S484" s="5"/>
      <c r="T484" s="5"/>
      <c r="U484" s="5"/>
      <c r="V484" s="5"/>
      <c r="W484" s="5"/>
    </row>
    <row r="485">
      <c r="A485" s="3" t="s">
        <v>2492</v>
      </c>
      <c r="B485" s="3" t="s">
        <v>2493</v>
      </c>
      <c r="C485" s="3" t="s">
        <v>90</v>
      </c>
      <c r="D485" s="3" t="s">
        <v>2494</v>
      </c>
      <c r="E485" s="4" t="s">
        <v>91</v>
      </c>
      <c r="F485" s="5"/>
      <c r="G485" s="5"/>
      <c r="H485" s="5"/>
      <c r="I485" s="5"/>
      <c r="J485" s="5"/>
      <c r="K485" s="5"/>
      <c r="L485" s="5"/>
      <c r="M485" s="5"/>
      <c r="N485" s="5"/>
      <c r="O485" s="5"/>
      <c r="P485" s="5"/>
      <c r="Q485" s="5"/>
      <c r="R485" s="5"/>
      <c r="S485" s="5"/>
      <c r="T485" s="5"/>
      <c r="U485" s="5"/>
      <c r="V485" s="5"/>
      <c r="W485" s="5"/>
    </row>
    <row r="486">
      <c r="A486" s="3" t="s">
        <v>2495</v>
      </c>
      <c r="B486" s="3" t="s">
        <v>2496</v>
      </c>
      <c r="C486" s="3" t="s">
        <v>90</v>
      </c>
      <c r="D486" s="3" t="s">
        <v>2497</v>
      </c>
      <c r="E486" s="4" t="s">
        <v>91</v>
      </c>
      <c r="F486" s="5"/>
      <c r="G486" s="5"/>
      <c r="H486" s="5"/>
      <c r="I486" s="5"/>
      <c r="J486" s="5"/>
      <c r="K486" s="5"/>
      <c r="L486" s="5"/>
      <c r="M486" s="5"/>
      <c r="N486" s="5"/>
      <c r="O486" s="5"/>
      <c r="P486" s="5"/>
      <c r="Q486" s="5"/>
      <c r="R486" s="5"/>
      <c r="S486" s="5"/>
      <c r="T486" s="5"/>
      <c r="U486" s="5"/>
      <c r="V486" s="5"/>
      <c r="W486" s="5"/>
    </row>
    <row r="487">
      <c r="A487" s="3" t="s">
        <v>2498</v>
      </c>
      <c r="B487" s="3" t="s">
        <v>2499</v>
      </c>
      <c r="C487" s="3" t="s">
        <v>90</v>
      </c>
      <c r="D487" s="3" t="s">
        <v>2500</v>
      </c>
      <c r="E487" s="4" t="s">
        <v>91</v>
      </c>
      <c r="F487" s="5"/>
      <c r="G487" s="5"/>
      <c r="H487" s="5"/>
      <c r="I487" s="5"/>
      <c r="J487" s="5"/>
      <c r="K487" s="5"/>
      <c r="L487" s="5"/>
      <c r="M487" s="5"/>
      <c r="N487" s="5"/>
      <c r="O487" s="5"/>
      <c r="P487" s="5"/>
      <c r="Q487" s="5"/>
      <c r="R487" s="5"/>
      <c r="S487" s="5"/>
      <c r="T487" s="5"/>
      <c r="U487" s="5"/>
      <c r="V487" s="5"/>
      <c r="W487" s="5"/>
    </row>
    <row r="488">
      <c r="A488" s="3" t="s">
        <v>2501</v>
      </c>
      <c r="B488" s="3" t="s">
        <v>2502</v>
      </c>
      <c r="C488" s="3" t="s">
        <v>90</v>
      </c>
      <c r="D488" s="3" t="s">
        <v>2503</v>
      </c>
      <c r="E488" s="4" t="s">
        <v>91</v>
      </c>
      <c r="F488" s="5"/>
      <c r="G488" s="5"/>
      <c r="H488" s="5"/>
      <c r="I488" s="5"/>
      <c r="J488" s="5"/>
      <c r="K488" s="5"/>
      <c r="L488" s="5"/>
      <c r="M488" s="5"/>
      <c r="N488" s="5"/>
      <c r="O488" s="5"/>
      <c r="P488" s="5"/>
      <c r="Q488" s="5"/>
      <c r="R488" s="5"/>
      <c r="S488" s="5"/>
      <c r="T488" s="5"/>
      <c r="U488" s="5"/>
      <c r="V488" s="5"/>
      <c r="W488" s="5"/>
    </row>
    <row r="489">
      <c r="A489" s="3" t="s">
        <v>2504</v>
      </c>
      <c r="B489" s="3" t="s">
        <v>2505</v>
      </c>
      <c r="C489" s="3" t="s">
        <v>90</v>
      </c>
      <c r="D489" s="3" t="s">
        <v>2506</v>
      </c>
      <c r="E489" s="4" t="s">
        <v>91</v>
      </c>
      <c r="F489" s="5"/>
      <c r="G489" s="5"/>
      <c r="H489" s="5"/>
      <c r="I489" s="5"/>
      <c r="J489" s="5"/>
      <c r="K489" s="5"/>
      <c r="L489" s="5"/>
      <c r="M489" s="5"/>
      <c r="N489" s="5"/>
      <c r="O489" s="5"/>
      <c r="P489" s="5"/>
      <c r="Q489" s="5"/>
      <c r="R489" s="5"/>
      <c r="S489" s="5"/>
      <c r="T489" s="5"/>
      <c r="U489" s="5"/>
      <c r="V489" s="5"/>
      <c r="W489" s="5"/>
    </row>
    <row r="490">
      <c r="A490" s="3" t="s">
        <v>2507</v>
      </c>
      <c r="B490" s="3" t="s">
        <v>2508</v>
      </c>
      <c r="C490" s="3" t="s">
        <v>90</v>
      </c>
      <c r="D490" s="3" t="s">
        <v>2509</v>
      </c>
      <c r="E490" s="4" t="s">
        <v>91</v>
      </c>
      <c r="F490" s="5"/>
      <c r="G490" s="5"/>
      <c r="H490" s="5"/>
      <c r="I490" s="5"/>
      <c r="J490" s="5"/>
      <c r="K490" s="5"/>
      <c r="L490" s="5"/>
      <c r="M490" s="5"/>
      <c r="N490" s="5"/>
      <c r="O490" s="5"/>
      <c r="P490" s="5"/>
      <c r="Q490" s="5"/>
      <c r="R490" s="5"/>
      <c r="S490" s="5"/>
      <c r="T490" s="5"/>
      <c r="U490" s="5"/>
      <c r="V490" s="5"/>
      <c r="W490" s="5"/>
    </row>
    <row r="491">
      <c r="A491" s="3" t="s">
        <v>2510</v>
      </c>
      <c r="B491" s="3" t="s">
        <v>2511</v>
      </c>
      <c r="C491" s="3" t="s">
        <v>90</v>
      </c>
      <c r="D491" s="3" t="s">
        <v>2512</v>
      </c>
      <c r="E491" s="4" t="s">
        <v>91</v>
      </c>
      <c r="F491" s="5"/>
      <c r="G491" s="5"/>
      <c r="H491" s="5"/>
      <c r="I491" s="5"/>
      <c r="J491" s="5"/>
      <c r="K491" s="5"/>
      <c r="L491" s="5"/>
      <c r="M491" s="5"/>
      <c r="N491" s="5"/>
      <c r="O491" s="5"/>
      <c r="P491" s="5"/>
      <c r="Q491" s="5"/>
      <c r="R491" s="5"/>
      <c r="S491" s="5"/>
      <c r="T491" s="5"/>
      <c r="U491" s="5"/>
      <c r="V491" s="5"/>
      <c r="W491" s="5"/>
    </row>
    <row r="492">
      <c r="A492" s="3" t="s">
        <v>2513</v>
      </c>
      <c r="B492" s="3" t="s">
        <v>2514</v>
      </c>
      <c r="C492" s="3" t="s">
        <v>90</v>
      </c>
      <c r="D492" s="3" t="s">
        <v>2515</v>
      </c>
      <c r="E492" s="4" t="s">
        <v>91</v>
      </c>
      <c r="F492" s="5"/>
      <c r="G492" s="5"/>
      <c r="H492" s="5"/>
      <c r="I492" s="5"/>
      <c r="J492" s="5"/>
      <c r="K492" s="5"/>
      <c r="L492" s="5"/>
      <c r="M492" s="5"/>
      <c r="N492" s="5"/>
      <c r="O492" s="5"/>
      <c r="P492" s="5"/>
      <c r="Q492" s="5"/>
      <c r="R492" s="5"/>
      <c r="S492" s="5"/>
      <c r="T492" s="5"/>
      <c r="U492" s="5"/>
      <c r="V492" s="5"/>
      <c r="W492" s="5"/>
    </row>
    <row r="493">
      <c r="A493" s="16" t="s">
        <v>2516</v>
      </c>
      <c r="B493" s="16" t="s">
        <v>2517</v>
      </c>
      <c r="C493" s="16" t="s">
        <v>90</v>
      </c>
      <c r="D493" s="16" t="s">
        <v>2518</v>
      </c>
      <c r="E493" s="25" t="s">
        <v>91</v>
      </c>
      <c r="F493" s="16"/>
      <c r="G493" s="16"/>
      <c r="H493" s="16"/>
      <c r="I493" s="16"/>
      <c r="J493" s="17"/>
      <c r="K493" s="17"/>
      <c r="L493" s="17"/>
      <c r="M493" s="17"/>
      <c r="N493" s="17"/>
      <c r="O493" s="17"/>
      <c r="P493" s="17"/>
      <c r="Q493" s="17"/>
      <c r="R493" s="17"/>
      <c r="S493" s="17"/>
      <c r="T493" s="17"/>
      <c r="U493" s="17"/>
      <c r="V493" s="17"/>
      <c r="W493" s="17"/>
    </row>
    <row r="494">
      <c r="A494" s="3" t="s">
        <v>2519</v>
      </c>
      <c r="B494" s="3" t="s">
        <v>2520</v>
      </c>
      <c r="C494" s="3" t="s">
        <v>90</v>
      </c>
      <c r="D494" s="3" t="s">
        <v>2521</v>
      </c>
      <c r="E494" s="4" t="s">
        <v>91</v>
      </c>
      <c r="F494" s="5"/>
      <c r="G494" s="5"/>
      <c r="H494" s="5"/>
      <c r="I494" s="5"/>
      <c r="J494" s="5"/>
      <c r="K494" s="5"/>
      <c r="L494" s="5"/>
      <c r="M494" s="5"/>
      <c r="N494" s="5"/>
      <c r="O494" s="5"/>
      <c r="P494" s="5"/>
      <c r="Q494" s="5"/>
      <c r="R494" s="5"/>
      <c r="S494" s="5"/>
      <c r="T494" s="5"/>
      <c r="U494" s="5"/>
      <c r="V494" s="5"/>
      <c r="W494" s="5"/>
    </row>
    <row r="495">
      <c r="A495" s="3" t="s">
        <v>2522</v>
      </c>
      <c r="B495" s="3" t="s">
        <v>2523</v>
      </c>
      <c r="C495" s="3" t="s">
        <v>90</v>
      </c>
      <c r="D495" s="3" t="s">
        <v>2524</v>
      </c>
      <c r="E495" s="4" t="s">
        <v>91</v>
      </c>
      <c r="F495" s="5"/>
      <c r="G495" s="5"/>
      <c r="H495" s="5"/>
      <c r="I495" s="5"/>
      <c r="J495" s="5"/>
      <c r="K495" s="5"/>
      <c r="L495" s="5"/>
      <c r="M495" s="5"/>
      <c r="N495" s="5"/>
      <c r="O495" s="5"/>
      <c r="P495" s="5"/>
      <c r="Q495" s="5"/>
      <c r="R495" s="5"/>
      <c r="S495" s="5"/>
      <c r="T495" s="5"/>
      <c r="U495" s="5"/>
      <c r="V495" s="5"/>
      <c r="W495" s="5"/>
    </row>
    <row r="496">
      <c r="A496" s="3" t="s">
        <v>2525</v>
      </c>
      <c r="B496" s="3" t="s">
        <v>2445</v>
      </c>
      <c r="C496" s="3" t="s">
        <v>90</v>
      </c>
      <c r="D496" s="3" t="s">
        <v>2526</v>
      </c>
      <c r="E496" s="4" t="s">
        <v>91</v>
      </c>
      <c r="F496" s="5"/>
      <c r="G496" s="5"/>
      <c r="H496" s="5"/>
      <c r="I496" s="5"/>
      <c r="J496" s="5"/>
      <c r="K496" s="5"/>
      <c r="L496" s="5"/>
      <c r="M496" s="5"/>
      <c r="N496" s="5"/>
      <c r="O496" s="5"/>
      <c r="P496" s="5"/>
      <c r="Q496" s="5"/>
      <c r="R496" s="5"/>
      <c r="S496" s="5"/>
      <c r="T496" s="5"/>
      <c r="U496" s="5"/>
      <c r="V496" s="5"/>
      <c r="W496" s="5"/>
    </row>
    <row r="497">
      <c r="A497" s="3" t="s">
        <v>2527</v>
      </c>
      <c r="B497" s="3" t="s">
        <v>2528</v>
      </c>
      <c r="C497" s="3" t="s">
        <v>90</v>
      </c>
      <c r="D497" s="3" t="s">
        <v>2529</v>
      </c>
      <c r="E497" s="4" t="s">
        <v>91</v>
      </c>
      <c r="F497" s="5"/>
      <c r="G497" s="5"/>
      <c r="H497" s="5"/>
      <c r="I497" s="5"/>
      <c r="J497" s="5"/>
      <c r="K497" s="5"/>
      <c r="L497" s="5"/>
      <c r="M497" s="5"/>
      <c r="N497" s="5"/>
      <c r="O497" s="5"/>
      <c r="P497" s="5"/>
      <c r="Q497" s="5"/>
      <c r="R497" s="5"/>
      <c r="S497" s="5"/>
      <c r="T497" s="5"/>
      <c r="U497" s="5"/>
      <c r="V497" s="5"/>
      <c r="W497" s="5"/>
    </row>
    <row r="498">
      <c r="A498" s="3" t="s">
        <v>2530</v>
      </c>
      <c r="B498" s="3" t="s">
        <v>2531</v>
      </c>
      <c r="C498" s="3" t="s">
        <v>90</v>
      </c>
      <c r="D498" s="3" t="s">
        <v>2532</v>
      </c>
      <c r="E498" s="4" t="s">
        <v>91</v>
      </c>
      <c r="F498" s="5"/>
      <c r="G498" s="5"/>
      <c r="H498" s="5"/>
      <c r="I498" s="5"/>
      <c r="J498" s="5"/>
      <c r="K498" s="5"/>
      <c r="L498" s="5"/>
      <c r="M498" s="5"/>
      <c r="N498" s="5"/>
      <c r="O498" s="5"/>
      <c r="P498" s="5"/>
      <c r="Q498" s="5"/>
      <c r="R498" s="5"/>
      <c r="S498" s="5"/>
      <c r="T498" s="5"/>
      <c r="U498" s="5"/>
      <c r="V498" s="5"/>
      <c r="W498" s="5"/>
    </row>
    <row r="499">
      <c r="A499" s="3" t="s">
        <v>2533</v>
      </c>
      <c r="B499" s="3" t="s">
        <v>2534</v>
      </c>
      <c r="C499" s="3" t="s">
        <v>90</v>
      </c>
      <c r="D499" s="3" t="s">
        <v>2535</v>
      </c>
      <c r="E499" s="4" t="s">
        <v>91</v>
      </c>
      <c r="F499" s="5"/>
      <c r="G499" s="5"/>
      <c r="H499" s="5"/>
      <c r="I499" s="5"/>
      <c r="J499" s="5"/>
      <c r="K499" s="5"/>
      <c r="L499" s="5"/>
      <c r="M499" s="5"/>
      <c r="N499" s="5"/>
      <c r="O499" s="5"/>
      <c r="P499" s="5"/>
      <c r="Q499" s="5"/>
      <c r="R499" s="5"/>
      <c r="S499" s="5"/>
      <c r="T499" s="5"/>
      <c r="U499" s="5"/>
      <c r="V499" s="5"/>
      <c r="W499" s="5"/>
    </row>
    <row r="500">
      <c r="A500" s="3" t="s">
        <v>2536</v>
      </c>
      <c r="B500" s="3" t="s">
        <v>2537</v>
      </c>
      <c r="C500" s="3" t="s">
        <v>90</v>
      </c>
      <c r="D500" s="3" t="s">
        <v>2538</v>
      </c>
      <c r="E500" s="4" t="s">
        <v>91</v>
      </c>
      <c r="F500" s="5"/>
      <c r="G500" s="5"/>
      <c r="H500" s="5"/>
      <c r="I500" s="5"/>
      <c r="J500" s="5"/>
      <c r="K500" s="5"/>
      <c r="L500" s="5"/>
      <c r="M500" s="5"/>
      <c r="N500" s="5"/>
      <c r="O500" s="5"/>
      <c r="P500" s="5"/>
      <c r="Q500" s="5"/>
      <c r="R500" s="5"/>
      <c r="S500" s="5"/>
      <c r="T500" s="5"/>
      <c r="U500" s="5"/>
      <c r="V500" s="5"/>
      <c r="W500" s="5"/>
    </row>
    <row r="501">
      <c r="A501" s="3" t="s">
        <v>2539</v>
      </c>
      <c r="B501" s="3" t="s">
        <v>2540</v>
      </c>
      <c r="C501" s="3" t="s">
        <v>90</v>
      </c>
      <c r="D501" s="3" t="s">
        <v>2541</v>
      </c>
      <c r="E501" s="4" t="s">
        <v>91</v>
      </c>
      <c r="F501" s="5"/>
      <c r="G501" s="5"/>
      <c r="H501" s="5"/>
      <c r="I501" s="5"/>
      <c r="J501" s="5"/>
      <c r="K501" s="5"/>
      <c r="L501" s="5"/>
      <c r="M501" s="5"/>
      <c r="N501" s="5"/>
      <c r="O501" s="5"/>
      <c r="P501" s="5"/>
      <c r="Q501" s="5"/>
      <c r="R501" s="5"/>
      <c r="S501" s="5"/>
      <c r="T501" s="5"/>
      <c r="U501" s="5"/>
      <c r="V501" s="5"/>
      <c r="W501" s="5"/>
    </row>
    <row r="502">
      <c r="A502" s="3" t="s">
        <v>2542</v>
      </c>
      <c r="B502" s="3" t="s">
        <v>2543</v>
      </c>
      <c r="C502" s="3" t="s">
        <v>90</v>
      </c>
      <c r="D502" s="3" t="s">
        <v>2544</v>
      </c>
      <c r="E502" s="4" t="s">
        <v>91</v>
      </c>
      <c r="F502" s="5"/>
      <c r="G502" s="5"/>
      <c r="H502" s="5"/>
      <c r="I502" s="5"/>
      <c r="J502" s="5"/>
      <c r="K502" s="5"/>
      <c r="L502" s="5"/>
      <c r="M502" s="5"/>
      <c r="N502" s="5"/>
      <c r="O502" s="5"/>
      <c r="P502" s="5"/>
      <c r="Q502" s="5"/>
      <c r="R502" s="5"/>
      <c r="S502" s="5"/>
      <c r="T502" s="5"/>
      <c r="U502" s="5"/>
      <c r="V502" s="5"/>
      <c r="W502" s="5"/>
    </row>
    <row r="503">
      <c r="A503" s="3" t="s">
        <v>2545</v>
      </c>
      <c r="B503" s="3" t="s">
        <v>2546</v>
      </c>
      <c r="C503" s="3" t="s">
        <v>90</v>
      </c>
      <c r="D503" s="3" t="s">
        <v>2547</v>
      </c>
      <c r="E503" s="4" t="s">
        <v>91</v>
      </c>
      <c r="F503" s="5"/>
      <c r="G503" s="5"/>
      <c r="H503" s="5"/>
      <c r="I503" s="5"/>
      <c r="J503" s="5"/>
      <c r="K503" s="5"/>
      <c r="L503" s="5"/>
      <c r="M503" s="5"/>
      <c r="N503" s="5"/>
      <c r="O503" s="5"/>
      <c r="P503" s="5"/>
      <c r="Q503" s="5"/>
      <c r="R503" s="5"/>
      <c r="S503" s="5"/>
      <c r="T503" s="5"/>
      <c r="U503" s="5"/>
      <c r="V503" s="5"/>
      <c r="W503" s="5"/>
    </row>
    <row r="504">
      <c r="A504" s="3" t="s">
        <v>2548</v>
      </c>
      <c r="B504" s="3" t="s">
        <v>2549</v>
      </c>
      <c r="C504" s="3" t="s">
        <v>90</v>
      </c>
      <c r="D504" s="3" t="s">
        <v>2550</v>
      </c>
      <c r="E504" s="4" t="s">
        <v>91</v>
      </c>
      <c r="F504" s="5"/>
      <c r="G504" s="5"/>
      <c r="H504" s="5"/>
      <c r="I504" s="5"/>
      <c r="J504" s="5"/>
      <c r="K504" s="5"/>
      <c r="L504" s="5"/>
      <c r="M504" s="5"/>
      <c r="N504" s="5"/>
      <c r="O504" s="5"/>
      <c r="P504" s="5"/>
      <c r="Q504" s="5"/>
      <c r="R504" s="5"/>
      <c r="S504" s="5"/>
      <c r="T504" s="5"/>
      <c r="U504" s="5"/>
      <c r="V504" s="5"/>
      <c r="W504" s="5"/>
    </row>
    <row r="505">
      <c r="A505" s="3" t="s">
        <v>2551</v>
      </c>
      <c r="B505" s="3" t="s">
        <v>2552</v>
      </c>
      <c r="C505" s="3" t="s">
        <v>90</v>
      </c>
      <c r="D505" s="3" t="s">
        <v>2553</v>
      </c>
      <c r="E505" s="4" t="s">
        <v>91</v>
      </c>
      <c r="F505" s="5"/>
      <c r="G505" s="5"/>
      <c r="H505" s="5"/>
      <c r="I505" s="5"/>
      <c r="J505" s="5"/>
      <c r="K505" s="5"/>
      <c r="L505" s="5"/>
      <c r="M505" s="5"/>
      <c r="N505" s="5"/>
      <c r="O505" s="5"/>
      <c r="P505" s="5"/>
      <c r="Q505" s="5"/>
      <c r="R505" s="5"/>
      <c r="S505" s="5"/>
      <c r="T505" s="5"/>
      <c r="U505" s="5"/>
      <c r="V505" s="5"/>
      <c r="W505" s="5"/>
    </row>
    <row r="506">
      <c r="A506" s="3" t="s">
        <v>2554</v>
      </c>
      <c r="B506" s="3" t="s">
        <v>2555</v>
      </c>
      <c r="C506" s="3" t="s">
        <v>90</v>
      </c>
      <c r="D506" s="3" t="s">
        <v>2556</v>
      </c>
      <c r="E506" s="4" t="s">
        <v>91</v>
      </c>
      <c r="F506" s="5"/>
      <c r="G506" s="5"/>
      <c r="H506" s="5"/>
      <c r="I506" s="5"/>
      <c r="J506" s="5"/>
      <c r="K506" s="5"/>
      <c r="L506" s="5"/>
      <c r="M506" s="5"/>
      <c r="N506" s="5"/>
      <c r="O506" s="5"/>
      <c r="P506" s="5"/>
      <c r="Q506" s="5"/>
      <c r="R506" s="5"/>
      <c r="S506" s="5"/>
      <c r="T506" s="5"/>
      <c r="U506" s="5"/>
      <c r="V506" s="5"/>
      <c r="W506" s="5"/>
    </row>
    <row r="507">
      <c r="A507" s="3" t="s">
        <v>2557</v>
      </c>
      <c r="B507" s="3" t="s">
        <v>2558</v>
      </c>
      <c r="C507" s="3" t="s">
        <v>90</v>
      </c>
      <c r="D507" s="3" t="s">
        <v>2559</v>
      </c>
      <c r="E507" s="4" t="s">
        <v>91</v>
      </c>
      <c r="F507" s="5"/>
      <c r="G507" s="5"/>
      <c r="H507" s="5"/>
      <c r="I507" s="5"/>
      <c r="J507" s="5"/>
      <c r="K507" s="5"/>
      <c r="L507" s="5"/>
      <c r="M507" s="5"/>
      <c r="N507" s="5"/>
      <c r="O507" s="5"/>
      <c r="P507" s="5"/>
      <c r="Q507" s="5"/>
      <c r="R507" s="5"/>
      <c r="S507" s="5"/>
      <c r="T507" s="5"/>
      <c r="U507" s="5"/>
      <c r="V507" s="5"/>
      <c r="W507" s="5"/>
    </row>
    <row r="508">
      <c r="A508" s="3" t="s">
        <v>2560</v>
      </c>
      <c r="B508" s="3" t="s">
        <v>2561</v>
      </c>
      <c r="C508" s="3" t="s">
        <v>90</v>
      </c>
      <c r="D508" s="3" t="s">
        <v>2562</v>
      </c>
      <c r="E508" s="4" t="s">
        <v>91</v>
      </c>
      <c r="F508" s="5"/>
      <c r="G508" s="5"/>
      <c r="H508" s="5"/>
      <c r="I508" s="5"/>
      <c r="J508" s="5"/>
      <c r="K508" s="5"/>
      <c r="L508" s="5"/>
      <c r="M508" s="5"/>
      <c r="N508" s="5"/>
      <c r="O508" s="5"/>
      <c r="P508" s="5"/>
      <c r="Q508" s="5"/>
      <c r="R508" s="5"/>
      <c r="S508" s="5"/>
      <c r="T508" s="5"/>
      <c r="U508" s="5"/>
      <c r="V508" s="5"/>
      <c r="W508" s="5"/>
    </row>
    <row r="509">
      <c r="A509" s="3" t="s">
        <v>2563</v>
      </c>
      <c r="B509" s="3" t="s">
        <v>2564</v>
      </c>
      <c r="C509" s="3" t="s">
        <v>90</v>
      </c>
      <c r="D509" s="3" t="s">
        <v>2565</v>
      </c>
      <c r="E509" s="4" t="s">
        <v>91</v>
      </c>
      <c r="F509" s="5"/>
      <c r="G509" s="5"/>
      <c r="H509" s="5"/>
      <c r="I509" s="5"/>
      <c r="J509" s="5"/>
      <c r="K509" s="5"/>
      <c r="L509" s="5"/>
      <c r="M509" s="5"/>
      <c r="N509" s="5"/>
      <c r="O509" s="5"/>
      <c r="P509" s="5"/>
      <c r="Q509" s="5"/>
      <c r="R509" s="5"/>
      <c r="S509" s="5"/>
      <c r="T509" s="5"/>
      <c r="U509" s="5"/>
      <c r="V509" s="5"/>
      <c r="W509" s="5"/>
    </row>
    <row r="510">
      <c r="A510" s="3" t="s">
        <v>2566</v>
      </c>
      <c r="B510" s="3" t="s">
        <v>2567</v>
      </c>
      <c r="C510" s="3" t="s">
        <v>90</v>
      </c>
      <c r="D510" s="3" t="s">
        <v>2568</v>
      </c>
      <c r="E510" s="4" t="s">
        <v>91</v>
      </c>
      <c r="F510" s="5"/>
      <c r="G510" s="5"/>
      <c r="H510" s="5"/>
      <c r="I510" s="5"/>
      <c r="J510" s="5"/>
      <c r="K510" s="5"/>
      <c r="L510" s="5"/>
      <c r="M510" s="5"/>
      <c r="N510" s="5"/>
      <c r="O510" s="5"/>
      <c r="P510" s="5"/>
      <c r="Q510" s="5"/>
      <c r="R510" s="5"/>
      <c r="S510" s="5"/>
      <c r="T510" s="5"/>
      <c r="U510" s="5"/>
      <c r="V510" s="5"/>
      <c r="W510" s="5"/>
    </row>
    <row r="511">
      <c r="A511" s="3" t="s">
        <v>2569</v>
      </c>
      <c r="B511" s="3" t="s">
        <v>2570</v>
      </c>
      <c r="C511" s="3" t="s">
        <v>2571</v>
      </c>
      <c r="D511" s="3" t="s">
        <v>2572</v>
      </c>
      <c r="E511" s="4" t="s">
        <v>93</v>
      </c>
      <c r="F511" s="5"/>
      <c r="G511" s="5"/>
      <c r="H511" s="5"/>
      <c r="I511" s="5"/>
      <c r="J511" s="5"/>
      <c r="K511" s="5"/>
      <c r="L511" s="5"/>
      <c r="M511" s="5"/>
      <c r="N511" s="5"/>
      <c r="O511" s="5"/>
      <c r="P511" s="5"/>
      <c r="Q511" s="5"/>
      <c r="R511" s="5"/>
      <c r="S511" s="5"/>
      <c r="T511" s="5"/>
      <c r="U511" s="5"/>
      <c r="V511" s="5"/>
      <c r="W511" s="5"/>
    </row>
    <row r="512">
      <c r="A512" s="3" t="s">
        <v>2573</v>
      </c>
      <c r="B512" s="3" t="s">
        <v>2574</v>
      </c>
      <c r="C512" s="3" t="s">
        <v>2571</v>
      </c>
      <c r="D512" s="3" t="s">
        <v>2575</v>
      </c>
      <c r="E512" s="4" t="s">
        <v>93</v>
      </c>
      <c r="F512" s="5"/>
      <c r="G512" s="5"/>
      <c r="H512" s="5"/>
      <c r="I512" s="5"/>
      <c r="J512" s="5"/>
      <c r="K512" s="5"/>
      <c r="L512" s="5"/>
      <c r="M512" s="5"/>
      <c r="N512" s="5"/>
      <c r="O512" s="5"/>
      <c r="P512" s="5"/>
      <c r="Q512" s="5"/>
      <c r="R512" s="5"/>
      <c r="S512" s="5"/>
      <c r="T512" s="5"/>
      <c r="U512" s="5"/>
      <c r="V512" s="5"/>
      <c r="W512" s="5"/>
    </row>
    <row r="513">
      <c r="A513" s="3" t="s">
        <v>2576</v>
      </c>
      <c r="B513" s="3" t="s">
        <v>2577</v>
      </c>
      <c r="C513" s="3" t="s">
        <v>2571</v>
      </c>
      <c r="D513" s="3" t="s">
        <v>2578</v>
      </c>
      <c r="E513" s="4" t="s">
        <v>93</v>
      </c>
      <c r="F513" s="5"/>
      <c r="G513" s="5"/>
      <c r="H513" s="5"/>
      <c r="I513" s="5"/>
      <c r="J513" s="5"/>
      <c r="K513" s="5"/>
      <c r="L513" s="5"/>
      <c r="M513" s="5"/>
      <c r="N513" s="5"/>
      <c r="O513" s="5"/>
      <c r="P513" s="5"/>
      <c r="Q513" s="5"/>
      <c r="R513" s="5"/>
      <c r="S513" s="5"/>
      <c r="T513" s="5"/>
      <c r="U513" s="5"/>
      <c r="V513" s="5"/>
      <c r="W513" s="5"/>
    </row>
    <row r="514">
      <c r="A514" s="3" t="s">
        <v>2579</v>
      </c>
      <c r="B514" s="3" t="s">
        <v>2580</v>
      </c>
      <c r="C514" s="3" t="s">
        <v>2571</v>
      </c>
      <c r="D514" s="3" t="s">
        <v>2581</v>
      </c>
      <c r="E514" s="4" t="s">
        <v>93</v>
      </c>
      <c r="F514" s="5"/>
      <c r="G514" s="5"/>
      <c r="H514" s="5"/>
      <c r="I514" s="5"/>
      <c r="J514" s="5"/>
      <c r="K514" s="5"/>
      <c r="L514" s="5"/>
      <c r="M514" s="5"/>
      <c r="N514" s="5"/>
      <c r="O514" s="5"/>
      <c r="P514" s="5"/>
      <c r="Q514" s="5"/>
      <c r="R514" s="5"/>
      <c r="S514" s="5"/>
      <c r="T514" s="5"/>
      <c r="U514" s="5"/>
      <c r="V514" s="5"/>
      <c r="W514" s="5"/>
    </row>
    <row r="515">
      <c r="A515" s="3" t="s">
        <v>2582</v>
      </c>
      <c r="B515" s="3" t="s">
        <v>2583</v>
      </c>
      <c r="C515" s="3" t="s">
        <v>2571</v>
      </c>
      <c r="D515" s="3" t="s">
        <v>2584</v>
      </c>
      <c r="E515" s="4" t="s">
        <v>93</v>
      </c>
      <c r="F515" s="5"/>
      <c r="G515" s="5"/>
      <c r="H515" s="5"/>
      <c r="I515" s="5"/>
      <c r="J515" s="5"/>
      <c r="K515" s="5"/>
      <c r="L515" s="5"/>
      <c r="M515" s="5"/>
      <c r="N515" s="5"/>
      <c r="O515" s="5"/>
      <c r="P515" s="5"/>
      <c r="Q515" s="5"/>
      <c r="R515" s="5"/>
      <c r="S515" s="5"/>
      <c r="T515" s="5"/>
      <c r="U515" s="5"/>
      <c r="V515" s="5"/>
      <c r="W515" s="5"/>
    </row>
    <row r="516">
      <c r="A516" s="3" t="s">
        <v>2585</v>
      </c>
      <c r="B516" s="3" t="s">
        <v>2586</v>
      </c>
      <c r="C516" s="3" t="s">
        <v>2571</v>
      </c>
      <c r="D516" s="3" t="s">
        <v>2587</v>
      </c>
      <c r="E516" s="4" t="s">
        <v>93</v>
      </c>
      <c r="F516" s="5"/>
      <c r="G516" s="5"/>
      <c r="H516" s="5"/>
      <c r="I516" s="5"/>
      <c r="J516" s="5"/>
      <c r="K516" s="5"/>
      <c r="L516" s="5"/>
      <c r="M516" s="5"/>
      <c r="N516" s="5"/>
      <c r="O516" s="5"/>
      <c r="P516" s="5"/>
      <c r="Q516" s="5"/>
      <c r="R516" s="5"/>
      <c r="S516" s="5"/>
      <c r="T516" s="5"/>
      <c r="U516" s="5"/>
      <c r="V516" s="5"/>
      <c r="W516" s="5"/>
    </row>
    <row r="517">
      <c r="A517" s="3" t="s">
        <v>2588</v>
      </c>
      <c r="B517" s="3" t="s">
        <v>2589</v>
      </c>
      <c r="C517" s="3" t="s">
        <v>2571</v>
      </c>
      <c r="D517" s="3" t="s">
        <v>2590</v>
      </c>
      <c r="E517" s="4" t="s">
        <v>93</v>
      </c>
      <c r="F517" s="5"/>
      <c r="G517" s="5"/>
      <c r="H517" s="5"/>
      <c r="I517" s="5"/>
      <c r="J517" s="5"/>
      <c r="K517" s="5"/>
      <c r="L517" s="5"/>
      <c r="M517" s="5"/>
      <c r="N517" s="5"/>
      <c r="O517" s="5"/>
      <c r="P517" s="5"/>
      <c r="Q517" s="5"/>
      <c r="R517" s="5"/>
      <c r="S517" s="5"/>
      <c r="T517" s="5"/>
      <c r="U517" s="5"/>
      <c r="V517" s="5"/>
      <c r="W517" s="5"/>
    </row>
    <row r="518">
      <c r="A518" s="3" t="s">
        <v>2591</v>
      </c>
      <c r="B518" s="3" t="s">
        <v>2592</v>
      </c>
      <c r="C518" s="3" t="s">
        <v>2571</v>
      </c>
      <c r="D518" s="3" t="s">
        <v>2593</v>
      </c>
      <c r="E518" s="4" t="s">
        <v>93</v>
      </c>
      <c r="F518" s="5"/>
      <c r="G518" s="5"/>
      <c r="H518" s="5"/>
      <c r="I518" s="5"/>
      <c r="J518" s="5"/>
      <c r="K518" s="5"/>
      <c r="L518" s="5"/>
      <c r="M518" s="5"/>
      <c r="N518" s="5"/>
      <c r="O518" s="5"/>
      <c r="P518" s="5"/>
      <c r="Q518" s="5"/>
      <c r="R518" s="5"/>
      <c r="S518" s="5"/>
      <c r="T518" s="5"/>
      <c r="U518" s="5"/>
      <c r="V518" s="5"/>
      <c r="W518" s="5"/>
    </row>
    <row r="519">
      <c r="A519" s="3" t="s">
        <v>2594</v>
      </c>
      <c r="B519" s="3" t="s">
        <v>2595</v>
      </c>
      <c r="C519" s="3" t="s">
        <v>2571</v>
      </c>
      <c r="D519" s="3" t="s">
        <v>2596</v>
      </c>
      <c r="E519" s="4" t="s">
        <v>93</v>
      </c>
      <c r="F519" s="5"/>
      <c r="G519" s="5"/>
      <c r="H519" s="5"/>
      <c r="I519" s="5"/>
      <c r="J519" s="5"/>
      <c r="K519" s="5"/>
      <c r="L519" s="5"/>
      <c r="M519" s="5"/>
      <c r="N519" s="5"/>
      <c r="O519" s="5"/>
      <c r="P519" s="5"/>
      <c r="Q519" s="5"/>
      <c r="R519" s="5"/>
      <c r="S519" s="5"/>
      <c r="T519" s="5"/>
      <c r="U519" s="5"/>
      <c r="V519" s="5"/>
      <c r="W519" s="5"/>
    </row>
    <row r="520">
      <c r="A520" s="3" t="s">
        <v>2597</v>
      </c>
      <c r="B520" s="3" t="s">
        <v>2598</v>
      </c>
      <c r="C520" s="3" t="s">
        <v>2571</v>
      </c>
      <c r="D520" s="3" t="s">
        <v>2599</v>
      </c>
      <c r="E520" s="4" t="s">
        <v>93</v>
      </c>
      <c r="F520" s="5"/>
      <c r="G520" s="5"/>
      <c r="H520" s="5"/>
      <c r="I520" s="5"/>
      <c r="J520" s="5"/>
      <c r="K520" s="5"/>
      <c r="L520" s="5"/>
      <c r="M520" s="5"/>
      <c r="N520" s="5"/>
      <c r="O520" s="5"/>
      <c r="P520" s="5"/>
      <c r="Q520" s="5"/>
      <c r="R520" s="5"/>
      <c r="S520" s="5"/>
      <c r="T520" s="5"/>
      <c r="U520" s="5"/>
      <c r="V520" s="5"/>
      <c r="W520" s="5"/>
    </row>
    <row r="521">
      <c r="A521" s="3" t="s">
        <v>2600</v>
      </c>
      <c r="B521" s="3" t="s">
        <v>2601</v>
      </c>
      <c r="C521" s="3" t="s">
        <v>2571</v>
      </c>
      <c r="D521" s="3" t="s">
        <v>2602</v>
      </c>
      <c r="E521" s="4" t="s">
        <v>93</v>
      </c>
      <c r="F521" s="5"/>
      <c r="G521" s="5"/>
      <c r="H521" s="5"/>
      <c r="I521" s="5"/>
      <c r="J521" s="5"/>
      <c r="K521" s="5"/>
      <c r="L521" s="5"/>
      <c r="M521" s="5"/>
      <c r="N521" s="5"/>
      <c r="O521" s="5"/>
      <c r="P521" s="5"/>
      <c r="Q521" s="5"/>
      <c r="R521" s="5"/>
      <c r="S521" s="5"/>
      <c r="T521" s="5"/>
      <c r="U521" s="5"/>
      <c r="V521" s="5"/>
      <c r="W521" s="5"/>
    </row>
    <row r="522">
      <c r="A522" s="3" t="s">
        <v>2603</v>
      </c>
      <c r="B522" s="3" t="s">
        <v>2604</v>
      </c>
      <c r="C522" s="3" t="s">
        <v>2571</v>
      </c>
      <c r="D522" s="3" t="s">
        <v>2605</v>
      </c>
      <c r="E522" s="4" t="s">
        <v>93</v>
      </c>
      <c r="F522" s="5"/>
      <c r="G522" s="5"/>
      <c r="H522" s="5"/>
      <c r="I522" s="5"/>
      <c r="J522" s="5"/>
      <c r="K522" s="5"/>
      <c r="L522" s="5"/>
      <c r="M522" s="5"/>
      <c r="N522" s="5"/>
      <c r="O522" s="5"/>
      <c r="P522" s="5"/>
      <c r="Q522" s="5"/>
      <c r="R522" s="5"/>
      <c r="S522" s="5"/>
      <c r="T522" s="5"/>
      <c r="U522" s="5"/>
      <c r="V522" s="5"/>
      <c r="W522" s="5"/>
    </row>
    <row r="523">
      <c r="A523" s="3" t="s">
        <v>2606</v>
      </c>
      <c r="B523" s="3" t="s">
        <v>2607</v>
      </c>
      <c r="C523" s="3" t="s">
        <v>2571</v>
      </c>
      <c r="D523" s="3" t="s">
        <v>2608</v>
      </c>
      <c r="E523" s="4" t="s">
        <v>93</v>
      </c>
      <c r="F523" s="5"/>
      <c r="G523" s="5"/>
      <c r="H523" s="5"/>
      <c r="I523" s="5"/>
      <c r="J523" s="5"/>
      <c r="K523" s="5"/>
      <c r="L523" s="5"/>
      <c r="M523" s="5"/>
      <c r="N523" s="5"/>
      <c r="O523" s="5"/>
      <c r="P523" s="5"/>
      <c r="Q523" s="5"/>
      <c r="R523" s="5"/>
      <c r="S523" s="5"/>
      <c r="T523" s="5"/>
      <c r="U523" s="5"/>
      <c r="V523" s="5"/>
      <c r="W523" s="5"/>
    </row>
    <row r="524">
      <c r="A524" s="3" t="s">
        <v>2609</v>
      </c>
      <c r="B524" s="3" t="s">
        <v>2610</v>
      </c>
      <c r="C524" s="3" t="s">
        <v>2571</v>
      </c>
      <c r="D524" s="3" t="s">
        <v>2611</v>
      </c>
      <c r="E524" s="4" t="s">
        <v>93</v>
      </c>
      <c r="F524" s="5"/>
      <c r="G524" s="5"/>
      <c r="H524" s="5"/>
      <c r="I524" s="5"/>
      <c r="J524" s="5"/>
      <c r="K524" s="5"/>
      <c r="L524" s="5"/>
      <c r="M524" s="5"/>
      <c r="N524" s="5"/>
      <c r="O524" s="5"/>
      <c r="P524" s="5"/>
      <c r="Q524" s="5"/>
      <c r="R524" s="5"/>
      <c r="S524" s="5"/>
      <c r="T524" s="5"/>
      <c r="U524" s="5"/>
      <c r="V524" s="5"/>
      <c r="W524" s="5"/>
    </row>
    <row r="525">
      <c r="A525" s="3" t="s">
        <v>2612</v>
      </c>
      <c r="B525" s="3" t="s">
        <v>2613</v>
      </c>
      <c r="C525" s="3" t="s">
        <v>2571</v>
      </c>
      <c r="D525" s="3" t="s">
        <v>2614</v>
      </c>
      <c r="E525" s="4" t="s">
        <v>93</v>
      </c>
      <c r="F525" s="5"/>
      <c r="G525" s="5"/>
      <c r="H525" s="5"/>
      <c r="I525" s="5"/>
      <c r="J525" s="5"/>
      <c r="K525" s="5"/>
      <c r="L525" s="5"/>
      <c r="M525" s="5"/>
      <c r="N525" s="5"/>
      <c r="O525" s="5"/>
      <c r="P525" s="5"/>
      <c r="Q525" s="5"/>
      <c r="R525" s="5"/>
      <c r="S525" s="5"/>
      <c r="T525" s="5"/>
      <c r="U525" s="5"/>
      <c r="V525" s="5"/>
      <c r="W525" s="5"/>
    </row>
    <row r="526">
      <c r="A526" s="3" t="s">
        <v>2615</v>
      </c>
      <c r="B526" s="3" t="s">
        <v>2616</v>
      </c>
      <c r="C526" s="3" t="s">
        <v>2571</v>
      </c>
      <c r="D526" s="3" t="s">
        <v>2617</v>
      </c>
      <c r="E526" s="4" t="s">
        <v>93</v>
      </c>
      <c r="F526" s="5"/>
      <c r="G526" s="5"/>
      <c r="H526" s="5"/>
      <c r="I526" s="5"/>
      <c r="J526" s="5"/>
      <c r="K526" s="5"/>
      <c r="L526" s="5"/>
      <c r="M526" s="5"/>
      <c r="N526" s="5"/>
      <c r="O526" s="5"/>
      <c r="P526" s="5"/>
      <c r="Q526" s="5"/>
      <c r="R526" s="5"/>
      <c r="S526" s="5"/>
      <c r="T526" s="5"/>
      <c r="U526" s="5"/>
      <c r="V526" s="5"/>
      <c r="W526" s="5"/>
    </row>
    <row r="527">
      <c r="A527" s="3" t="s">
        <v>2618</v>
      </c>
      <c r="B527" s="3" t="s">
        <v>2619</v>
      </c>
      <c r="C527" s="3" t="s">
        <v>2571</v>
      </c>
      <c r="D527" s="3" t="s">
        <v>2620</v>
      </c>
      <c r="E527" s="4" t="s">
        <v>93</v>
      </c>
      <c r="F527" s="5"/>
      <c r="G527" s="5"/>
      <c r="H527" s="5"/>
      <c r="I527" s="5"/>
      <c r="J527" s="5"/>
      <c r="K527" s="5"/>
      <c r="L527" s="5"/>
      <c r="M527" s="5"/>
      <c r="N527" s="5"/>
      <c r="O527" s="5"/>
      <c r="P527" s="5"/>
      <c r="Q527" s="5"/>
      <c r="R527" s="5"/>
      <c r="S527" s="5"/>
      <c r="T527" s="5"/>
      <c r="U527" s="5"/>
      <c r="V527" s="5"/>
      <c r="W527" s="5"/>
    </row>
    <row r="528">
      <c r="A528" s="3" t="s">
        <v>2621</v>
      </c>
      <c r="B528" s="3" t="s">
        <v>2622</v>
      </c>
      <c r="C528" s="3" t="s">
        <v>2571</v>
      </c>
      <c r="D528" s="3" t="s">
        <v>2623</v>
      </c>
      <c r="E528" s="4" t="s">
        <v>93</v>
      </c>
      <c r="F528" s="5"/>
      <c r="G528" s="5"/>
      <c r="H528" s="5"/>
      <c r="I528" s="5"/>
      <c r="J528" s="5"/>
      <c r="K528" s="5"/>
      <c r="L528" s="5"/>
      <c r="M528" s="5"/>
      <c r="N528" s="5"/>
      <c r="O528" s="5"/>
      <c r="P528" s="5"/>
      <c r="Q528" s="5"/>
      <c r="R528" s="5"/>
      <c r="S528" s="5"/>
      <c r="T528" s="5"/>
      <c r="U528" s="5"/>
      <c r="V528" s="5"/>
      <c r="W528" s="5"/>
    </row>
    <row r="529">
      <c r="A529" s="3" t="s">
        <v>2624</v>
      </c>
      <c r="B529" s="3" t="s">
        <v>2625</v>
      </c>
      <c r="C529" s="3" t="s">
        <v>2571</v>
      </c>
      <c r="D529" s="3" t="s">
        <v>2626</v>
      </c>
      <c r="E529" s="4" t="s">
        <v>93</v>
      </c>
      <c r="F529" s="5"/>
      <c r="G529" s="5"/>
      <c r="H529" s="5"/>
      <c r="I529" s="5"/>
      <c r="J529" s="5"/>
      <c r="K529" s="5"/>
      <c r="L529" s="5"/>
      <c r="M529" s="5"/>
      <c r="N529" s="5"/>
      <c r="O529" s="5"/>
      <c r="P529" s="5"/>
      <c r="Q529" s="5"/>
      <c r="R529" s="5"/>
      <c r="S529" s="5"/>
      <c r="T529" s="5"/>
      <c r="U529" s="5"/>
      <c r="V529" s="5"/>
      <c r="W529" s="5"/>
    </row>
    <row r="530">
      <c r="A530" s="3" t="s">
        <v>2627</v>
      </c>
      <c r="B530" s="3" t="s">
        <v>2628</v>
      </c>
      <c r="C530" s="3" t="s">
        <v>2571</v>
      </c>
      <c r="D530" s="3" t="s">
        <v>2629</v>
      </c>
      <c r="E530" s="4" t="s">
        <v>93</v>
      </c>
      <c r="F530" s="5"/>
      <c r="G530" s="5"/>
      <c r="H530" s="5"/>
      <c r="I530" s="5"/>
      <c r="J530" s="5"/>
      <c r="K530" s="5"/>
      <c r="L530" s="5"/>
      <c r="M530" s="5"/>
      <c r="N530" s="5"/>
      <c r="O530" s="5"/>
      <c r="P530" s="5"/>
      <c r="Q530" s="5"/>
      <c r="R530" s="5"/>
      <c r="S530" s="5"/>
      <c r="T530" s="5"/>
      <c r="U530" s="5"/>
      <c r="V530" s="5"/>
      <c r="W530" s="5"/>
    </row>
    <row r="531">
      <c r="A531" s="3" t="s">
        <v>2630</v>
      </c>
      <c r="B531" s="3" t="s">
        <v>2631</v>
      </c>
      <c r="C531" s="3" t="s">
        <v>2571</v>
      </c>
      <c r="D531" s="3" t="s">
        <v>2632</v>
      </c>
      <c r="E531" s="4" t="s">
        <v>93</v>
      </c>
      <c r="F531" s="5"/>
      <c r="G531" s="5"/>
      <c r="H531" s="5"/>
      <c r="I531" s="5"/>
      <c r="J531" s="5"/>
      <c r="K531" s="5"/>
      <c r="L531" s="5"/>
      <c r="M531" s="5"/>
      <c r="N531" s="5"/>
      <c r="O531" s="5"/>
      <c r="P531" s="5"/>
      <c r="Q531" s="5"/>
      <c r="R531" s="5"/>
      <c r="S531" s="5"/>
      <c r="T531" s="5"/>
      <c r="U531" s="5"/>
      <c r="V531" s="5"/>
      <c r="W531" s="5"/>
    </row>
    <row r="532">
      <c r="A532" s="3" t="s">
        <v>2633</v>
      </c>
      <c r="B532" s="3" t="s">
        <v>2634</v>
      </c>
      <c r="C532" s="3" t="s">
        <v>2571</v>
      </c>
      <c r="D532" s="3" t="s">
        <v>2635</v>
      </c>
      <c r="E532" s="4" t="s">
        <v>93</v>
      </c>
      <c r="F532" s="5"/>
      <c r="G532" s="5"/>
      <c r="H532" s="5"/>
      <c r="I532" s="5"/>
      <c r="J532" s="5"/>
      <c r="K532" s="5"/>
      <c r="L532" s="5"/>
      <c r="M532" s="5"/>
      <c r="N532" s="5"/>
      <c r="O532" s="5"/>
      <c r="P532" s="5"/>
      <c r="Q532" s="5"/>
      <c r="R532" s="5"/>
      <c r="S532" s="5"/>
      <c r="T532" s="5"/>
      <c r="U532" s="5"/>
      <c r="V532" s="5"/>
      <c r="W532" s="5"/>
    </row>
    <row r="533">
      <c r="A533" s="3" t="s">
        <v>2636</v>
      </c>
      <c r="B533" s="3" t="s">
        <v>2637</v>
      </c>
      <c r="C533" s="3" t="s">
        <v>2571</v>
      </c>
      <c r="D533" s="3" t="s">
        <v>2638</v>
      </c>
      <c r="E533" s="4" t="s">
        <v>93</v>
      </c>
      <c r="F533" s="5"/>
      <c r="G533" s="5"/>
      <c r="H533" s="5"/>
      <c r="I533" s="5"/>
      <c r="J533" s="5"/>
      <c r="K533" s="5"/>
      <c r="L533" s="5"/>
      <c r="M533" s="5"/>
      <c r="N533" s="5"/>
      <c r="O533" s="5"/>
      <c r="P533" s="5"/>
      <c r="Q533" s="5"/>
      <c r="R533" s="5"/>
      <c r="S533" s="5"/>
      <c r="T533" s="5"/>
      <c r="U533" s="5"/>
      <c r="V533" s="5"/>
      <c r="W533" s="5"/>
    </row>
    <row r="534">
      <c r="A534" s="3" t="s">
        <v>2639</v>
      </c>
      <c r="B534" s="3" t="s">
        <v>2640</v>
      </c>
      <c r="C534" s="3" t="s">
        <v>2571</v>
      </c>
      <c r="D534" s="3" t="s">
        <v>2641</v>
      </c>
      <c r="E534" s="4" t="s">
        <v>93</v>
      </c>
      <c r="F534" s="5"/>
      <c r="G534" s="5"/>
      <c r="H534" s="5"/>
      <c r="I534" s="5"/>
      <c r="J534" s="5"/>
      <c r="K534" s="5"/>
      <c r="L534" s="5"/>
      <c r="M534" s="5"/>
      <c r="N534" s="5"/>
      <c r="O534" s="5"/>
      <c r="P534" s="5"/>
      <c r="Q534" s="5"/>
      <c r="R534" s="5"/>
      <c r="S534" s="5"/>
      <c r="T534" s="5"/>
      <c r="U534" s="5"/>
      <c r="V534" s="5"/>
      <c r="W534" s="5"/>
    </row>
    <row r="535">
      <c r="A535" s="3" t="s">
        <v>2642</v>
      </c>
      <c r="B535" s="3" t="s">
        <v>2643</v>
      </c>
      <c r="C535" s="3" t="s">
        <v>2571</v>
      </c>
      <c r="D535" s="3" t="s">
        <v>2644</v>
      </c>
      <c r="E535" s="4" t="s">
        <v>93</v>
      </c>
      <c r="F535" s="5"/>
      <c r="G535" s="5"/>
      <c r="H535" s="5"/>
      <c r="I535" s="5"/>
      <c r="J535" s="5"/>
      <c r="K535" s="5"/>
      <c r="L535" s="5"/>
      <c r="M535" s="5"/>
      <c r="N535" s="5"/>
      <c r="O535" s="5"/>
      <c r="P535" s="5"/>
      <c r="Q535" s="5"/>
      <c r="R535" s="5"/>
      <c r="S535" s="5"/>
      <c r="T535" s="5"/>
      <c r="U535" s="5"/>
      <c r="V535" s="5"/>
      <c r="W535" s="5"/>
    </row>
    <row r="536">
      <c r="A536" s="3" t="s">
        <v>2645</v>
      </c>
      <c r="B536" s="3" t="s">
        <v>2646</v>
      </c>
      <c r="C536" s="3" t="s">
        <v>2571</v>
      </c>
      <c r="D536" s="3" t="s">
        <v>2647</v>
      </c>
      <c r="E536" s="4" t="s">
        <v>93</v>
      </c>
      <c r="F536" s="5"/>
      <c r="G536" s="5"/>
      <c r="H536" s="5"/>
      <c r="I536" s="5"/>
      <c r="J536" s="5"/>
      <c r="K536" s="5"/>
      <c r="L536" s="5"/>
      <c r="M536" s="5"/>
      <c r="N536" s="5"/>
      <c r="O536" s="5"/>
      <c r="P536" s="5"/>
      <c r="Q536" s="5"/>
      <c r="R536" s="5"/>
      <c r="S536" s="5"/>
      <c r="T536" s="5"/>
      <c r="U536" s="5"/>
      <c r="V536" s="5"/>
      <c r="W536" s="5"/>
    </row>
    <row r="537">
      <c r="A537" s="3" t="s">
        <v>2648</v>
      </c>
      <c r="B537" s="3" t="s">
        <v>2649</v>
      </c>
      <c r="C537" s="3" t="s">
        <v>2571</v>
      </c>
      <c r="D537" s="3" t="s">
        <v>2650</v>
      </c>
      <c r="E537" s="4" t="s">
        <v>93</v>
      </c>
      <c r="F537" s="5"/>
      <c r="G537" s="5"/>
      <c r="H537" s="5"/>
      <c r="I537" s="5"/>
      <c r="J537" s="5"/>
      <c r="K537" s="5"/>
      <c r="L537" s="5"/>
      <c r="M537" s="5"/>
      <c r="N537" s="5"/>
      <c r="O537" s="5"/>
      <c r="P537" s="5"/>
      <c r="Q537" s="5"/>
      <c r="R537" s="5"/>
      <c r="S537" s="5"/>
      <c r="T537" s="5"/>
      <c r="U537" s="5"/>
      <c r="V537" s="5"/>
      <c r="W537" s="5"/>
    </row>
    <row r="538">
      <c r="A538" s="3" t="s">
        <v>2651</v>
      </c>
      <c r="B538" s="3" t="s">
        <v>2652</v>
      </c>
      <c r="C538" s="3" t="s">
        <v>2571</v>
      </c>
      <c r="D538" s="3" t="s">
        <v>2650</v>
      </c>
      <c r="E538" s="4" t="s">
        <v>93</v>
      </c>
      <c r="F538" s="5"/>
      <c r="G538" s="5"/>
      <c r="H538" s="5"/>
      <c r="I538" s="5"/>
      <c r="J538" s="5"/>
      <c r="K538" s="5"/>
      <c r="L538" s="5"/>
      <c r="M538" s="5"/>
      <c r="N538" s="5"/>
      <c r="O538" s="5"/>
      <c r="P538" s="5"/>
      <c r="Q538" s="5"/>
      <c r="R538" s="5"/>
      <c r="S538" s="5"/>
      <c r="T538" s="5"/>
      <c r="U538" s="5"/>
      <c r="V538" s="5"/>
      <c r="W538" s="5"/>
    </row>
    <row r="539">
      <c r="A539" s="3" t="s">
        <v>2653</v>
      </c>
      <c r="B539" s="3" t="s">
        <v>2654</v>
      </c>
      <c r="C539" s="3" t="s">
        <v>2571</v>
      </c>
      <c r="D539" s="3" t="s">
        <v>2655</v>
      </c>
      <c r="E539" s="4" t="s">
        <v>93</v>
      </c>
      <c r="F539" s="5"/>
      <c r="G539" s="5"/>
      <c r="H539" s="5"/>
      <c r="I539" s="5"/>
      <c r="J539" s="5"/>
      <c r="K539" s="5"/>
      <c r="L539" s="5"/>
      <c r="M539" s="5"/>
      <c r="N539" s="5"/>
      <c r="O539" s="5"/>
      <c r="P539" s="5"/>
      <c r="Q539" s="5"/>
      <c r="R539" s="5"/>
      <c r="S539" s="5"/>
      <c r="T539" s="5"/>
      <c r="U539" s="5"/>
      <c r="V539" s="5"/>
      <c r="W539" s="5"/>
    </row>
    <row r="540">
      <c r="A540" s="3" t="s">
        <v>2656</v>
      </c>
      <c r="B540" s="3" t="s">
        <v>2657</v>
      </c>
      <c r="C540" s="3" t="s">
        <v>2571</v>
      </c>
      <c r="D540" s="3" t="s">
        <v>2658</v>
      </c>
      <c r="E540" s="4" t="s">
        <v>93</v>
      </c>
      <c r="F540" s="5"/>
      <c r="G540" s="5"/>
      <c r="H540" s="5"/>
      <c r="I540" s="5"/>
      <c r="J540" s="5"/>
      <c r="K540" s="5"/>
      <c r="L540" s="5"/>
      <c r="M540" s="5"/>
      <c r="N540" s="5"/>
      <c r="O540" s="5"/>
      <c r="P540" s="5"/>
      <c r="Q540" s="5"/>
      <c r="R540" s="5"/>
      <c r="S540" s="5"/>
      <c r="T540" s="5"/>
      <c r="U540" s="5"/>
      <c r="V540" s="5"/>
      <c r="W540" s="5"/>
    </row>
    <row r="541">
      <c r="A541" s="3" t="s">
        <v>2659</v>
      </c>
      <c r="B541" s="3" t="s">
        <v>2660</v>
      </c>
      <c r="C541" s="3" t="s">
        <v>2571</v>
      </c>
      <c r="D541" s="3" t="s">
        <v>2661</v>
      </c>
      <c r="E541" s="4" t="s">
        <v>93</v>
      </c>
      <c r="F541" s="5"/>
      <c r="G541" s="5"/>
      <c r="H541" s="5"/>
      <c r="I541" s="5"/>
      <c r="J541" s="5"/>
      <c r="K541" s="5"/>
      <c r="L541" s="5"/>
      <c r="M541" s="5"/>
      <c r="N541" s="5"/>
      <c r="O541" s="5"/>
      <c r="P541" s="5"/>
      <c r="Q541" s="5"/>
      <c r="R541" s="5"/>
      <c r="S541" s="5"/>
      <c r="T541" s="5"/>
      <c r="U541" s="5"/>
      <c r="V541" s="5"/>
      <c r="W541" s="5"/>
    </row>
    <row r="542">
      <c r="A542" s="3" t="s">
        <v>2662</v>
      </c>
      <c r="B542" s="3" t="s">
        <v>2663</v>
      </c>
      <c r="C542" s="3" t="s">
        <v>2571</v>
      </c>
      <c r="D542" s="16" t="s">
        <v>2518</v>
      </c>
      <c r="E542" s="4" t="s">
        <v>91</v>
      </c>
      <c r="F542" s="3"/>
      <c r="G542" s="3"/>
      <c r="H542" s="3"/>
      <c r="I542" s="3"/>
      <c r="J542" s="5"/>
      <c r="K542" s="5"/>
      <c r="L542" s="5"/>
      <c r="M542" s="5"/>
      <c r="N542" s="5"/>
      <c r="O542" s="5"/>
      <c r="P542" s="5"/>
      <c r="Q542" s="5"/>
      <c r="R542" s="5"/>
      <c r="S542" s="5"/>
      <c r="T542" s="5"/>
      <c r="U542" s="5"/>
      <c r="V542" s="5"/>
      <c r="W542" s="5"/>
    </row>
    <row r="543">
      <c r="A543" s="3" t="s">
        <v>2664</v>
      </c>
      <c r="B543" s="3" t="s">
        <v>2663</v>
      </c>
      <c r="C543" s="3" t="s">
        <v>2571</v>
      </c>
      <c r="D543" s="3" t="s">
        <v>2521</v>
      </c>
      <c r="E543" s="4" t="s">
        <v>91</v>
      </c>
      <c r="F543" s="5"/>
      <c r="G543" s="5"/>
      <c r="H543" s="5"/>
      <c r="I543" s="5"/>
      <c r="J543" s="5"/>
      <c r="K543" s="5"/>
      <c r="L543" s="5"/>
      <c r="M543" s="5"/>
      <c r="N543" s="5"/>
      <c r="O543" s="5"/>
      <c r="P543" s="5"/>
      <c r="Q543" s="5"/>
      <c r="R543" s="5"/>
      <c r="S543" s="5"/>
      <c r="T543" s="5"/>
      <c r="U543" s="5"/>
      <c r="V543" s="5"/>
      <c r="W543" s="5"/>
    </row>
    <row r="544">
      <c r="A544" s="3" t="s">
        <v>2665</v>
      </c>
      <c r="B544" s="3" t="s">
        <v>2666</v>
      </c>
      <c r="C544" s="3" t="s">
        <v>2571</v>
      </c>
      <c r="D544" s="3" t="s">
        <v>2524</v>
      </c>
      <c r="E544" s="4" t="s">
        <v>91</v>
      </c>
      <c r="F544" s="5"/>
      <c r="G544" s="5"/>
      <c r="H544" s="5"/>
      <c r="I544" s="5"/>
      <c r="J544" s="5"/>
      <c r="K544" s="5"/>
      <c r="L544" s="5"/>
      <c r="M544" s="5"/>
      <c r="N544" s="5"/>
      <c r="O544" s="5"/>
      <c r="P544" s="5"/>
      <c r="Q544" s="5"/>
      <c r="R544" s="5"/>
      <c r="S544" s="5"/>
      <c r="T544" s="5"/>
      <c r="U544" s="5"/>
      <c r="V544" s="5"/>
      <c r="W544" s="5"/>
    </row>
    <row r="545">
      <c r="A545" s="3" t="s">
        <v>2667</v>
      </c>
      <c r="B545" s="3" t="s">
        <v>2445</v>
      </c>
      <c r="C545" s="3" t="s">
        <v>2571</v>
      </c>
      <c r="D545" s="3" t="s">
        <v>2526</v>
      </c>
      <c r="E545" s="4" t="s">
        <v>91</v>
      </c>
      <c r="F545" s="5"/>
      <c r="G545" s="5"/>
      <c r="H545" s="5"/>
      <c r="I545" s="5"/>
      <c r="J545" s="5"/>
      <c r="K545" s="5"/>
      <c r="L545" s="5"/>
      <c r="M545" s="5"/>
      <c r="N545" s="5"/>
      <c r="O545" s="5"/>
      <c r="P545" s="5"/>
      <c r="Q545" s="5"/>
      <c r="R545" s="5"/>
      <c r="S545" s="5"/>
      <c r="T545" s="5"/>
      <c r="U545" s="5"/>
      <c r="V545" s="5"/>
      <c r="W545" s="5"/>
    </row>
    <row r="546">
      <c r="A546" s="3" t="s">
        <v>2668</v>
      </c>
      <c r="B546" s="3" t="s">
        <v>2669</v>
      </c>
      <c r="C546" s="3" t="s">
        <v>2571</v>
      </c>
      <c r="D546" s="3" t="s">
        <v>2529</v>
      </c>
      <c r="E546" s="4" t="s">
        <v>91</v>
      </c>
      <c r="F546" s="5"/>
      <c r="G546" s="5"/>
      <c r="H546" s="5"/>
      <c r="I546" s="5"/>
      <c r="J546" s="5"/>
      <c r="K546" s="5"/>
      <c r="L546" s="5"/>
      <c r="M546" s="5"/>
      <c r="N546" s="5"/>
      <c r="O546" s="5"/>
      <c r="P546" s="5"/>
      <c r="Q546" s="5"/>
      <c r="R546" s="5"/>
      <c r="S546" s="5"/>
      <c r="T546" s="5"/>
      <c r="U546" s="5"/>
      <c r="V546" s="5"/>
      <c r="W546" s="5"/>
    </row>
    <row r="547">
      <c r="A547" s="3" t="s">
        <v>2670</v>
      </c>
      <c r="B547" s="3" t="s">
        <v>2671</v>
      </c>
      <c r="C547" s="3" t="s">
        <v>2571</v>
      </c>
      <c r="D547" s="3" t="s">
        <v>2532</v>
      </c>
      <c r="E547" s="4" t="s">
        <v>91</v>
      </c>
      <c r="F547" s="5"/>
      <c r="G547" s="5"/>
      <c r="H547" s="5"/>
      <c r="I547" s="5"/>
      <c r="J547" s="5"/>
      <c r="K547" s="5"/>
      <c r="L547" s="5"/>
      <c r="M547" s="5"/>
      <c r="N547" s="5"/>
      <c r="O547" s="5"/>
      <c r="P547" s="5"/>
      <c r="Q547" s="5"/>
      <c r="R547" s="5"/>
      <c r="S547" s="5"/>
      <c r="T547" s="5"/>
      <c r="U547" s="5"/>
      <c r="V547" s="5"/>
      <c r="W547" s="5"/>
    </row>
    <row r="548">
      <c r="A548" s="3" t="s">
        <v>2672</v>
      </c>
      <c r="B548" s="3" t="s">
        <v>2673</v>
      </c>
      <c r="C548" s="3" t="s">
        <v>2571</v>
      </c>
      <c r="D548" s="3" t="s">
        <v>2535</v>
      </c>
      <c r="E548" s="4" t="s">
        <v>91</v>
      </c>
      <c r="F548" s="5"/>
      <c r="G548" s="5"/>
      <c r="H548" s="5"/>
      <c r="I548" s="5"/>
      <c r="J548" s="5"/>
      <c r="K548" s="5"/>
      <c r="L548" s="5"/>
      <c r="M548" s="5"/>
      <c r="N548" s="5"/>
      <c r="O548" s="5"/>
      <c r="P548" s="5"/>
      <c r="Q548" s="5"/>
      <c r="R548" s="5"/>
      <c r="S548" s="5"/>
      <c r="T548" s="5"/>
      <c r="U548" s="5"/>
      <c r="V548" s="5"/>
      <c r="W548" s="5"/>
    </row>
    <row r="549">
      <c r="A549" s="3" t="s">
        <v>2674</v>
      </c>
      <c r="B549" s="3" t="s">
        <v>2675</v>
      </c>
      <c r="C549" s="3" t="s">
        <v>2676</v>
      </c>
      <c r="D549" s="3" t="s">
        <v>2677</v>
      </c>
      <c r="E549" s="4" t="s">
        <v>93</v>
      </c>
      <c r="F549" s="5"/>
      <c r="G549" s="5"/>
      <c r="H549" s="5"/>
      <c r="I549" s="5"/>
      <c r="J549" s="5"/>
      <c r="K549" s="5"/>
      <c r="L549" s="5"/>
      <c r="M549" s="5"/>
      <c r="N549" s="5"/>
      <c r="O549" s="5"/>
      <c r="P549" s="5"/>
      <c r="Q549" s="5"/>
      <c r="R549" s="5"/>
      <c r="S549" s="5"/>
      <c r="T549" s="5"/>
      <c r="U549" s="5"/>
      <c r="V549" s="5"/>
      <c r="W549" s="5"/>
    </row>
    <row r="550">
      <c r="A550" s="3" t="s">
        <v>2678</v>
      </c>
      <c r="B550" s="3" t="s">
        <v>2679</v>
      </c>
      <c r="C550" s="3" t="s">
        <v>2571</v>
      </c>
      <c r="D550" s="3" t="s">
        <v>2680</v>
      </c>
      <c r="E550" s="4" t="s">
        <v>93</v>
      </c>
      <c r="F550" s="5"/>
      <c r="G550" s="5"/>
      <c r="H550" s="5"/>
      <c r="I550" s="5"/>
      <c r="J550" s="5"/>
      <c r="K550" s="5"/>
      <c r="L550" s="5"/>
      <c r="M550" s="5"/>
      <c r="N550" s="5"/>
      <c r="O550" s="5"/>
      <c r="P550" s="5"/>
      <c r="Q550" s="5"/>
      <c r="R550" s="5"/>
      <c r="S550" s="5"/>
      <c r="T550" s="5"/>
      <c r="U550" s="5"/>
      <c r="V550" s="5"/>
      <c r="W550" s="5"/>
    </row>
    <row r="551">
      <c r="A551" s="3" t="s">
        <v>2681</v>
      </c>
      <c r="B551" s="3" t="s">
        <v>2682</v>
      </c>
      <c r="C551" s="3" t="s">
        <v>2683</v>
      </c>
      <c r="D551" s="3" t="s">
        <v>2684</v>
      </c>
      <c r="E551" s="4" t="s">
        <v>93</v>
      </c>
      <c r="F551" s="5"/>
      <c r="G551" s="5"/>
      <c r="H551" s="5"/>
      <c r="I551" s="5"/>
      <c r="J551" s="5"/>
      <c r="K551" s="5"/>
      <c r="L551" s="5"/>
      <c r="M551" s="5"/>
      <c r="N551" s="5"/>
      <c r="O551" s="5"/>
      <c r="P551" s="5"/>
      <c r="Q551" s="5"/>
      <c r="R551" s="5"/>
      <c r="S551" s="5"/>
      <c r="T551" s="5"/>
      <c r="U551" s="5"/>
      <c r="V551" s="5"/>
      <c r="W551" s="5"/>
    </row>
    <row r="552">
      <c r="A552" s="3" t="s">
        <v>2685</v>
      </c>
      <c r="B552" s="3" t="s">
        <v>2686</v>
      </c>
      <c r="C552" s="3" t="s">
        <v>2571</v>
      </c>
      <c r="D552" s="3" t="s">
        <v>2687</v>
      </c>
      <c r="E552" s="4" t="s">
        <v>93</v>
      </c>
      <c r="F552" s="5"/>
      <c r="G552" s="5"/>
      <c r="H552" s="5"/>
      <c r="I552" s="5"/>
      <c r="J552" s="5"/>
      <c r="K552" s="5"/>
      <c r="L552" s="5"/>
      <c r="M552" s="5"/>
      <c r="N552" s="5"/>
      <c r="O552" s="5"/>
      <c r="P552" s="5"/>
      <c r="Q552" s="5"/>
      <c r="R552" s="5"/>
      <c r="S552" s="5"/>
      <c r="T552" s="5"/>
      <c r="U552" s="5"/>
      <c r="V552" s="5"/>
      <c r="W552" s="5"/>
    </row>
    <row r="553">
      <c r="A553" s="3" t="s">
        <v>2688</v>
      </c>
      <c r="B553" s="3" t="s">
        <v>2689</v>
      </c>
      <c r="C553" s="3" t="s">
        <v>2571</v>
      </c>
      <c r="D553" s="3" t="s">
        <v>2690</v>
      </c>
      <c r="E553" s="4" t="s">
        <v>93</v>
      </c>
      <c r="F553" s="5"/>
      <c r="G553" s="5"/>
      <c r="H553" s="5"/>
      <c r="I553" s="5"/>
      <c r="J553" s="5"/>
      <c r="K553" s="5"/>
      <c r="L553" s="5"/>
      <c r="M553" s="5"/>
      <c r="N553" s="5"/>
      <c r="O553" s="5"/>
      <c r="P553" s="5"/>
      <c r="Q553" s="5"/>
      <c r="R553" s="5"/>
      <c r="S553" s="5"/>
      <c r="T553" s="5"/>
      <c r="U553" s="5"/>
      <c r="V553" s="5"/>
      <c r="W553" s="5"/>
    </row>
    <row r="554">
      <c r="A554" s="3" t="s">
        <v>2691</v>
      </c>
      <c r="B554" s="3" t="s">
        <v>2692</v>
      </c>
      <c r="C554" s="3" t="s">
        <v>2571</v>
      </c>
      <c r="D554" s="3" t="s">
        <v>2693</v>
      </c>
      <c r="E554" s="4" t="s">
        <v>93</v>
      </c>
      <c r="F554" s="5"/>
      <c r="G554" s="5"/>
      <c r="H554" s="5"/>
      <c r="I554" s="5"/>
      <c r="J554" s="5"/>
      <c r="K554" s="5"/>
      <c r="L554" s="5"/>
      <c r="M554" s="5"/>
      <c r="N554" s="5"/>
      <c r="O554" s="5"/>
      <c r="P554" s="5"/>
      <c r="Q554" s="5"/>
      <c r="R554" s="5"/>
      <c r="S554" s="5"/>
      <c r="T554" s="5"/>
      <c r="U554" s="5"/>
      <c r="V554" s="5"/>
      <c r="W554" s="5"/>
    </row>
    <row r="555">
      <c r="A555" s="3" t="s">
        <v>2694</v>
      </c>
      <c r="B555" s="3" t="s">
        <v>2695</v>
      </c>
      <c r="C555" s="3" t="s">
        <v>2696</v>
      </c>
      <c r="D555" s="3" t="s">
        <v>2697</v>
      </c>
      <c r="E555" s="4" t="s">
        <v>93</v>
      </c>
      <c r="F555" s="5"/>
      <c r="G555" s="5"/>
      <c r="H555" s="5"/>
      <c r="I555" s="5"/>
      <c r="J555" s="5"/>
      <c r="K555" s="5"/>
      <c r="L555" s="5"/>
      <c r="M555" s="5"/>
      <c r="N555" s="5"/>
      <c r="O555" s="5"/>
      <c r="P555" s="5"/>
      <c r="Q555" s="5"/>
      <c r="R555" s="5"/>
      <c r="S555" s="5"/>
      <c r="T555" s="5"/>
      <c r="U555" s="5"/>
      <c r="V555" s="5"/>
      <c r="W555" s="5"/>
    </row>
    <row r="556">
      <c r="A556" s="3" t="s">
        <v>2698</v>
      </c>
      <c r="B556" s="3" t="s">
        <v>2699</v>
      </c>
      <c r="C556" s="3" t="s">
        <v>2700</v>
      </c>
      <c r="D556" s="3" t="s">
        <v>2701</v>
      </c>
      <c r="E556" s="4" t="s">
        <v>93</v>
      </c>
      <c r="F556" s="5"/>
      <c r="G556" s="5"/>
      <c r="H556" s="5"/>
      <c r="I556" s="5"/>
      <c r="J556" s="5"/>
      <c r="K556" s="5"/>
      <c r="L556" s="5"/>
      <c r="M556" s="5"/>
      <c r="N556" s="5"/>
      <c r="O556" s="5"/>
      <c r="P556" s="5"/>
      <c r="Q556" s="5"/>
      <c r="R556" s="5"/>
      <c r="S556" s="5"/>
      <c r="T556" s="5"/>
      <c r="U556" s="5"/>
      <c r="V556" s="5"/>
      <c r="W556" s="5"/>
    </row>
    <row r="557">
      <c r="A557" s="3" t="s">
        <v>2702</v>
      </c>
      <c r="B557" s="3" t="s">
        <v>2703</v>
      </c>
      <c r="C557" s="3" t="s">
        <v>2704</v>
      </c>
      <c r="D557" s="3" t="s">
        <v>2705</v>
      </c>
      <c r="E557" s="4" t="s">
        <v>93</v>
      </c>
      <c r="F557" s="5"/>
      <c r="G557" s="5"/>
      <c r="H557" s="5"/>
      <c r="I557" s="5"/>
      <c r="J557" s="5"/>
      <c r="K557" s="5"/>
      <c r="L557" s="5"/>
      <c r="M557" s="5"/>
      <c r="N557" s="5"/>
      <c r="O557" s="5"/>
      <c r="P557" s="5"/>
      <c r="Q557" s="5"/>
      <c r="R557" s="5"/>
      <c r="S557" s="5"/>
      <c r="T557" s="5"/>
      <c r="U557" s="5"/>
      <c r="V557" s="5"/>
      <c r="W557" s="5"/>
    </row>
    <row r="558">
      <c r="A558" s="3" t="s">
        <v>2706</v>
      </c>
      <c r="B558" s="3" t="s">
        <v>2707</v>
      </c>
      <c r="C558" s="3" t="s">
        <v>2708</v>
      </c>
      <c r="D558" s="3" t="s">
        <v>2709</v>
      </c>
      <c r="E558" s="4" t="s">
        <v>93</v>
      </c>
      <c r="F558" s="5"/>
      <c r="G558" s="5"/>
      <c r="H558" s="5"/>
      <c r="I558" s="5"/>
      <c r="J558" s="5"/>
      <c r="K558" s="5"/>
      <c r="L558" s="5"/>
      <c r="M558" s="5"/>
      <c r="N558" s="5"/>
      <c r="O558" s="5"/>
      <c r="P558" s="5"/>
      <c r="Q558" s="5"/>
      <c r="R558" s="5"/>
      <c r="S558" s="5"/>
      <c r="T558" s="5"/>
      <c r="U558" s="5"/>
      <c r="V558" s="5"/>
      <c r="W558" s="5"/>
    </row>
    <row r="559">
      <c r="A559" s="3" t="s">
        <v>2710</v>
      </c>
      <c r="B559" s="3" t="s">
        <v>2711</v>
      </c>
      <c r="C559" s="3" t="s">
        <v>2712</v>
      </c>
      <c r="D559" s="3" t="s">
        <v>2713</v>
      </c>
      <c r="E559" s="4" t="s">
        <v>93</v>
      </c>
      <c r="F559" s="5"/>
      <c r="G559" s="5"/>
      <c r="H559" s="5"/>
      <c r="I559" s="5"/>
      <c r="J559" s="5"/>
      <c r="K559" s="5"/>
      <c r="L559" s="5"/>
      <c r="M559" s="5"/>
      <c r="N559" s="5"/>
      <c r="O559" s="5"/>
      <c r="P559" s="5"/>
      <c r="Q559" s="5"/>
      <c r="R559" s="5"/>
      <c r="S559" s="5"/>
      <c r="T559" s="5"/>
      <c r="U559" s="5"/>
      <c r="V559" s="5"/>
      <c r="W559" s="5"/>
    </row>
    <row r="560">
      <c r="A560" s="3" t="s">
        <v>2714</v>
      </c>
      <c r="B560" s="3" t="s">
        <v>2715</v>
      </c>
      <c r="C560" s="3" t="s">
        <v>2571</v>
      </c>
      <c r="D560" s="3" t="s">
        <v>2716</v>
      </c>
      <c r="E560" s="4" t="s">
        <v>93</v>
      </c>
      <c r="F560" s="5"/>
      <c r="G560" s="5"/>
      <c r="H560" s="5"/>
      <c r="I560" s="5"/>
      <c r="J560" s="5"/>
      <c r="K560" s="5"/>
      <c r="L560" s="5"/>
      <c r="M560" s="5"/>
      <c r="N560" s="5"/>
      <c r="O560" s="5"/>
      <c r="P560" s="5"/>
      <c r="Q560" s="5"/>
      <c r="R560" s="5"/>
      <c r="S560" s="5"/>
      <c r="T560" s="5"/>
      <c r="U560" s="5"/>
      <c r="V560" s="5"/>
      <c r="W560" s="5"/>
    </row>
    <row r="561">
      <c r="A561" s="3" t="s">
        <v>2717</v>
      </c>
      <c r="B561" s="3" t="s">
        <v>2718</v>
      </c>
      <c r="C561" s="3" t="s">
        <v>2571</v>
      </c>
      <c r="D561" s="3" t="s">
        <v>2719</v>
      </c>
      <c r="E561" s="4" t="s">
        <v>93</v>
      </c>
      <c r="F561" s="5"/>
      <c r="G561" s="5"/>
      <c r="H561" s="5"/>
      <c r="I561" s="5"/>
      <c r="J561" s="5"/>
      <c r="K561" s="5"/>
      <c r="L561" s="5"/>
      <c r="M561" s="5"/>
      <c r="N561" s="5"/>
      <c r="O561" s="5"/>
      <c r="P561" s="5"/>
      <c r="Q561" s="5"/>
      <c r="R561" s="5"/>
      <c r="S561" s="5"/>
      <c r="T561" s="5"/>
      <c r="U561" s="5"/>
      <c r="V561" s="5"/>
      <c r="W561" s="5"/>
    </row>
    <row r="562">
      <c r="A562" s="3" t="s">
        <v>2720</v>
      </c>
      <c r="B562" s="3" t="s">
        <v>2721</v>
      </c>
      <c r="C562" s="3" t="s">
        <v>2571</v>
      </c>
      <c r="D562" s="3" t="s">
        <v>2722</v>
      </c>
      <c r="E562" s="4" t="s">
        <v>93</v>
      </c>
      <c r="F562" s="5"/>
      <c r="G562" s="5"/>
      <c r="H562" s="5"/>
      <c r="I562" s="5"/>
      <c r="J562" s="5"/>
      <c r="K562" s="5"/>
      <c r="L562" s="5"/>
      <c r="M562" s="5"/>
      <c r="N562" s="5"/>
      <c r="O562" s="5"/>
      <c r="P562" s="5"/>
      <c r="Q562" s="5"/>
      <c r="R562" s="5"/>
      <c r="S562" s="5"/>
      <c r="T562" s="5"/>
      <c r="U562" s="5"/>
      <c r="V562" s="5"/>
      <c r="W562" s="5"/>
    </row>
    <row r="563">
      <c r="A563" s="3" t="s">
        <v>2723</v>
      </c>
      <c r="B563" s="3" t="s">
        <v>2724</v>
      </c>
      <c r="C563" s="3" t="s">
        <v>2571</v>
      </c>
      <c r="D563" s="3" t="s">
        <v>2725</v>
      </c>
      <c r="E563" s="4" t="s">
        <v>93</v>
      </c>
      <c r="F563" s="5"/>
      <c r="G563" s="5"/>
      <c r="H563" s="5"/>
      <c r="I563" s="5"/>
      <c r="J563" s="5"/>
      <c r="K563" s="5"/>
      <c r="L563" s="5"/>
      <c r="M563" s="5"/>
      <c r="N563" s="5"/>
      <c r="O563" s="5"/>
      <c r="P563" s="5"/>
      <c r="Q563" s="5"/>
      <c r="R563" s="5"/>
      <c r="S563" s="5"/>
      <c r="T563" s="5"/>
      <c r="U563" s="5"/>
      <c r="V563" s="5"/>
      <c r="W563" s="5"/>
    </row>
    <row r="564">
      <c r="A564" s="3" t="s">
        <v>2726</v>
      </c>
      <c r="B564" s="3" t="s">
        <v>2727</v>
      </c>
      <c r="C564" s="3" t="s">
        <v>2571</v>
      </c>
      <c r="D564" s="3" t="s">
        <v>2728</v>
      </c>
      <c r="E564" s="4" t="s">
        <v>93</v>
      </c>
      <c r="F564" s="5"/>
      <c r="G564" s="5"/>
      <c r="H564" s="5"/>
      <c r="I564" s="5"/>
      <c r="J564" s="5"/>
      <c r="K564" s="5"/>
      <c r="L564" s="5"/>
      <c r="M564" s="5"/>
      <c r="N564" s="5"/>
      <c r="O564" s="5"/>
      <c r="P564" s="5"/>
      <c r="Q564" s="5"/>
      <c r="R564" s="5"/>
      <c r="S564" s="5"/>
      <c r="T564" s="5"/>
      <c r="U564" s="5"/>
      <c r="V564" s="5"/>
      <c r="W564" s="5"/>
    </row>
    <row r="565">
      <c r="A565" s="3" t="s">
        <v>2729</v>
      </c>
      <c r="B565" s="3" t="s">
        <v>2730</v>
      </c>
      <c r="C565" s="3" t="s">
        <v>2571</v>
      </c>
      <c r="D565" s="3" t="s">
        <v>2731</v>
      </c>
      <c r="E565" s="4" t="s">
        <v>93</v>
      </c>
      <c r="F565" s="5"/>
      <c r="G565" s="5"/>
      <c r="H565" s="5"/>
      <c r="I565" s="5"/>
      <c r="J565" s="5"/>
      <c r="K565" s="5"/>
      <c r="L565" s="5"/>
      <c r="M565" s="5"/>
      <c r="N565" s="5"/>
      <c r="O565" s="5"/>
      <c r="P565" s="5"/>
      <c r="Q565" s="5"/>
      <c r="R565" s="5"/>
      <c r="S565" s="5"/>
      <c r="T565" s="5"/>
      <c r="U565" s="5"/>
      <c r="V565" s="5"/>
      <c r="W565" s="5"/>
    </row>
    <row r="566">
      <c r="A566" s="3" t="s">
        <v>2732</v>
      </c>
      <c r="B566" s="3" t="s">
        <v>2733</v>
      </c>
      <c r="C566" s="3" t="s">
        <v>2571</v>
      </c>
      <c r="D566" s="3" t="s">
        <v>2734</v>
      </c>
      <c r="E566" s="4" t="s">
        <v>93</v>
      </c>
      <c r="F566" s="5"/>
      <c r="G566" s="5"/>
      <c r="H566" s="5"/>
      <c r="I566" s="5"/>
      <c r="J566" s="5"/>
      <c r="K566" s="5"/>
      <c r="L566" s="5"/>
      <c r="M566" s="5"/>
      <c r="N566" s="5"/>
      <c r="O566" s="5"/>
      <c r="P566" s="5"/>
      <c r="Q566" s="5"/>
      <c r="R566" s="5"/>
      <c r="S566" s="5"/>
      <c r="T566" s="5"/>
      <c r="U566" s="5"/>
      <c r="V566" s="5"/>
      <c r="W566" s="5"/>
    </row>
    <row r="567">
      <c r="A567" s="3" t="s">
        <v>2735</v>
      </c>
      <c r="B567" s="3" t="s">
        <v>2736</v>
      </c>
      <c r="C567" s="3" t="s">
        <v>2571</v>
      </c>
      <c r="D567" s="3" t="s">
        <v>2737</v>
      </c>
      <c r="E567" s="4" t="s">
        <v>93</v>
      </c>
      <c r="F567" s="5"/>
      <c r="G567" s="5"/>
      <c r="H567" s="5"/>
      <c r="I567" s="5"/>
      <c r="J567" s="5"/>
      <c r="K567" s="5"/>
      <c r="L567" s="5"/>
      <c r="M567" s="5"/>
      <c r="N567" s="5"/>
      <c r="O567" s="5"/>
      <c r="P567" s="5"/>
      <c r="Q567" s="5"/>
      <c r="R567" s="5"/>
      <c r="S567" s="5"/>
      <c r="T567" s="5"/>
      <c r="U567" s="5"/>
      <c r="V567" s="5"/>
      <c r="W567" s="5"/>
    </row>
    <row r="568">
      <c r="A568" s="3" t="s">
        <v>2738</v>
      </c>
      <c r="B568" s="3" t="s">
        <v>2739</v>
      </c>
      <c r="C568" s="3" t="s">
        <v>2571</v>
      </c>
      <c r="D568" s="3" t="s">
        <v>2740</v>
      </c>
      <c r="E568" s="4" t="s">
        <v>93</v>
      </c>
      <c r="F568" s="5"/>
      <c r="G568" s="5"/>
      <c r="H568" s="5"/>
      <c r="I568" s="5"/>
      <c r="J568" s="5"/>
      <c r="K568" s="5"/>
      <c r="L568" s="5"/>
      <c r="M568" s="5"/>
      <c r="N568" s="5"/>
      <c r="O568" s="5"/>
      <c r="P568" s="5"/>
      <c r="Q568" s="5"/>
      <c r="R568" s="5"/>
      <c r="S568" s="5"/>
      <c r="T568" s="5"/>
      <c r="U568" s="5"/>
      <c r="V568" s="5"/>
      <c r="W568" s="5"/>
    </row>
    <row r="569">
      <c r="A569" s="3" t="s">
        <v>2741</v>
      </c>
      <c r="B569" s="3" t="s">
        <v>2742</v>
      </c>
      <c r="C569" s="3" t="s">
        <v>2571</v>
      </c>
      <c r="D569" s="3" t="s">
        <v>2743</v>
      </c>
      <c r="E569" s="4" t="s">
        <v>93</v>
      </c>
      <c r="F569" s="5"/>
      <c r="G569" s="5"/>
      <c r="H569" s="5"/>
      <c r="I569" s="5"/>
      <c r="J569" s="5"/>
      <c r="K569" s="5"/>
      <c r="L569" s="5"/>
      <c r="M569" s="5"/>
      <c r="N569" s="5"/>
      <c r="O569" s="5"/>
      <c r="P569" s="5"/>
      <c r="Q569" s="5"/>
      <c r="R569" s="5"/>
      <c r="S569" s="5"/>
      <c r="T569" s="5"/>
      <c r="U569" s="5"/>
      <c r="V569" s="5"/>
      <c r="W569" s="5"/>
    </row>
    <row r="570">
      <c r="A570" s="3" t="s">
        <v>2744</v>
      </c>
      <c r="B570" s="3" t="s">
        <v>2745</v>
      </c>
      <c r="C570" s="3" t="s">
        <v>2571</v>
      </c>
      <c r="D570" s="3" t="s">
        <v>2746</v>
      </c>
      <c r="E570" s="4" t="s">
        <v>93</v>
      </c>
      <c r="F570" s="5"/>
      <c r="G570" s="5"/>
      <c r="H570" s="5"/>
      <c r="I570" s="5"/>
      <c r="J570" s="5"/>
      <c r="K570" s="5"/>
      <c r="L570" s="5"/>
      <c r="M570" s="5"/>
      <c r="N570" s="5"/>
      <c r="O570" s="5"/>
      <c r="P570" s="5"/>
      <c r="Q570" s="5"/>
      <c r="R570" s="5"/>
      <c r="S570" s="5"/>
      <c r="T570" s="5"/>
      <c r="U570" s="5"/>
      <c r="V570" s="5"/>
      <c r="W570" s="5"/>
    </row>
    <row r="571">
      <c r="A571" s="3" t="s">
        <v>2747</v>
      </c>
      <c r="B571" s="3" t="s">
        <v>2748</v>
      </c>
      <c r="C571" s="3" t="s">
        <v>2571</v>
      </c>
      <c r="D571" s="3" t="s">
        <v>2749</v>
      </c>
      <c r="E571" s="4" t="s">
        <v>93</v>
      </c>
      <c r="F571" s="5"/>
      <c r="G571" s="5"/>
      <c r="H571" s="5"/>
      <c r="I571" s="5"/>
      <c r="J571" s="5"/>
      <c r="K571" s="5"/>
      <c r="L571" s="5"/>
      <c r="M571" s="5"/>
      <c r="N571" s="5"/>
      <c r="O571" s="5"/>
      <c r="P571" s="5"/>
      <c r="Q571" s="5"/>
      <c r="R571" s="5"/>
      <c r="S571" s="5"/>
      <c r="T571" s="5"/>
      <c r="U571" s="5"/>
      <c r="V571" s="5"/>
      <c r="W571" s="5"/>
    </row>
    <row r="572">
      <c r="A572" s="3" t="s">
        <v>2750</v>
      </c>
      <c r="B572" s="3" t="s">
        <v>2751</v>
      </c>
      <c r="C572" s="3" t="s">
        <v>2571</v>
      </c>
      <c r="D572" s="3" t="s">
        <v>2752</v>
      </c>
      <c r="E572" s="4" t="s">
        <v>93</v>
      </c>
      <c r="F572" s="5"/>
      <c r="G572" s="5"/>
      <c r="H572" s="5"/>
      <c r="I572" s="5"/>
      <c r="J572" s="5"/>
      <c r="K572" s="5"/>
      <c r="L572" s="5"/>
      <c r="M572" s="5"/>
      <c r="N572" s="5"/>
      <c r="O572" s="5"/>
      <c r="P572" s="5"/>
      <c r="Q572" s="5"/>
      <c r="R572" s="5"/>
      <c r="S572" s="5"/>
      <c r="T572" s="5"/>
      <c r="U572" s="5"/>
      <c r="V572" s="5"/>
      <c r="W572" s="5"/>
    </row>
    <row r="573">
      <c r="A573" s="3" t="s">
        <v>2753</v>
      </c>
      <c r="B573" s="3" t="s">
        <v>2754</v>
      </c>
      <c r="C573" s="3" t="s">
        <v>2571</v>
      </c>
      <c r="D573" s="3" t="s">
        <v>2755</v>
      </c>
      <c r="E573" s="4" t="s">
        <v>93</v>
      </c>
      <c r="F573" s="5"/>
      <c r="G573" s="5"/>
      <c r="H573" s="5"/>
      <c r="I573" s="5"/>
      <c r="J573" s="5"/>
      <c r="K573" s="5"/>
      <c r="L573" s="5"/>
      <c r="M573" s="5"/>
      <c r="N573" s="5"/>
      <c r="O573" s="5"/>
      <c r="P573" s="5"/>
      <c r="Q573" s="5"/>
      <c r="R573" s="5"/>
      <c r="S573" s="5"/>
      <c r="T573" s="5"/>
      <c r="U573" s="5"/>
      <c r="V573" s="5"/>
      <c r="W573" s="5"/>
    </row>
    <row r="574">
      <c r="A574" s="3" t="s">
        <v>2756</v>
      </c>
      <c r="B574" s="3" t="s">
        <v>2757</v>
      </c>
      <c r="C574" s="3" t="s">
        <v>2571</v>
      </c>
      <c r="D574" s="3" t="s">
        <v>2758</v>
      </c>
      <c r="E574" s="4" t="s">
        <v>93</v>
      </c>
      <c r="F574" s="5"/>
      <c r="G574" s="5"/>
      <c r="H574" s="5"/>
      <c r="I574" s="5"/>
      <c r="J574" s="5"/>
      <c r="K574" s="5"/>
      <c r="L574" s="5"/>
      <c r="M574" s="5"/>
      <c r="N574" s="5"/>
      <c r="O574" s="5"/>
      <c r="P574" s="5"/>
      <c r="Q574" s="5"/>
      <c r="R574" s="5"/>
      <c r="S574" s="5"/>
      <c r="T574" s="5"/>
      <c r="U574" s="5"/>
      <c r="V574" s="5"/>
      <c r="W574" s="5"/>
    </row>
    <row r="575">
      <c r="A575" s="3" t="s">
        <v>2759</v>
      </c>
      <c r="B575" s="3" t="s">
        <v>2760</v>
      </c>
      <c r="C575" s="3" t="s">
        <v>2571</v>
      </c>
      <c r="D575" s="3" t="s">
        <v>2761</v>
      </c>
      <c r="E575" s="4" t="s">
        <v>93</v>
      </c>
      <c r="F575" s="5"/>
      <c r="G575" s="5"/>
      <c r="H575" s="5"/>
      <c r="I575" s="5"/>
      <c r="J575" s="5"/>
      <c r="K575" s="5"/>
      <c r="L575" s="5"/>
      <c r="M575" s="5"/>
      <c r="N575" s="5"/>
      <c r="O575" s="5"/>
      <c r="P575" s="5"/>
      <c r="Q575" s="5"/>
      <c r="R575" s="5"/>
      <c r="S575" s="5"/>
      <c r="T575" s="5"/>
      <c r="U575" s="5"/>
      <c r="V575" s="5"/>
      <c r="W575" s="5"/>
    </row>
    <row r="576">
      <c r="A576" s="3" t="s">
        <v>2762</v>
      </c>
      <c r="B576" s="3" t="s">
        <v>2763</v>
      </c>
      <c r="C576" s="3" t="s">
        <v>94</v>
      </c>
      <c r="D576" s="3" t="s">
        <v>2764</v>
      </c>
      <c r="E576" s="4" t="s">
        <v>95</v>
      </c>
      <c r="F576" s="5"/>
      <c r="G576" s="5"/>
      <c r="H576" s="5"/>
      <c r="I576" s="5"/>
      <c r="J576" s="5"/>
      <c r="K576" s="5"/>
      <c r="L576" s="5"/>
      <c r="M576" s="5"/>
      <c r="N576" s="5"/>
      <c r="O576" s="5"/>
      <c r="P576" s="5"/>
      <c r="Q576" s="5"/>
      <c r="R576" s="5"/>
      <c r="S576" s="5"/>
      <c r="T576" s="5"/>
      <c r="U576" s="5"/>
      <c r="V576" s="5"/>
      <c r="W576" s="5"/>
    </row>
    <row r="577">
      <c r="A577" s="3" t="s">
        <v>2765</v>
      </c>
      <c r="B577" s="3" t="s">
        <v>2766</v>
      </c>
      <c r="C577" s="3" t="s">
        <v>94</v>
      </c>
      <c r="D577" s="3" t="s">
        <v>2767</v>
      </c>
      <c r="E577" s="4" t="s">
        <v>95</v>
      </c>
      <c r="F577" s="5"/>
      <c r="G577" s="5"/>
      <c r="H577" s="5"/>
      <c r="I577" s="5"/>
      <c r="J577" s="5"/>
      <c r="K577" s="5"/>
      <c r="L577" s="5"/>
      <c r="M577" s="5"/>
      <c r="N577" s="5"/>
      <c r="O577" s="5"/>
      <c r="P577" s="5"/>
      <c r="Q577" s="5"/>
      <c r="R577" s="5"/>
      <c r="S577" s="5"/>
      <c r="T577" s="5"/>
      <c r="U577" s="5"/>
      <c r="V577" s="5"/>
      <c r="W577" s="5"/>
    </row>
    <row r="578">
      <c r="A578" s="3" t="s">
        <v>2768</v>
      </c>
      <c r="B578" s="3" t="s">
        <v>2769</v>
      </c>
      <c r="C578" s="3" t="s">
        <v>94</v>
      </c>
      <c r="D578" s="3" t="s">
        <v>2770</v>
      </c>
      <c r="E578" s="4" t="s">
        <v>95</v>
      </c>
      <c r="F578" s="5"/>
      <c r="G578" s="5"/>
      <c r="H578" s="5"/>
      <c r="I578" s="5"/>
      <c r="J578" s="5"/>
      <c r="K578" s="5"/>
      <c r="L578" s="5"/>
      <c r="M578" s="5"/>
      <c r="N578" s="5"/>
      <c r="O578" s="5"/>
      <c r="P578" s="5"/>
      <c r="Q578" s="5"/>
      <c r="R578" s="5"/>
      <c r="S578" s="5"/>
      <c r="T578" s="5"/>
      <c r="U578" s="5"/>
      <c r="V578" s="5"/>
      <c r="W578" s="5"/>
    </row>
    <row r="579">
      <c r="A579" s="3" t="s">
        <v>2771</v>
      </c>
      <c r="B579" s="3" t="s">
        <v>2772</v>
      </c>
      <c r="C579" s="3" t="s">
        <v>94</v>
      </c>
      <c r="D579" s="3" t="s">
        <v>2773</v>
      </c>
      <c r="E579" s="4" t="s">
        <v>95</v>
      </c>
      <c r="F579" s="5"/>
      <c r="G579" s="5"/>
      <c r="H579" s="5"/>
      <c r="I579" s="5"/>
      <c r="J579" s="5"/>
      <c r="K579" s="5"/>
      <c r="L579" s="5"/>
      <c r="M579" s="5"/>
      <c r="N579" s="5"/>
      <c r="O579" s="5"/>
      <c r="P579" s="5"/>
      <c r="Q579" s="5"/>
      <c r="R579" s="5"/>
      <c r="S579" s="5"/>
      <c r="T579" s="5"/>
      <c r="U579" s="5"/>
      <c r="V579" s="5"/>
      <c r="W579" s="5"/>
    </row>
    <row r="580">
      <c r="A580" s="3" t="s">
        <v>2774</v>
      </c>
      <c r="B580" s="3" t="s">
        <v>2775</v>
      </c>
      <c r="C580" s="3" t="s">
        <v>94</v>
      </c>
      <c r="D580" s="3" t="s">
        <v>2776</v>
      </c>
      <c r="E580" s="4" t="s">
        <v>95</v>
      </c>
      <c r="F580" s="5"/>
      <c r="G580" s="5"/>
      <c r="H580" s="5"/>
      <c r="I580" s="5"/>
      <c r="J580" s="5"/>
      <c r="K580" s="5"/>
      <c r="L580" s="5"/>
      <c r="M580" s="5"/>
      <c r="N580" s="5"/>
      <c r="O580" s="5"/>
      <c r="P580" s="5"/>
      <c r="Q580" s="5"/>
      <c r="R580" s="5"/>
      <c r="S580" s="5"/>
      <c r="T580" s="5"/>
      <c r="U580" s="5"/>
      <c r="V580" s="5"/>
      <c r="W580" s="5"/>
    </row>
    <row r="581">
      <c r="A581" s="3" t="s">
        <v>2777</v>
      </c>
      <c r="B581" s="3" t="s">
        <v>2778</v>
      </c>
      <c r="C581" s="3" t="s">
        <v>94</v>
      </c>
      <c r="D581" s="3" t="s">
        <v>2779</v>
      </c>
      <c r="E581" s="4" t="s">
        <v>95</v>
      </c>
      <c r="F581" s="5"/>
      <c r="G581" s="5"/>
      <c r="H581" s="5"/>
      <c r="I581" s="5"/>
      <c r="J581" s="5"/>
      <c r="K581" s="5"/>
      <c r="L581" s="5"/>
      <c r="M581" s="5"/>
      <c r="N581" s="5"/>
      <c r="O581" s="5"/>
      <c r="P581" s="5"/>
      <c r="Q581" s="5"/>
      <c r="R581" s="5"/>
      <c r="S581" s="5"/>
      <c r="T581" s="5"/>
      <c r="U581" s="5"/>
      <c r="V581" s="5"/>
      <c r="W581" s="5"/>
    </row>
    <row r="582">
      <c r="A582" s="3" t="s">
        <v>2780</v>
      </c>
      <c r="B582" s="3" t="s">
        <v>2781</v>
      </c>
      <c r="C582" s="3" t="s">
        <v>94</v>
      </c>
      <c r="D582" s="3" t="s">
        <v>2782</v>
      </c>
      <c r="E582" s="4" t="s">
        <v>95</v>
      </c>
      <c r="F582" s="5"/>
      <c r="G582" s="5"/>
      <c r="H582" s="5"/>
      <c r="I582" s="5"/>
      <c r="J582" s="5"/>
      <c r="K582" s="5"/>
      <c r="L582" s="5"/>
      <c r="M582" s="5"/>
      <c r="N582" s="5"/>
      <c r="O582" s="5"/>
      <c r="P582" s="5"/>
      <c r="Q582" s="5"/>
      <c r="R582" s="5"/>
      <c r="S582" s="5"/>
      <c r="T582" s="5"/>
      <c r="U582" s="5"/>
      <c r="V582" s="5"/>
      <c r="W582" s="5"/>
    </row>
    <row r="583">
      <c r="A583" s="3" t="s">
        <v>2783</v>
      </c>
      <c r="B583" s="3" t="s">
        <v>2784</v>
      </c>
      <c r="C583" s="3" t="s">
        <v>94</v>
      </c>
      <c r="D583" s="3" t="s">
        <v>2785</v>
      </c>
      <c r="E583" s="4" t="s">
        <v>95</v>
      </c>
      <c r="F583" s="5"/>
      <c r="G583" s="5"/>
      <c r="H583" s="5"/>
      <c r="I583" s="5"/>
      <c r="J583" s="5"/>
      <c r="K583" s="5"/>
      <c r="L583" s="5"/>
      <c r="M583" s="5"/>
      <c r="N583" s="5"/>
      <c r="O583" s="5"/>
      <c r="P583" s="5"/>
      <c r="Q583" s="5"/>
      <c r="R583" s="5"/>
      <c r="S583" s="5"/>
      <c r="T583" s="5"/>
      <c r="U583" s="5"/>
      <c r="V583" s="5"/>
      <c r="W583" s="5"/>
    </row>
    <row r="584">
      <c r="A584" s="3" t="s">
        <v>2786</v>
      </c>
      <c r="B584" s="3" t="s">
        <v>2787</v>
      </c>
      <c r="C584" s="3" t="s">
        <v>94</v>
      </c>
      <c r="D584" s="3" t="s">
        <v>2788</v>
      </c>
      <c r="E584" s="4" t="s">
        <v>95</v>
      </c>
      <c r="F584" s="5"/>
      <c r="G584" s="5"/>
      <c r="H584" s="5"/>
      <c r="I584" s="5"/>
      <c r="J584" s="5"/>
      <c r="K584" s="5"/>
      <c r="L584" s="5"/>
      <c r="M584" s="5"/>
      <c r="N584" s="5"/>
      <c r="O584" s="5"/>
      <c r="P584" s="5"/>
      <c r="Q584" s="5"/>
      <c r="R584" s="5"/>
      <c r="S584" s="5"/>
      <c r="T584" s="5"/>
      <c r="U584" s="5"/>
      <c r="V584" s="5"/>
      <c r="W584" s="5"/>
    </row>
    <row r="585">
      <c r="A585" s="3" t="s">
        <v>2789</v>
      </c>
      <c r="B585" s="3" t="s">
        <v>2790</v>
      </c>
      <c r="C585" s="3" t="s">
        <v>94</v>
      </c>
      <c r="D585" s="3" t="s">
        <v>2791</v>
      </c>
      <c r="E585" s="4" t="s">
        <v>95</v>
      </c>
      <c r="F585" s="5"/>
      <c r="G585" s="5"/>
      <c r="H585" s="5"/>
      <c r="I585" s="5"/>
      <c r="J585" s="5"/>
      <c r="K585" s="5"/>
      <c r="L585" s="5"/>
      <c r="M585" s="5"/>
      <c r="N585" s="5"/>
      <c r="O585" s="5"/>
      <c r="P585" s="5"/>
      <c r="Q585" s="5"/>
      <c r="R585" s="5"/>
      <c r="S585" s="5"/>
      <c r="T585" s="5"/>
      <c r="U585" s="5"/>
      <c r="V585" s="5"/>
      <c r="W585" s="5"/>
    </row>
    <row r="586">
      <c r="A586" s="3" t="s">
        <v>2792</v>
      </c>
      <c r="B586" s="3" t="s">
        <v>2793</v>
      </c>
      <c r="C586" s="3" t="s">
        <v>94</v>
      </c>
      <c r="D586" s="3" t="s">
        <v>2794</v>
      </c>
      <c r="E586" s="4" t="s">
        <v>95</v>
      </c>
      <c r="F586" s="5"/>
      <c r="G586" s="5"/>
      <c r="H586" s="5"/>
      <c r="I586" s="5"/>
      <c r="J586" s="5"/>
      <c r="K586" s="5"/>
      <c r="L586" s="5"/>
      <c r="M586" s="5"/>
      <c r="N586" s="5"/>
      <c r="O586" s="5"/>
      <c r="P586" s="5"/>
      <c r="Q586" s="5"/>
      <c r="R586" s="5"/>
      <c r="S586" s="5"/>
      <c r="T586" s="5"/>
      <c r="U586" s="5"/>
      <c r="V586" s="5"/>
      <c r="W586" s="5"/>
    </row>
    <row r="587">
      <c r="A587" s="3" t="s">
        <v>2795</v>
      </c>
      <c r="B587" s="3" t="s">
        <v>2796</v>
      </c>
      <c r="C587" s="3" t="s">
        <v>94</v>
      </c>
      <c r="D587" s="3" t="s">
        <v>2797</v>
      </c>
      <c r="E587" s="4" t="s">
        <v>95</v>
      </c>
      <c r="F587" s="5"/>
      <c r="G587" s="5"/>
      <c r="H587" s="5"/>
      <c r="I587" s="5"/>
      <c r="J587" s="5"/>
      <c r="K587" s="5"/>
      <c r="L587" s="5"/>
      <c r="M587" s="5"/>
      <c r="N587" s="5"/>
      <c r="O587" s="5"/>
      <c r="P587" s="5"/>
      <c r="Q587" s="5"/>
      <c r="R587" s="5"/>
      <c r="S587" s="5"/>
      <c r="T587" s="5"/>
      <c r="U587" s="5"/>
      <c r="V587" s="5"/>
      <c r="W587" s="5"/>
    </row>
    <row r="588">
      <c r="A588" s="3" t="s">
        <v>2798</v>
      </c>
      <c r="B588" s="3" t="s">
        <v>2799</v>
      </c>
      <c r="C588" s="3" t="s">
        <v>94</v>
      </c>
      <c r="D588" s="16" t="s">
        <v>2800</v>
      </c>
      <c r="E588" s="4" t="s">
        <v>95</v>
      </c>
      <c r="F588" s="3"/>
      <c r="G588" s="3"/>
      <c r="H588" s="3"/>
      <c r="I588" s="3"/>
      <c r="J588" s="5"/>
      <c r="K588" s="5"/>
      <c r="L588" s="5"/>
      <c r="M588" s="5"/>
      <c r="N588" s="5"/>
      <c r="O588" s="5"/>
      <c r="P588" s="5"/>
      <c r="Q588" s="5"/>
      <c r="R588" s="5"/>
      <c r="S588" s="5"/>
      <c r="T588" s="5"/>
      <c r="U588" s="5"/>
      <c r="V588" s="5"/>
      <c r="W588" s="5"/>
    </row>
    <row r="589">
      <c r="A589" s="3" t="s">
        <v>2801</v>
      </c>
      <c r="B589" s="3" t="s">
        <v>2802</v>
      </c>
      <c r="C589" s="3" t="s">
        <v>94</v>
      </c>
      <c r="D589" s="3" t="s">
        <v>2803</v>
      </c>
      <c r="E589" s="4" t="s">
        <v>95</v>
      </c>
      <c r="F589" s="5"/>
      <c r="G589" s="5"/>
      <c r="H589" s="5"/>
      <c r="I589" s="5"/>
      <c r="J589" s="5"/>
      <c r="K589" s="5"/>
      <c r="L589" s="5"/>
      <c r="M589" s="5"/>
      <c r="N589" s="5"/>
      <c r="O589" s="5"/>
      <c r="P589" s="5"/>
      <c r="Q589" s="5"/>
      <c r="R589" s="5"/>
      <c r="S589" s="5"/>
      <c r="T589" s="5"/>
      <c r="U589" s="5"/>
      <c r="V589" s="5"/>
      <c r="W589" s="5"/>
    </row>
    <row r="590">
      <c r="A590" s="3" t="s">
        <v>2804</v>
      </c>
      <c r="B590" s="3" t="s">
        <v>2805</v>
      </c>
      <c r="C590" s="3" t="s">
        <v>94</v>
      </c>
      <c r="D590" s="3" t="s">
        <v>2806</v>
      </c>
      <c r="E590" s="4" t="s">
        <v>95</v>
      </c>
      <c r="F590" s="5"/>
      <c r="G590" s="5"/>
      <c r="H590" s="5"/>
      <c r="I590" s="5"/>
      <c r="J590" s="5"/>
      <c r="K590" s="5"/>
      <c r="L590" s="5"/>
      <c r="M590" s="5"/>
      <c r="N590" s="5"/>
      <c r="O590" s="5"/>
      <c r="P590" s="5"/>
      <c r="Q590" s="5"/>
      <c r="R590" s="5"/>
      <c r="S590" s="5"/>
      <c r="T590" s="5"/>
      <c r="U590" s="5"/>
      <c r="V590" s="5"/>
      <c r="W590" s="5"/>
    </row>
    <row r="591">
      <c r="A591" s="3" t="s">
        <v>2807</v>
      </c>
      <c r="B591" s="3" t="s">
        <v>2445</v>
      </c>
      <c r="C591" s="3" t="s">
        <v>94</v>
      </c>
      <c r="D591" s="3" t="s">
        <v>2808</v>
      </c>
      <c r="E591" s="4" t="s">
        <v>95</v>
      </c>
      <c r="F591" s="5"/>
      <c r="G591" s="5"/>
      <c r="H591" s="5"/>
      <c r="I591" s="5"/>
      <c r="J591" s="5"/>
      <c r="K591" s="5"/>
      <c r="L591" s="5"/>
      <c r="M591" s="5"/>
      <c r="N591" s="5"/>
      <c r="O591" s="5"/>
      <c r="P591" s="5"/>
      <c r="Q591" s="5"/>
      <c r="R591" s="5"/>
      <c r="S591" s="5"/>
      <c r="T591" s="5"/>
      <c r="U591" s="5"/>
      <c r="V591" s="5"/>
      <c r="W591" s="5"/>
    </row>
    <row r="592">
      <c r="A592" s="3" t="s">
        <v>2809</v>
      </c>
      <c r="B592" s="3" t="s">
        <v>2810</v>
      </c>
      <c r="C592" s="3" t="s">
        <v>94</v>
      </c>
      <c r="D592" s="3" t="s">
        <v>2811</v>
      </c>
      <c r="E592" s="4" t="s">
        <v>95</v>
      </c>
      <c r="F592" s="5"/>
      <c r="G592" s="5"/>
      <c r="H592" s="5"/>
      <c r="I592" s="5"/>
      <c r="J592" s="5"/>
      <c r="K592" s="5"/>
      <c r="L592" s="5"/>
      <c r="M592" s="5"/>
      <c r="N592" s="5"/>
      <c r="O592" s="5"/>
      <c r="P592" s="5"/>
      <c r="Q592" s="5"/>
      <c r="R592" s="5"/>
      <c r="S592" s="5"/>
      <c r="T592" s="5"/>
      <c r="U592" s="5"/>
      <c r="V592" s="5"/>
      <c r="W592" s="5"/>
    </row>
    <row r="593">
      <c r="A593" s="3" t="s">
        <v>2812</v>
      </c>
      <c r="B593" s="3" t="s">
        <v>2813</v>
      </c>
      <c r="C593" s="3" t="s">
        <v>94</v>
      </c>
      <c r="D593" s="3" t="s">
        <v>2814</v>
      </c>
      <c r="E593" s="4" t="s">
        <v>95</v>
      </c>
      <c r="F593" s="5"/>
      <c r="G593" s="5"/>
      <c r="H593" s="5"/>
      <c r="I593" s="5"/>
      <c r="J593" s="5"/>
      <c r="K593" s="5"/>
      <c r="L593" s="5"/>
      <c r="M593" s="5"/>
      <c r="N593" s="5"/>
      <c r="O593" s="5"/>
      <c r="P593" s="5"/>
      <c r="Q593" s="5"/>
      <c r="R593" s="5"/>
      <c r="S593" s="5"/>
      <c r="T593" s="5"/>
      <c r="U593" s="5"/>
      <c r="V593" s="5"/>
      <c r="W593" s="5"/>
    </row>
    <row r="594">
      <c r="A594" s="16" t="s">
        <v>2815</v>
      </c>
      <c r="B594" s="16" t="s">
        <v>2816</v>
      </c>
      <c r="C594" s="16" t="s">
        <v>94</v>
      </c>
      <c r="D594" s="16" t="s">
        <v>2817</v>
      </c>
      <c r="E594" s="25" t="s">
        <v>95</v>
      </c>
      <c r="F594" s="17"/>
      <c r="G594" s="17"/>
      <c r="H594" s="17"/>
      <c r="I594" s="17"/>
      <c r="J594" s="17"/>
      <c r="K594" s="17"/>
      <c r="L594" s="17"/>
      <c r="M594" s="17"/>
      <c r="N594" s="17"/>
      <c r="O594" s="17"/>
      <c r="P594" s="17"/>
      <c r="Q594" s="17"/>
      <c r="R594" s="17"/>
      <c r="S594" s="17"/>
      <c r="T594" s="17"/>
      <c r="U594" s="17"/>
      <c r="V594" s="17"/>
      <c r="W594" s="17"/>
    </row>
    <row r="595">
      <c r="A595" s="3" t="s">
        <v>2818</v>
      </c>
      <c r="B595" s="3" t="s">
        <v>2819</v>
      </c>
      <c r="C595" s="3" t="s">
        <v>94</v>
      </c>
      <c r="D595" s="3" t="s">
        <v>2820</v>
      </c>
      <c r="E595" s="4" t="s">
        <v>95</v>
      </c>
      <c r="F595" s="5"/>
      <c r="G595" s="5"/>
      <c r="H595" s="5"/>
      <c r="I595" s="5"/>
      <c r="J595" s="5"/>
      <c r="K595" s="5"/>
      <c r="L595" s="5"/>
      <c r="M595" s="5"/>
      <c r="N595" s="5"/>
      <c r="O595" s="5"/>
      <c r="P595" s="5"/>
      <c r="Q595" s="5"/>
      <c r="R595" s="5"/>
      <c r="S595" s="5"/>
      <c r="T595" s="5"/>
      <c r="U595" s="5"/>
      <c r="V595" s="5"/>
      <c r="W595" s="5"/>
    </row>
    <row r="596">
      <c r="A596" s="3" t="s">
        <v>2821</v>
      </c>
      <c r="B596" s="3" t="s">
        <v>2822</v>
      </c>
      <c r="C596" s="3" t="s">
        <v>94</v>
      </c>
      <c r="D596" s="3" t="s">
        <v>2823</v>
      </c>
      <c r="E596" s="4" t="s">
        <v>95</v>
      </c>
      <c r="F596" s="5"/>
      <c r="G596" s="5"/>
      <c r="H596" s="5"/>
      <c r="I596" s="5"/>
      <c r="J596" s="5"/>
      <c r="K596" s="5"/>
      <c r="L596" s="5"/>
      <c r="M596" s="5"/>
      <c r="N596" s="5"/>
      <c r="O596" s="5"/>
      <c r="P596" s="5"/>
      <c r="Q596" s="5"/>
      <c r="R596" s="5"/>
      <c r="S596" s="5"/>
      <c r="T596" s="5"/>
      <c r="U596" s="5"/>
      <c r="V596" s="5"/>
      <c r="W596" s="5"/>
    </row>
    <row r="597">
      <c r="A597" s="3" t="s">
        <v>2824</v>
      </c>
      <c r="B597" s="3" t="s">
        <v>2825</v>
      </c>
      <c r="C597" s="3" t="s">
        <v>94</v>
      </c>
      <c r="D597" s="3" t="s">
        <v>2826</v>
      </c>
      <c r="E597" s="4" t="s">
        <v>95</v>
      </c>
      <c r="F597" s="5"/>
      <c r="G597" s="5"/>
      <c r="H597" s="5"/>
      <c r="I597" s="5"/>
      <c r="J597" s="5"/>
      <c r="K597" s="5"/>
      <c r="L597" s="5"/>
      <c r="M597" s="5"/>
      <c r="N597" s="5"/>
      <c r="O597" s="5"/>
      <c r="P597" s="5"/>
      <c r="Q597" s="5"/>
      <c r="R597" s="5"/>
      <c r="S597" s="5"/>
      <c r="T597" s="5"/>
      <c r="U597" s="5"/>
      <c r="V597" s="5"/>
      <c r="W597" s="5"/>
    </row>
    <row r="598">
      <c r="A598" s="3" t="s">
        <v>2827</v>
      </c>
      <c r="B598" s="3" t="s">
        <v>2828</v>
      </c>
      <c r="C598" s="3" t="s">
        <v>94</v>
      </c>
      <c r="D598" s="3" t="s">
        <v>2829</v>
      </c>
      <c r="E598" s="4" t="s">
        <v>95</v>
      </c>
      <c r="F598" s="5"/>
      <c r="G598" s="5"/>
      <c r="H598" s="5"/>
      <c r="I598" s="5"/>
      <c r="J598" s="5"/>
      <c r="K598" s="5"/>
      <c r="L598" s="5"/>
      <c r="M598" s="5"/>
      <c r="N598" s="5"/>
      <c r="O598" s="5"/>
      <c r="P598" s="5"/>
      <c r="Q598" s="5"/>
      <c r="R598" s="5"/>
      <c r="S598" s="5"/>
      <c r="T598" s="5"/>
      <c r="U598" s="5"/>
      <c r="V598" s="5"/>
      <c r="W598" s="5"/>
    </row>
    <row r="599">
      <c r="A599" s="3" t="s">
        <v>2830</v>
      </c>
      <c r="B599" s="3" t="s">
        <v>2831</v>
      </c>
      <c r="C599" s="3" t="s">
        <v>94</v>
      </c>
      <c r="D599" s="3" t="s">
        <v>2832</v>
      </c>
      <c r="E599" s="4" t="s">
        <v>95</v>
      </c>
      <c r="F599" s="5"/>
      <c r="G599" s="5"/>
      <c r="H599" s="5"/>
      <c r="I599" s="5"/>
      <c r="J599" s="5"/>
      <c r="K599" s="5"/>
      <c r="L599" s="5"/>
      <c r="M599" s="5"/>
      <c r="N599" s="5"/>
      <c r="O599" s="5"/>
      <c r="P599" s="5"/>
      <c r="Q599" s="5"/>
      <c r="R599" s="5"/>
      <c r="S599" s="5"/>
      <c r="T599" s="5"/>
      <c r="U599" s="5"/>
      <c r="V599" s="5"/>
      <c r="W599" s="5"/>
    </row>
    <row r="600">
      <c r="A600" s="3" t="s">
        <v>2833</v>
      </c>
      <c r="B600" s="3" t="s">
        <v>2834</v>
      </c>
      <c r="C600" s="3" t="s">
        <v>94</v>
      </c>
      <c r="D600" s="3" t="s">
        <v>2835</v>
      </c>
      <c r="E600" s="4" t="s">
        <v>95</v>
      </c>
      <c r="F600" s="5"/>
      <c r="G600" s="5"/>
      <c r="H600" s="5"/>
      <c r="I600" s="5"/>
      <c r="J600" s="5"/>
      <c r="K600" s="5"/>
      <c r="L600" s="5"/>
      <c r="M600" s="5"/>
      <c r="N600" s="5"/>
      <c r="O600" s="5"/>
      <c r="P600" s="5"/>
      <c r="Q600" s="5"/>
      <c r="R600" s="5"/>
      <c r="S600" s="5"/>
      <c r="T600" s="5"/>
      <c r="U600" s="5"/>
      <c r="V600" s="5"/>
      <c r="W600" s="5"/>
    </row>
    <row r="601">
      <c r="A601" s="3" t="s">
        <v>2836</v>
      </c>
      <c r="B601" s="3" t="s">
        <v>2837</v>
      </c>
      <c r="C601" s="3" t="s">
        <v>94</v>
      </c>
      <c r="D601" s="3" t="s">
        <v>2838</v>
      </c>
      <c r="E601" s="4" t="s">
        <v>95</v>
      </c>
      <c r="F601" s="5"/>
      <c r="G601" s="5"/>
      <c r="H601" s="5"/>
      <c r="I601" s="5"/>
      <c r="J601" s="5"/>
      <c r="K601" s="5"/>
      <c r="L601" s="5"/>
      <c r="M601" s="5"/>
      <c r="N601" s="5"/>
      <c r="O601" s="5"/>
      <c r="P601" s="5"/>
      <c r="Q601" s="5"/>
      <c r="R601" s="5"/>
      <c r="S601" s="5"/>
      <c r="T601" s="5"/>
      <c r="U601" s="5"/>
      <c r="V601" s="5"/>
      <c r="W601" s="5"/>
    </row>
    <row r="602">
      <c r="A602" s="3" t="s">
        <v>2839</v>
      </c>
      <c r="B602" s="3" t="s">
        <v>2840</v>
      </c>
      <c r="C602" s="3" t="s">
        <v>2841</v>
      </c>
      <c r="D602" s="3" t="s">
        <v>2842</v>
      </c>
      <c r="E602" s="4" t="s">
        <v>97</v>
      </c>
      <c r="F602" s="5"/>
      <c r="G602" s="5"/>
      <c r="H602" s="5"/>
      <c r="I602" s="5"/>
      <c r="J602" s="5"/>
      <c r="K602" s="5"/>
      <c r="L602" s="5"/>
      <c r="M602" s="5"/>
      <c r="N602" s="5"/>
      <c r="O602" s="5"/>
      <c r="P602" s="5"/>
      <c r="Q602" s="5"/>
      <c r="R602" s="5"/>
      <c r="S602" s="5"/>
      <c r="T602" s="5"/>
      <c r="U602" s="5"/>
      <c r="V602" s="5"/>
      <c r="W602" s="5"/>
    </row>
    <row r="603">
      <c r="A603" s="3" t="s">
        <v>2843</v>
      </c>
      <c r="B603" s="3" t="s">
        <v>2844</v>
      </c>
      <c r="C603" s="3" t="s">
        <v>2841</v>
      </c>
      <c r="D603" s="3" t="s">
        <v>2845</v>
      </c>
      <c r="E603" s="4" t="s">
        <v>97</v>
      </c>
      <c r="F603" s="5"/>
      <c r="G603" s="5"/>
      <c r="H603" s="5"/>
      <c r="I603" s="5"/>
      <c r="J603" s="5"/>
      <c r="K603" s="5"/>
      <c r="L603" s="5"/>
      <c r="M603" s="5"/>
      <c r="N603" s="5"/>
      <c r="O603" s="5"/>
      <c r="P603" s="5"/>
      <c r="Q603" s="5"/>
      <c r="R603" s="5"/>
      <c r="S603" s="5"/>
      <c r="T603" s="5"/>
      <c r="U603" s="5"/>
      <c r="V603" s="5"/>
      <c r="W603" s="5"/>
    </row>
    <row r="604">
      <c r="A604" s="3" t="s">
        <v>2846</v>
      </c>
      <c r="B604" s="3" t="s">
        <v>2847</v>
      </c>
      <c r="C604" s="3" t="s">
        <v>2841</v>
      </c>
      <c r="D604" s="3" t="s">
        <v>2848</v>
      </c>
      <c r="E604" s="4" t="s">
        <v>97</v>
      </c>
      <c r="F604" s="5"/>
      <c r="G604" s="5"/>
      <c r="H604" s="5"/>
      <c r="I604" s="5"/>
      <c r="J604" s="5"/>
      <c r="K604" s="5"/>
      <c r="L604" s="5"/>
      <c r="M604" s="5"/>
      <c r="N604" s="5"/>
      <c r="O604" s="5"/>
      <c r="P604" s="5"/>
      <c r="Q604" s="5"/>
      <c r="R604" s="5"/>
      <c r="S604" s="5"/>
      <c r="T604" s="5"/>
      <c r="U604" s="5"/>
      <c r="V604" s="5"/>
      <c r="W604" s="5"/>
    </row>
    <row r="605">
      <c r="A605" s="3" t="s">
        <v>2849</v>
      </c>
      <c r="B605" s="3" t="s">
        <v>2850</v>
      </c>
      <c r="C605" s="3" t="s">
        <v>2841</v>
      </c>
      <c r="D605" s="3" t="s">
        <v>2851</v>
      </c>
      <c r="E605" s="4" t="s">
        <v>97</v>
      </c>
      <c r="F605" s="5"/>
      <c r="G605" s="5"/>
      <c r="H605" s="5"/>
      <c r="I605" s="5"/>
      <c r="J605" s="5"/>
      <c r="K605" s="5"/>
      <c r="L605" s="5"/>
      <c r="M605" s="5"/>
      <c r="N605" s="5"/>
      <c r="O605" s="5"/>
      <c r="P605" s="5"/>
      <c r="Q605" s="5"/>
      <c r="R605" s="5"/>
      <c r="S605" s="5"/>
      <c r="T605" s="5"/>
      <c r="U605" s="5"/>
      <c r="V605" s="5"/>
      <c r="W605" s="5"/>
    </row>
    <row r="606">
      <c r="A606" s="3" t="s">
        <v>2852</v>
      </c>
      <c r="B606" s="3" t="s">
        <v>2853</v>
      </c>
      <c r="C606" s="3" t="s">
        <v>2841</v>
      </c>
      <c r="D606" s="3" t="s">
        <v>2854</v>
      </c>
      <c r="E606" s="4" t="s">
        <v>97</v>
      </c>
      <c r="F606" s="5"/>
      <c r="G606" s="5"/>
      <c r="H606" s="5"/>
      <c r="I606" s="5"/>
      <c r="J606" s="5"/>
      <c r="K606" s="5"/>
      <c r="L606" s="5"/>
      <c r="M606" s="5"/>
      <c r="N606" s="5"/>
      <c r="O606" s="5"/>
      <c r="P606" s="5"/>
      <c r="Q606" s="5"/>
      <c r="R606" s="5"/>
      <c r="S606" s="5"/>
      <c r="T606" s="5"/>
      <c r="U606" s="5"/>
      <c r="V606" s="5"/>
      <c r="W606" s="5"/>
    </row>
    <row r="607">
      <c r="A607" s="3" t="s">
        <v>2855</v>
      </c>
      <c r="B607" s="3" t="s">
        <v>2856</v>
      </c>
      <c r="C607" s="3" t="s">
        <v>2841</v>
      </c>
      <c r="D607" s="3" t="s">
        <v>2857</v>
      </c>
      <c r="E607" s="4" t="s">
        <v>97</v>
      </c>
      <c r="F607" s="5"/>
      <c r="G607" s="5"/>
      <c r="H607" s="5"/>
      <c r="I607" s="5"/>
      <c r="J607" s="5"/>
      <c r="K607" s="5"/>
      <c r="L607" s="5"/>
      <c r="M607" s="5"/>
      <c r="N607" s="5"/>
      <c r="O607" s="5"/>
      <c r="P607" s="5"/>
      <c r="Q607" s="5"/>
      <c r="R607" s="5"/>
      <c r="S607" s="5"/>
      <c r="T607" s="5"/>
      <c r="U607" s="5"/>
      <c r="V607" s="5"/>
      <c r="W607" s="5"/>
    </row>
    <row r="608">
      <c r="A608" s="3" t="s">
        <v>2858</v>
      </c>
      <c r="B608" s="3" t="s">
        <v>2859</v>
      </c>
      <c r="C608" s="3" t="s">
        <v>2841</v>
      </c>
      <c r="D608" s="3" t="s">
        <v>2860</v>
      </c>
      <c r="E608" s="4" t="s">
        <v>97</v>
      </c>
      <c r="F608" s="5"/>
      <c r="G608" s="5"/>
      <c r="H608" s="5"/>
      <c r="I608" s="5"/>
      <c r="J608" s="5"/>
      <c r="K608" s="5"/>
      <c r="L608" s="5"/>
      <c r="M608" s="5"/>
      <c r="N608" s="5"/>
      <c r="O608" s="5"/>
      <c r="P608" s="5"/>
      <c r="Q608" s="5"/>
      <c r="R608" s="5"/>
      <c r="S608" s="5"/>
      <c r="T608" s="5"/>
      <c r="U608" s="5"/>
      <c r="V608" s="5"/>
      <c r="W608" s="5"/>
    </row>
    <row r="609">
      <c r="A609" s="3" t="s">
        <v>2861</v>
      </c>
      <c r="B609" s="3" t="s">
        <v>2862</v>
      </c>
      <c r="C609" s="3" t="s">
        <v>2841</v>
      </c>
      <c r="D609" s="3" t="s">
        <v>2863</v>
      </c>
      <c r="E609" s="4" t="s">
        <v>97</v>
      </c>
      <c r="F609" s="5"/>
      <c r="G609" s="5"/>
      <c r="H609" s="5"/>
      <c r="I609" s="5"/>
      <c r="J609" s="5"/>
      <c r="K609" s="5"/>
      <c r="L609" s="5"/>
      <c r="M609" s="5"/>
      <c r="N609" s="5"/>
      <c r="O609" s="5"/>
      <c r="P609" s="5"/>
      <c r="Q609" s="5"/>
      <c r="R609" s="5"/>
      <c r="S609" s="5"/>
      <c r="T609" s="5"/>
      <c r="U609" s="5"/>
      <c r="V609" s="5"/>
      <c r="W609" s="5"/>
    </row>
    <row r="610">
      <c r="A610" s="3" t="s">
        <v>2864</v>
      </c>
      <c r="B610" s="3" t="s">
        <v>2865</v>
      </c>
      <c r="C610" s="3" t="s">
        <v>2841</v>
      </c>
      <c r="D610" s="3" t="s">
        <v>2866</v>
      </c>
      <c r="E610" s="4" t="s">
        <v>97</v>
      </c>
      <c r="F610" s="5"/>
      <c r="G610" s="5"/>
      <c r="H610" s="5"/>
      <c r="I610" s="5"/>
      <c r="J610" s="5"/>
      <c r="K610" s="5"/>
      <c r="L610" s="5"/>
      <c r="M610" s="5"/>
      <c r="N610" s="5"/>
      <c r="O610" s="5"/>
      <c r="P610" s="5"/>
      <c r="Q610" s="5"/>
      <c r="R610" s="5"/>
      <c r="S610" s="5"/>
      <c r="T610" s="5"/>
      <c r="U610" s="5"/>
      <c r="V610" s="5"/>
      <c r="W610" s="5"/>
    </row>
    <row r="611">
      <c r="A611" s="3" t="s">
        <v>2867</v>
      </c>
      <c r="B611" s="3" t="s">
        <v>2868</v>
      </c>
      <c r="C611" s="3" t="s">
        <v>2841</v>
      </c>
      <c r="D611" s="3" t="s">
        <v>2869</v>
      </c>
      <c r="E611" s="4" t="s">
        <v>97</v>
      </c>
      <c r="F611" s="5"/>
      <c r="G611" s="5"/>
      <c r="H611" s="5"/>
      <c r="I611" s="5"/>
      <c r="J611" s="5"/>
      <c r="K611" s="5"/>
      <c r="L611" s="5"/>
      <c r="M611" s="5"/>
      <c r="N611" s="5"/>
      <c r="O611" s="5"/>
      <c r="P611" s="5"/>
      <c r="Q611" s="5"/>
      <c r="R611" s="5"/>
      <c r="S611" s="5"/>
      <c r="T611" s="5"/>
      <c r="U611" s="5"/>
      <c r="V611" s="5"/>
      <c r="W611" s="5"/>
    </row>
    <row r="612">
      <c r="A612" s="3" t="s">
        <v>2870</v>
      </c>
      <c r="B612" s="3" t="s">
        <v>2871</v>
      </c>
      <c r="C612" s="3" t="s">
        <v>2841</v>
      </c>
      <c r="D612" s="3" t="s">
        <v>2872</v>
      </c>
      <c r="E612" s="4" t="s">
        <v>97</v>
      </c>
      <c r="F612" s="5"/>
      <c r="G612" s="5"/>
      <c r="H612" s="5"/>
      <c r="I612" s="5"/>
      <c r="J612" s="5"/>
      <c r="K612" s="5"/>
      <c r="L612" s="5"/>
      <c r="M612" s="5"/>
      <c r="N612" s="5"/>
      <c r="O612" s="5"/>
      <c r="P612" s="5"/>
      <c r="Q612" s="5"/>
      <c r="R612" s="5"/>
      <c r="S612" s="5"/>
      <c r="T612" s="5"/>
      <c r="U612" s="5"/>
      <c r="V612" s="5"/>
      <c r="W612" s="5"/>
    </row>
    <row r="613">
      <c r="A613" s="3" t="s">
        <v>2873</v>
      </c>
      <c r="B613" s="3" t="s">
        <v>2874</v>
      </c>
      <c r="C613" s="3" t="s">
        <v>2841</v>
      </c>
      <c r="D613" s="3" t="s">
        <v>2875</v>
      </c>
      <c r="E613" s="4" t="s">
        <v>97</v>
      </c>
      <c r="F613" s="5"/>
      <c r="G613" s="5"/>
      <c r="H613" s="5"/>
      <c r="I613" s="5"/>
      <c r="J613" s="5"/>
      <c r="K613" s="5"/>
      <c r="L613" s="5"/>
      <c r="M613" s="5"/>
      <c r="N613" s="5"/>
      <c r="O613" s="5"/>
      <c r="P613" s="5"/>
      <c r="Q613" s="5"/>
      <c r="R613" s="5"/>
      <c r="S613" s="5"/>
      <c r="T613" s="5"/>
      <c r="U613" s="5"/>
      <c r="V613" s="5"/>
      <c r="W613" s="5"/>
    </row>
    <row r="614">
      <c r="A614" s="3" t="s">
        <v>2876</v>
      </c>
      <c r="B614" s="3" t="s">
        <v>2877</v>
      </c>
      <c r="C614" s="3" t="s">
        <v>2841</v>
      </c>
      <c r="D614" s="3" t="s">
        <v>2878</v>
      </c>
      <c r="E614" s="4" t="s">
        <v>97</v>
      </c>
      <c r="F614" s="5"/>
      <c r="G614" s="5"/>
      <c r="H614" s="5"/>
      <c r="I614" s="5"/>
      <c r="J614" s="5"/>
      <c r="K614" s="5"/>
      <c r="L614" s="5"/>
      <c r="M614" s="5"/>
      <c r="N614" s="5"/>
      <c r="O614" s="5"/>
      <c r="P614" s="5"/>
      <c r="Q614" s="5"/>
      <c r="R614" s="5"/>
      <c r="S614" s="5"/>
      <c r="T614" s="5"/>
      <c r="U614" s="5"/>
      <c r="V614" s="5"/>
      <c r="W614" s="5"/>
    </row>
    <row r="615">
      <c r="A615" s="3" t="s">
        <v>2879</v>
      </c>
      <c r="B615" s="3" t="s">
        <v>2880</v>
      </c>
      <c r="C615" s="3" t="s">
        <v>2841</v>
      </c>
      <c r="D615" s="3" t="s">
        <v>2881</v>
      </c>
      <c r="E615" s="4" t="s">
        <v>97</v>
      </c>
      <c r="F615" s="5"/>
      <c r="G615" s="5"/>
      <c r="H615" s="5"/>
      <c r="I615" s="5"/>
      <c r="J615" s="5"/>
      <c r="K615" s="5"/>
      <c r="L615" s="5"/>
      <c r="M615" s="5"/>
      <c r="N615" s="5"/>
      <c r="O615" s="5"/>
      <c r="P615" s="5"/>
      <c r="Q615" s="5"/>
      <c r="R615" s="5"/>
      <c r="S615" s="5"/>
      <c r="T615" s="5"/>
      <c r="U615" s="5"/>
      <c r="V615" s="5"/>
      <c r="W615" s="5"/>
    </row>
    <row r="616">
      <c r="A616" s="3" t="s">
        <v>2882</v>
      </c>
      <c r="B616" s="3" t="s">
        <v>2883</v>
      </c>
      <c r="C616" s="3" t="s">
        <v>2841</v>
      </c>
      <c r="D616" s="3" t="s">
        <v>2884</v>
      </c>
      <c r="E616" s="4" t="s">
        <v>97</v>
      </c>
      <c r="F616" s="5"/>
      <c r="G616" s="5"/>
      <c r="H616" s="5"/>
      <c r="I616" s="5"/>
      <c r="J616" s="5"/>
      <c r="K616" s="5"/>
      <c r="L616" s="5"/>
      <c r="M616" s="5"/>
      <c r="N616" s="5"/>
      <c r="O616" s="5"/>
      <c r="P616" s="5"/>
      <c r="Q616" s="5"/>
      <c r="R616" s="5"/>
      <c r="S616" s="5"/>
      <c r="T616" s="5"/>
      <c r="U616" s="5"/>
      <c r="V616" s="5"/>
      <c r="W616" s="5"/>
    </row>
    <row r="617">
      <c r="A617" s="3" t="s">
        <v>2885</v>
      </c>
      <c r="B617" s="3" t="s">
        <v>2886</v>
      </c>
      <c r="C617" s="3" t="s">
        <v>2841</v>
      </c>
      <c r="D617" s="3" t="s">
        <v>2887</v>
      </c>
      <c r="E617" s="4" t="s">
        <v>97</v>
      </c>
      <c r="F617" s="5"/>
      <c r="G617" s="5"/>
      <c r="H617" s="5"/>
      <c r="I617" s="5"/>
      <c r="J617" s="5"/>
      <c r="K617" s="5"/>
      <c r="L617" s="5"/>
      <c r="M617" s="5"/>
      <c r="N617" s="5"/>
      <c r="O617" s="5"/>
      <c r="P617" s="5"/>
      <c r="Q617" s="5"/>
      <c r="R617" s="5"/>
      <c r="S617" s="5"/>
      <c r="T617" s="5"/>
      <c r="U617" s="5"/>
      <c r="V617" s="5"/>
      <c r="W617" s="5"/>
    </row>
    <row r="618">
      <c r="A618" s="3" t="s">
        <v>2888</v>
      </c>
      <c r="B618" s="3" t="s">
        <v>2889</v>
      </c>
      <c r="C618" s="3" t="s">
        <v>2841</v>
      </c>
      <c r="D618" s="3" t="s">
        <v>2890</v>
      </c>
      <c r="E618" s="4" t="s">
        <v>97</v>
      </c>
      <c r="F618" s="5"/>
      <c r="G618" s="5"/>
      <c r="H618" s="5"/>
      <c r="I618" s="5"/>
      <c r="J618" s="5"/>
      <c r="K618" s="5"/>
      <c r="L618" s="5"/>
      <c r="M618" s="5"/>
      <c r="N618" s="5"/>
      <c r="O618" s="5"/>
      <c r="P618" s="5"/>
      <c r="Q618" s="5"/>
      <c r="R618" s="5"/>
      <c r="S618" s="5"/>
      <c r="T618" s="5"/>
      <c r="U618" s="5"/>
      <c r="V618" s="5"/>
      <c r="W618" s="5"/>
    </row>
    <row r="619">
      <c r="A619" s="3" t="s">
        <v>2891</v>
      </c>
      <c r="B619" s="3" t="s">
        <v>2892</v>
      </c>
      <c r="C619" s="3" t="s">
        <v>2841</v>
      </c>
      <c r="D619" s="3" t="s">
        <v>2893</v>
      </c>
      <c r="E619" s="4" t="s">
        <v>97</v>
      </c>
      <c r="F619" s="5"/>
      <c r="G619" s="5"/>
      <c r="H619" s="5"/>
      <c r="I619" s="5"/>
      <c r="J619" s="5"/>
      <c r="K619" s="5"/>
      <c r="L619" s="5"/>
      <c r="M619" s="5"/>
      <c r="N619" s="5"/>
      <c r="O619" s="5"/>
      <c r="P619" s="5"/>
      <c r="Q619" s="5"/>
      <c r="R619" s="5"/>
      <c r="S619" s="5"/>
      <c r="T619" s="5"/>
      <c r="U619" s="5"/>
      <c r="V619" s="5"/>
      <c r="W619" s="5"/>
    </row>
    <row r="620">
      <c r="A620" s="3" t="s">
        <v>2894</v>
      </c>
      <c r="B620" s="3" t="s">
        <v>2895</v>
      </c>
      <c r="C620" s="3" t="s">
        <v>2841</v>
      </c>
      <c r="D620" s="3" t="s">
        <v>2896</v>
      </c>
      <c r="E620" s="4" t="s">
        <v>97</v>
      </c>
      <c r="F620" s="5"/>
      <c r="G620" s="5"/>
      <c r="H620" s="5"/>
      <c r="I620" s="5"/>
      <c r="J620" s="5"/>
      <c r="K620" s="5"/>
      <c r="L620" s="5"/>
      <c r="M620" s="5"/>
      <c r="N620" s="5"/>
      <c r="O620" s="5"/>
      <c r="P620" s="5"/>
      <c r="Q620" s="5"/>
      <c r="R620" s="5"/>
      <c r="S620" s="5"/>
      <c r="T620" s="5"/>
      <c r="U620" s="5"/>
      <c r="V620" s="5"/>
      <c r="W620" s="5"/>
    </row>
    <row r="621">
      <c r="A621" s="3" t="s">
        <v>2897</v>
      </c>
      <c r="B621" s="3" t="s">
        <v>2898</v>
      </c>
      <c r="C621" s="3" t="s">
        <v>2841</v>
      </c>
      <c r="D621" s="3" t="s">
        <v>2899</v>
      </c>
      <c r="E621" s="4" t="s">
        <v>97</v>
      </c>
      <c r="F621" s="5"/>
      <c r="G621" s="5"/>
      <c r="H621" s="5"/>
      <c r="I621" s="5"/>
      <c r="J621" s="5"/>
      <c r="K621" s="5"/>
      <c r="L621" s="5"/>
      <c r="M621" s="5"/>
      <c r="N621" s="5"/>
      <c r="O621" s="5"/>
      <c r="P621" s="5"/>
      <c r="Q621" s="5"/>
      <c r="R621" s="5"/>
      <c r="S621" s="5"/>
      <c r="T621" s="5"/>
      <c r="U621" s="5"/>
      <c r="V621" s="5"/>
      <c r="W621" s="5"/>
    </row>
    <row r="622">
      <c r="A622" s="3" t="s">
        <v>2900</v>
      </c>
      <c r="B622" s="3" t="s">
        <v>2901</v>
      </c>
      <c r="C622" s="3" t="s">
        <v>2841</v>
      </c>
      <c r="D622" s="3" t="s">
        <v>2902</v>
      </c>
      <c r="E622" s="4" t="s">
        <v>97</v>
      </c>
      <c r="F622" s="5"/>
      <c r="G622" s="5"/>
      <c r="H622" s="5"/>
      <c r="I622" s="5"/>
      <c r="J622" s="5"/>
      <c r="K622" s="5"/>
      <c r="L622" s="5"/>
      <c r="M622" s="5"/>
      <c r="N622" s="5"/>
      <c r="O622" s="5"/>
      <c r="P622" s="5"/>
      <c r="Q622" s="5"/>
      <c r="R622" s="5"/>
      <c r="S622" s="5"/>
      <c r="T622" s="5"/>
      <c r="U622" s="5"/>
      <c r="V622" s="5"/>
      <c r="W622" s="5"/>
    </row>
    <row r="623">
      <c r="A623" s="3" t="s">
        <v>2903</v>
      </c>
      <c r="B623" s="3" t="s">
        <v>2904</v>
      </c>
      <c r="C623" s="3" t="s">
        <v>2841</v>
      </c>
      <c r="D623" s="3" t="s">
        <v>2905</v>
      </c>
      <c r="E623" s="4" t="s">
        <v>97</v>
      </c>
      <c r="F623" s="5"/>
      <c r="G623" s="5"/>
      <c r="H623" s="5"/>
      <c r="I623" s="5"/>
      <c r="J623" s="5"/>
      <c r="K623" s="5"/>
      <c r="L623" s="5"/>
      <c r="M623" s="5"/>
      <c r="N623" s="5"/>
      <c r="O623" s="5"/>
      <c r="P623" s="5"/>
      <c r="Q623" s="5"/>
      <c r="R623" s="5"/>
      <c r="S623" s="5"/>
      <c r="T623" s="5"/>
      <c r="U623" s="5"/>
      <c r="V623" s="5"/>
      <c r="W623" s="5"/>
    </row>
    <row r="624">
      <c r="A624" s="3" t="s">
        <v>2906</v>
      </c>
      <c r="B624" s="3" t="s">
        <v>2907</v>
      </c>
      <c r="C624" s="3" t="s">
        <v>2841</v>
      </c>
      <c r="D624" s="3" t="s">
        <v>2908</v>
      </c>
      <c r="E624" s="4" t="s">
        <v>97</v>
      </c>
      <c r="F624" s="5"/>
      <c r="G624" s="5"/>
      <c r="H624" s="5"/>
      <c r="I624" s="5"/>
      <c r="J624" s="5"/>
      <c r="K624" s="5"/>
      <c r="L624" s="5"/>
      <c r="M624" s="5"/>
      <c r="N624" s="5"/>
      <c r="O624" s="5"/>
      <c r="P624" s="5"/>
      <c r="Q624" s="5"/>
      <c r="R624" s="5"/>
      <c r="S624" s="5"/>
      <c r="T624" s="5"/>
      <c r="U624" s="5"/>
      <c r="V624" s="5"/>
      <c r="W624" s="5"/>
    </row>
    <row r="625">
      <c r="A625" s="3" t="s">
        <v>2909</v>
      </c>
      <c r="B625" s="3" t="s">
        <v>2910</v>
      </c>
      <c r="C625" s="3" t="s">
        <v>2841</v>
      </c>
      <c r="D625" s="3" t="s">
        <v>2911</v>
      </c>
      <c r="E625" s="4" t="s">
        <v>97</v>
      </c>
      <c r="F625" s="5"/>
      <c r="G625" s="5"/>
      <c r="H625" s="5"/>
      <c r="I625" s="5"/>
      <c r="J625" s="5"/>
      <c r="K625" s="5"/>
      <c r="L625" s="5"/>
      <c r="M625" s="5"/>
      <c r="N625" s="5"/>
      <c r="O625" s="5"/>
      <c r="P625" s="5"/>
      <c r="Q625" s="5"/>
      <c r="R625" s="5"/>
      <c r="S625" s="5"/>
      <c r="T625" s="5"/>
      <c r="U625" s="5"/>
      <c r="V625" s="5"/>
      <c r="W625" s="5"/>
    </row>
    <row r="626">
      <c r="A626" s="3" t="s">
        <v>2912</v>
      </c>
      <c r="B626" s="3" t="s">
        <v>2913</v>
      </c>
      <c r="C626" s="3" t="s">
        <v>2841</v>
      </c>
      <c r="D626" s="3" t="s">
        <v>2914</v>
      </c>
      <c r="E626" s="4" t="s">
        <v>97</v>
      </c>
      <c r="F626" s="5"/>
      <c r="G626" s="5"/>
      <c r="H626" s="5"/>
      <c r="I626" s="5"/>
      <c r="J626" s="5"/>
      <c r="K626" s="5"/>
      <c r="L626" s="5"/>
      <c r="M626" s="5"/>
      <c r="N626" s="5"/>
      <c r="O626" s="5"/>
      <c r="P626" s="5"/>
      <c r="Q626" s="5"/>
      <c r="R626" s="5"/>
      <c r="S626" s="5"/>
      <c r="T626" s="5"/>
      <c r="U626" s="5"/>
      <c r="V626" s="5"/>
      <c r="W626" s="5"/>
    </row>
    <row r="627">
      <c r="A627" s="3" t="s">
        <v>2915</v>
      </c>
      <c r="B627" s="3" t="s">
        <v>2916</v>
      </c>
      <c r="C627" s="3" t="s">
        <v>2841</v>
      </c>
      <c r="D627" s="3" t="s">
        <v>2917</v>
      </c>
      <c r="E627" s="4" t="s">
        <v>97</v>
      </c>
      <c r="F627" s="5"/>
      <c r="G627" s="5"/>
      <c r="H627" s="5"/>
      <c r="I627" s="5"/>
      <c r="J627" s="5"/>
      <c r="K627" s="5"/>
      <c r="L627" s="5"/>
      <c r="M627" s="5"/>
      <c r="N627" s="5"/>
      <c r="O627" s="5"/>
      <c r="P627" s="5"/>
      <c r="Q627" s="5"/>
      <c r="R627" s="5"/>
      <c r="S627" s="5"/>
      <c r="T627" s="5"/>
      <c r="U627" s="5"/>
      <c r="V627" s="5"/>
      <c r="W627" s="5"/>
    </row>
    <row r="628">
      <c r="A628" s="3" t="s">
        <v>2918</v>
      </c>
      <c r="B628" s="3" t="s">
        <v>2919</v>
      </c>
      <c r="C628" s="3" t="s">
        <v>2841</v>
      </c>
      <c r="D628" s="3" t="s">
        <v>2920</v>
      </c>
      <c r="E628" s="4" t="s">
        <v>97</v>
      </c>
      <c r="F628" s="5"/>
      <c r="G628" s="5"/>
      <c r="H628" s="5"/>
      <c r="I628" s="5"/>
      <c r="J628" s="5"/>
      <c r="K628" s="5"/>
      <c r="L628" s="5"/>
      <c r="M628" s="5"/>
      <c r="N628" s="5"/>
      <c r="O628" s="5"/>
      <c r="P628" s="5"/>
      <c r="Q628" s="5"/>
      <c r="R628" s="5"/>
      <c r="S628" s="5"/>
      <c r="T628" s="5"/>
      <c r="U628" s="5"/>
      <c r="V628" s="5"/>
      <c r="W628" s="5"/>
    </row>
    <row r="629">
      <c r="A629" s="3" t="s">
        <v>2921</v>
      </c>
      <c r="B629" s="3" t="s">
        <v>2922</v>
      </c>
      <c r="C629" s="3" t="s">
        <v>2841</v>
      </c>
      <c r="D629" s="3" t="s">
        <v>2923</v>
      </c>
      <c r="E629" s="4" t="s">
        <v>97</v>
      </c>
      <c r="F629" s="5"/>
      <c r="G629" s="5"/>
      <c r="H629" s="5"/>
      <c r="I629" s="5"/>
      <c r="J629" s="5"/>
      <c r="K629" s="5"/>
      <c r="L629" s="5"/>
      <c r="M629" s="5"/>
      <c r="N629" s="5"/>
      <c r="O629" s="5"/>
      <c r="P629" s="5"/>
      <c r="Q629" s="5"/>
      <c r="R629" s="5"/>
      <c r="S629" s="5"/>
      <c r="T629" s="5"/>
      <c r="U629" s="5"/>
      <c r="V629" s="5"/>
      <c r="W629" s="5"/>
    </row>
    <row r="630">
      <c r="A630" s="3" t="s">
        <v>2924</v>
      </c>
      <c r="B630" s="3" t="s">
        <v>2925</v>
      </c>
      <c r="C630" s="3" t="s">
        <v>2841</v>
      </c>
      <c r="D630" s="3" t="s">
        <v>2926</v>
      </c>
      <c r="E630" s="4" t="s">
        <v>97</v>
      </c>
      <c r="F630" s="5"/>
      <c r="G630" s="5"/>
      <c r="H630" s="5"/>
      <c r="I630" s="5"/>
      <c r="J630" s="5"/>
      <c r="K630" s="5"/>
      <c r="L630" s="5"/>
      <c r="M630" s="5"/>
      <c r="N630" s="5"/>
      <c r="O630" s="5"/>
      <c r="P630" s="5"/>
      <c r="Q630" s="5"/>
      <c r="R630" s="5"/>
      <c r="S630" s="5"/>
      <c r="T630" s="5"/>
      <c r="U630" s="5"/>
      <c r="V630" s="5"/>
      <c r="W630" s="5"/>
    </row>
    <row r="631">
      <c r="A631" s="3" t="s">
        <v>2927</v>
      </c>
      <c r="B631" s="3" t="s">
        <v>2928</v>
      </c>
      <c r="C631" s="3" t="s">
        <v>2841</v>
      </c>
      <c r="D631" s="3" t="s">
        <v>2929</v>
      </c>
      <c r="E631" s="4" t="s">
        <v>97</v>
      </c>
      <c r="F631" s="5"/>
      <c r="G631" s="5"/>
      <c r="H631" s="5"/>
      <c r="I631" s="5"/>
      <c r="J631" s="5"/>
      <c r="K631" s="5"/>
      <c r="L631" s="5"/>
      <c r="M631" s="5"/>
      <c r="N631" s="5"/>
      <c r="O631" s="5"/>
      <c r="P631" s="5"/>
      <c r="Q631" s="5"/>
      <c r="R631" s="5"/>
      <c r="S631" s="5"/>
      <c r="T631" s="5"/>
      <c r="U631" s="5"/>
      <c r="V631" s="5"/>
      <c r="W631" s="5"/>
    </row>
    <row r="632">
      <c r="A632" s="3" t="s">
        <v>2930</v>
      </c>
      <c r="B632" s="3" t="s">
        <v>2928</v>
      </c>
      <c r="C632" s="3" t="s">
        <v>2841</v>
      </c>
      <c r="D632" s="16" t="s">
        <v>2931</v>
      </c>
      <c r="E632" s="4" t="s">
        <v>97</v>
      </c>
      <c r="F632" s="3"/>
      <c r="G632" s="3"/>
      <c r="H632" s="3"/>
      <c r="I632" s="3"/>
      <c r="J632" s="5"/>
      <c r="K632" s="5"/>
      <c r="L632" s="5"/>
      <c r="M632" s="5"/>
      <c r="N632" s="5"/>
      <c r="O632" s="5"/>
      <c r="P632" s="5"/>
      <c r="Q632" s="5"/>
      <c r="R632" s="5"/>
      <c r="S632" s="5"/>
      <c r="T632" s="5"/>
      <c r="U632" s="5"/>
      <c r="V632" s="5"/>
      <c r="W632" s="5"/>
    </row>
    <row r="633">
      <c r="A633" s="3" t="s">
        <v>2932</v>
      </c>
      <c r="B633" s="3" t="s">
        <v>2933</v>
      </c>
      <c r="C633" s="3" t="s">
        <v>2841</v>
      </c>
      <c r="D633" s="3" t="s">
        <v>2934</v>
      </c>
      <c r="E633" s="4" t="s">
        <v>97</v>
      </c>
      <c r="F633" s="5"/>
      <c r="G633" s="5"/>
      <c r="H633" s="5"/>
      <c r="I633" s="5"/>
      <c r="J633" s="5"/>
      <c r="K633" s="5"/>
      <c r="L633" s="5"/>
      <c r="M633" s="5"/>
      <c r="N633" s="5"/>
      <c r="O633" s="5"/>
      <c r="P633" s="5"/>
      <c r="Q633" s="5"/>
      <c r="R633" s="5"/>
      <c r="S633" s="5"/>
      <c r="T633" s="5"/>
      <c r="U633" s="5"/>
      <c r="V633" s="5"/>
      <c r="W633" s="5"/>
    </row>
    <row r="634">
      <c r="A634" s="3" t="s">
        <v>2935</v>
      </c>
      <c r="B634" s="3" t="s">
        <v>2936</v>
      </c>
      <c r="C634" s="3" t="s">
        <v>2841</v>
      </c>
      <c r="D634" s="3" t="s">
        <v>2937</v>
      </c>
      <c r="E634" s="4" t="s">
        <v>97</v>
      </c>
      <c r="F634" s="5"/>
      <c r="G634" s="5"/>
      <c r="H634" s="5"/>
      <c r="I634" s="5"/>
      <c r="J634" s="5"/>
      <c r="K634" s="5"/>
      <c r="L634" s="5"/>
      <c r="M634" s="5"/>
      <c r="N634" s="5"/>
      <c r="O634" s="5"/>
      <c r="P634" s="5"/>
      <c r="Q634" s="5"/>
      <c r="R634" s="5"/>
      <c r="S634" s="5"/>
      <c r="T634" s="5"/>
      <c r="U634" s="5"/>
      <c r="V634" s="5"/>
      <c r="W634" s="5"/>
    </row>
    <row r="635">
      <c r="A635" s="3" t="s">
        <v>2938</v>
      </c>
      <c r="B635" s="3" t="s">
        <v>2445</v>
      </c>
      <c r="C635" s="3" t="s">
        <v>2841</v>
      </c>
      <c r="D635" s="3" t="s">
        <v>2939</v>
      </c>
      <c r="E635" s="4" t="s">
        <v>97</v>
      </c>
      <c r="F635" s="5"/>
      <c r="G635" s="5"/>
      <c r="H635" s="5"/>
      <c r="I635" s="5"/>
      <c r="J635" s="5"/>
      <c r="K635" s="5"/>
      <c r="L635" s="5"/>
      <c r="M635" s="5"/>
      <c r="N635" s="5"/>
      <c r="O635" s="5"/>
      <c r="P635" s="5"/>
      <c r="Q635" s="5"/>
      <c r="R635" s="5"/>
      <c r="S635" s="5"/>
      <c r="T635" s="5"/>
      <c r="U635" s="5"/>
      <c r="V635" s="5"/>
      <c r="W635" s="5"/>
    </row>
    <row r="636">
      <c r="A636" s="3" t="s">
        <v>2940</v>
      </c>
      <c r="B636" s="3" t="s">
        <v>2941</v>
      </c>
      <c r="C636" s="3" t="s">
        <v>2841</v>
      </c>
      <c r="D636" s="3" t="s">
        <v>2942</v>
      </c>
      <c r="E636" s="4" t="s">
        <v>97</v>
      </c>
      <c r="F636" s="5"/>
      <c r="G636" s="5"/>
      <c r="H636" s="5"/>
      <c r="I636" s="5"/>
      <c r="J636" s="5"/>
      <c r="K636" s="5"/>
      <c r="L636" s="5"/>
      <c r="M636" s="5"/>
      <c r="N636" s="5"/>
      <c r="O636" s="5"/>
      <c r="P636" s="5"/>
      <c r="Q636" s="5"/>
      <c r="R636" s="5"/>
      <c r="S636" s="5"/>
      <c r="T636" s="5"/>
      <c r="U636" s="5"/>
      <c r="V636" s="5"/>
      <c r="W636" s="5"/>
    </row>
    <row r="637">
      <c r="A637" s="3" t="s">
        <v>2943</v>
      </c>
      <c r="B637" s="3" t="s">
        <v>2944</v>
      </c>
      <c r="C637" s="3" t="s">
        <v>2841</v>
      </c>
      <c r="D637" s="3" t="s">
        <v>2945</v>
      </c>
      <c r="E637" s="4" t="s">
        <v>97</v>
      </c>
      <c r="F637" s="5"/>
      <c r="G637" s="5"/>
      <c r="H637" s="5"/>
      <c r="I637" s="5"/>
      <c r="J637" s="5"/>
      <c r="K637" s="5"/>
      <c r="L637" s="5"/>
      <c r="M637" s="5"/>
      <c r="N637" s="5"/>
      <c r="O637" s="5"/>
      <c r="P637" s="5"/>
      <c r="Q637" s="5"/>
      <c r="R637" s="5"/>
      <c r="S637" s="5"/>
      <c r="T637" s="5"/>
      <c r="U637" s="5"/>
      <c r="V637" s="5"/>
      <c r="W637" s="5"/>
    </row>
    <row r="638">
      <c r="A638" s="16" t="s">
        <v>2946</v>
      </c>
      <c r="B638" s="16" t="s">
        <v>2947</v>
      </c>
      <c r="C638" s="16" t="s">
        <v>2841</v>
      </c>
      <c r="D638" s="16" t="s">
        <v>2948</v>
      </c>
      <c r="E638" s="25" t="s">
        <v>97</v>
      </c>
      <c r="F638" s="17"/>
      <c r="G638" s="17"/>
      <c r="H638" s="17"/>
      <c r="I638" s="17"/>
      <c r="J638" s="17"/>
      <c r="K638" s="17"/>
      <c r="L638" s="17"/>
      <c r="M638" s="17"/>
      <c r="N638" s="17"/>
      <c r="O638" s="17"/>
      <c r="P638" s="17"/>
      <c r="Q638" s="17"/>
      <c r="R638" s="17"/>
      <c r="S638" s="17"/>
      <c r="T638" s="17"/>
      <c r="U638" s="17"/>
      <c r="V638" s="17"/>
      <c r="W638" s="17"/>
    </row>
    <row r="639">
      <c r="A639" s="3" t="s">
        <v>2949</v>
      </c>
      <c r="B639" s="3" t="s">
        <v>2950</v>
      </c>
      <c r="C639" s="3" t="s">
        <v>2841</v>
      </c>
      <c r="D639" s="3" t="s">
        <v>2951</v>
      </c>
      <c r="E639" s="4" t="s">
        <v>97</v>
      </c>
      <c r="F639" s="5"/>
      <c r="G639" s="5"/>
      <c r="H639" s="5"/>
      <c r="I639" s="5"/>
      <c r="J639" s="5"/>
      <c r="K639" s="5"/>
      <c r="L639" s="5"/>
      <c r="M639" s="5"/>
      <c r="N639" s="5"/>
      <c r="O639" s="5"/>
      <c r="P639" s="5"/>
      <c r="Q639" s="5"/>
      <c r="R639" s="5"/>
      <c r="S639" s="5"/>
      <c r="T639" s="5"/>
      <c r="U639" s="5"/>
      <c r="V639" s="5"/>
      <c r="W639" s="5"/>
    </row>
    <row r="640">
      <c r="A640" s="3" t="s">
        <v>2952</v>
      </c>
      <c r="B640" s="3" t="s">
        <v>2953</v>
      </c>
      <c r="C640" s="3" t="s">
        <v>2841</v>
      </c>
      <c r="D640" s="3" t="s">
        <v>2954</v>
      </c>
      <c r="E640" s="4" t="s">
        <v>97</v>
      </c>
      <c r="F640" s="5"/>
      <c r="G640" s="5"/>
      <c r="H640" s="5"/>
      <c r="I640" s="5"/>
      <c r="J640" s="5"/>
      <c r="K640" s="5"/>
      <c r="L640" s="5"/>
      <c r="M640" s="5"/>
      <c r="N640" s="5"/>
      <c r="O640" s="5"/>
      <c r="P640" s="5"/>
      <c r="Q640" s="5"/>
      <c r="R640" s="5"/>
      <c r="S640" s="5"/>
      <c r="T640" s="5"/>
      <c r="U640" s="5"/>
      <c r="V640" s="5"/>
      <c r="W640" s="5"/>
    </row>
    <row r="641">
      <c r="A641" s="3" t="s">
        <v>2955</v>
      </c>
      <c r="B641" s="3" t="s">
        <v>2956</v>
      </c>
      <c r="C641" s="3" t="s">
        <v>2841</v>
      </c>
      <c r="D641" s="3" t="s">
        <v>2957</v>
      </c>
      <c r="E641" s="4" t="s">
        <v>97</v>
      </c>
      <c r="F641" s="5"/>
      <c r="G641" s="5"/>
      <c r="H641" s="5"/>
      <c r="I641" s="5"/>
      <c r="J641" s="5"/>
      <c r="K641" s="5"/>
      <c r="L641" s="5"/>
      <c r="M641" s="5"/>
      <c r="N641" s="5"/>
      <c r="O641" s="5"/>
      <c r="P641" s="5"/>
      <c r="Q641" s="5"/>
      <c r="R641" s="5"/>
      <c r="S641" s="5"/>
      <c r="T641" s="5"/>
      <c r="U641" s="5"/>
      <c r="V641" s="5"/>
      <c r="W641" s="5"/>
    </row>
    <row r="642">
      <c r="A642" s="3" t="s">
        <v>2958</v>
      </c>
      <c r="B642" s="3" t="s">
        <v>2959</v>
      </c>
      <c r="C642" s="3" t="s">
        <v>2841</v>
      </c>
      <c r="D642" s="3" t="s">
        <v>2960</v>
      </c>
      <c r="E642" s="4" t="s">
        <v>97</v>
      </c>
      <c r="F642" s="5"/>
      <c r="G642" s="5"/>
      <c r="H642" s="5"/>
      <c r="I642" s="5"/>
      <c r="J642" s="5"/>
      <c r="K642" s="5"/>
      <c r="L642" s="5"/>
      <c r="M642" s="5"/>
      <c r="N642" s="5"/>
      <c r="O642" s="5"/>
      <c r="P642" s="5"/>
      <c r="Q642" s="5"/>
      <c r="R642" s="5"/>
      <c r="S642" s="5"/>
      <c r="T642" s="5"/>
      <c r="U642" s="5"/>
      <c r="V642" s="5"/>
      <c r="W642" s="5"/>
    </row>
    <row r="643">
      <c r="A643" s="3" t="s">
        <v>2961</v>
      </c>
      <c r="B643" s="3" t="s">
        <v>2962</v>
      </c>
      <c r="C643" s="3" t="s">
        <v>2841</v>
      </c>
      <c r="D643" s="3" t="s">
        <v>2963</v>
      </c>
      <c r="E643" s="4" t="s">
        <v>97</v>
      </c>
      <c r="F643" s="5"/>
      <c r="G643" s="5"/>
      <c r="H643" s="5"/>
      <c r="I643" s="5"/>
      <c r="J643" s="5"/>
      <c r="K643" s="5"/>
      <c r="L643" s="5"/>
      <c r="M643" s="5"/>
      <c r="N643" s="5"/>
      <c r="O643" s="5"/>
      <c r="P643" s="5"/>
      <c r="Q643" s="5"/>
      <c r="R643" s="5"/>
      <c r="S643" s="5"/>
      <c r="T643" s="5"/>
      <c r="U643" s="5"/>
      <c r="V643" s="5"/>
      <c r="W643" s="5"/>
    </row>
    <row r="644">
      <c r="A644" s="3" t="s">
        <v>2964</v>
      </c>
      <c r="B644" s="3" t="s">
        <v>2965</v>
      </c>
      <c r="C644" s="3" t="s">
        <v>2841</v>
      </c>
      <c r="D644" s="3" t="s">
        <v>2966</v>
      </c>
      <c r="E644" s="4" t="s">
        <v>97</v>
      </c>
      <c r="F644" s="5"/>
      <c r="G644" s="5"/>
      <c r="H644" s="5"/>
      <c r="I644" s="5"/>
      <c r="J644" s="5"/>
      <c r="K644" s="5"/>
      <c r="L644" s="5"/>
      <c r="M644" s="5"/>
      <c r="N644" s="5"/>
      <c r="O644" s="5"/>
      <c r="P644" s="5"/>
      <c r="Q644" s="5"/>
      <c r="R644" s="5"/>
      <c r="S644" s="5"/>
      <c r="T644" s="5"/>
      <c r="U644" s="5"/>
      <c r="V644" s="5"/>
      <c r="W644" s="5"/>
    </row>
    <row r="645">
      <c r="A645" s="3" t="s">
        <v>2967</v>
      </c>
      <c r="B645" s="3" t="s">
        <v>2968</v>
      </c>
      <c r="C645" s="3" t="s">
        <v>2841</v>
      </c>
      <c r="D645" s="3" t="s">
        <v>2969</v>
      </c>
      <c r="E645" s="4" t="s">
        <v>97</v>
      </c>
      <c r="F645" s="5"/>
      <c r="G645" s="5"/>
      <c r="H645" s="5"/>
      <c r="I645" s="5"/>
      <c r="J645" s="5"/>
      <c r="K645" s="5"/>
      <c r="L645" s="5"/>
      <c r="M645" s="5"/>
      <c r="N645" s="5"/>
      <c r="O645" s="5"/>
      <c r="P645" s="5"/>
      <c r="Q645" s="5"/>
      <c r="R645" s="5"/>
      <c r="S645" s="5"/>
      <c r="T645" s="5"/>
      <c r="U645" s="5"/>
      <c r="V645" s="5"/>
      <c r="W645" s="5"/>
    </row>
    <row r="646">
      <c r="A646" s="3" t="s">
        <v>2949</v>
      </c>
      <c r="B646" s="3" t="s">
        <v>2970</v>
      </c>
      <c r="C646" s="3" t="s">
        <v>2841</v>
      </c>
      <c r="D646" s="3" t="s">
        <v>2971</v>
      </c>
      <c r="E646" s="4" t="s">
        <v>97</v>
      </c>
      <c r="F646" s="5"/>
      <c r="G646" s="5"/>
      <c r="H646" s="5"/>
      <c r="I646" s="5"/>
      <c r="J646" s="5"/>
      <c r="K646" s="5"/>
      <c r="L646" s="5"/>
      <c r="M646" s="5"/>
      <c r="N646" s="5"/>
      <c r="O646" s="5"/>
      <c r="P646" s="5"/>
      <c r="Q646" s="5"/>
      <c r="R646" s="5"/>
      <c r="S646" s="5"/>
      <c r="T646" s="5"/>
      <c r="U646" s="5"/>
      <c r="V646" s="5"/>
      <c r="W646" s="5"/>
    </row>
    <row r="647">
      <c r="A647" s="3" t="s">
        <v>2972</v>
      </c>
      <c r="B647" s="3" t="s">
        <v>2973</v>
      </c>
      <c r="C647" s="3" t="s">
        <v>2841</v>
      </c>
      <c r="D647" s="3" t="s">
        <v>2974</v>
      </c>
      <c r="E647" s="4" t="s">
        <v>97</v>
      </c>
      <c r="F647" s="5"/>
      <c r="G647" s="5"/>
      <c r="H647" s="5"/>
      <c r="I647" s="5"/>
      <c r="J647" s="5"/>
      <c r="K647" s="5"/>
      <c r="L647" s="5"/>
      <c r="M647" s="5"/>
      <c r="N647" s="5"/>
      <c r="O647" s="5"/>
      <c r="P647" s="5"/>
      <c r="Q647" s="5"/>
      <c r="R647" s="5"/>
      <c r="S647" s="5"/>
      <c r="T647" s="5"/>
      <c r="U647" s="5"/>
      <c r="V647" s="5"/>
      <c r="W647" s="5"/>
    </row>
    <row r="648">
      <c r="A648" s="3" t="s">
        <v>2975</v>
      </c>
      <c r="B648" s="3" t="s">
        <v>2976</v>
      </c>
      <c r="C648" s="3" t="s">
        <v>2841</v>
      </c>
      <c r="D648" s="3" t="s">
        <v>2872</v>
      </c>
      <c r="E648" s="4" t="s">
        <v>97</v>
      </c>
      <c r="F648" s="5"/>
      <c r="G648" s="5"/>
      <c r="H648" s="5"/>
      <c r="I648" s="5"/>
      <c r="J648" s="5"/>
      <c r="K648" s="5"/>
      <c r="L648" s="5"/>
      <c r="M648" s="5"/>
      <c r="N648" s="5"/>
      <c r="O648" s="5"/>
      <c r="P648" s="5"/>
      <c r="Q648" s="5"/>
      <c r="R648" s="5"/>
      <c r="S648" s="5"/>
      <c r="T648" s="5"/>
      <c r="U648" s="5"/>
      <c r="V648" s="5"/>
      <c r="W648" s="5"/>
    </row>
    <row r="649">
      <c r="A649" s="3" t="s">
        <v>2977</v>
      </c>
      <c r="B649" s="3" t="s">
        <v>2978</v>
      </c>
      <c r="C649" s="3" t="s">
        <v>2841</v>
      </c>
      <c r="D649" s="3" t="s">
        <v>2979</v>
      </c>
      <c r="E649" s="4" t="s">
        <v>97</v>
      </c>
      <c r="F649" s="5"/>
      <c r="G649" s="5"/>
      <c r="H649" s="5"/>
      <c r="I649" s="5"/>
      <c r="J649" s="5"/>
      <c r="K649" s="5"/>
      <c r="L649" s="5"/>
      <c r="M649" s="5"/>
      <c r="N649" s="5"/>
      <c r="O649" s="5"/>
      <c r="P649" s="5"/>
      <c r="Q649" s="5"/>
      <c r="R649" s="5"/>
      <c r="S649" s="5"/>
      <c r="T649" s="5"/>
      <c r="U649" s="5"/>
      <c r="V649" s="5"/>
      <c r="W649" s="5"/>
    </row>
    <row r="650">
      <c r="A650" s="3" t="s">
        <v>2980</v>
      </c>
      <c r="B650" s="3" t="s">
        <v>2981</v>
      </c>
      <c r="C650" s="3" t="s">
        <v>2841</v>
      </c>
      <c r="D650" s="3" t="s">
        <v>2982</v>
      </c>
      <c r="E650" s="4" t="s">
        <v>97</v>
      </c>
      <c r="F650" s="5"/>
      <c r="G650" s="5"/>
      <c r="H650" s="5"/>
      <c r="I650" s="5"/>
      <c r="J650" s="5"/>
      <c r="K650" s="5"/>
      <c r="L650" s="5"/>
      <c r="M650" s="5"/>
      <c r="N650" s="5"/>
      <c r="O650" s="5"/>
      <c r="P650" s="5"/>
      <c r="Q650" s="5"/>
      <c r="R650" s="5"/>
      <c r="S650" s="5"/>
      <c r="T650" s="5"/>
      <c r="U650" s="5"/>
      <c r="V650" s="5"/>
      <c r="W650" s="5"/>
    </row>
    <row r="651">
      <c r="A651" s="3" t="s">
        <v>2983</v>
      </c>
      <c r="B651" s="3" t="s">
        <v>2984</v>
      </c>
      <c r="C651" s="3" t="s">
        <v>2841</v>
      </c>
      <c r="D651" s="3" t="s">
        <v>2982</v>
      </c>
      <c r="E651" s="4" t="s">
        <v>97</v>
      </c>
      <c r="F651" s="5"/>
      <c r="G651" s="5"/>
      <c r="H651" s="5"/>
      <c r="I651" s="5"/>
      <c r="J651" s="5"/>
      <c r="K651" s="5"/>
      <c r="L651" s="5"/>
      <c r="M651" s="5"/>
      <c r="N651" s="5"/>
      <c r="O651" s="5"/>
      <c r="P651" s="5"/>
      <c r="Q651" s="5"/>
      <c r="R651" s="5"/>
      <c r="S651" s="5"/>
      <c r="T651" s="5"/>
      <c r="U651" s="5"/>
      <c r="V651" s="5"/>
      <c r="W651" s="5"/>
    </row>
    <row r="652">
      <c r="A652" s="3" t="s">
        <v>2876</v>
      </c>
      <c r="B652" s="3" t="s">
        <v>2985</v>
      </c>
      <c r="C652" s="3" t="s">
        <v>2841</v>
      </c>
      <c r="D652" s="3" t="s">
        <v>2982</v>
      </c>
      <c r="E652" s="4" t="s">
        <v>97</v>
      </c>
      <c r="F652" s="5"/>
      <c r="G652" s="5"/>
      <c r="H652" s="5"/>
      <c r="I652" s="5"/>
      <c r="J652" s="5"/>
      <c r="K652" s="5"/>
      <c r="L652" s="5"/>
      <c r="M652" s="5"/>
      <c r="N652" s="5"/>
      <c r="O652" s="5"/>
      <c r="P652" s="5"/>
      <c r="Q652" s="5"/>
      <c r="R652" s="5"/>
      <c r="S652" s="5"/>
      <c r="T652" s="5"/>
      <c r="U652" s="5"/>
      <c r="V652" s="5"/>
      <c r="W652" s="5"/>
    </row>
    <row r="653">
      <c r="A653" s="3" t="s">
        <v>2986</v>
      </c>
      <c r="B653" s="3" t="s">
        <v>2987</v>
      </c>
      <c r="C653" s="3" t="s">
        <v>2841</v>
      </c>
      <c r="D653" s="3" t="s">
        <v>2988</v>
      </c>
      <c r="E653" s="4" t="s">
        <v>97</v>
      </c>
      <c r="F653" s="5"/>
      <c r="G653" s="5"/>
      <c r="H653" s="5"/>
      <c r="I653" s="5"/>
      <c r="J653" s="5"/>
      <c r="K653" s="5"/>
      <c r="L653" s="5"/>
      <c r="M653" s="5"/>
      <c r="N653" s="5"/>
      <c r="O653" s="5"/>
      <c r="P653" s="5"/>
      <c r="Q653" s="5"/>
      <c r="R653" s="5"/>
      <c r="S653" s="5"/>
      <c r="T653" s="5"/>
      <c r="U653" s="5"/>
      <c r="V653" s="5"/>
      <c r="W653" s="5"/>
    </row>
    <row r="654">
      <c r="A654" s="3" t="s">
        <v>2989</v>
      </c>
      <c r="B654" s="3" t="s">
        <v>2990</v>
      </c>
      <c r="C654" s="3" t="s">
        <v>2841</v>
      </c>
      <c r="D654" s="3" t="s">
        <v>2991</v>
      </c>
      <c r="E654" s="4" t="s">
        <v>97</v>
      </c>
      <c r="F654" s="5"/>
      <c r="G654" s="5"/>
      <c r="H654" s="5"/>
      <c r="I654" s="5"/>
      <c r="J654" s="5"/>
      <c r="K654" s="5"/>
      <c r="L654" s="5"/>
      <c r="M654" s="5"/>
      <c r="N654" s="5"/>
      <c r="O654" s="5"/>
      <c r="P654" s="5"/>
      <c r="Q654" s="5"/>
      <c r="R654" s="5"/>
      <c r="S654" s="5"/>
      <c r="T654" s="5"/>
      <c r="U654" s="5"/>
      <c r="V654" s="5"/>
      <c r="W654" s="5"/>
    </row>
    <row r="655">
      <c r="A655" s="3" t="s">
        <v>2992</v>
      </c>
      <c r="B655" s="3" t="s">
        <v>2993</v>
      </c>
      <c r="C655" s="3" t="s">
        <v>2841</v>
      </c>
      <c r="D655" s="3" t="s">
        <v>2994</v>
      </c>
      <c r="E655" s="4" t="s">
        <v>97</v>
      </c>
      <c r="F655" s="5"/>
      <c r="G655" s="5"/>
      <c r="H655" s="5"/>
      <c r="I655" s="5"/>
      <c r="J655" s="5"/>
      <c r="K655" s="5"/>
      <c r="L655" s="5"/>
      <c r="M655" s="5"/>
      <c r="N655" s="5"/>
      <c r="O655" s="5"/>
      <c r="P655" s="5"/>
      <c r="Q655" s="5"/>
      <c r="R655" s="5"/>
      <c r="S655" s="5"/>
      <c r="T655" s="5"/>
      <c r="U655" s="5"/>
      <c r="V655" s="5"/>
      <c r="W655" s="5"/>
    </row>
    <row r="656">
      <c r="A656" s="3" t="s">
        <v>2995</v>
      </c>
      <c r="B656" s="3" t="s">
        <v>2996</v>
      </c>
      <c r="C656" s="3" t="s">
        <v>2841</v>
      </c>
      <c r="D656" s="3" t="s">
        <v>2997</v>
      </c>
      <c r="E656" s="4" t="s">
        <v>97</v>
      </c>
      <c r="F656" s="5"/>
      <c r="G656" s="5"/>
      <c r="H656" s="5"/>
      <c r="I656" s="5"/>
      <c r="J656" s="5"/>
      <c r="K656" s="5"/>
      <c r="L656" s="5"/>
      <c r="M656" s="5"/>
      <c r="N656" s="5"/>
      <c r="O656" s="5"/>
      <c r="P656" s="5"/>
      <c r="Q656" s="5"/>
      <c r="R656" s="5"/>
      <c r="S656" s="5"/>
      <c r="T656" s="5"/>
      <c r="U656" s="5"/>
      <c r="V656" s="5"/>
      <c r="W656" s="5"/>
    </row>
    <row r="657">
      <c r="A657" s="3" t="s">
        <v>2998</v>
      </c>
      <c r="B657" s="3" t="s">
        <v>2999</v>
      </c>
      <c r="C657" s="3" t="s">
        <v>98</v>
      </c>
      <c r="D657" s="3" t="s">
        <v>3000</v>
      </c>
      <c r="E657" s="4" t="s">
        <v>99</v>
      </c>
      <c r="F657" s="5"/>
      <c r="G657" s="5"/>
      <c r="H657" s="5"/>
      <c r="I657" s="5"/>
      <c r="J657" s="5"/>
      <c r="K657" s="5"/>
      <c r="L657" s="5"/>
      <c r="M657" s="5"/>
      <c r="N657" s="5"/>
      <c r="O657" s="5"/>
      <c r="P657" s="5"/>
      <c r="Q657" s="5"/>
      <c r="R657" s="5"/>
      <c r="S657" s="5"/>
      <c r="T657" s="5"/>
      <c r="U657" s="5"/>
      <c r="V657" s="5"/>
      <c r="W657" s="5"/>
    </row>
    <row r="658">
      <c r="A658" s="3" t="s">
        <v>3001</v>
      </c>
      <c r="B658" s="3" t="s">
        <v>3002</v>
      </c>
      <c r="C658" s="3" t="s">
        <v>98</v>
      </c>
      <c r="D658" s="3" t="s">
        <v>3003</v>
      </c>
      <c r="E658" s="4" t="s">
        <v>99</v>
      </c>
      <c r="F658" s="5"/>
      <c r="G658" s="5"/>
      <c r="H658" s="5"/>
      <c r="I658" s="5"/>
      <c r="J658" s="5"/>
      <c r="K658" s="5"/>
      <c r="L658" s="5"/>
      <c r="M658" s="5"/>
      <c r="N658" s="5"/>
      <c r="O658" s="5"/>
      <c r="P658" s="5"/>
      <c r="Q658" s="5"/>
      <c r="R658" s="5"/>
      <c r="S658" s="5"/>
      <c r="T658" s="5"/>
      <c r="U658" s="5"/>
      <c r="V658" s="5"/>
      <c r="W658" s="5"/>
    </row>
    <row r="659">
      <c r="A659" s="3" t="s">
        <v>3004</v>
      </c>
      <c r="B659" s="3" t="s">
        <v>3005</v>
      </c>
      <c r="C659" s="3" t="s">
        <v>98</v>
      </c>
      <c r="D659" s="3" t="s">
        <v>3006</v>
      </c>
      <c r="E659" s="4" t="s">
        <v>99</v>
      </c>
      <c r="F659" s="5"/>
      <c r="G659" s="5"/>
      <c r="H659" s="5"/>
      <c r="I659" s="5"/>
      <c r="J659" s="5"/>
      <c r="K659" s="5"/>
      <c r="L659" s="5"/>
      <c r="M659" s="5"/>
      <c r="N659" s="5"/>
      <c r="O659" s="5"/>
      <c r="P659" s="5"/>
      <c r="Q659" s="5"/>
      <c r="R659" s="5"/>
      <c r="S659" s="5"/>
      <c r="T659" s="5"/>
      <c r="U659" s="5"/>
      <c r="V659" s="5"/>
      <c r="W659" s="5"/>
    </row>
    <row r="660">
      <c r="A660" s="3" t="s">
        <v>3007</v>
      </c>
      <c r="B660" s="3" t="s">
        <v>3008</v>
      </c>
      <c r="C660" s="3" t="s">
        <v>98</v>
      </c>
      <c r="D660" s="3" t="s">
        <v>3009</v>
      </c>
      <c r="E660" s="4" t="s">
        <v>99</v>
      </c>
      <c r="F660" s="5"/>
      <c r="G660" s="5"/>
      <c r="H660" s="5"/>
      <c r="I660" s="5"/>
      <c r="J660" s="5"/>
      <c r="K660" s="5"/>
      <c r="L660" s="5"/>
      <c r="M660" s="5"/>
      <c r="N660" s="5"/>
      <c r="O660" s="5"/>
      <c r="P660" s="5"/>
      <c r="Q660" s="5"/>
      <c r="R660" s="5"/>
      <c r="S660" s="5"/>
      <c r="T660" s="5"/>
      <c r="U660" s="5"/>
      <c r="V660" s="5"/>
      <c r="W660" s="5"/>
    </row>
    <row r="661">
      <c r="A661" s="3" t="s">
        <v>3010</v>
      </c>
      <c r="B661" s="3" t="s">
        <v>3011</v>
      </c>
      <c r="C661" s="3" t="s">
        <v>98</v>
      </c>
      <c r="D661" s="3" t="s">
        <v>3012</v>
      </c>
      <c r="E661" s="4" t="s">
        <v>99</v>
      </c>
      <c r="F661" s="5"/>
      <c r="G661" s="5"/>
      <c r="H661" s="5"/>
      <c r="I661" s="5"/>
      <c r="J661" s="5"/>
      <c r="K661" s="5"/>
      <c r="L661" s="5"/>
      <c r="M661" s="5"/>
      <c r="N661" s="5"/>
      <c r="O661" s="5"/>
      <c r="P661" s="5"/>
      <c r="Q661" s="5"/>
      <c r="R661" s="5"/>
      <c r="S661" s="5"/>
      <c r="T661" s="5"/>
      <c r="U661" s="5"/>
      <c r="V661" s="5"/>
      <c r="W661" s="5"/>
    </row>
    <row r="662">
      <c r="A662" s="3" t="s">
        <v>3013</v>
      </c>
      <c r="B662" s="3" t="s">
        <v>3014</v>
      </c>
      <c r="C662" s="3" t="s">
        <v>98</v>
      </c>
      <c r="D662" s="3" t="s">
        <v>3015</v>
      </c>
      <c r="E662" s="4" t="s">
        <v>99</v>
      </c>
      <c r="F662" s="5"/>
      <c r="G662" s="5"/>
      <c r="H662" s="5"/>
      <c r="I662" s="5"/>
      <c r="J662" s="5"/>
      <c r="K662" s="5"/>
      <c r="L662" s="5"/>
      <c r="M662" s="5"/>
      <c r="N662" s="5"/>
      <c r="O662" s="5"/>
      <c r="P662" s="5"/>
      <c r="Q662" s="5"/>
      <c r="R662" s="5"/>
      <c r="S662" s="5"/>
      <c r="T662" s="5"/>
      <c r="U662" s="5"/>
      <c r="V662" s="5"/>
      <c r="W662" s="5"/>
    </row>
    <row r="663">
      <c r="A663" s="3" t="s">
        <v>3016</v>
      </c>
      <c r="B663" s="3" t="s">
        <v>3017</v>
      </c>
      <c r="C663" s="3" t="s">
        <v>98</v>
      </c>
      <c r="D663" s="3" t="s">
        <v>3018</v>
      </c>
      <c r="E663" s="4" t="s">
        <v>99</v>
      </c>
      <c r="F663" s="5"/>
      <c r="G663" s="5"/>
      <c r="H663" s="5"/>
      <c r="I663" s="5"/>
      <c r="J663" s="5"/>
      <c r="K663" s="5"/>
      <c r="L663" s="5"/>
      <c r="M663" s="5"/>
      <c r="N663" s="5"/>
      <c r="O663" s="5"/>
      <c r="P663" s="5"/>
      <c r="Q663" s="5"/>
      <c r="R663" s="5"/>
      <c r="S663" s="5"/>
      <c r="T663" s="5"/>
      <c r="U663" s="5"/>
      <c r="V663" s="5"/>
      <c r="W663" s="5"/>
    </row>
    <row r="664">
      <c r="A664" s="3" t="s">
        <v>3019</v>
      </c>
      <c r="B664" s="3" t="s">
        <v>3020</v>
      </c>
      <c r="C664" s="3" t="s">
        <v>98</v>
      </c>
      <c r="D664" s="3" t="s">
        <v>3021</v>
      </c>
      <c r="E664" s="4" t="s">
        <v>99</v>
      </c>
      <c r="F664" s="5"/>
      <c r="G664" s="5"/>
      <c r="H664" s="5"/>
      <c r="I664" s="5"/>
      <c r="J664" s="5"/>
      <c r="K664" s="5"/>
      <c r="L664" s="5"/>
      <c r="M664" s="5"/>
      <c r="N664" s="5"/>
      <c r="O664" s="5"/>
      <c r="P664" s="5"/>
      <c r="Q664" s="5"/>
      <c r="R664" s="5"/>
      <c r="S664" s="5"/>
      <c r="T664" s="5"/>
      <c r="U664" s="5"/>
      <c r="V664" s="5"/>
      <c r="W664" s="5"/>
    </row>
    <row r="665">
      <c r="A665" s="3" t="s">
        <v>3022</v>
      </c>
      <c r="B665" s="3" t="s">
        <v>3023</v>
      </c>
      <c r="C665" s="3" t="s">
        <v>98</v>
      </c>
      <c r="D665" s="3" t="s">
        <v>3024</v>
      </c>
      <c r="E665" s="4" t="s">
        <v>99</v>
      </c>
      <c r="F665" s="5"/>
      <c r="G665" s="5"/>
      <c r="H665" s="5"/>
      <c r="I665" s="5"/>
      <c r="J665" s="5"/>
      <c r="K665" s="5"/>
      <c r="L665" s="5"/>
      <c r="M665" s="5"/>
      <c r="N665" s="5"/>
      <c r="O665" s="5"/>
      <c r="P665" s="5"/>
      <c r="Q665" s="5"/>
      <c r="R665" s="5"/>
      <c r="S665" s="5"/>
      <c r="T665" s="5"/>
      <c r="U665" s="5"/>
      <c r="V665" s="5"/>
      <c r="W665" s="5"/>
    </row>
    <row r="666">
      <c r="A666" s="3" t="s">
        <v>3025</v>
      </c>
      <c r="B666" s="3" t="s">
        <v>3026</v>
      </c>
      <c r="C666" s="3" t="s">
        <v>98</v>
      </c>
      <c r="D666" s="3" t="s">
        <v>3027</v>
      </c>
      <c r="E666" s="4" t="s">
        <v>99</v>
      </c>
      <c r="F666" s="5"/>
      <c r="G666" s="5"/>
      <c r="H666" s="5"/>
      <c r="I666" s="5"/>
      <c r="J666" s="5"/>
      <c r="K666" s="5"/>
      <c r="L666" s="5"/>
      <c r="M666" s="5"/>
      <c r="N666" s="5"/>
      <c r="O666" s="5"/>
      <c r="P666" s="5"/>
      <c r="Q666" s="5"/>
      <c r="R666" s="5"/>
      <c r="S666" s="5"/>
      <c r="T666" s="5"/>
      <c r="U666" s="5"/>
      <c r="V666" s="5"/>
      <c r="W666" s="5"/>
    </row>
    <row r="667">
      <c r="A667" s="3" t="s">
        <v>3028</v>
      </c>
      <c r="B667" s="3" t="s">
        <v>3029</v>
      </c>
      <c r="C667" s="3" t="s">
        <v>98</v>
      </c>
      <c r="D667" s="3" t="s">
        <v>3021</v>
      </c>
      <c r="E667" s="4" t="s">
        <v>99</v>
      </c>
      <c r="F667" s="5"/>
      <c r="G667" s="5"/>
      <c r="H667" s="5"/>
      <c r="I667" s="5"/>
      <c r="J667" s="5"/>
      <c r="K667" s="5"/>
      <c r="L667" s="5"/>
      <c r="M667" s="5"/>
      <c r="N667" s="5"/>
      <c r="O667" s="5"/>
      <c r="P667" s="5"/>
      <c r="Q667" s="5"/>
      <c r="R667" s="5"/>
      <c r="S667" s="5"/>
      <c r="T667" s="5"/>
      <c r="U667" s="5"/>
      <c r="V667" s="5"/>
      <c r="W667" s="5"/>
    </row>
    <row r="668">
      <c r="A668" s="3" t="s">
        <v>3030</v>
      </c>
      <c r="B668" s="3" t="s">
        <v>3031</v>
      </c>
      <c r="C668" s="3" t="s">
        <v>98</v>
      </c>
      <c r="D668" s="3" t="s">
        <v>3032</v>
      </c>
      <c r="E668" s="4" t="s">
        <v>99</v>
      </c>
      <c r="F668" s="5"/>
      <c r="G668" s="5"/>
      <c r="H668" s="5"/>
      <c r="I668" s="5"/>
      <c r="J668" s="5"/>
      <c r="K668" s="5"/>
      <c r="L668" s="5"/>
      <c r="M668" s="5"/>
      <c r="N668" s="5"/>
      <c r="O668" s="5"/>
      <c r="P668" s="5"/>
      <c r="Q668" s="5"/>
      <c r="R668" s="5"/>
      <c r="S668" s="5"/>
      <c r="T668" s="5"/>
      <c r="U668" s="5"/>
      <c r="V668" s="5"/>
      <c r="W668" s="5"/>
    </row>
    <row r="669">
      <c r="A669" s="3" t="s">
        <v>3033</v>
      </c>
      <c r="B669" s="3" t="s">
        <v>3034</v>
      </c>
      <c r="C669" s="3" t="s">
        <v>98</v>
      </c>
      <c r="D669" s="3" t="s">
        <v>3035</v>
      </c>
      <c r="E669" s="4" t="s">
        <v>99</v>
      </c>
      <c r="F669" s="5"/>
      <c r="G669" s="5"/>
      <c r="H669" s="5"/>
      <c r="I669" s="5"/>
      <c r="J669" s="5"/>
      <c r="K669" s="5"/>
      <c r="L669" s="5"/>
      <c r="M669" s="5"/>
      <c r="N669" s="5"/>
      <c r="O669" s="5"/>
      <c r="P669" s="5"/>
      <c r="Q669" s="5"/>
      <c r="R669" s="5"/>
      <c r="S669" s="5"/>
      <c r="T669" s="5"/>
      <c r="U669" s="5"/>
      <c r="V669" s="5"/>
      <c r="W669" s="5"/>
    </row>
    <row r="670">
      <c r="A670" s="3" t="s">
        <v>3036</v>
      </c>
      <c r="B670" s="3" t="s">
        <v>3037</v>
      </c>
      <c r="C670" s="3" t="s">
        <v>98</v>
      </c>
      <c r="D670" s="3" t="s">
        <v>3038</v>
      </c>
      <c r="E670" s="4" t="s">
        <v>99</v>
      </c>
      <c r="F670" s="5"/>
      <c r="G670" s="5"/>
      <c r="H670" s="5"/>
      <c r="I670" s="5"/>
      <c r="J670" s="5"/>
      <c r="K670" s="5"/>
      <c r="L670" s="5"/>
      <c r="M670" s="5"/>
      <c r="N670" s="5"/>
      <c r="O670" s="5"/>
      <c r="P670" s="5"/>
      <c r="Q670" s="5"/>
      <c r="R670" s="5"/>
      <c r="S670" s="5"/>
      <c r="T670" s="5"/>
      <c r="U670" s="5"/>
      <c r="V670" s="5"/>
      <c r="W670" s="5"/>
    </row>
    <row r="671">
      <c r="A671" s="16" t="s">
        <v>3039</v>
      </c>
      <c r="B671" s="16" t="s">
        <v>3040</v>
      </c>
      <c r="C671" s="16" t="s">
        <v>98</v>
      </c>
      <c r="D671" s="16" t="s">
        <v>3041</v>
      </c>
      <c r="E671" s="25" t="s">
        <v>99</v>
      </c>
      <c r="F671" s="17"/>
      <c r="G671" s="17"/>
      <c r="H671" s="17"/>
      <c r="I671" s="17"/>
      <c r="J671" s="17"/>
      <c r="K671" s="17"/>
      <c r="L671" s="17"/>
      <c r="M671" s="17"/>
      <c r="N671" s="17"/>
      <c r="O671" s="17"/>
      <c r="P671" s="17"/>
      <c r="Q671" s="17"/>
      <c r="R671" s="17"/>
      <c r="S671" s="17"/>
      <c r="T671" s="17"/>
      <c r="U671" s="17"/>
      <c r="V671" s="17"/>
      <c r="W671" s="17"/>
    </row>
    <row r="672">
      <c r="A672" s="16" t="s">
        <v>3042</v>
      </c>
      <c r="B672" s="16" t="s">
        <v>3043</v>
      </c>
      <c r="C672" s="16" t="s">
        <v>98</v>
      </c>
      <c r="D672" s="16" t="s">
        <v>3044</v>
      </c>
      <c r="E672" s="25" t="s">
        <v>99</v>
      </c>
      <c r="F672" s="17"/>
      <c r="G672" s="17"/>
      <c r="H672" s="17"/>
      <c r="I672" s="17"/>
      <c r="J672" s="17"/>
      <c r="K672" s="17"/>
      <c r="L672" s="17"/>
      <c r="M672" s="17"/>
      <c r="N672" s="17"/>
      <c r="O672" s="17"/>
      <c r="P672" s="17"/>
      <c r="Q672" s="17"/>
      <c r="R672" s="17"/>
      <c r="S672" s="17"/>
      <c r="T672" s="17"/>
      <c r="U672" s="17"/>
      <c r="V672" s="17"/>
      <c r="W672" s="17"/>
    </row>
    <row r="673">
      <c r="A673" s="3" t="s">
        <v>3045</v>
      </c>
      <c r="B673" s="3" t="s">
        <v>3046</v>
      </c>
      <c r="C673" s="3" t="s">
        <v>98</v>
      </c>
      <c r="D673" s="3" t="s">
        <v>3047</v>
      </c>
      <c r="E673" s="4" t="s">
        <v>99</v>
      </c>
      <c r="F673" s="5"/>
      <c r="G673" s="5"/>
      <c r="H673" s="5"/>
      <c r="I673" s="5"/>
      <c r="J673" s="5"/>
      <c r="K673" s="5"/>
      <c r="L673" s="5"/>
      <c r="M673" s="5"/>
      <c r="N673" s="5"/>
      <c r="O673" s="5"/>
      <c r="P673" s="5"/>
      <c r="Q673" s="5"/>
      <c r="R673" s="5"/>
      <c r="S673" s="5"/>
      <c r="T673" s="5"/>
      <c r="U673" s="5"/>
      <c r="V673" s="5"/>
      <c r="W673" s="5"/>
    </row>
    <row r="674">
      <c r="A674" s="3" t="s">
        <v>3048</v>
      </c>
      <c r="B674" s="3" t="s">
        <v>3049</v>
      </c>
      <c r="C674" s="3" t="s">
        <v>98</v>
      </c>
      <c r="D674" s="3" t="s">
        <v>3050</v>
      </c>
      <c r="E674" s="4" t="s">
        <v>99</v>
      </c>
      <c r="F674" s="5"/>
      <c r="G674" s="5"/>
      <c r="H674" s="5"/>
      <c r="I674" s="5"/>
      <c r="J674" s="5"/>
      <c r="K674" s="5"/>
      <c r="L674" s="5"/>
      <c r="M674" s="5"/>
      <c r="N674" s="5"/>
      <c r="O674" s="5"/>
      <c r="P674" s="5"/>
      <c r="Q674" s="5"/>
      <c r="R674" s="5"/>
      <c r="S674" s="5"/>
      <c r="T674" s="5"/>
      <c r="U674" s="5"/>
      <c r="V674" s="5"/>
      <c r="W674" s="5"/>
    </row>
    <row r="675">
      <c r="A675" s="3" t="s">
        <v>3051</v>
      </c>
      <c r="B675" s="3" t="s">
        <v>2445</v>
      </c>
      <c r="C675" s="3" t="s">
        <v>98</v>
      </c>
      <c r="D675" s="3" t="s">
        <v>3052</v>
      </c>
      <c r="E675" s="4" t="s">
        <v>99</v>
      </c>
      <c r="F675" s="5"/>
      <c r="G675" s="5"/>
      <c r="H675" s="5"/>
      <c r="I675" s="5"/>
      <c r="J675" s="5"/>
      <c r="K675" s="5"/>
      <c r="L675" s="5"/>
      <c r="M675" s="5"/>
      <c r="N675" s="5"/>
      <c r="O675" s="5"/>
      <c r="P675" s="5"/>
      <c r="Q675" s="5"/>
      <c r="R675" s="5"/>
      <c r="S675" s="5"/>
      <c r="T675" s="5"/>
      <c r="U675" s="5"/>
      <c r="V675" s="5"/>
      <c r="W675" s="5"/>
    </row>
    <row r="676">
      <c r="A676" s="3" t="s">
        <v>3053</v>
      </c>
      <c r="B676" s="3" t="s">
        <v>3054</v>
      </c>
      <c r="C676" s="3" t="s">
        <v>98</v>
      </c>
      <c r="D676" s="3" t="s">
        <v>3055</v>
      </c>
      <c r="E676" s="4" t="s">
        <v>99</v>
      </c>
      <c r="F676" s="5"/>
      <c r="G676" s="5"/>
      <c r="H676" s="5"/>
      <c r="I676" s="5"/>
      <c r="J676" s="5"/>
      <c r="K676" s="5"/>
      <c r="L676" s="5"/>
      <c r="M676" s="5"/>
      <c r="N676" s="5"/>
      <c r="O676" s="5"/>
      <c r="P676" s="5"/>
      <c r="Q676" s="5"/>
      <c r="R676" s="5"/>
      <c r="S676" s="5"/>
      <c r="T676" s="5"/>
      <c r="U676" s="5"/>
      <c r="V676" s="5"/>
      <c r="W676" s="5"/>
    </row>
    <row r="677">
      <c r="A677" s="3" t="s">
        <v>3056</v>
      </c>
      <c r="B677" s="3" t="s">
        <v>3057</v>
      </c>
      <c r="C677" s="3" t="s">
        <v>98</v>
      </c>
      <c r="D677" s="3" t="s">
        <v>3058</v>
      </c>
      <c r="E677" s="4" t="s">
        <v>99</v>
      </c>
      <c r="F677" s="5"/>
      <c r="G677" s="5"/>
      <c r="H677" s="5"/>
      <c r="I677" s="5"/>
      <c r="J677" s="5"/>
      <c r="K677" s="5"/>
      <c r="L677" s="5"/>
      <c r="M677" s="5"/>
      <c r="N677" s="5"/>
      <c r="O677" s="5"/>
      <c r="P677" s="5"/>
      <c r="Q677" s="5"/>
      <c r="R677" s="5"/>
      <c r="S677" s="5"/>
      <c r="T677" s="5"/>
      <c r="U677" s="5"/>
      <c r="V677" s="5"/>
      <c r="W677" s="5"/>
    </row>
    <row r="678">
      <c r="A678" s="16" t="s">
        <v>3059</v>
      </c>
      <c r="B678" s="16" t="s">
        <v>3060</v>
      </c>
      <c r="C678" s="16" t="s">
        <v>94</v>
      </c>
      <c r="D678" s="16" t="s">
        <v>3061</v>
      </c>
      <c r="E678" s="4" t="s">
        <v>99</v>
      </c>
      <c r="F678" s="17"/>
      <c r="G678" s="17"/>
      <c r="H678" s="17"/>
      <c r="I678" s="17"/>
      <c r="J678" s="17"/>
      <c r="K678" s="17"/>
      <c r="L678" s="17"/>
      <c r="M678" s="17"/>
      <c r="N678" s="17"/>
      <c r="O678" s="17"/>
      <c r="P678" s="17"/>
      <c r="Q678" s="17"/>
      <c r="R678" s="17"/>
      <c r="S678" s="17"/>
      <c r="T678" s="17"/>
      <c r="U678" s="17"/>
      <c r="V678" s="17"/>
      <c r="W678" s="17"/>
    </row>
    <row r="679">
      <c r="A679" s="3" t="s">
        <v>3062</v>
      </c>
      <c r="B679" s="3" t="s">
        <v>3063</v>
      </c>
      <c r="C679" s="3" t="s">
        <v>98</v>
      </c>
      <c r="D679" s="3" t="s">
        <v>3064</v>
      </c>
      <c r="E679" s="4" t="s">
        <v>99</v>
      </c>
      <c r="F679" s="5"/>
      <c r="G679" s="5"/>
      <c r="H679" s="5"/>
      <c r="I679" s="5"/>
      <c r="J679" s="5"/>
      <c r="K679" s="5"/>
      <c r="L679" s="5"/>
      <c r="M679" s="5"/>
      <c r="N679" s="5"/>
      <c r="O679" s="5"/>
      <c r="P679" s="5"/>
      <c r="Q679" s="5"/>
      <c r="R679" s="5"/>
      <c r="S679" s="5"/>
      <c r="T679" s="5"/>
      <c r="U679" s="5"/>
      <c r="V679" s="5"/>
      <c r="W679" s="5"/>
    </row>
    <row r="680">
      <c r="A680" s="3" t="s">
        <v>3065</v>
      </c>
      <c r="B680" s="3" t="s">
        <v>3066</v>
      </c>
      <c r="C680" s="3" t="s">
        <v>98</v>
      </c>
      <c r="D680" s="3" t="s">
        <v>3067</v>
      </c>
      <c r="E680" s="4" t="s">
        <v>99</v>
      </c>
      <c r="F680" s="5"/>
      <c r="G680" s="5"/>
      <c r="H680" s="5"/>
      <c r="I680" s="5"/>
      <c r="J680" s="5"/>
      <c r="K680" s="5"/>
      <c r="L680" s="5"/>
      <c r="M680" s="5"/>
      <c r="N680" s="5"/>
      <c r="O680" s="5"/>
      <c r="P680" s="5"/>
      <c r="Q680" s="5"/>
      <c r="R680" s="5"/>
      <c r="S680" s="5"/>
      <c r="T680" s="5"/>
      <c r="U680" s="5"/>
      <c r="V680" s="5"/>
      <c r="W680" s="5"/>
    </row>
    <row r="681">
      <c r="A681" s="3" t="s">
        <v>3068</v>
      </c>
      <c r="B681" s="3" t="s">
        <v>3069</v>
      </c>
      <c r="C681" s="3" t="s">
        <v>98</v>
      </c>
      <c r="D681" s="3" t="s">
        <v>3070</v>
      </c>
      <c r="E681" s="4" t="s">
        <v>99</v>
      </c>
      <c r="F681" s="5"/>
      <c r="G681" s="5"/>
      <c r="H681" s="5"/>
      <c r="I681" s="5"/>
      <c r="J681" s="5"/>
      <c r="K681" s="5"/>
      <c r="L681" s="5"/>
      <c r="M681" s="5"/>
      <c r="N681" s="5"/>
      <c r="O681" s="5"/>
      <c r="P681" s="5"/>
      <c r="Q681" s="5"/>
      <c r="R681" s="5"/>
      <c r="S681" s="5"/>
      <c r="T681" s="5"/>
      <c r="U681" s="5"/>
      <c r="V681" s="5"/>
      <c r="W681" s="5"/>
    </row>
    <row r="682">
      <c r="A682" s="3" t="s">
        <v>3071</v>
      </c>
      <c r="B682" s="3" t="s">
        <v>3072</v>
      </c>
      <c r="C682" s="3" t="s">
        <v>98</v>
      </c>
      <c r="D682" s="3" t="s">
        <v>3073</v>
      </c>
      <c r="E682" s="4" t="s">
        <v>99</v>
      </c>
      <c r="F682" s="5"/>
      <c r="G682" s="5"/>
      <c r="H682" s="5"/>
      <c r="I682" s="5"/>
      <c r="J682" s="5"/>
      <c r="K682" s="5"/>
      <c r="L682" s="5"/>
      <c r="M682" s="5"/>
      <c r="N682" s="5"/>
      <c r="O682" s="5"/>
      <c r="P682" s="5"/>
      <c r="Q682" s="5"/>
      <c r="R682" s="5"/>
      <c r="S682" s="5"/>
      <c r="T682" s="5"/>
      <c r="U682" s="5"/>
      <c r="V682" s="5"/>
      <c r="W682" s="5"/>
    </row>
    <row r="683">
      <c r="A683" s="3" t="s">
        <v>3074</v>
      </c>
      <c r="B683" s="3" t="s">
        <v>3075</v>
      </c>
      <c r="C683" s="3" t="s">
        <v>98</v>
      </c>
      <c r="D683" s="3" t="s">
        <v>3076</v>
      </c>
      <c r="E683" s="4" t="s">
        <v>99</v>
      </c>
      <c r="F683" s="5"/>
      <c r="G683" s="5"/>
      <c r="H683" s="5"/>
      <c r="I683" s="5"/>
      <c r="J683" s="5"/>
      <c r="K683" s="5"/>
      <c r="L683" s="5"/>
      <c r="M683" s="5"/>
      <c r="N683" s="5"/>
      <c r="O683" s="5"/>
      <c r="P683" s="5"/>
      <c r="Q683" s="5"/>
      <c r="R683" s="5"/>
      <c r="S683" s="5"/>
      <c r="T683" s="5"/>
      <c r="U683" s="5"/>
      <c r="V683" s="5"/>
      <c r="W683" s="5"/>
    </row>
    <row r="684">
      <c r="A684" s="3" t="s">
        <v>3077</v>
      </c>
      <c r="B684" s="3" t="s">
        <v>3078</v>
      </c>
      <c r="C684" s="3" t="s">
        <v>98</v>
      </c>
      <c r="D684" s="3" t="s">
        <v>3079</v>
      </c>
      <c r="E684" s="4" t="s">
        <v>99</v>
      </c>
      <c r="F684" s="5"/>
      <c r="G684" s="5"/>
      <c r="H684" s="5"/>
      <c r="I684" s="5"/>
      <c r="J684" s="5"/>
      <c r="K684" s="5"/>
      <c r="L684" s="5"/>
      <c r="M684" s="5"/>
      <c r="N684" s="5"/>
      <c r="O684" s="5"/>
      <c r="P684" s="5"/>
      <c r="Q684" s="5"/>
      <c r="R684" s="5"/>
      <c r="S684" s="5"/>
      <c r="T684" s="5"/>
      <c r="U684" s="5"/>
      <c r="V684" s="5"/>
      <c r="W684" s="5"/>
    </row>
    <row r="685">
      <c r="A685" s="3" t="s">
        <v>3080</v>
      </c>
      <c r="B685" s="3" t="s">
        <v>3081</v>
      </c>
      <c r="C685" s="3" t="s">
        <v>98</v>
      </c>
      <c r="D685" s="3" t="s">
        <v>3082</v>
      </c>
      <c r="E685" s="4" t="s">
        <v>99</v>
      </c>
      <c r="F685" s="5"/>
      <c r="G685" s="5"/>
      <c r="H685" s="5"/>
      <c r="I685" s="5"/>
      <c r="J685" s="5"/>
      <c r="K685" s="5"/>
      <c r="L685" s="5"/>
      <c r="M685" s="5"/>
      <c r="N685" s="5"/>
      <c r="O685" s="5"/>
      <c r="P685" s="5"/>
      <c r="Q685" s="5"/>
      <c r="R685" s="5"/>
      <c r="S685" s="5"/>
      <c r="T685" s="5"/>
      <c r="U685" s="5"/>
      <c r="V685" s="5"/>
      <c r="W685" s="5"/>
    </row>
    <row r="686">
      <c r="A686" s="3" t="s">
        <v>3083</v>
      </c>
      <c r="B686" s="3" t="s">
        <v>3084</v>
      </c>
      <c r="C686" s="3" t="s">
        <v>98</v>
      </c>
      <c r="D686" s="3" t="s">
        <v>3085</v>
      </c>
      <c r="E686" s="4" t="s">
        <v>99</v>
      </c>
      <c r="F686" s="5"/>
      <c r="G686" s="5"/>
      <c r="H686" s="5"/>
      <c r="I686" s="5"/>
      <c r="J686" s="5"/>
      <c r="K686" s="5"/>
      <c r="L686" s="5"/>
      <c r="M686" s="5"/>
      <c r="N686" s="5"/>
      <c r="O686" s="5"/>
      <c r="P686" s="5"/>
      <c r="Q686" s="5"/>
      <c r="R686" s="5"/>
      <c r="S686" s="5"/>
      <c r="T686" s="5"/>
      <c r="U686" s="5"/>
      <c r="V686" s="5"/>
      <c r="W686" s="5"/>
    </row>
    <row r="687">
      <c r="A687" s="3" t="s">
        <v>3086</v>
      </c>
      <c r="B687" s="3" t="s">
        <v>3087</v>
      </c>
      <c r="C687" s="3" t="s">
        <v>3088</v>
      </c>
      <c r="D687" s="3" t="s">
        <v>3089</v>
      </c>
      <c r="E687" s="3"/>
      <c r="F687" s="5"/>
      <c r="G687" s="5"/>
      <c r="H687" s="5"/>
      <c r="I687" s="5"/>
      <c r="J687" s="5"/>
      <c r="K687" s="5"/>
      <c r="L687" s="5"/>
      <c r="M687" s="5"/>
      <c r="N687" s="5"/>
      <c r="O687" s="5"/>
      <c r="P687" s="5"/>
      <c r="Q687" s="5"/>
      <c r="R687" s="5"/>
      <c r="S687" s="5"/>
      <c r="T687" s="5"/>
      <c r="U687" s="5"/>
      <c r="V687" s="5"/>
      <c r="W687" s="5"/>
    </row>
    <row r="688">
      <c r="A688" s="3" t="s">
        <v>3090</v>
      </c>
      <c r="B688" s="3" t="s">
        <v>3091</v>
      </c>
      <c r="C688" s="3" t="s">
        <v>3092</v>
      </c>
      <c r="D688" s="3" t="s">
        <v>3093</v>
      </c>
      <c r="E688" s="4" t="s">
        <v>105</v>
      </c>
      <c r="F688" s="5"/>
      <c r="G688" s="5"/>
      <c r="H688" s="5"/>
      <c r="I688" s="5"/>
      <c r="J688" s="5"/>
      <c r="K688" s="5"/>
      <c r="L688" s="5"/>
      <c r="M688" s="5"/>
      <c r="N688" s="5"/>
      <c r="O688" s="5"/>
      <c r="P688" s="5"/>
      <c r="Q688" s="5"/>
      <c r="R688" s="5"/>
      <c r="S688" s="5"/>
      <c r="T688" s="5"/>
      <c r="U688" s="5"/>
      <c r="V688" s="5"/>
      <c r="W688" s="5"/>
    </row>
    <row r="689">
      <c r="A689" s="3" t="s">
        <v>3094</v>
      </c>
      <c r="B689" s="3" t="s">
        <v>3095</v>
      </c>
      <c r="C689" s="3" t="s">
        <v>3092</v>
      </c>
      <c r="D689" s="3" t="s">
        <v>3096</v>
      </c>
      <c r="E689" s="4" t="s">
        <v>105</v>
      </c>
      <c r="F689" s="5"/>
      <c r="G689" s="5"/>
      <c r="H689" s="5"/>
      <c r="I689" s="5"/>
      <c r="J689" s="5"/>
      <c r="K689" s="5"/>
      <c r="L689" s="5"/>
      <c r="M689" s="5"/>
      <c r="N689" s="5"/>
      <c r="O689" s="5"/>
      <c r="P689" s="5"/>
      <c r="Q689" s="5"/>
      <c r="R689" s="5"/>
      <c r="S689" s="5"/>
      <c r="T689" s="5"/>
      <c r="U689" s="5"/>
      <c r="V689" s="5"/>
      <c r="W689" s="5"/>
    </row>
    <row r="690">
      <c r="A690" s="3" t="s">
        <v>3097</v>
      </c>
      <c r="B690" s="3" t="s">
        <v>3098</v>
      </c>
      <c r="C690" s="3" t="s">
        <v>3092</v>
      </c>
      <c r="D690" s="3" t="s">
        <v>3099</v>
      </c>
      <c r="E690" s="4" t="s">
        <v>105</v>
      </c>
      <c r="F690" s="5"/>
      <c r="G690" s="5"/>
      <c r="H690" s="5"/>
      <c r="I690" s="5"/>
      <c r="J690" s="5"/>
      <c r="K690" s="5"/>
      <c r="L690" s="5"/>
      <c r="M690" s="5"/>
      <c r="N690" s="5"/>
      <c r="O690" s="5"/>
      <c r="P690" s="5"/>
      <c r="Q690" s="5"/>
      <c r="R690" s="5"/>
      <c r="S690" s="5"/>
      <c r="T690" s="5"/>
      <c r="U690" s="5"/>
      <c r="V690" s="5"/>
      <c r="W690" s="5"/>
    </row>
    <row r="691">
      <c r="A691" s="3" t="s">
        <v>3100</v>
      </c>
      <c r="B691" s="3" t="s">
        <v>3101</v>
      </c>
      <c r="C691" s="3" t="s">
        <v>3092</v>
      </c>
      <c r="D691" s="3" t="s">
        <v>3102</v>
      </c>
      <c r="E691" s="4" t="s">
        <v>105</v>
      </c>
      <c r="F691" s="5"/>
      <c r="G691" s="5"/>
      <c r="H691" s="5"/>
      <c r="I691" s="5"/>
      <c r="J691" s="5"/>
      <c r="K691" s="5"/>
      <c r="L691" s="5"/>
      <c r="M691" s="5"/>
      <c r="N691" s="5"/>
      <c r="O691" s="5"/>
      <c r="P691" s="5"/>
      <c r="Q691" s="5"/>
      <c r="R691" s="5"/>
      <c r="S691" s="5"/>
      <c r="T691" s="5"/>
      <c r="U691" s="5"/>
      <c r="V691" s="5"/>
      <c r="W691" s="5"/>
    </row>
    <row r="692">
      <c r="A692" s="3" t="s">
        <v>3103</v>
      </c>
      <c r="B692" s="3" t="s">
        <v>3104</v>
      </c>
      <c r="C692" s="3" t="s">
        <v>3092</v>
      </c>
      <c r="D692" s="3" t="s">
        <v>3105</v>
      </c>
      <c r="E692" s="4" t="s">
        <v>105</v>
      </c>
      <c r="F692" s="5"/>
      <c r="G692" s="5"/>
      <c r="H692" s="5"/>
      <c r="I692" s="5"/>
      <c r="J692" s="5"/>
      <c r="K692" s="5"/>
      <c r="L692" s="5"/>
      <c r="M692" s="5"/>
      <c r="N692" s="5"/>
      <c r="O692" s="5"/>
      <c r="P692" s="5"/>
      <c r="Q692" s="5"/>
      <c r="R692" s="5"/>
      <c r="S692" s="5"/>
      <c r="T692" s="5"/>
      <c r="U692" s="5"/>
      <c r="V692" s="5"/>
      <c r="W692" s="5"/>
    </row>
    <row r="693">
      <c r="A693" s="3" t="s">
        <v>3106</v>
      </c>
      <c r="B693" s="3" t="s">
        <v>3107</v>
      </c>
      <c r="C693" s="3" t="s">
        <v>3092</v>
      </c>
      <c r="D693" s="3" t="s">
        <v>3108</v>
      </c>
      <c r="E693" s="4" t="s">
        <v>105</v>
      </c>
      <c r="F693" s="5"/>
      <c r="G693" s="5"/>
      <c r="H693" s="5"/>
      <c r="I693" s="5"/>
      <c r="J693" s="5"/>
      <c r="K693" s="5"/>
      <c r="L693" s="5"/>
      <c r="M693" s="5"/>
      <c r="N693" s="5"/>
      <c r="O693" s="5"/>
      <c r="P693" s="5"/>
      <c r="Q693" s="5"/>
      <c r="R693" s="5"/>
      <c r="S693" s="5"/>
      <c r="T693" s="5"/>
      <c r="U693" s="5"/>
      <c r="V693" s="5"/>
      <c r="W693" s="5"/>
    </row>
    <row r="694">
      <c r="A694" s="3" t="s">
        <v>3109</v>
      </c>
      <c r="B694" s="3" t="s">
        <v>3110</v>
      </c>
      <c r="C694" s="3" t="s">
        <v>3092</v>
      </c>
      <c r="D694" s="3" t="s">
        <v>3111</v>
      </c>
      <c r="E694" s="4" t="s">
        <v>105</v>
      </c>
      <c r="F694" s="5"/>
      <c r="G694" s="5"/>
      <c r="H694" s="5"/>
      <c r="I694" s="5"/>
      <c r="J694" s="5"/>
      <c r="K694" s="5"/>
      <c r="L694" s="5"/>
      <c r="M694" s="5"/>
      <c r="N694" s="5"/>
      <c r="O694" s="5"/>
      <c r="P694" s="5"/>
      <c r="Q694" s="5"/>
      <c r="R694" s="5"/>
      <c r="S694" s="5"/>
      <c r="T694" s="5"/>
      <c r="U694" s="5"/>
      <c r="V694" s="5"/>
      <c r="W694" s="5"/>
    </row>
    <row r="695">
      <c r="A695" s="3" t="s">
        <v>3112</v>
      </c>
      <c r="B695" s="3" t="s">
        <v>3113</v>
      </c>
      <c r="C695" s="3" t="s">
        <v>3092</v>
      </c>
      <c r="D695" s="3" t="s">
        <v>3114</v>
      </c>
      <c r="E695" s="4" t="s">
        <v>105</v>
      </c>
      <c r="F695" s="5"/>
      <c r="G695" s="5"/>
      <c r="H695" s="5"/>
      <c r="I695" s="5"/>
      <c r="J695" s="5"/>
      <c r="K695" s="5"/>
      <c r="L695" s="5"/>
      <c r="M695" s="5"/>
      <c r="N695" s="5"/>
      <c r="O695" s="5"/>
      <c r="P695" s="5"/>
      <c r="Q695" s="5"/>
      <c r="R695" s="5"/>
      <c r="S695" s="5"/>
      <c r="T695" s="5"/>
      <c r="U695" s="5"/>
      <c r="V695" s="5"/>
      <c r="W695" s="5"/>
    </row>
    <row r="696">
      <c r="A696" s="3" t="s">
        <v>3115</v>
      </c>
      <c r="B696" s="3" t="s">
        <v>3116</v>
      </c>
      <c r="C696" s="3" t="s">
        <v>3092</v>
      </c>
      <c r="D696" s="3" t="s">
        <v>3117</v>
      </c>
      <c r="E696" s="4" t="s">
        <v>105</v>
      </c>
      <c r="F696" s="5"/>
      <c r="G696" s="5"/>
      <c r="H696" s="5"/>
      <c r="I696" s="5"/>
      <c r="J696" s="5"/>
      <c r="K696" s="5"/>
      <c r="L696" s="5"/>
      <c r="M696" s="5"/>
      <c r="N696" s="5"/>
      <c r="O696" s="5"/>
      <c r="P696" s="5"/>
      <c r="Q696" s="5"/>
      <c r="R696" s="5"/>
      <c r="S696" s="5"/>
      <c r="T696" s="5"/>
      <c r="U696" s="5"/>
      <c r="V696" s="5"/>
      <c r="W696" s="5"/>
    </row>
    <row r="697">
      <c r="A697" s="3" t="s">
        <v>3118</v>
      </c>
      <c r="B697" s="3" t="s">
        <v>3119</v>
      </c>
      <c r="C697" s="3" t="s">
        <v>3092</v>
      </c>
      <c r="D697" s="3" t="s">
        <v>3120</v>
      </c>
      <c r="E697" s="4" t="s">
        <v>105</v>
      </c>
      <c r="F697" s="5"/>
      <c r="G697" s="5"/>
      <c r="H697" s="5"/>
      <c r="I697" s="5"/>
      <c r="J697" s="5"/>
      <c r="K697" s="5"/>
      <c r="L697" s="5"/>
      <c r="M697" s="5"/>
      <c r="N697" s="5"/>
      <c r="O697" s="5"/>
      <c r="P697" s="5"/>
      <c r="Q697" s="5"/>
      <c r="R697" s="5"/>
      <c r="S697" s="5"/>
      <c r="T697" s="5"/>
      <c r="U697" s="5"/>
      <c r="V697" s="5"/>
      <c r="W697" s="5"/>
    </row>
    <row r="698">
      <c r="A698" s="3" t="s">
        <v>3121</v>
      </c>
      <c r="B698" s="3" t="s">
        <v>3122</v>
      </c>
      <c r="C698" s="3" t="s">
        <v>3092</v>
      </c>
      <c r="D698" s="3" t="s">
        <v>3123</v>
      </c>
      <c r="E698" s="4" t="s">
        <v>107</v>
      </c>
      <c r="F698" s="5"/>
      <c r="G698" s="5"/>
      <c r="H698" s="5"/>
      <c r="I698" s="5"/>
      <c r="J698" s="5"/>
      <c r="K698" s="5"/>
      <c r="L698" s="5"/>
      <c r="M698" s="5"/>
      <c r="N698" s="5"/>
      <c r="O698" s="5"/>
      <c r="P698" s="5"/>
      <c r="Q698" s="5"/>
      <c r="R698" s="5"/>
      <c r="S698" s="5"/>
      <c r="T698" s="5"/>
      <c r="U698" s="5"/>
      <c r="V698" s="5"/>
      <c r="W698" s="5"/>
    </row>
    <row r="699">
      <c r="A699" s="3" t="s">
        <v>3124</v>
      </c>
      <c r="B699" s="3" t="s">
        <v>3125</v>
      </c>
      <c r="C699" s="3" t="s">
        <v>3092</v>
      </c>
      <c r="D699" s="3" t="s">
        <v>3126</v>
      </c>
      <c r="E699" s="4" t="s">
        <v>107</v>
      </c>
      <c r="F699" s="5"/>
      <c r="G699" s="5"/>
      <c r="H699" s="5"/>
      <c r="I699" s="5"/>
      <c r="J699" s="5"/>
      <c r="K699" s="5"/>
      <c r="L699" s="5"/>
      <c r="M699" s="5"/>
      <c r="N699" s="5"/>
      <c r="O699" s="5"/>
      <c r="P699" s="5"/>
      <c r="Q699" s="5"/>
      <c r="R699" s="5"/>
      <c r="S699" s="5"/>
      <c r="T699" s="5"/>
      <c r="U699" s="5"/>
      <c r="V699" s="5"/>
      <c r="W699" s="5"/>
    </row>
    <row r="700">
      <c r="A700" s="3" t="s">
        <v>3127</v>
      </c>
      <c r="B700" s="3" t="s">
        <v>3128</v>
      </c>
      <c r="C700" s="3" t="s">
        <v>3092</v>
      </c>
      <c r="D700" s="3" t="s">
        <v>3129</v>
      </c>
      <c r="E700" s="4" t="s">
        <v>107</v>
      </c>
      <c r="F700" s="5"/>
      <c r="G700" s="5"/>
      <c r="H700" s="5"/>
      <c r="I700" s="5"/>
      <c r="J700" s="5"/>
      <c r="K700" s="5"/>
      <c r="L700" s="5"/>
      <c r="M700" s="5"/>
      <c r="N700" s="5"/>
      <c r="O700" s="5"/>
      <c r="P700" s="5"/>
      <c r="Q700" s="5"/>
      <c r="R700" s="5"/>
      <c r="S700" s="5"/>
      <c r="T700" s="5"/>
      <c r="U700" s="5"/>
      <c r="V700" s="5"/>
      <c r="W700" s="5"/>
    </row>
    <row r="701">
      <c r="A701" s="3" t="s">
        <v>3130</v>
      </c>
      <c r="B701" s="3" t="s">
        <v>3131</v>
      </c>
      <c r="C701" s="3" t="s">
        <v>3092</v>
      </c>
      <c r="D701" s="3" t="s">
        <v>3132</v>
      </c>
      <c r="E701" s="4" t="s">
        <v>107</v>
      </c>
      <c r="F701" s="5"/>
      <c r="G701" s="5"/>
      <c r="H701" s="5"/>
      <c r="I701" s="5"/>
      <c r="J701" s="5"/>
      <c r="K701" s="5"/>
      <c r="L701" s="5"/>
      <c r="M701" s="5"/>
      <c r="N701" s="5"/>
      <c r="O701" s="5"/>
      <c r="P701" s="5"/>
      <c r="Q701" s="5"/>
      <c r="R701" s="5"/>
      <c r="S701" s="5"/>
      <c r="T701" s="5"/>
      <c r="U701" s="5"/>
      <c r="V701" s="5"/>
      <c r="W701" s="5"/>
    </row>
    <row r="702">
      <c r="A702" s="3" t="s">
        <v>3133</v>
      </c>
      <c r="B702" s="3" t="s">
        <v>3134</v>
      </c>
      <c r="C702" s="3" t="s">
        <v>3092</v>
      </c>
      <c r="D702" s="3" t="s">
        <v>3135</v>
      </c>
      <c r="E702" s="4" t="s">
        <v>107</v>
      </c>
      <c r="F702" s="5"/>
      <c r="G702" s="5"/>
      <c r="H702" s="5"/>
      <c r="I702" s="5"/>
      <c r="J702" s="5"/>
      <c r="K702" s="5"/>
      <c r="L702" s="5"/>
      <c r="M702" s="5"/>
      <c r="N702" s="5"/>
      <c r="O702" s="5"/>
      <c r="P702" s="5"/>
      <c r="Q702" s="5"/>
      <c r="R702" s="5"/>
      <c r="S702" s="5"/>
      <c r="T702" s="5"/>
      <c r="U702" s="5"/>
      <c r="V702" s="5"/>
      <c r="W702" s="5"/>
    </row>
    <row r="703">
      <c r="A703" s="3" t="s">
        <v>3136</v>
      </c>
      <c r="B703" s="3" t="s">
        <v>3137</v>
      </c>
      <c r="C703" s="3" t="s">
        <v>3092</v>
      </c>
      <c r="D703" s="3" t="s">
        <v>3138</v>
      </c>
      <c r="E703" s="4" t="s">
        <v>107</v>
      </c>
      <c r="F703" s="5"/>
      <c r="G703" s="5"/>
      <c r="H703" s="5"/>
      <c r="I703" s="5"/>
      <c r="J703" s="5"/>
      <c r="K703" s="5"/>
      <c r="L703" s="5"/>
      <c r="M703" s="5"/>
      <c r="N703" s="5"/>
      <c r="O703" s="5"/>
      <c r="P703" s="5"/>
      <c r="Q703" s="5"/>
      <c r="R703" s="5"/>
      <c r="S703" s="5"/>
      <c r="T703" s="5"/>
      <c r="U703" s="5"/>
      <c r="V703" s="5"/>
      <c r="W703" s="5"/>
    </row>
    <row r="704">
      <c r="A704" s="3" t="s">
        <v>3139</v>
      </c>
      <c r="B704" s="3" t="s">
        <v>3140</v>
      </c>
      <c r="C704" s="3" t="s">
        <v>3092</v>
      </c>
      <c r="D704" s="3" t="s">
        <v>3141</v>
      </c>
      <c r="E704" s="4" t="s">
        <v>107</v>
      </c>
      <c r="F704" s="5"/>
      <c r="G704" s="5"/>
      <c r="H704" s="5"/>
      <c r="I704" s="5"/>
      <c r="J704" s="5"/>
      <c r="K704" s="5"/>
      <c r="L704" s="5"/>
      <c r="M704" s="5"/>
      <c r="N704" s="5"/>
      <c r="O704" s="5"/>
      <c r="P704" s="5"/>
      <c r="Q704" s="5"/>
      <c r="R704" s="5"/>
      <c r="S704" s="5"/>
      <c r="T704" s="5"/>
      <c r="U704" s="5"/>
      <c r="V704" s="5"/>
      <c r="W704" s="5"/>
    </row>
    <row r="705">
      <c r="A705" s="3" t="s">
        <v>3142</v>
      </c>
      <c r="B705" s="3" t="s">
        <v>3143</v>
      </c>
      <c r="C705" s="3" t="s">
        <v>3092</v>
      </c>
      <c r="D705" s="3" t="s">
        <v>3144</v>
      </c>
      <c r="E705" s="4" t="s">
        <v>107</v>
      </c>
      <c r="F705" s="5"/>
      <c r="G705" s="5"/>
      <c r="H705" s="5"/>
      <c r="I705" s="5"/>
      <c r="J705" s="5"/>
      <c r="K705" s="5"/>
      <c r="L705" s="5"/>
      <c r="M705" s="5"/>
      <c r="N705" s="5"/>
      <c r="O705" s="5"/>
      <c r="P705" s="5"/>
      <c r="Q705" s="5"/>
      <c r="R705" s="5"/>
      <c r="S705" s="5"/>
      <c r="T705" s="5"/>
      <c r="U705" s="5"/>
      <c r="V705" s="5"/>
      <c r="W705" s="5"/>
    </row>
    <row r="706">
      <c r="A706" s="3" t="s">
        <v>3145</v>
      </c>
      <c r="B706" s="3" t="s">
        <v>3146</v>
      </c>
      <c r="C706" s="3" t="s">
        <v>3092</v>
      </c>
      <c r="D706" s="3" t="s">
        <v>3147</v>
      </c>
      <c r="E706" s="4" t="s">
        <v>107</v>
      </c>
      <c r="F706" s="5"/>
      <c r="G706" s="5"/>
      <c r="H706" s="5"/>
      <c r="I706" s="5"/>
      <c r="J706" s="5"/>
      <c r="K706" s="5"/>
      <c r="L706" s="5"/>
      <c r="M706" s="5"/>
      <c r="N706" s="5"/>
      <c r="O706" s="5"/>
      <c r="P706" s="5"/>
      <c r="Q706" s="5"/>
      <c r="R706" s="5"/>
      <c r="S706" s="5"/>
      <c r="T706" s="5"/>
      <c r="U706" s="5"/>
      <c r="V706" s="5"/>
      <c r="W706" s="5"/>
    </row>
    <row r="707">
      <c r="A707" s="3" t="s">
        <v>3148</v>
      </c>
      <c r="B707" s="3" t="s">
        <v>3149</v>
      </c>
      <c r="C707" s="3" t="s">
        <v>3092</v>
      </c>
      <c r="D707" s="3" t="s">
        <v>3150</v>
      </c>
      <c r="E707" s="4" t="s">
        <v>107</v>
      </c>
      <c r="F707" s="5"/>
      <c r="G707" s="5"/>
      <c r="H707" s="5"/>
      <c r="I707" s="5"/>
      <c r="J707" s="5"/>
      <c r="K707" s="5"/>
      <c r="L707" s="5"/>
      <c r="M707" s="5"/>
      <c r="N707" s="5"/>
      <c r="O707" s="5"/>
      <c r="P707" s="5"/>
      <c r="Q707" s="5"/>
      <c r="R707" s="5"/>
      <c r="S707" s="5"/>
      <c r="T707" s="5"/>
      <c r="U707" s="5"/>
      <c r="V707" s="5"/>
      <c r="W707" s="5"/>
    </row>
    <row r="708">
      <c r="A708" s="3" t="s">
        <v>3151</v>
      </c>
      <c r="B708" s="3" t="s">
        <v>3152</v>
      </c>
      <c r="C708" s="3" t="s">
        <v>3092</v>
      </c>
      <c r="D708" s="3" t="s">
        <v>3153</v>
      </c>
      <c r="E708" s="4" t="s">
        <v>107</v>
      </c>
      <c r="F708" s="5"/>
      <c r="G708" s="5"/>
      <c r="H708" s="5"/>
      <c r="I708" s="5"/>
      <c r="J708" s="5"/>
      <c r="K708" s="5"/>
      <c r="L708" s="5"/>
      <c r="M708" s="5"/>
      <c r="N708" s="5"/>
      <c r="O708" s="5"/>
      <c r="P708" s="5"/>
      <c r="Q708" s="5"/>
      <c r="R708" s="5"/>
      <c r="S708" s="5"/>
      <c r="T708" s="5"/>
      <c r="U708" s="5"/>
      <c r="V708" s="5"/>
      <c r="W708" s="5"/>
    </row>
    <row r="709">
      <c r="A709" s="3" t="s">
        <v>3154</v>
      </c>
      <c r="B709" s="3" t="s">
        <v>3155</v>
      </c>
      <c r="C709" s="3" t="s">
        <v>3092</v>
      </c>
      <c r="D709" s="3" t="s">
        <v>3156</v>
      </c>
      <c r="E709" s="4" t="s">
        <v>107</v>
      </c>
      <c r="F709" s="5"/>
      <c r="G709" s="5"/>
      <c r="H709" s="5"/>
      <c r="I709" s="5"/>
      <c r="J709" s="5"/>
      <c r="K709" s="5"/>
      <c r="L709" s="5"/>
      <c r="M709" s="5"/>
      <c r="N709" s="5"/>
      <c r="O709" s="5"/>
      <c r="P709" s="5"/>
      <c r="Q709" s="5"/>
      <c r="R709" s="5"/>
      <c r="S709" s="5"/>
      <c r="T709" s="5"/>
      <c r="U709" s="5"/>
      <c r="V709" s="5"/>
      <c r="W709" s="5"/>
    </row>
    <row r="710">
      <c r="A710" s="3" t="s">
        <v>3157</v>
      </c>
      <c r="B710" s="3" t="s">
        <v>3158</v>
      </c>
      <c r="C710" s="3" t="s">
        <v>3092</v>
      </c>
      <c r="D710" s="3" t="s">
        <v>3159</v>
      </c>
      <c r="E710" s="4" t="s">
        <v>107</v>
      </c>
      <c r="F710" s="5"/>
      <c r="G710" s="5"/>
      <c r="H710" s="5"/>
      <c r="I710" s="5"/>
      <c r="J710" s="5"/>
      <c r="K710" s="5"/>
      <c r="L710" s="5"/>
      <c r="M710" s="5"/>
      <c r="N710" s="5"/>
      <c r="O710" s="5"/>
      <c r="P710" s="5"/>
      <c r="Q710" s="5"/>
      <c r="R710" s="5"/>
      <c r="S710" s="5"/>
      <c r="T710" s="5"/>
      <c r="U710" s="5"/>
      <c r="V710" s="5"/>
      <c r="W710" s="5"/>
    </row>
    <row r="711">
      <c r="A711" s="3" t="s">
        <v>3160</v>
      </c>
      <c r="B711" s="3" t="s">
        <v>3161</v>
      </c>
      <c r="C711" s="3" t="s">
        <v>3092</v>
      </c>
      <c r="D711" s="3" t="s">
        <v>3162</v>
      </c>
      <c r="E711" s="4" t="s">
        <v>107</v>
      </c>
      <c r="F711" s="5"/>
      <c r="G711" s="5"/>
      <c r="H711" s="5"/>
      <c r="I711" s="5"/>
      <c r="J711" s="5"/>
      <c r="K711" s="5"/>
      <c r="L711" s="5"/>
      <c r="M711" s="5"/>
      <c r="N711" s="5"/>
      <c r="O711" s="5"/>
      <c r="P711" s="5"/>
      <c r="Q711" s="5"/>
      <c r="R711" s="5"/>
      <c r="S711" s="5"/>
      <c r="T711" s="5"/>
      <c r="U711" s="5"/>
      <c r="V711" s="5"/>
      <c r="W711" s="5"/>
    </row>
    <row r="712">
      <c r="A712" s="3" t="s">
        <v>3163</v>
      </c>
      <c r="B712" s="3" t="s">
        <v>3164</v>
      </c>
      <c r="C712" s="3" t="s">
        <v>3092</v>
      </c>
      <c r="D712" s="3" t="s">
        <v>3165</v>
      </c>
      <c r="E712" s="4" t="s">
        <v>107</v>
      </c>
      <c r="F712" s="5"/>
      <c r="G712" s="5"/>
      <c r="H712" s="5"/>
      <c r="I712" s="5"/>
      <c r="J712" s="5"/>
      <c r="K712" s="5"/>
      <c r="L712" s="5"/>
      <c r="M712" s="5"/>
      <c r="N712" s="5"/>
      <c r="O712" s="5"/>
      <c r="P712" s="5"/>
      <c r="Q712" s="5"/>
      <c r="R712" s="5"/>
      <c r="S712" s="5"/>
      <c r="T712" s="5"/>
      <c r="U712" s="5"/>
      <c r="V712" s="5"/>
      <c r="W712" s="5"/>
    </row>
    <row r="713">
      <c r="A713" s="3" t="s">
        <v>3166</v>
      </c>
      <c r="B713" s="3" t="s">
        <v>3167</v>
      </c>
      <c r="C713" s="3" t="s">
        <v>3092</v>
      </c>
      <c r="D713" s="3" t="s">
        <v>3168</v>
      </c>
      <c r="E713" s="4" t="s">
        <v>107</v>
      </c>
      <c r="F713" s="5"/>
      <c r="G713" s="5"/>
      <c r="H713" s="5"/>
      <c r="I713" s="5"/>
      <c r="J713" s="5"/>
      <c r="K713" s="5"/>
      <c r="L713" s="5"/>
      <c r="M713" s="5"/>
      <c r="N713" s="5"/>
      <c r="O713" s="5"/>
      <c r="P713" s="5"/>
      <c r="Q713" s="5"/>
      <c r="R713" s="5"/>
      <c r="S713" s="5"/>
      <c r="T713" s="5"/>
      <c r="U713" s="5"/>
      <c r="V713" s="5"/>
      <c r="W713" s="5"/>
    </row>
    <row r="714">
      <c r="A714" s="3" t="s">
        <v>3169</v>
      </c>
      <c r="B714" s="3" t="s">
        <v>3170</v>
      </c>
      <c r="C714" s="3" t="s">
        <v>3092</v>
      </c>
      <c r="D714" s="3" t="s">
        <v>3171</v>
      </c>
      <c r="E714" s="4" t="s">
        <v>107</v>
      </c>
      <c r="F714" s="5"/>
      <c r="G714" s="5"/>
      <c r="H714" s="5"/>
      <c r="I714" s="5"/>
      <c r="J714" s="5"/>
      <c r="K714" s="5"/>
      <c r="L714" s="5"/>
      <c r="M714" s="5"/>
      <c r="N714" s="5"/>
      <c r="O714" s="5"/>
      <c r="P714" s="5"/>
      <c r="Q714" s="5"/>
      <c r="R714" s="5"/>
      <c r="S714" s="5"/>
      <c r="T714" s="5"/>
      <c r="U714" s="5"/>
      <c r="V714" s="5"/>
      <c r="W714" s="5"/>
    </row>
    <row r="715">
      <c r="A715" s="3" t="s">
        <v>3172</v>
      </c>
      <c r="B715" s="3" t="s">
        <v>3173</v>
      </c>
      <c r="C715" s="3" t="s">
        <v>3092</v>
      </c>
      <c r="D715" s="3" t="s">
        <v>3174</v>
      </c>
      <c r="E715" s="4" t="s">
        <v>107</v>
      </c>
      <c r="F715" s="5"/>
      <c r="G715" s="5"/>
      <c r="H715" s="5"/>
      <c r="I715" s="5"/>
      <c r="J715" s="5"/>
      <c r="K715" s="5"/>
      <c r="L715" s="5"/>
      <c r="M715" s="5"/>
      <c r="N715" s="5"/>
      <c r="O715" s="5"/>
      <c r="P715" s="5"/>
      <c r="Q715" s="5"/>
      <c r="R715" s="5"/>
      <c r="S715" s="5"/>
      <c r="T715" s="5"/>
      <c r="U715" s="5"/>
      <c r="V715" s="5"/>
      <c r="W715" s="5"/>
    </row>
    <row r="716">
      <c r="A716" s="3" t="s">
        <v>3175</v>
      </c>
      <c r="B716" s="3" t="s">
        <v>3176</v>
      </c>
      <c r="C716" s="3" t="s">
        <v>3092</v>
      </c>
      <c r="D716" s="3" t="s">
        <v>3177</v>
      </c>
      <c r="E716" s="4" t="s">
        <v>107</v>
      </c>
      <c r="F716" s="5"/>
      <c r="G716" s="5"/>
      <c r="H716" s="5"/>
      <c r="I716" s="5"/>
      <c r="J716" s="5"/>
      <c r="K716" s="5"/>
      <c r="L716" s="5"/>
      <c r="M716" s="5"/>
      <c r="N716" s="5"/>
      <c r="O716" s="5"/>
      <c r="P716" s="5"/>
      <c r="Q716" s="5"/>
      <c r="R716" s="5"/>
      <c r="S716" s="5"/>
      <c r="T716" s="5"/>
      <c r="U716" s="5"/>
      <c r="V716" s="5"/>
      <c r="W716" s="5"/>
    </row>
    <row r="717">
      <c r="A717" s="3" t="s">
        <v>3178</v>
      </c>
      <c r="B717" s="3" t="s">
        <v>3179</v>
      </c>
      <c r="C717" s="3" t="s">
        <v>3092</v>
      </c>
      <c r="D717" s="3" t="s">
        <v>3180</v>
      </c>
      <c r="E717" s="4" t="s">
        <v>107</v>
      </c>
      <c r="F717" s="5"/>
      <c r="G717" s="5"/>
      <c r="H717" s="5"/>
      <c r="I717" s="5"/>
      <c r="J717" s="5"/>
      <c r="K717" s="5"/>
      <c r="L717" s="5"/>
      <c r="M717" s="5"/>
      <c r="N717" s="5"/>
      <c r="O717" s="5"/>
      <c r="P717" s="5"/>
      <c r="Q717" s="5"/>
      <c r="R717" s="5"/>
      <c r="S717" s="5"/>
      <c r="T717" s="5"/>
      <c r="U717" s="5"/>
      <c r="V717" s="5"/>
      <c r="W717" s="5"/>
    </row>
    <row r="718">
      <c r="A718" s="3" t="s">
        <v>3181</v>
      </c>
      <c r="B718" s="3" t="s">
        <v>3182</v>
      </c>
      <c r="C718" s="3" t="s">
        <v>3092</v>
      </c>
      <c r="D718" s="3" t="s">
        <v>3183</v>
      </c>
      <c r="E718" s="4" t="s">
        <v>107</v>
      </c>
      <c r="F718" s="5"/>
      <c r="G718" s="5"/>
      <c r="H718" s="5"/>
      <c r="I718" s="5"/>
      <c r="J718" s="5"/>
      <c r="K718" s="5"/>
      <c r="L718" s="5"/>
      <c r="M718" s="5"/>
      <c r="N718" s="5"/>
      <c r="O718" s="5"/>
      <c r="P718" s="5"/>
      <c r="Q718" s="5"/>
      <c r="R718" s="5"/>
      <c r="S718" s="5"/>
      <c r="T718" s="5"/>
      <c r="U718" s="5"/>
      <c r="V718" s="5"/>
      <c r="W718" s="5"/>
    </row>
    <row r="719">
      <c r="A719" s="3" t="s">
        <v>3184</v>
      </c>
      <c r="B719" s="3" t="s">
        <v>3185</v>
      </c>
      <c r="C719" s="3" t="s">
        <v>3092</v>
      </c>
      <c r="D719" s="3" t="s">
        <v>3186</v>
      </c>
      <c r="E719" s="4" t="s">
        <v>107</v>
      </c>
      <c r="F719" s="5"/>
      <c r="G719" s="5"/>
      <c r="H719" s="5"/>
      <c r="I719" s="5"/>
      <c r="J719" s="5"/>
      <c r="K719" s="5"/>
      <c r="L719" s="5"/>
      <c r="M719" s="5"/>
      <c r="N719" s="5"/>
      <c r="O719" s="5"/>
      <c r="P719" s="5"/>
      <c r="Q719" s="5"/>
      <c r="R719" s="5"/>
      <c r="S719" s="5"/>
      <c r="T719" s="5"/>
      <c r="U719" s="5"/>
      <c r="V719" s="5"/>
      <c r="W719" s="5"/>
    </row>
    <row r="720">
      <c r="A720" s="3" t="s">
        <v>3187</v>
      </c>
      <c r="B720" s="3" t="s">
        <v>3188</v>
      </c>
      <c r="C720" s="3" t="s">
        <v>3092</v>
      </c>
      <c r="D720" s="3" t="s">
        <v>3189</v>
      </c>
      <c r="E720" s="4" t="s">
        <v>107</v>
      </c>
      <c r="F720" s="5"/>
      <c r="G720" s="5"/>
      <c r="H720" s="5"/>
      <c r="I720" s="5"/>
      <c r="J720" s="5"/>
      <c r="K720" s="5"/>
      <c r="L720" s="5"/>
      <c r="M720" s="5"/>
      <c r="N720" s="5"/>
      <c r="O720" s="5"/>
      <c r="P720" s="5"/>
      <c r="Q720" s="5"/>
      <c r="R720" s="5"/>
      <c r="S720" s="5"/>
      <c r="T720" s="5"/>
      <c r="U720" s="5"/>
      <c r="V720" s="5"/>
      <c r="W720" s="5"/>
    </row>
    <row r="721">
      <c r="A721" s="3" t="s">
        <v>3190</v>
      </c>
      <c r="B721" s="3" t="s">
        <v>3191</v>
      </c>
      <c r="C721" s="3" t="s">
        <v>3092</v>
      </c>
      <c r="D721" s="3" t="s">
        <v>3192</v>
      </c>
      <c r="E721" s="4" t="s">
        <v>107</v>
      </c>
      <c r="F721" s="5"/>
      <c r="G721" s="5"/>
      <c r="H721" s="5"/>
      <c r="I721" s="5"/>
      <c r="J721" s="5"/>
      <c r="K721" s="5"/>
      <c r="L721" s="5"/>
      <c r="M721" s="5"/>
      <c r="N721" s="5"/>
      <c r="O721" s="5"/>
      <c r="P721" s="5"/>
      <c r="Q721" s="5"/>
      <c r="R721" s="5"/>
      <c r="S721" s="5"/>
      <c r="T721" s="5"/>
      <c r="U721" s="5"/>
      <c r="V721" s="5"/>
      <c r="W721" s="5"/>
    </row>
    <row r="722">
      <c r="A722" s="3" t="s">
        <v>3193</v>
      </c>
      <c r="B722" s="3" t="s">
        <v>3194</v>
      </c>
      <c r="C722" s="3" t="s">
        <v>3092</v>
      </c>
      <c r="D722" s="3" t="s">
        <v>3195</v>
      </c>
      <c r="E722" s="4" t="s">
        <v>107</v>
      </c>
      <c r="F722" s="5"/>
      <c r="G722" s="5"/>
      <c r="H722" s="5"/>
      <c r="I722" s="5"/>
      <c r="J722" s="5"/>
      <c r="K722" s="5"/>
      <c r="L722" s="5"/>
      <c r="M722" s="5"/>
      <c r="N722" s="5"/>
      <c r="O722" s="5"/>
      <c r="P722" s="5"/>
      <c r="Q722" s="5"/>
      <c r="R722" s="5"/>
      <c r="S722" s="5"/>
      <c r="T722" s="5"/>
      <c r="U722" s="5"/>
      <c r="V722" s="5"/>
      <c r="W722" s="5"/>
    </row>
    <row r="723">
      <c r="A723" s="3" t="s">
        <v>3196</v>
      </c>
      <c r="B723" s="3" t="s">
        <v>3197</v>
      </c>
      <c r="C723" s="3" t="s">
        <v>3092</v>
      </c>
      <c r="D723" s="3" t="s">
        <v>3198</v>
      </c>
      <c r="E723" s="4" t="s">
        <v>107</v>
      </c>
      <c r="F723" s="5"/>
      <c r="G723" s="5"/>
      <c r="H723" s="5"/>
      <c r="I723" s="5"/>
      <c r="J723" s="5"/>
      <c r="K723" s="5"/>
      <c r="L723" s="5"/>
      <c r="M723" s="5"/>
      <c r="N723" s="5"/>
      <c r="O723" s="5"/>
      <c r="P723" s="5"/>
      <c r="Q723" s="5"/>
      <c r="R723" s="5"/>
      <c r="S723" s="5"/>
      <c r="T723" s="5"/>
      <c r="U723" s="5"/>
      <c r="V723" s="5"/>
      <c r="W723" s="5"/>
    </row>
    <row r="724">
      <c r="A724" s="3" t="s">
        <v>3199</v>
      </c>
      <c r="B724" s="3" t="s">
        <v>3200</v>
      </c>
      <c r="C724" s="3" t="s">
        <v>3092</v>
      </c>
      <c r="D724" s="3" t="s">
        <v>3201</v>
      </c>
      <c r="E724" s="4" t="s">
        <v>107</v>
      </c>
      <c r="F724" s="5"/>
      <c r="G724" s="5"/>
      <c r="H724" s="5"/>
      <c r="I724" s="5"/>
      <c r="J724" s="5"/>
      <c r="K724" s="5"/>
      <c r="L724" s="5"/>
      <c r="M724" s="5"/>
      <c r="N724" s="5"/>
      <c r="O724" s="5"/>
      <c r="P724" s="5"/>
      <c r="Q724" s="5"/>
      <c r="R724" s="5"/>
      <c r="S724" s="5"/>
      <c r="T724" s="5"/>
      <c r="U724" s="5"/>
      <c r="V724" s="5"/>
      <c r="W724" s="5"/>
    </row>
    <row r="725">
      <c r="A725" s="3" t="s">
        <v>3202</v>
      </c>
      <c r="B725" s="3" t="s">
        <v>3203</v>
      </c>
      <c r="C725" s="3" t="s">
        <v>3092</v>
      </c>
      <c r="D725" s="3" t="s">
        <v>3204</v>
      </c>
      <c r="E725" s="4" t="s">
        <v>107</v>
      </c>
      <c r="F725" s="5"/>
      <c r="G725" s="5"/>
      <c r="H725" s="5"/>
      <c r="I725" s="5"/>
      <c r="J725" s="5"/>
      <c r="K725" s="5"/>
      <c r="L725" s="5"/>
      <c r="M725" s="5"/>
      <c r="N725" s="5"/>
      <c r="O725" s="5"/>
      <c r="P725" s="5"/>
      <c r="Q725" s="5"/>
      <c r="R725" s="5"/>
      <c r="S725" s="5"/>
      <c r="T725" s="5"/>
      <c r="U725" s="5"/>
      <c r="V725" s="5"/>
      <c r="W725" s="5"/>
    </row>
    <row r="726">
      <c r="A726" s="3" t="s">
        <v>3205</v>
      </c>
      <c r="B726" s="3" t="s">
        <v>3206</v>
      </c>
      <c r="C726" s="3" t="s">
        <v>3092</v>
      </c>
      <c r="D726" s="3" t="s">
        <v>3207</v>
      </c>
      <c r="E726" s="4" t="s">
        <v>107</v>
      </c>
      <c r="F726" s="5"/>
      <c r="G726" s="5"/>
      <c r="H726" s="5"/>
      <c r="I726" s="5"/>
      <c r="J726" s="5"/>
      <c r="K726" s="5"/>
      <c r="L726" s="5"/>
      <c r="M726" s="5"/>
      <c r="N726" s="5"/>
      <c r="O726" s="5"/>
      <c r="P726" s="5"/>
      <c r="Q726" s="5"/>
      <c r="R726" s="5"/>
      <c r="S726" s="5"/>
      <c r="T726" s="5"/>
      <c r="U726" s="5"/>
      <c r="V726" s="5"/>
      <c r="W726" s="5"/>
    </row>
    <row r="727">
      <c r="A727" s="3" t="s">
        <v>3208</v>
      </c>
      <c r="B727" s="3" t="s">
        <v>3209</v>
      </c>
      <c r="C727" s="3" t="s">
        <v>3092</v>
      </c>
      <c r="D727" s="3" t="s">
        <v>3210</v>
      </c>
      <c r="E727" s="4" t="s">
        <v>107</v>
      </c>
      <c r="F727" s="5"/>
      <c r="G727" s="5"/>
      <c r="H727" s="5"/>
      <c r="I727" s="5"/>
      <c r="J727" s="5"/>
      <c r="K727" s="5"/>
      <c r="L727" s="5"/>
      <c r="M727" s="5"/>
      <c r="N727" s="5"/>
      <c r="O727" s="5"/>
      <c r="P727" s="5"/>
      <c r="Q727" s="5"/>
      <c r="R727" s="5"/>
      <c r="S727" s="5"/>
      <c r="T727" s="5"/>
      <c r="U727" s="5"/>
      <c r="V727" s="5"/>
      <c r="W727" s="5"/>
    </row>
    <row r="728">
      <c r="A728" s="3" t="s">
        <v>3211</v>
      </c>
      <c r="B728" s="3" t="s">
        <v>3212</v>
      </c>
      <c r="C728" s="3" t="s">
        <v>3092</v>
      </c>
      <c r="D728" s="3" t="s">
        <v>3213</v>
      </c>
      <c r="E728" s="4" t="s">
        <v>107</v>
      </c>
      <c r="F728" s="5"/>
      <c r="G728" s="5"/>
      <c r="H728" s="5"/>
      <c r="I728" s="5"/>
      <c r="J728" s="5"/>
      <c r="K728" s="5"/>
      <c r="L728" s="5"/>
      <c r="M728" s="5"/>
      <c r="N728" s="5"/>
      <c r="O728" s="5"/>
      <c r="P728" s="5"/>
      <c r="Q728" s="5"/>
      <c r="R728" s="5"/>
      <c r="S728" s="5"/>
      <c r="T728" s="5"/>
      <c r="U728" s="5"/>
      <c r="V728" s="5"/>
      <c r="W728" s="5"/>
    </row>
    <row r="729">
      <c r="A729" s="3" t="s">
        <v>3214</v>
      </c>
      <c r="B729" s="3" t="s">
        <v>3215</v>
      </c>
      <c r="C729" s="3" t="s">
        <v>3092</v>
      </c>
      <c r="D729" s="3" t="s">
        <v>3216</v>
      </c>
      <c r="E729" s="4" t="s">
        <v>107</v>
      </c>
      <c r="F729" s="5"/>
      <c r="G729" s="5"/>
      <c r="H729" s="5"/>
      <c r="I729" s="5"/>
      <c r="J729" s="5"/>
      <c r="K729" s="5"/>
      <c r="L729" s="5"/>
      <c r="M729" s="5"/>
      <c r="N729" s="5"/>
      <c r="O729" s="5"/>
      <c r="P729" s="5"/>
      <c r="Q729" s="5"/>
      <c r="R729" s="5"/>
      <c r="S729" s="5"/>
      <c r="T729" s="5"/>
      <c r="U729" s="5"/>
      <c r="V729" s="5"/>
      <c r="W729" s="5"/>
    </row>
    <row r="730">
      <c r="A730" s="3" t="s">
        <v>3217</v>
      </c>
      <c r="B730" s="3" t="s">
        <v>3218</v>
      </c>
      <c r="C730" s="3" t="s">
        <v>3092</v>
      </c>
      <c r="D730" s="3" t="s">
        <v>3219</v>
      </c>
      <c r="E730" s="4" t="s">
        <v>107</v>
      </c>
      <c r="F730" s="5"/>
      <c r="G730" s="5"/>
      <c r="H730" s="5"/>
      <c r="I730" s="5"/>
      <c r="J730" s="5"/>
      <c r="K730" s="5"/>
      <c r="L730" s="5"/>
      <c r="M730" s="5"/>
      <c r="N730" s="5"/>
      <c r="O730" s="5"/>
      <c r="P730" s="5"/>
      <c r="Q730" s="5"/>
      <c r="R730" s="5"/>
      <c r="S730" s="5"/>
      <c r="T730" s="5"/>
      <c r="U730" s="5"/>
      <c r="V730" s="5"/>
      <c r="W730" s="5"/>
    </row>
    <row r="731">
      <c r="A731" s="3" t="s">
        <v>3220</v>
      </c>
      <c r="B731" s="3" t="s">
        <v>3221</v>
      </c>
      <c r="C731" s="3" t="s">
        <v>3092</v>
      </c>
      <c r="D731" s="3" t="s">
        <v>3222</v>
      </c>
      <c r="E731" s="4" t="s">
        <v>107</v>
      </c>
      <c r="F731" s="5"/>
      <c r="G731" s="5"/>
      <c r="H731" s="5"/>
      <c r="I731" s="5"/>
      <c r="J731" s="5"/>
      <c r="K731" s="5"/>
      <c r="L731" s="5"/>
      <c r="M731" s="5"/>
      <c r="N731" s="5"/>
      <c r="O731" s="5"/>
      <c r="P731" s="5"/>
      <c r="Q731" s="5"/>
      <c r="R731" s="5"/>
      <c r="S731" s="5"/>
      <c r="T731" s="5"/>
      <c r="U731" s="5"/>
      <c r="V731" s="5"/>
      <c r="W731" s="5"/>
    </row>
    <row r="732">
      <c r="A732" s="3" t="s">
        <v>3223</v>
      </c>
      <c r="B732" s="3" t="s">
        <v>3224</v>
      </c>
      <c r="C732" s="3" t="s">
        <v>3092</v>
      </c>
      <c r="D732" s="3" t="s">
        <v>3225</v>
      </c>
      <c r="E732" s="4" t="s">
        <v>107</v>
      </c>
      <c r="F732" s="5"/>
      <c r="G732" s="5"/>
      <c r="H732" s="5"/>
      <c r="I732" s="5"/>
      <c r="J732" s="5"/>
      <c r="K732" s="5"/>
      <c r="L732" s="5"/>
      <c r="M732" s="5"/>
      <c r="N732" s="5"/>
      <c r="O732" s="5"/>
      <c r="P732" s="5"/>
      <c r="Q732" s="5"/>
      <c r="R732" s="5"/>
      <c r="S732" s="5"/>
      <c r="T732" s="5"/>
      <c r="U732" s="5"/>
      <c r="V732" s="5"/>
      <c r="W732" s="5"/>
    </row>
    <row r="733">
      <c r="A733" s="3" t="s">
        <v>3226</v>
      </c>
      <c r="B733" s="3" t="s">
        <v>3227</v>
      </c>
      <c r="C733" s="3" t="s">
        <v>3092</v>
      </c>
      <c r="D733" s="3" t="s">
        <v>3228</v>
      </c>
      <c r="E733" s="4" t="s">
        <v>107</v>
      </c>
      <c r="F733" s="5"/>
      <c r="G733" s="5"/>
      <c r="H733" s="5"/>
      <c r="I733" s="5"/>
      <c r="J733" s="5"/>
      <c r="K733" s="5"/>
      <c r="L733" s="5"/>
      <c r="M733" s="5"/>
      <c r="N733" s="5"/>
      <c r="O733" s="5"/>
      <c r="P733" s="5"/>
      <c r="Q733" s="5"/>
      <c r="R733" s="5"/>
      <c r="S733" s="5"/>
      <c r="T733" s="5"/>
      <c r="U733" s="5"/>
      <c r="V733" s="5"/>
      <c r="W733" s="5"/>
    </row>
    <row r="734">
      <c r="A734" s="3" t="s">
        <v>3229</v>
      </c>
      <c r="B734" s="3" t="s">
        <v>3230</v>
      </c>
      <c r="C734" s="3" t="s">
        <v>3092</v>
      </c>
      <c r="D734" s="3" t="s">
        <v>3231</v>
      </c>
      <c r="E734" s="4" t="s">
        <v>107</v>
      </c>
      <c r="F734" s="5"/>
      <c r="G734" s="5"/>
      <c r="H734" s="5"/>
      <c r="I734" s="5"/>
      <c r="J734" s="5"/>
      <c r="K734" s="5"/>
      <c r="L734" s="5"/>
      <c r="M734" s="5"/>
      <c r="N734" s="5"/>
      <c r="O734" s="5"/>
      <c r="P734" s="5"/>
      <c r="Q734" s="5"/>
      <c r="R734" s="5"/>
      <c r="S734" s="5"/>
      <c r="T734" s="5"/>
      <c r="U734" s="5"/>
      <c r="V734" s="5"/>
      <c r="W734" s="5"/>
    </row>
    <row r="735">
      <c r="A735" s="3" t="s">
        <v>3232</v>
      </c>
      <c r="B735" s="3" t="s">
        <v>3233</v>
      </c>
      <c r="C735" s="3" t="s">
        <v>3092</v>
      </c>
      <c r="D735" s="3" t="s">
        <v>3234</v>
      </c>
      <c r="E735" s="4" t="s">
        <v>107</v>
      </c>
      <c r="F735" s="5"/>
      <c r="G735" s="5"/>
      <c r="H735" s="5"/>
      <c r="I735" s="5"/>
      <c r="J735" s="5"/>
      <c r="K735" s="5"/>
      <c r="L735" s="5"/>
      <c r="M735" s="5"/>
      <c r="N735" s="5"/>
      <c r="O735" s="5"/>
      <c r="P735" s="5"/>
      <c r="Q735" s="5"/>
      <c r="R735" s="5"/>
      <c r="S735" s="5"/>
      <c r="T735" s="5"/>
      <c r="U735" s="5"/>
      <c r="V735" s="5"/>
      <c r="W735" s="5"/>
    </row>
    <row r="736">
      <c r="A736" s="3" t="s">
        <v>3235</v>
      </c>
      <c r="B736" s="3" t="s">
        <v>3236</v>
      </c>
      <c r="C736" s="3" t="s">
        <v>3092</v>
      </c>
      <c r="D736" s="3" t="s">
        <v>3237</v>
      </c>
      <c r="E736" s="4" t="s">
        <v>107</v>
      </c>
      <c r="F736" s="5"/>
      <c r="G736" s="5"/>
      <c r="H736" s="5"/>
      <c r="I736" s="5"/>
      <c r="J736" s="5"/>
      <c r="K736" s="5"/>
      <c r="L736" s="5"/>
      <c r="M736" s="5"/>
      <c r="N736" s="5"/>
      <c r="O736" s="5"/>
      <c r="P736" s="5"/>
      <c r="Q736" s="5"/>
      <c r="R736" s="5"/>
      <c r="S736" s="5"/>
      <c r="T736" s="5"/>
      <c r="U736" s="5"/>
      <c r="V736" s="5"/>
      <c r="W736" s="5"/>
    </row>
    <row r="737">
      <c r="A737" s="3" t="s">
        <v>3238</v>
      </c>
      <c r="B737" s="3" t="s">
        <v>3239</v>
      </c>
      <c r="C737" s="3" t="s">
        <v>3092</v>
      </c>
      <c r="D737" s="3" t="s">
        <v>3240</v>
      </c>
      <c r="E737" s="4" t="s">
        <v>107</v>
      </c>
      <c r="F737" s="5"/>
      <c r="G737" s="5"/>
      <c r="H737" s="5"/>
      <c r="I737" s="5"/>
      <c r="J737" s="5"/>
      <c r="K737" s="5"/>
      <c r="L737" s="5"/>
      <c r="M737" s="5"/>
      <c r="N737" s="5"/>
      <c r="O737" s="5"/>
      <c r="P737" s="5"/>
      <c r="Q737" s="5"/>
      <c r="R737" s="5"/>
      <c r="S737" s="5"/>
      <c r="T737" s="5"/>
      <c r="U737" s="5"/>
      <c r="V737" s="5"/>
      <c r="W737" s="5"/>
    </row>
    <row r="738">
      <c r="A738" s="3" t="s">
        <v>3241</v>
      </c>
      <c r="B738" s="3" t="s">
        <v>3242</v>
      </c>
      <c r="C738" s="3" t="s">
        <v>3092</v>
      </c>
      <c r="D738" s="3" t="s">
        <v>3243</v>
      </c>
      <c r="E738" s="4" t="s">
        <v>107</v>
      </c>
      <c r="F738" s="5"/>
      <c r="G738" s="5"/>
      <c r="H738" s="5"/>
      <c r="I738" s="5"/>
      <c r="J738" s="5"/>
      <c r="K738" s="5"/>
      <c r="L738" s="5"/>
      <c r="M738" s="5"/>
      <c r="N738" s="5"/>
      <c r="O738" s="5"/>
      <c r="P738" s="5"/>
      <c r="Q738" s="5"/>
      <c r="R738" s="5"/>
      <c r="S738" s="5"/>
      <c r="T738" s="5"/>
      <c r="U738" s="5"/>
      <c r="V738" s="5"/>
      <c r="W738" s="5"/>
    </row>
    <row r="739">
      <c r="A739" s="3" t="s">
        <v>3244</v>
      </c>
      <c r="B739" s="3" t="s">
        <v>3245</v>
      </c>
      <c r="C739" s="3" t="s">
        <v>3092</v>
      </c>
      <c r="D739" s="3" t="s">
        <v>3246</v>
      </c>
      <c r="E739" s="4" t="s">
        <v>109</v>
      </c>
      <c r="F739" s="5"/>
      <c r="G739" s="5"/>
      <c r="H739" s="5"/>
      <c r="I739" s="5"/>
      <c r="J739" s="5"/>
      <c r="K739" s="5"/>
      <c r="L739" s="5"/>
      <c r="M739" s="5"/>
      <c r="N739" s="5"/>
      <c r="O739" s="5"/>
      <c r="P739" s="5"/>
      <c r="Q739" s="5"/>
      <c r="R739" s="5"/>
      <c r="S739" s="5"/>
      <c r="T739" s="5"/>
      <c r="U739" s="5"/>
      <c r="V739" s="5"/>
      <c r="W739" s="5"/>
    </row>
    <row r="740">
      <c r="A740" s="3" t="s">
        <v>3247</v>
      </c>
      <c r="B740" s="3" t="s">
        <v>3248</v>
      </c>
      <c r="C740" s="3" t="s">
        <v>3092</v>
      </c>
      <c r="D740" s="3" t="s">
        <v>3249</v>
      </c>
      <c r="E740" s="4" t="s">
        <v>109</v>
      </c>
      <c r="F740" s="5"/>
      <c r="G740" s="5"/>
      <c r="H740" s="5"/>
      <c r="I740" s="5"/>
      <c r="J740" s="5"/>
      <c r="K740" s="5"/>
      <c r="L740" s="5"/>
      <c r="M740" s="5"/>
      <c r="N740" s="5"/>
      <c r="O740" s="5"/>
      <c r="P740" s="5"/>
      <c r="Q740" s="5"/>
      <c r="R740" s="5"/>
      <c r="S740" s="5"/>
      <c r="T740" s="5"/>
      <c r="U740" s="5"/>
      <c r="V740" s="5"/>
      <c r="W740" s="5"/>
    </row>
    <row r="741">
      <c r="A741" s="3" t="s">
        <v>3250</v>
      </c>
      <c r="B741" s="3" t="s">
        <v>3251</v>
      </c>
      <c r="C741" s="3" t="s">
        <v>3092</v>
      </c>
      <c r="D741" s="3" t="s">
        <v>3252</v>
      </c>
      <c r="E741" s="4" t="s">
        <v>109</v>
      </c>
      <c r="F741" s="5"/>
      <c r="G741" s="5"/>
      <c r="H741" s="5"/>
      <c r="I741" s="5"/>
      <c r="J741" s="5"/>
      <c r="K741" s="5"/>
      <c r="L741" s="5"/>
      <c r="M741" s="5"/>
      <c r="N741" s="5"/>
      <c r="O741" s="5"/>
      <c r="P741" s="5"/>
      <c r="Q741" s="5"/>
      <c r="R741" s="5"/>
      <c r="S741" s="5"/>
      <c r="T741" s="5"/>
      <c r="U741" s="5"/>
      <c r="V741" s="5"/>
      <c r="W741" s="5"/>
    </row>
    <row r="742">
      <c r="A742" s="3" t="s">
        <v>3253</v>
      </c>
      <c r="B742" s="3" t="s">
        <v>3254</v>
      </c>
      <c r="C742" s="3" t="s">
        <v>3092</v>
      </c>
      <c r="D742" s="3" t="s">
        <v>3255</v>
      </c>
      <c r="E742" s="4" t="s">
        <v>109</v>
      </c>
      <c r="F742" s="5"/>
      <c r="G742" s="5"/>
      <c r="H742" s="5"/>
      <c r="I742" s="5"/>
      <c r="J742" s="5"/>
      <c r="K742" s="5"/>
      <c r="L742" s="5"/>
      <c r="M742" s="5"/>
      <c r="N742" s="5"/>
      <c r="O742" s="5"/>
      <c r="P742" s="5"/>
      <c r="Q742" s="5"/>
      <c r="R742" s="5"/>
      <c r="S742" s="5"/>
      <c r="T742" s="5"/>
      <c r="U742" s="5"/>
      <c r="V742" s="5"/>
      <c r="W742" s="5"/>
    </row>
    <row r="743">
      <c r="A743" s="3" t="s">
        <v>3256</v>
      </c>
      <c r="B743" s="3" t="s">
        <v>3257</v>
      </c>
      <c r="C743" s="3" t="s">
        <v>3092</v>
      </c>
      <c r="D743" s="3" t="s">
        <v>3258</v>
      </c>
      <c r="E743" s="4" t="s">
        <v>109</v>
      </c>
      <c r="F743" s="5"/>
      <c r="G743" s="5"/>
      <c r="H743" s="5"/>
      <c r="I743" s="5"/>
      <c r="J743" s="5"/>
      <c r="K743" s="5"/>
      <c r="L743" s="5"/>
      <c r="M743" s="5"/>
      <c r="N743" s="5"/>
      <c r="O743" s="5"/>
      <c r="P743" s="5"/>
      <c r="Q743" s="5"/>
      <c r="R743" s="5"/>
      <c r="S743" s="5"/>
      <c r="T743" s="5"/>
      <c r="U743" s="5"/>
      <c r="V743" s="5"/>
      <c r="W743" s="5"/>
    </row>
    <row r="744">
      <c r="A744" s="3" t="s">
        <v>3259</v>
      </c>
      <c r="B744" s="3" t="s">
        <v>3260</v>
      </c>
      <c r="C744" s="3" t="s">
        <v>3092</v>
      </c>
      <c r="D744" s="3" t="s">
        <v>3261</v>
      </c>
      <c r="E744" s="4" t="s">
        <v>109</v>
      </c>
      <c r="F744" s="5"/>
      <c r="G744" s="5"/>
      <c r="H744" s="5"/>
      <c r="I744" s="5"/>
      <c r="J744" s="5"/>
      <c r="K744" s="5"/>
      <c r="L744" s="5"/>
      <c r="M744" s="5"/>
      <c r="N744" s="5"/>
      <c r="O744" s="5"/>
      <c r="P744" s="5"/>
      <c r="Q744" s="5"/>
      <c r="R744" s="5"/>
      <c r="S744" s="5"/>
      <c r="T744" s="5"/>
      <c r="U744" s="5"/>
      <c r="V744" s="5"/>
      <c r="W744" s="5"/>
    </row>
    <row r="745">
      <c r="A745" s="3" t="s">
        <v>3262</v>
      </c>
      <c r="B745" s="3" t="s">
        <v>3263</v>
      </c>
      <c r="C745" s="3" t="s">
        <v>3092</v>
      </c>
      <c r="D745" s="3" t="s">
        <v>3264</v>
      </c>
      <c r="E745" s="4" t="s">
        <v>109</v>
      </c>
      <c r="F745" s="5"/>
      <c r="G745" s="5"/>
      <c r="H745" s="5"/>
      <c r="I745" s="5"/>
      <c r="J745" s="5"/>
      <c r="K745" s="5"/>
      <c r="L745" s="5"/>
      <c r="M745" s="5"/>
      <c r="N745" s="5"/>
      <c r="O745" s="5"/>
      <c r="P745" s="5"/>
      <c r="Q745" s="5"/>
      <c r="R745" s="5"/>
      <c r="S745" s="5"/>
      <c r="T745" s="5"/>
      <c r="U745" s="5"/>
      <c r="V745" s="5"/>
      <c r="W745" s="5"/>
    </row>
    <row r="746">
      <c r="A746" s="3" t="s">
        <v>3265</v>
      </c>
      <c r="B746" s="3" t="s">
        <v>3266</v>
      </c>
      <c r="C746" s="3" t="s">
        <v>3092</v>
      </c>
      <c r="D746" s="3" t="s">
        <v>3267</v>
      </c>
      <c r="E746" s="4" t="s">
        <v>111</v>
      </c>
      <c r="F746" s="5"/>
      <c r="G746" s="5"/>
      <c r="H746" s="5"/>
      <c r="I746" s="5"/>
      <c r="J746" s="5"/>
      <c r="K746" s="5"/>
      <c r="L746" s="5"/>
      <c r="M746" s="5"/>
      <c r="N746" s="5"/>
      <c r="O746" s="5"/>
      <c r="P746" s="5"/>
      <c r="Q746" s="5"/>
      <c r="R746" s="5"/>
      <c r="S746" s="5"/>
      <c r="T746" s="5"/>
      <c r="U746" s="5"/>
      <c r="V746" s="5"/>
      <c r="W746" s="5"/>
    </row>
    <row r="747">
      <c r="A747" s="3" t="s">
        <v>3268</v>
      </c>
      <c r="B747" s="3" t="s">
        <v>3269</v>
      </c>
      <c r="C747" s="3" t="s">
        <v>3092</v>
      </c>
      <c r="D747" s="3" t="s">
        <v>3270</v>
      </c>
      <c r="E747" s="4" t="s">
        <v>111</v>
      </c>
      <c r="F747" s="5"/>
      <c r="G747" s="5"/>
      <c r="H747" s="5"/>
      <c r="I747" s="5"/>
      <c r="J747" s="5"/>
      <c r="K747" s="5"/>
      <c r="L747" s="5"/>
      <c r="M747" s="5"/>
      <c r="N747" s="5"/>
      <c r="O747" s="5"/>
      <c r="P747" s="5"/>
      <c r="Q747" s="5"/>
      <c r="R747" s="5"/>
      <c r="S747" s="5"/>
      <c r="T747" s="5"/>
      <c r="U747" s="5"/>
      <c r="V747" s="5"/>
      <c r="W747" s="5"/>
    </row>
    <row r="748">
      <c r="A748" s="3" t="s">
        <v>3271</v>
      </c>
      <c r="B748" s="3" t="s">
        <v>3272</v>
      </c>
      <c r="C748" s="3" t="s">
        <v>3092</v>
      </c>
      <c r="D748" s="3" t="s">
        <v>3273</v>
      </c>
      <c r="E748" s="4" t="s">
        <v>111</v>
      </c>
      <c r="F748" s="5"/>
      <c r="G748" s="5"/>
      <c r="H748" s="5"/>
      <c r="I748" s="5"/>
      <c r="J748" s="5"/>
      <c r="K748" s="5"/>
      <c r="L748" s="5"/>
      <c r="M748" s="5"/>
      <c r="N748" s="5"/>
      <c r="O748" s="5"/>
      <c r="P748" s="5"/>
      <c r="Q748" s="5"/>
      <c r="R748" s="5"/>
      <c r="S748" s="5"/>
      <c r="T748" s="5"/>
      <c r="U748" s="5"/>
      <c r="V748" s="5"/>
      <c r="W748" s="5"/>
    </row>
    <row r="749">
      <c r="A749" s="3" t="s">
        <v>3274</v>
      </c>
      <c r="B749" s="3" t="s">
        <v>3275</v>
      </c>
      <c r="C749" s="3" t="s">
        <v>3092</v>
      </c>
      <c r="D749" s="3" t="s">
        <v>3276</v>
      </c>
      <c r="E749" s="4" t="s">
        <v>111</v>
      </c>
      <c r="F749" s="5"/>
      <c r="G749" s="5"/>
      <c r="H749" s="5"/>
      <c r="I749" s="5"/>
      <c r="J749" s="5"/>
      <c r="K749" s="5"/>
      <c r="L749" s="5"/>
      <c r="M749" s="5"/>
      <c r="N749" s="5"/>
      <c r="O749" s="5"/>
      <c r="P749" s="5"/>
      <c r="Q749" s="5"/>
      <c r="R749" s="5"/>
      <c r="S749" s="5"/>
      <c r="T749" s="5"/>
      <c r="U749" s="5"/>
      <c r="V749" s="5"/>
      <c r="W749" s="5"/>
    </row>
    <row r="750">
      <c r="A750" s="3" t="s">
        <v>3277</v>
      </c>
      <c r="B750" s="3" t="s">
        <v>3278</v>
      </c>
      <c r="C750" s="3" t="s">
        <v>3092</v>
      </c>
      <c r="D750" s="3" t="s">
        <v>3279</v>
      </c>
      <c r="E750" s="4" t="s">
        <v>111</v>
      </c>
      <c r="F750" s="5"/>
      <c r="G750" s="5"/>
      <c r="H750" s="5"/>
      <c r="I750" s="5"/>
      <c r="J750" s="5"/>
      <c r="K750" s="5"/>
      <c r="L750" s="5"/>
      <c r="M750" s="5"/>
      <c r="N750" s="5"/>
      <c r="O750" s="5"/>
      <c r="P750" s="5"/>
      <c r="Q750" s="5"/>
      <c r="R750" s="5"/>
      <c r="S750" s="5"/>
      <c r="T750" s="5"/>
      <c r="U750" s="5"/>
      <c r="V750" s="5"/>
      <c r="W750" s="5"/>
    </row>
    <row r="751">
      <c r="A751" s="3" t="s">
        <v>3280</v>
      </c>
      <c r="B751" s="3" t="s">
        <v>3281</v>
      </c>
      <c r="C751" s="3" t="s">
        <v>3092</v>
      </c>
      <c r="D751" s="3" t="s">
        <v>3282</v>
      </c>
      <c r="E751" s="4" t="s">
        <v>111</v>
      </c>
      <c r="F751" s="5"/>
      <c r="G751" s="5"/>
      <c r="H751" s="5"/>
      <c r="I751" s="5"/>
      <c r="J751" s="5"/>
      <c r="K751" s="5"/>
      <c r="L751" s="5"/>
      <c r="M751" s="5"/>
      <c r="N751" s="5"/>
      <c r="O751" s="5"/>
      <c r="P751" s="5"/>
      <c r="Q751" s="5"/>
      <c r="R751" s="5"/>
      <c r="S751" s="5"/>
      <c r="T751" s="5"/>
      <c r="U751" s="5"/>
      <c r="V751" s="5"/>
      <c r="W751" s="5"/>
    </row>
    <row r="752">
      <c r="A752" s="3" t="s">
        <v>3283</v>
      </c>
      <c r="B752" s="3" t="s">
        <v>3284</v>
      </c>
      <c r="C752" s="3" t="s">
        <v>3092</v>
      </c>
      <c r="D752" s="3" t="s">
        <v>3285</v>
      </c>
      <c r="E752" s="4" t="s">
        <v>111</v>
      </c>
      <c r="F752" s="5"/>
      <c r="G752" s="5"/>
      <c r="H752" s="5"/>
      <c r="I752" s="5"/>
      <c r="J752" s="5"/>
      <c r="K752" s="5"/>
      <c r="L752" s="5"/>
      <c r="M752" s="5"/>
      <c r="N752" s="5"/>
      <c r="O752" s="5"/>
      <c r="P752" s="5"/>
      <c r="Q752" s="5"/>
      <c r="R752" s="5"/>
      <c r="S752" s="5"/>
      <c r="T752" s="5"/>
      <c r="U752" s="5"/>
      <c r="V752" s="5"/>
      <c r="W752" s="5"/>
    </row>
    <row r="753">
      <c r="A753" s="3" t="s">
        <v>3286</v>
      </c>
      <c r="B753" s="3" t="s">
        <v>3287</v>
      </c>
      <c r="C753" s="3" t="s">
        <v>3092</v>
      </c>
      <c r="D753" s="3" t="s">
        <v>3288</v>
      </c>
      <c r="E753" s="4" t="s">
        <v>111</v>
      </c>
      <c r="F753" s="5"/>
      <c r="G753" s="5"/>
      <c r="H753" s="5"/>
      <c r="I753" s="5"/>
      <c r="J753" s="5"/>
      <c r="K753" s="5"/>
      <c r="L753" s="5"/>
      <c r="M753" s="5"/>
      <c r="N753" s="5"/>
      <c r="O753" s="5"/>
      <c r="P753" s="5"/>
      <c r="Q753" s="5"/>
      <c r="R753" s="5"/>
      <c r="S753" s="5"/>
      <c r="T753" s="5"/>
      <c r="U753" s="5"/>
      <c r="V753" s="5"/>
      <c r="W753" s="5"/>
    </row>
    <row r="754">
      <c r="A754" s="3" t="s">
        <v>3289</v>
      </c>
      <c r="B754" s="3" t="s">
        <v>3290</v>
      </c>
      <c r="C754" s="3" t="s">
        <v>3092</v>
      </c>
      <c r="D754" s="3" t="s">
        <v>3291</v>
      </c>
      <c r="E754" s="4" t="s">
        <v>111</v>
      </c>
      <c r="F754" s="5"/>
      <c r="G754" s="5"/>
      <c r="H754" s="5"/>
      <c r="I754" s="5"/>
      <c r="J754" s="5"/>
      <c r="K754" s="5"/>
      <c r="L754" s="5"/>
      <c r="M754" s="5"/>
      <c r="N754" s="5"/>
      <c r="O754" s="5"/>
      <c r="P754" s="5"/>
      <c r="Q754" s="5"/>
      <c r="R754" s="5"/>
      <c r="S754" s="5"/>
      <c r="T754" s="5"/>
      <c r="U754" s="5"/>
      <c r="V754" s="5"/>
      <c r="W754" s="5"/>
    </row>
    <row r="755">
      <c r="A755" s="3" t="s">
        <v>3292</v>
      </c>
      <c r="B755" s="3" t="s">
        <v>3293</v>
      </c>
      <c r="C755" s="3" t="s">
        <v>3092</v>
      </c>
      <c r="D755" s="3" t="s">
        <v>3294</v>
      </c>
      <c r="E755" s="4" t="s">
        <v>111</v>
      </c>
      <c r="F755" s="5"/>
      <c r="G755" s="5"/>
      <c r="H755" s="5"/>
      <c r="I755" s="5"/>
      <c r="J755" s="5"/>
      <c r="K755" s="5"/>
      <c r="L755" s="5"/>
      <c r="M755" s="5"/>
      <c r="N755" s="5"/>
      <c r="O755" s="5"/>
      <c r="P755" s="5"/>
      <c r="Q755" s="5"/>
      <c r="R755" s="5"/>
      <c r="S755" s="5"/>
      <c r="T755" s="5"/>
      <c r="U755" s="5"/>
      <c r="V755" s="5"/>
      <c r="W755" s="5"/>
    </row>
    <row r="756">
      <c r="A756" s="3" t="s">
        <v>3295</v>
      </c>
      <c r="B756" s="3" t="s">
        <v>3296</v>
      </c>
      <c r="C756" s="3" t="s">
        <v>3092</v>
      </c>
      <c r="D756" s="3" t="s">
        <v>3297</v>
      </c>
      <c r="E756" s="4" t="s">
        <v>111</v>
      </c>
      <c r="F756" s="5"/>
      <c r="G756" s="5"/>
      <c r="H756" s="5"/>
      <c r="I756" s="5"/>
      <c r="J756" s="5"/>
      <c r="K756" s="5"/>
      <c r="L756" s="5"/>
      <c r="M756" s="5"/>
      <c r="N756" s="5"/>
      <c r="O756" s="5"/>
      <c r="P756" s="5"/>
      <c r="Q756" s="5"/>
      <c r="R756" s="5"/>
      <c r="S756" s="5"/>
      <c r="T756" s="5"/>
      <c r="U756" s="5"/>
      <c r="V756" s="5"/>
      <c r="W756" s="5"/>
    </row>
    <row r="757">
      <c r="A757" s="3" t="s">
        <v>3298</v>
      </c>
      <c r="B757" s="3" t="s">
        <v>3299</v>
      </c>
      <c r="C757" s="3" t="s">
        <v>3092</v>
      </c>
      <c r="D757" s="3" t="s">
        <v>3300</v>
      </c>
      <c r="E757" s="4" t="s">
        <v>111</v>
      </c>
      <c r="F757" s="5"/>
      <c r="G757" s="5"/>
      <c r="H757" s="5"/>
      <c r="I757" s="5"/>
      <c r="J757" s="5"/>
      <c r="K757" s="5"/>
      <c r="L757" s="5"/>
      <c r="M757" s="5"/>
      <c r="N757" s="5"/>
      <c r="O757" s="5"/>
      <c r="P757" s="5"/>
      <c r="Q757" s="5"/>
      <c r="R757" s="5"/>
      <c r="S757" s="5"/>
      <c r="T757" s="5"/>
      <c r="U757" s="5"/>
      <c r="V757" s="5"/>
      <c r="W757" s="5"/>
    </row>
    <row r="758">
      <c r="A758" s="3" t="s">
        <v>3301</v>
      </c>
      <c r="B758" s="3" t="s">
        <v>3302</v>
      </c>
      <c r="C758" s="3" t="s">
        <v>3092</v>
      </c>
      <c r="D758" s="3" t="s">
        <v>3303</v>
      </c>
      <c r="E758" s="4" t="s">
        <v>111</v>
      </c>
      <c r="F758" s="5"/>
      <c r="G758" s="5"/>
      <c r="H758" s="5"/>
      <c r="I758" s="5"/>
      <c r="J758" s="5"/>
      <c r="K758" s="5"/>
      <c r="L758" s="5"/>
      <c r="M758" s="5"/>
      <c r="N758" s="5"/>
      <c r="O758" s="5"/>
      <c r="P758" s="5"/>
      <c r="Q758" s="5"/>
      <c r="R758" s="5"/>
      <c r="S758" s="5"/>
      <c r="T758" s="5"/>
      <c r="U758" s="5"/>
      <c r="V758" s="5"/>
      <c r="W758" s="5"/>
    </row>
    <row r="759">
      <c r="A759" s="3" t="s">
        <v>3304</v>
      </c>
      <c r="B759" s="3" t="s">
        <v>3305</v>
      </c>
      <c r="C759" s="3" t="s">
        <v>3092</v>
      </c>
      <c r="D759" s="3" t="s">
        <v>3306</v>
      </c>
      <c r="E759" s="4" t="s">
        <v>111</v>
      </c>
      <c r="F759" s="5"/>
      <c r="G759" s="5"/>
      <c r="H759" s="5"/>
      <c r="I759" s="5"/>
      <c r="J759" s="5"/>
      <c r="K759" s="5"/>
      <c r="L759" s="5"/>
      <c r="M759" s="5"/>
      <c r="N759" s="5"/>
      <c r="O759" s="5"/>
      <c r="P759" s="5"/>
      <c r="Q759" s="5"/>
      <c r="R759" s="5"/>
      <c r="S759" s="5"/>
      <c r="T759" s="5"/>
      <c r="U759" s="5"/>
      <c r="V759" s="5"/>
      <c r="W759" s="5"/>
    </row>
    <row r="760">
      <c r="A760" s="3" t="s">
        <v>3307</v>
      </c>
      <c r="B760" s="3" t="s">
        <v>3308</v>
      </c>
      <c r="C760" s="3" t="s">
        <v>3092</v>
      </c>
      <c r="D760" s="3" t="s">
        <v>3309</v>
      </c>
      <c r="E760" s="4" t="s">
        <v>111</v>
      </c>
      <c r="F760" s="5"/>
      <c r="G760" s="5"/>
      <c r="H760" s="5"/>
      <c r="I760" s="5"/>
      <c r="J760" s="5"/>
      <c r="K760" s="5"/>
      <c r="L760" s="5"/>
      <c r="M760" s="5"/>
      <c r="N760" s="5"/>
      <c r="O760" s="5"/>
      <c r="P760" s="5"/>
      <c r="Q760" s="5"/>
      <c r="R760" s="5"/>
      <c r="S760" s="5"/>
      <c r="T760" s="5"/>
      <c r="U760" s="5"/>
      <c r="V760" s="5"/>
      <c r="W760" s="5"/>
    </row>
    <row r="761">
      <c r="A761" s="3" t="s">
        <v>3310</v>
      </c>
      <c r="B761" s="3" t="s">
        <v>3311</v>
      </c>
      <c r="C761" s="3" t="s">
        <v>3312</v>
      </c>
      <c r="D761" s="3" t="s">
        <v>3313</v>
      </c>
      <c r="E761" s="4" t="s">
        <v>36</v>
      </c>
      <c r="F761" s="5"/>
      <c r="G761" s="5"/>
      <c r="H761" s="5"/>
      <c r="I761" s="5"/>
      <c r="J761" s="5"/>
      <c r="K761" s="5"/>
      <c r="L761" s="5"/>
      <c r="M761" s="5"/>
      <c r="N761" s="5"/>
      <c r="O761" s="5"/>
      <c r="P761" s="5"/>
      <c r="Q761" s="5"/>
      <c r="R761" s="5"/>
      <c r="S761" s="5"/>
      <c r="T761" s="5"/>
      <c r="U761" s="5"/>
      <c r="V761" s="5"/>
      <c r="W761" s="5"/>
    </row>
    <row r="762">
      <c r="A762" s="3" t="s">
        <v>3314</v>
      </c>
      <c r="B762" s="15" t="s">
        <v>3315</v>
      </c>
      <c r="C762" s="3" t="s">
        <v>78</v>
      </c>
      <c r="D762" s="3" t="s">
        <v>3316</v>
      </c>
      <c r="E762" s="4" t="s">
        <v>3317</v>
      </c>
      <c r="F762" s="5"/>
      <c r="G762" s="5"/>
      <c r="H762" s="5"/>
      <c r="I762" s="5"/>
      <c r="J762" s="5"/>
      <c r="K762" s="5"/>
      <c r="L762" s="5"/>
      <c r="M762" s="5"/>
      <c r="N762" s="5"/>
      <c r="O762" s="5"/>
      <c r="P762" s="5"/>
      <c r="Q762" s="5"/>
      <c r="R762" s="5"/>
      <c r="S762" s="5"/>
      <c r="T762" s="5"/>
      <c r="U762" s="5"/>
      <c r="V762" s="5"/>
      <c r="W762" s="5"/>
    </row>
    <row r="763">
      <c r="A763" s="3" t="s">
        <v>3318</v>
      </c>
      <c r="B763" s="3" t="s">
        <v>3319</v>
      </c>
      <c r="C763" s="3" t="s">
        <v>78</v>
      </c>
      <c r="D763" s="3" t="s">
        <v>3320</v>
      </c>
      <c r="E763" s="4" t="s">
        <v>3317</v>
      </c>
      <c r="F763" s="5"/>
      <c r="G763" s="5"/>
      <c r="H763" s="5"/>
      <c r="I763" s="5"/>
      <c r="J763" s="5"/>
      <c r="K763" s="5"/>
      <c r="L763" s="5"/>
      <c r="M763" s="5"/>
      <c r="N763" s="5"/>
      <c r="O763" s="5"/>
      <c r="P763" s="5"/>
      <c r="Q763" s="5"/>
      <c r="R763" s="5"/>
      <c r="S763" s="5"/>
      <c r="T763" s="5"/>
      <c r="U763" s="5"/>
      <c r="V763" s="5"/>
      <c r="W763" s="5"/>
    </row>
    <row r="764">
      <c r="A764" s="3" t="s">
        <v>3321</v>
      </c>
      <c r="B764" s="3" t="s">
        <v>3322</v>
      </c>
      <c r="C764" s="3" t="s">
        <v>78</v>
      </c>
      <c r="D764" s="3" t="s">
        <v>3323</v>
      </c>
      <c r="E764" s="4" t="s">
        <v>3317</v>
      </c>
      <c r="F764" s="5"/>
      <c r="G764" s="5"/>
      <c r="H764" s="5"/>
      <c r="I764" s="5"/>
      <c r="J764" s="5"/>
      <c r="K764" s="5"/>
      <c r="L764" s="5"/>
      <c r="M764" s="5"/>
      <c r="N764" s="5"/>
      <c r="O764" s="5"/>
      <c r="P764" s="5"/>
      <c r="Q764" s="5"/>
      <c r="R764" s="5"/>
      <c r="S764" s="5"/>
      <c r="T764" s="5"/>
      <c r="U764" s="5"/>
      <c r="V764" s="5"/>
      <c r="W764" s="5"/>
    </row>
    <row r="765">
      <c r="A765" s="3" t="s">
        <v>3324</v>
      </c>
      <c r="B765" s="3" t="s">
        <v>3325</v>
      </c>
      <c r="C765" s="3" t="s">
        <v>78</v>
      </c>
      <c r="D765" s="3" t="s">
        <v>3326</v>
      </c>
      <c r="E765" s="4" t="s">
        <v>3327</v>
      </c>
      <c r="F765" s="5"/>
      <c r="G765" s="5"/>
      <c r="H765" s="5"/>
      <c r="I765" s="5"/>
      <c r="J765" s="5"/>
      <c r="K765" s="5"/>
      <c r="L765" s="5"/>
      <c r="M765" s="5"/>
      <c r="N765" s="5"/>
      <c r="O765" s="5"/>
      <c r="P765" s="5"/>
      <c r="Q765" s="5"/>
      <c r="R765" s="5"/>
      <c r="S765" s="5"/>
      <c r="T765" s="5"/>
      <c r="U765" s="5"/>
      <c r="V765" s="5"/>
      <c r="W765" s="5"/>
    </row>
    <row r="766">
      <c r="A766" s="3" t="s">
        <v>3328</v>
      </c>
      <c r="B766" s="3" t="s">
        <v>3329</v>
      </c>
      <c r="C766" s="3" t="s">
        <v>3330</v>
      </c>
      <c r="D766" s="3" t="s">
        <v>3331</v>
      </c>
      <c r="E766" s="4" t="s">
        <v>3332</v>
      </c>
      <c r="F766" s="5"/>
      <c r="G766" s="5"/>
      <c r="H766" s="5"/>
      <c r="I766" s="5"/>
      <c r="J766" s="5"/>
      <c r="K766" s="5"/>
      <c r="L766" s="5"/>
      <c r="M766" s="5"/>
      <c r="N766" s="5"/>
      <c r="O766" s="5"/>
      <c r="P766" s="5"/>
      <c r="Q766" s="5"/>
      <c r="R766" s="5"/>
      <c r="S766" s="5"/>
      <c r="T766" s="5"/>
      <c r="U766" s="5"/>
      <c r="V766" s="5"/>
      <c r="W766" s="5"/>
    </row>
    <row r="767">
      <c r="A767" s="3" t="s">
        <v>3333</v>
      </c>
      <c r="B767" s="3" t="s">
        <v>3334</v>
      </c>
      <c r="C767" s="3" t="s">
        <v>3335</v>
      </c>
      <c r="D767" s="3" t="s">
        <v>3336</v>
      </c>
      <c r="E767" s="4" t="s">
        <v>3337</v>
      </c>
      <c r="F767" s="5"/>
      <c r="G767" s="5"/>
      <c r="H767" s="5"/>
      <c r="I767" s="5"/>
      <c r="J767" s="5"/>
      <c r="K767" s="5"/>
      <c r="L767" s="5"/>
      <c r="M767" s="5"/>
      <c r="N767" s="5"/>
      <c r="O767" s="5"/>
      <c r="P767" s="5"/>
      <c r="Q767" s="5"/>
      <c r="R767" s="5"/>
      <c r="S767" s="5"/>
      <c r="T767" s="5"/>
      <c r="U767" s="5"/>
      <c r="V767" s="5"/>
      <c r="W767" s="5"/>
    </row>
    <row r="768">
      <c r="A768" s="3" t="s">
        <v>3338</v>
      </c>
      <c r="B768" s="3" t="s">
        <v>3339</v>
      </c>
      <c r="C768" s="3" t="s">
        <v>3340</v>
      </c>
      <c r="D768" s="3" t="s">
        <v>3341</v>
      </c>
      <c r="E768" s="4" t="s">
        <v>3337</v>
      </c>
      <c r="F768" s="5"/>
      <c r="G768" s="5"/>
      <c r="H768" s="5"/>
      <c r="I768" s="5"/>
      <c r="J768" s="5"/>
      <c r="K768" s="5"/>
      <c r="L768" s="5"/>
      <c r="M768" s="5"/>
      <c r="N768" s="5"/>
      <c r="O768" s="5"/>
      <c r="P768" s="5"/>
      <c r="Q768" s="5"/>
      <c r="R768" s="5"/>
      <c r="S768" s="5"/>
      <c r="T768" s="5"/>
      <c r="U768" s="5"/>
      <c r="V768" s="5"/>
      <c r="W768" s="5"/>
    </row>
    <row r="769">
      <c r="A769" s="3" t="s">
        <v>3342</v>
      </c>
      <c r="B769" s="3" t="s">
        <v>3334</v>
      </c>
      <c r="C769" s="3" t="s">
        <v>3335</v>
      </c>
      <c r="D769" s="3" t="s">
        <v>3343</v>
      </c>
      <c r="E769" s="4" t="s">
        <v>3337</v>
      </c>
      <c r="F769" s="5"/>
      <c r="G769" s="5"/>
      <c r="H769" s="5"/>
      <c r="I769" s="5"/>
      <c r="J769" s="5"/>
      <c r="K769" s="5"/>
      <c r="L769" s="5"/>
      <c r="M769" s="5"/>
      <c r="N769" s="5"/>
      <c r="O769" s="5"/>
      <c r="P769" s="5"/>
      <c r="Q769" s="5"/>
      <c r="R769" s="5"/>
      <c r="S769" s="5"/>
      <c r="T769" s="5"/>
      <c r="U769" s="5"/>
      <c r="V769" s="5"/>
      <c r="W769" s="5"/>
    </row>
    <row r="770">
      <c r="A770" s="3" t="s">
        <v>3344</v>
      </c>
      <c r="B770" s="3" t="s">
        <v>3334</v>
      </c>
      <c r="C770" s="3" t="s">
        <v>3335</v>
      </c>
      <c r="D770" s="3" t="s">
        <v>3345</v>
      </c>
      <c r="E770" s="4" t="s">
        <v>3337</v>
      </c>
      <c r="F770" s="5"/>
      <c r="G770" s="5"/>
      <c r="H770" s="5"/>
      <c r="I770" s="5"/>
      <c r="J770" s="5"/>
      <c r="K770" s="5"/>
      <c r="L770" s="5"/>
      <c r="M770" s="5"/>
      <c r="N770" s="5"/>
      <c r="O770" s="5"/>
      <c r="P770" s="5"/>
      <c r="Q770" s="5"/>
      <c r="R770" s="5"/>
      <c r="S770" s="5"/>
      <c r="T770" s="5"/>
      <c r="U770" s="5"/>
      <c r="V770" s="5"/>
      <c r="W770" s="5"/>
    </row>
    <row r="771">
      <c r="A771" s="3" t="s">
        <v>3346</v>
      </c>
      <c r="B771" s="3" t="s">
        <v>3334</v>
      </c>
      <c r="C771" s="3" t="s">
        <v>3335</v>
      </c>
      <c r="D771" s="3" t="s">
        <v>3347</v>
      </c>
      <c r="E771" s="4" t="s">
        <v>3337</v>
      </c>
      <c r="F771" s="5"/>
      <c r="G771" s="5"/>
      <c r="H771" s="5"/>
      <c r="I771" s="5"/>
      <c r="J771" s="5"/>
      <c r="K771" s="5"/>
      <c r="L771" s="5"/>
      <c r="M771" s="5"/>
      <c r="N771" s="5"/>
      <c r="O771" s="5"/>
      <c r="P771" s="5"/>
      <c r="Q771" s="5"/>
      <c r="R771" s="5"/>
      <c r="S771" s="5"/>
      <c r="T771" s="5"/>
      <c r="U771" s="5"/>
      <c r="V771" s="5"/>
      <c r="W771" s="5"/>
    </row>
    <row r="772">
      <c r="A772" s="3" t="s">
        <v>3348</v>
      </c>
      <c r="B772" s="3" t="s">
        <v>3334</v>
      </c>
      <c r="C772" s="3" t="s">
        <v>3335</v>
      </c>
      <c r="D772" s="3" t="s">
        <v>3349</v>
      </c>
      <c r="E772" s="4" t="s">
        <v>3337</v>
      </c>
      <c r="F772" s="5"/>
      <c r="G772" s="5"/>
      <c r="H772" s="5"/>
      <c r="I772" s="5"/>
      <c r="J772" s="5"/>
      <c r="K772" s="5"/>
      <c r="L772" s="5"/>
      <c r="M772" s="5"/>
      <c r="N772" s="5"/>
      <c r="O772" s="5"/>
      <c r="P772" s="5"/>
      <c r="Q772" s="5"/>
      <c r="R772" s="5"/>
      <c r="S772" s="5"/>
      <c r="T772" s="5"/>
      <c r="U772" s="5"/>
      <c r="V772" s="5"/>
      <c r="W772" s="5"/>
    </row>
    <row r="773">
      <c r="A773" s="3" t="s">
        <v>3350</v>
      </c>
      <c r="B773" s="3" t="s">
        <v>3351</v>
      </c>
      <c r="C773" s="3" t="s">
        <v>3335</v>
      </c>
      <c r="D773" s="3" t="s">
        <v>3352</v>
      </c>
      <c r="E773" s="4" t="s">
        <v>3317</v>
      </c>
      <c r="F773" s="5"/>
      <c r="G773" s="5"/>
      <c r="H773" s="5"/>
      <c r="I773" s="5"/>
      <c r="J773" s="5"/>
      <c r="K773" s="5"/>
      <c r="L773" s="5"/>
      <c r="M773" s="5"/>
      <c r="N773" s="5"/>
      <c r="O773" s="5"/>
      <c r="P773" s="5"/>
      <c r="Q773" s="5"/>
      <c r="R773" s="5"/>
      <c r="S773" s="5"/>
      <c r="T773" s="5"/>
      <c r="U773" s="5"/>
      <c r="V773" s="5"/>
      <c r="W773" s="5"/>
    </row>
    <row r="774">
      <c r="A774" s="3" t="s">
        <v>3353</v>
      </c>
      <c r="B774" s="3" t="s">
        <v>3354</v>
      </c>
      <c r="C774" s="3" t="s">
        <v>3355</v>
      </c>
      <c r="D774" s="3" t="s">
        <v>3356</v>
      </c>
      <c r="E774" s="4" t="s">
        <v>3337</v>
      </c>
      <c r="F774" s="5"/>
      <c r="G774" s="5"/>
      <c r="H774" s="5"/>
      <c r="I774" s="5"/>
      <c r="J774" s="5"/>
      <c r="K774" s="5"/>
      <c r="L774" s="5"/>
      <c r="M774" s="5"/>
      <c r="N774" s="5"/>
      <c r="O774" s="5"/>
      <c r="P774" s="5"/>
      <c r="Q774" s="5"/>
      <c r="R774" s="5"/>
      <c r="S774" s="5"/>
      <c r="T774" s="5"/>
      <c r="U774" s="5"/>
      <c r="V774" s="5"/>
      <c r="W774" s="5"/>
    </row>
    <row r="775">
      <c r="A775" s="3" t="s">
        <v>3357</v>
      </c>
      <c r="B775" s="3" t="s">
        <v>3358</v>
      </c>
      <c r="C775" s="3" t="s">
        <v>3335</v>
      </c>
      <c r="D775" s="3" t="s">
        <v>3359</v>
      </c>
      <c r="E775" s="4" t="s">
        <v>3317</v>
      </c>
      <c r="F775" s="5"/>
      <c r="G775" s="5"/>
      <c r="H775" s="5"/>
      <c r="I775" s="5"/>
      <c r="J775" s="5"/>
      <c r="K775" s="5"/>
      <c r="L775" s="5"/>
      <c r="M775" s="5"/>
      <c r="N775" s="5"/>
      <c r="O775" s="5"/>
      <c r="P775" s="5"/>
      <c r="Q775" s="5"/>
      <c r="R775" s="5"/>
      <c r="S775" s="5"/>
      <c r="T775" s="5"/>
      <c r="U775" s="5"/>
      <c r="V775" s="5"/>
      <c r="W775" s="5"/>
    </row>
    <row r="776">
      <c r="A776" s="3" t="s">
        <v>3360</v>
      </c>
      <c r="B776" s="3" t="s">
        <v>3361</v>
      </c>
      <c r="C776" s="3" t="s">
        <v>3335</v>
      </c>
      <c r="D776" s="3" t="s">
        <v>3362</v>
      </c>
      <c r="E776" s="4" t="s">
        <v>3317</v>
      </c>
      <c r="F776" s="5"/>
      <c r="G776" s="5"/>
      <c r="H776" s="5"/>
      <c r="I776" s="5"/>
      <c r="J776" s="5"/>
      <c r="K776" s="5"/>
      <c r="L776" s="5"/>
      <c r="M776" s="5"/>
      <c r="N776" s="5"/>
      <c r="O776" s="5"/>
      <c r="P776" s="5"/>
      <c r="Q776" s="5"/>
      <c r="R776" s="5"/>
      <c r="S776" s="5"/>
      <c r="T776" s="5"/>
      <c r="U776" s="5"/>
      <c r="V776" s="5"/>
      <c r="W776" s="5"/>
    </row>
    <row r="777">
      <c r="A777" s="3" t="s">
        <v>3363</v>
      </c>
      <c r="B777" s="3" t="s">
        <v>3364</v>
      </c>
      <c r="C777" s="3" t="s">
        <v>43</v>
      </c>
      <c r="D777" s="3" t="s">
        <v>3365</v>
      </c>
      <c r="E777" s="4" t="s">
        <v>3366</v>
      </c>
      <c r="F777" s="5"/>
      <c r="G777" s="5"/>
      <c r="H777" s="5"/>
      <c r="I777" s="5"/>
      <c r="J777" s="5"/>
      <c r="K777" s="5"/>
      <c r="L777" s="5"/>
      <c r="M777" s="5"/>
      <c r="N777" s="5"/>
      <c r="O777" s="5"/>
      <c r="P777" s="5"/>
      <c r="Q777" s="5"/>
      <c r="R777" s="5"/>
      <c r="S777" s="5"/>
      <c r="T777" s="5"/>
      <c r="U777" s="5"/>
      <c r="V777" s="5"/>
      <c r="W777" s="5"/>
    </row>
    <row r="778">
      <c r="A778" s="3" t="s">
        <v>3367</v>
      </c>
      <c r="B778" s="3" t="s">
        <v>3368</v>
      </c>
      <c r="C778" s="3" t="s">
        <v>43</v>
      </c>
      <c r="D778" s="3" t="s">
        <v>3369</v>
      </c>
      <c r="E778" s="4" t="s">
        <v>36</v>
      </c>
      <c r="F778" s="5"/>
      <c r="G778" s="5"/>
      <c r="H778" s="5"/>
      <c r="I778" s="5"/>
      <c r="J778" s="5"/>
      <c r="K778" s="5"/>
      <c r="L778" s="5"/>
      <c r="M778" s="5"/>
      <c r="N778" s="5"/>
      <c r="O778" s="5"/>
      <c r="P778" s="5"/>
      <c r="Q778" s="5"/>
      <c r="R778" s="5"/>
      <c r="S778" s="5"/>
      <c r="T778" s="5"/>
      <c r="U778" s="5"/>
      <c r="V778" s="5"/>
      <c r="W778" s="5"/>
    </row>
    <row r="779">
      <c r="A779" s="3" t="s">
        <v>3370</v>
      </c>
      <c r="B779" s="3" t="s">
        <v>3371</v>
      </c>
      <c r="C779" s="3" t="s">
        <v>43</v>
      </c>
      <c r="D779" s="3" t="s">
        <v>3372</v>
      </c>
      <c r="E779" s="4" t="s">
        <v>36</v>
      </c>
      <c r="F779" s="5"/>
      <c r="G779" s="5"/>
      <c r="H779" s="5"/>
      <c r="I779" s="5"/>
      <c r="J779" s="5"/>
      <c r="K779" s="5"/>
      <c r="L779" s="5"/>
      <c r="M779" s="5"/>
      <c r="N779" s="5"/>
      <c r="O779" s="5"/>
      <c r="P779" s="5"/>
      <c r="Q779" s="5"/>
      <c r="R779" s="5"/>
      <c r="S779" s="5"/>
      <c r="T779" s="5"/>
      <c r="U779" s="5"/>
      <c r="V779" s="5"/>
      <c r="W779" s="5"/>
    </row>
    <row r="780">
      <c r="A780" s="3" t="s">
        <v>3373</v>
      </c>
      <c r="B780" s="3" t="s">
        <v>3374</v>
      </c>
      <c r="C780" s="3" t="s">
        <v>43</v>
      </c>
      <c r="D780" s="3" t="s">
        <v>3375</v>
      </c>
      <c r="E780" s="4" t="s">
        <v>36</v>
      </c>
      <c r="F780" s="5"/>
      <c r="G780" s="5"/>
      <c r="H780" s="5"/>
      <c r="I780" s="5"/>
      <c r="J780" s="5"/>
      <c r="K780" s="5"/>
      <c r="L780" s="5"/>
      <c r="M780" s="5"/>
      <c r="N780" s="5"/>
      <c r="O780" s="5"/>
      <c r="P780" s="5"/>
      <c r="Q780" s="5"/>
      <c r="R780" s="5"/>
      <c r="S780" s="5"/>
      <c r="T780" s="5"/>
      <c r="U780" s="5"/>
      <c r="V780" s="5"/>
      <c r="W780" s="5"/>
    </row>
    <row r="781">
      <c r="A781" s="3" t="s">
        <v>3376</v>
      </c>
      <c r="B781" s="3" t="s">
        <v>3377</v>
      </c>
      <c r="C781" s="3" t="s">
        <v>3378</v>
      </c>
      <c r="D781" s="3" t="s">
        <v>3379</v>
      </c>
      <c r="E781" s="4" t="s">
        <v>3380</v>
      </c>
      <c r="F781" s="5"/>
      <c r="G781" s="5"/>
      <c r="H781" s="5"/>
      <c r="I781" s="5"/>
      <c r="J781" s="5"/>
      <c r="K781" s="5"/>
      <c r="L781" s="5"/>
      <c r="M781" s="5"/>
      <c r="N781" s="5"/>
      <c r="O781" s="5"/>
      <c r="P781" s="5"/>
      <c r="Q781" s="5"/>
      <c r="R781" s="5"/>
      <c r="S781" s="5"/>
      <c r="T781" s="5"/>
      <c r="U781" s="5"/>
      <c r="V781" s="5"/>
      <c r="W781" s="5"/>
    </row>
    <row r="782">
      <c r="A782" s="3" t="s">
        <v>3381</v>
      </c>
      <c r="B782" s="3" t="s">
        <v>3382</v>
      </c>
      <c r="C782" s="3" t="s">
        <v>3383</v>
      </c>
      <c r="D782" s="3" t="s">
        <v>3384</v>
      </c>
      <c r="E782" s="3"/>
      <c r="F782" s="5"/>
      <c r="G782" s="5"/>
      <c r="H782" s="5"/>
      <c r="I782" s="5"/>
      <c r="J782" s="5"/>
      <c r="K782" s="5"/>
      <c r="L782" s="5"/>
      <c r="M782" s="5"/>
      <c r="N782" s="5"/>
      <c r="O782" s="5"/>
      <c r="P782" s="5"/>
      <c r="Q782" s="5"/>
      <c r="R782" s="5"/>
      <c r="S782" s="5"/>
      <c r="T782" s="5"/>
      <c r="U782" s="5"/>
      <c r="V782" s="5"/>
      <c r="W782" s="5"/>
    </row>
    <row r="783">
      <c r="A783" s="3" t="s">
        <v>3385</v>
      </c>
      <c r="B783" s="3" t="s">
        <v>3386</v>
      </c>
      <c r="C783" s="3" t="s">
        <v>3383</v>
      </c>
      <c r="D783" s="3" t="s">
        <v>3387</v>
      </c>
      <c r="E783" s="3"/>
      <c r="F783" s="5"/>
      <c r="G783" s="5"/>
      <c r="H783" s="5"/>
      <c r="I783" s="5"/>
      <c r="J783" s="5"/>
      <c r="K783" s="5"/>
      <c r="L783" s="5"/>
      <c r="M783" s="5"/>
      <c r="N783" s="5"/>
      <c r="O783" s="5"/>
      <c r="P783" s="5"/>
      <c r="Q783" s="5"/>
      <c r="R783" s="5"/>
      <c r="S783" s="5"/>
      <c r="T783" s="5"/>
      <c r="U783" s="5"/>
      <c r="V783" s="5"/>
      <c r="W783" s="5"/>
    </row>
    <row r="784">
      <c r="A784" s="16" t="s">
        <v>3388</v>
      </c>
      <c r="B784" s="16" t="s">
        <v>3389</v>
      </c>
      <c r="C784" s="16" t="s">
        <v>3390</v>
      </c>
      <c r="D784" s="16" t="s">
        <v>3391</v>
      </c>
      <c r="E784" s="16"/>
      <c r="F784" s="17"/>
      <c r="G784" s="17"/>
      <c r="H784" s="17"/>
      <c r="I784" s="17"/>
      <c r="J784" s="17"/>
      <c r="K784" s="17"/>
      <c r="L784" s="17"/>
      <c r="M784" s="17"/>
      <c r="N784" s="17"/>
      <c r="O784" s="17"/>
      <c r="P784" s="17"/>
      <c r="Q784" s="17"/>
      <c r="R784" s="17"/>
      <c r="S784" s="17"/>
      <c r="T784" s="17"/>
      <c r="U784" s="17"/>
      <c r="V784" s="17"/>
      <c r="W784" s="17"/>
    </row>
    <row r="785">
      <c r="A785" s="3" t="s">
        <v>3392</v>
      </c>
      <c r="B785" s="3" t="s">
        <v>3393</v>
      </c>
      <c r="C785" s="3" t="s">
        <v>3394</v>
      </c>
      <c r="D785" s="3" t="s">
        <v>3395</v>
      </c>
      <c r="E785" s="3"/>
      <c r="F785" s="5"/>
      <c r="G785" s="5"/>
      <c r="H785" s="5"/>
      <c r="I785" s="5"/>
      <c r="J785" s="5"/>
      <c r="K785" s="5"/>
      <c r="L785" s="5"/>
      <c r="M785" s="5"/>
      <c r="N785" s="5"/>
      <c r="O785" s="5"/>
      <c r="P785" s="5"/>
      <c r="Q785" s="5"/>
      <c r="R785" s="5"/>
      <c r="S785" s="5"/>
      <c r="T785" s="5"/>
      <c r="U785" s="5"/>
      <c r="V785" s="5"/>
      <c r="W785" s="5"/>
    </row>
    <row r="786">
      <c r="A786" s="3" t="s">
        <v>3396</v>
      </c>
      <c r="B786" s="3" t="s">
        <v>3397</v>
      </c>
      <c r="C786" s="3" t="s">
        <v>3398</v>
      </c>
      <c r="D786" s="3" t="s">
        <v>3399</v>
      </c>
      <c r="E786" s="3"/>
      <c r="F786" s="5"/>
      <c r="G786" s="5"/>
      <c r="H786" s="5"/>
      <c r="I786" s="5"/>
      <c r="J786" s="5"/>
      <c r="K786" s="5"/>
      <c r="L786" s="5"/>
      <c r="M786" s="5"/>
      <c r="N786" s="5"/>
      <c r="O786" s="5"/>
      <c r="P786" s="5"/>
      <c r="Q786" s="5"/>
      <c r="R786" s="5"/>
      <c r="S786" s="5"/>
      <c r="T786" s="5"/>
      <c r="U786" s="5"/>
      <c r="V786" s="5"/>
      <c r="W786" s="5"/>
    </row>
    <row r="787">
      <c r="A787" s="3" t="s">
        <v>3400</v>
      </c>
      <c r="B787" s="3" t="s">
        <v>3401</v>
      </c>
      <c r="C787" s="3" t="s">
        <v>3394</v>
      </c>
      <c r="D787" s="3" t="s">
        <v>3402</v>
      </c>
      <c r="E787" s="3"/>
      <c r="F787" s="5"/>
      <c r="G787" s="5"/>
      <c r="H787" s="5"/>
      <c r="I787" s="5"/>
      <c r="J787" s="5"/>
      <c r="K787" s="5"/>
      <c r="L787" s="5"/>
      <c r="M787" s="5"/>
      <c r="N787" s="5"/>
      <c r="O787" s="5"/>
      <c r="P787" s="5"/>
      <c r="Q787" s="5"/>
      <c r="R787" s="5"/>
      <c r="S787" s="5"/>
      <c r="T787" s="5"/>
      <c r="U787" s="5"/>
      <c r="V787" s="5"/>
      <c r="W787" s="5"/>
    </row>
    <row r="788">
      <c r="A788" s="16" t="s">
        <v>3403</v>
      </c>
      <c r="B788" s="16" t="s">
        <v>3404</v>
      </c>
      <c r="C788" s="16" t="s">
        <v>3390</v>
      </c>
      <c r="D788" s="16" t="s">
        <v>3405</v>
      </c>
      <c r="E788" s="16"/>
      <c r="F788" s="17"/>
      <c r="G788" s="17"/>
      <c r="H788" s="17"/>
      <c r="I788" s="17"/>
      <c r="J788" s="17"/>
      <c r="K788" s="17"/>
      <c r="L788" s="17"/>
      <c r="M788" s="17"/>
      <c r="N788" s="17"/>
      <c r="O788" s="17"/>
      <c r="P788" s="17"/>
      <c r="Q788" s="17"/>
      <c r="R788" s="17"/>
      <c r="S788" s="17"/>
      <c r="T788" s="17"/>
      <c r="U788" s="17"/>
      <c r="V788" s="17"/>
      <c r="W788" s="17"/>
    </row>
    <row r="789">
      <c r="A789" s="3" t="s">
        <v>3406</v>
      </c>
      <c r="B789" s="3" t="s">
        <v>3407</v>
      </c>
      <c r="C789" s="3" t="s">
        <v>43</v>
      </c>
      <c r="D789" s="3" t="s">
        <v>3408</v>
      </c>
      <c r="E789" s="3"/>
      <c r="F789" s="5"/>
      <c r="G789" s="5"/>
      <c r="H789" s="5"/>
      <c r="I789" s="5"/>
      <c r="J789" s="5"/>
      <c r="K789" s="5"/>
      <c r="L789" s="5"/>
      <c r="M789" s="5"/>
      <c r="N789" s="5"/>
      <c r="O789" s="5"/>
      <c r="P789" s="5"/>
      <c r="Q789" s="5"/>
      <c r="R789" s="5"/>
      <c r="S789" s="5"/>
      <c r="T789" s="5"/>
      <c r="U789" s="5"/>
      <c r="V789" s="5"/>
      <c r="W789" s="5"/>
    </row>
    <row r="790">
      <c r="A790" s="3" t="s">
        <v>3409</v>
      </c>
      <c r="B790" s="3" t="s">
        <v>3410</v>
      </c>
      <c r="C790" s="3" t="s">
        <v>3411</v>
      </c>
      <c r="D790" s="3" t="s">
        <v>3412</v>
      </c>
      <c r="E790" s="3"/>
      <c r="F790" s="5"/>
      <c r="G790" s="5"/>
      <c r="H790" s="5"/>
      <c r="I790" s="5"/>
      <c r="J790" s="5"/>
      <c r="K790" s="5"/>
      <c r="L790" s="5"/>
      <c r="M790" s="5"/>
      <c r="N790" s="5"/>
      <c r="O790" s="5"/>
      <c r="P790" s="5"/>
      <c r="Q790" s="5"/>
      <c r="R790" s="5"/>
      <c r="S790" s="5"/>
      <c r="T790" s="5"/>
      <c r="U790" s="5"/>
      <c r="V790" s="5"/>
      <c r="W790" s="5"/>
    </row>
    <row r="791">
      <c r="A791" s="3" t="s">
        <v>3413</v>
      </c>
      <c r="B791" s="3" t="s">
        <v>3414</v>
      </c>
      <c r="C791" s="3" t="s">
        <v>3415</v>
      </c>
      <c r="D791" s="3" t="s">
        <v>3416</v>
      </c>
      <c r="E791" s="3"/>
      <c r="F791" s="5"/>
      <c r="G791" s="5"/>
      <c r="H791" s="5"/>
      <c r="I791" s="5"/>
      <c r="J791" s="5"/>
      <c r="K791" s="5"/>
      <c r="L791" s="5"/>
      <c r="M791" s="5"/>
      <c r="N791" s="5"/>
      <c r="O791" s="5"/>
      <c r="P791" s="5"/>
      <c r="Q791" s="5"/>
      <c r="R791" s="5"/>
      <c r="S791" s="5"/>
      <c r="T791" s="5"/>
      <c r="U791" s="5"/>
      <c r="V791" s="5"/>
      <c r="W791" s="5"/>
    </row>
    <row r="792">
      <c r="A792" s="3" t="s">
        <v>1220</v>
      </c>
      <c r="B792" s="3" t="s">
        <v>3417</v>
      </c>
      <c r="C792" s="3" t="s">
        <v>3418</v>
      </c>
      <c r="D792" s="3" t="s">
        <v>1222</v>
      </c>
      <c r="E792" s="3"/>
      <c r="F792" s="5"/>
      <c r="G792" s="5"/>
      <c r="H792" s="5"/>
      <c r="I792" s="5"/>
      <c r="J792" s="5"/>
      <c r="K792" s="5"/>
      <c r="L792" s="5"/>
      <c r="M792" s="5"/>
      <c r="N792" s="5"/>
      <c r="O792" s="5"/>
      <c r="P792" s="5"/>
      <c r="Q792" s="5"/>
      <c r="R792" s="5"/>
      <c r="S792" s="5"/>
      <c r="T792" s="5"/>
      <c r="U792" s="5"/>
      <c r="V792" s="5"/>
      <c r="W792" s="5"/>
    </row>
    <row r="793">
      <c r="A793" s="3" t="s">
        <v>3419</v>
      </c>
      <c r="B793" s="3" t="s">
        <v>3420</v>
      </c>
      <c r="C793" s="3" t="s">
        <v>3418</v>
      </c>
      <c r="D793" s="3" t="s">
        <v>3421</v>
      </c>
      <c r="E793" s="3"/>
      <c r="F793" s="5"/>
      <c r="G793" s="5"/>
      <c r="H793" s="5"/>
      <c r="I793" s="5"/>
      <c r="J793" s="5"/>
      <c r="K793" s="5"/>
      <c r="L793" s="5"/>
      <c r="M793" s="5"/>
      <c r="N793" s="5"/>
      <c r="O793" s="5"/>
      <c r="P793" s="5"/>
      <c r="Q793" s="5"/>
      <c r="R793" s="5"/>
      <c r="S793" s="5"/>
      <c r="T793" s="5"/>
      <c r="U793" s="5"/>
      <c r="V793" s="5"/>
      <c r="W793" s="5"/>
    </row>
    <row r="794">
      <c r="A794" s="3" t="s">
        <v>3422</v>
      </c>
      <c r="B794" s="3" t="s">
        <v>3423</v>
      </c>
      <c r="C794" s="3" t="s">
        <v>3418</v>
      </c>
      <c r="D794" s="3" t="s">
        <v>3424</v>
      </c>
      <c r="E794" s="3"/>
      <c r="F794" s="5"/>
      <c r="G794" s="5"/>
      <c r="H794" s="5"/>
      <c r="I794" s="5"/>
      <c r="J794" s="5"/>
      <c r="K794" s="5"/>
      <c r="L794" s="5"/>
      <c r="M794" s="5"/>
      <c r="N794" s="5"/>
      <c r="O794" s="5"/>
      <c r="P794" s="5"/>
      <c r="Q794" s="5"/>
      <c r="R794" s="5"/>
      <c r="S794" s="5"/>
      <c r="T794" s="5"/>
      <c r="U794" s="5"/>
      <c r="V794" s="5"/>
      <c r="W794" s="5"/>
    </row>
    <row r="795">
      <c r="A795" s="3" t="s">
        <v>3425</v>
      </c>
      <c r="B795" s="3" t="s">
        <v>3426</v>
      </c>
      <c r="C795" s="3" t="s">
        <v>3427</v>
      </c>
      <c r="D795" s="3" t="s">
        <v>3428</v>
      </c>
      <c r="E795" s="3"/>
      <c r="F795" s="5"/>
      <c r="G795" s="5"/>
      <c r="H795" s="5"/>
      <c r="I795" s="5"/>
      <c r="J795" s="5"/>
      <c r="K795" s="5"/>
      <c r="L795" s="5"/>
      <c r="M795" s="5"/>
      <c r="N795" s="5"/>
      <c r="O795" s="5"/>
      <c r="P795" s="5"/>
      <c r="Q795" s="5"/>
      <c r="R795" s="5"/>
      <c r="S795" s="5"/>
      <c r="T795" s="5"/>
      <c r="U795" s="5"/>
      <c r="V795" s="5"/>
      <c r="W795" s="5"/>
    </row>
    <row r="796">
      <c r="A796" s="3" t="s">
        <v>3429</v>
      </c>
      <c r="B796" s="3" t="s">
        <v>3430</v>
      </c>
      <c r="C796" s="3" t="s">
        <v>3431</v>
      </c>
      <c r="D796" s="3" t="s">
        <v>3432</v>
      </c>
      <c r="E796" s="3"/>
      <c r="F796" s="5"/>
      <c r="G796" s="5"/>
      <c r="H796" s="5"/>
      <c r="I796" s="5"/>
      <c r="J796" s="5"/>
      <c r="K796" s="5"/>
      <c r="L796" s="5"/>
      <c r="M796" s="5"/>
      <c r="N796" s="5"/>
      <c r="O796" s="5"/>
      <c r="P796" s="5"/>
      <c r="Q796" s="5"/>
      <c r="R796" s="5"/>
      <c r="S796" s="5"/>
      <c r="T796" s="5"/>
      <c r="U796" s="5"/>
      <c r="V796" s="5"/>
      <c r="W796" s="5"/>
    </row>
    <row r="797">
      <c r="A797" s="3" t="s">
        <v>3433</v>
      </c>
      <c r="B797" s="3" t="s">
        <v>3434</v>
      </c>
      <c r="C797" s="3" t="s">
        <v>3431</v>
      </c>
      <c r="D797" s="3" t="s">
        <v>3435</v>
      </c>
      <c r="E797" s="3"/>
      <c r="F797" s="5"/>
      <c r="G797" s="5"/>
      <c r="H797" s="5"/>
      <c r="I797" s="5"/>
      <c r="J797" s="5"/>
      <c r="K797" s="5"/>
      <c r="L797" s="5"/>
      <c r="M797" s="5"/>
      <c r="N797" s="5"/>
      <c r="O797" s="5"/>
      <c r="P797" s="5"/>
      <c r="Q797" s="5"/>
      <c r="R797" s="5"/>
      <c r="S797" s="5"/>
      <c r="T797" s="5"/>
      <c r="U797" s="5"/>
      <c r="V797" s="5"/>
      <c r="W797" s="5"/>
    </row>
    <row r="798">
      <c r="A798" s="3" t="s">
        <v>3436</v>
      </c>
      <c r="B798" s="3" t="s">
        <v>3437</v>
      </c>
      <c r="C798" s="3" t="s">
        <v>3431</v>
      </c>
      <c r="D798" s="3" t="s">
        <v>3438</v>
      </c>
      <c r="E798" s="3"/>
      <c r="F798" s="5"/>
      <c r="G798" s="5"/>
      <c r="H798" s="5"/>
      <c r="I798" s="5"/>
      <c r="J798" s="5"/>
      <c r="K798" s="5"/>
      <c r="L798" s="5"/>
      <c r="M798" s="5"/>
      <c r="N798" s="5"/>
      <c r="O798" s="5"/>
      <c r="P798" s="5"/>
      <c r="Q798" s="5"/>
      <c r="R798" s="5"/>
      <c r="S798" s="5"/>
      <c r="T798" s="5"/>
      <c r="U798" s="5"/>
      <c r="V798" s="5"/>
      <c r="W798" s="5"/>
    </row>
    <row r="799">
      <c r="A799" s="3" t="s">
        <v>3439</v>
      </c>
      <c r="B799" s="3" t="s">
        <v>3440</v>
      </c>
      <c r="C799" s="3" t="s">
        <v>3431</v>
      </c>
      <c r="D799" s="3" t="s">
        <v>3441</v>
      </c>
      <c r="E799" s="3"/>
      <c r="F799" s="5"/>
      <c r="G799" s="5"/>
      <c r="H799" s="5"/>
      <c r="I799" s="5"/>
      <c r="J799" s="5"/>
      <c r="K799" s="5"/>
      <c r="L799" s="5"/>
      <c r="M799" s="5"/>
      <c r="N799" s="5"/>
      <c r="O799" s="5"/>
      <c r="P799" s="5"/>
      <c r="Q799" s="5"/>
      <c r="R799" s="5"/>
      <c r="S799" s="5"/>
      <c r="T799" s="5"/>
      <c r="U799" s="5"/>
      <c r="V799" s="5"/>
      <c r="W799" s="5"/>
    </row>
    <row r="800">
      <c r="A800" s="3" t="s">
        <v>3442</v>
      </c>
      <c r="B800" s="3" t="s">
        <v>3443</v>
      </c>
      <c r="C800" s="3" t="s">
        <v>3431</v>
      </c>
      <c r="D800" s="3" t="s">
        <v>3444</v>
      </c>
      <c r="E800" s="3"/>
      <c r="F800" s="5"/>
      <c r="G800" s="5"/>
      <c r="H800" s="5"/>
      <c r="I800" s="5"/>
      <c r="J800" s="5"/>
      <c r="K800" s="5"/>
      <c r="L800" s="5"/>
      <c r="M800" s="5"/>
      <c r="N800" s="5"/>
      <c r="O800" s="5"/>
      <c r="P800" s="5"/>
      <c r="Q800" s="5"/>
      <c r="R800" s="5"/>
      <c r="S800" s="5"/>
      <c r="T800" s="5"/>
      <c r="U800" s="5"/>
      <c r="V800" s="5"/>
      <c r="W800" s="5"/>
    </row>
    <row r="801">
      <c r="A801" s="3" t="s">
        <v>3445</v>
      </c>
      <c r="B801" s="3" t="s">
        <v>3446</v>
      </c>
      <c r="C801" s="3" t="s">
        <v>3431</v>
      </c>
      <c r="D801" s="3" t="s">
        <v>3447</v>
      </c>
      <c r="E801" s="3"/>
      <c r="F801" s="5"/>
      <c r="G801" s="5"/>
      <c r="H801" s="5"/>
      <c r="I801" s="5"/>
      <c r="J801" s="5"/>
      <c r="K801" s="5"/>
      <c r="L801" s="5"/>
      <c r="M801" s="5"/>
      <c r="N801" s="5"/>
      <c r="O801" s="5"/>
      <c r="P801" s="5"/>
      <c r="Q801" s="5"/>
      <c r="R801" s="5"/>
      <c r="S801" s="5"/>
      <c r="T801" s="5"/>
      <c r="U801" s="5"/>
      <c r="V801" s="5"/>
      <c r="W801" s="5"/>
    </row>
    <row r="802">
      <c r="A802" s="3" t="s">
        <v>3448</v>
      </c>
      <c r="B802" s="3" t="s">
        <v>3449</v>
      </c>
      <c r="C802" s="3" t="s">
        <v>3450</v>
      </c>
      <c r="D802" s="3" t="s">
        <v>3451</v>
      </c>
      <c r="E802" s="3"/>
      <c r="F802" s="5"/>
      <c r="G802" s="5"/>
      <c r="H802" s="5"/>
      <c r="I802" s="5"/>
      <c r="J802" s="5"/>
      <c r="K802" s="5"/>
      <c r="L802" s="5"/>
      <c r="M802" s="5"/>
      <c r="N802" s="5"/>
      <c r="O802" s="5"/>
      <c r="P802" s="5"/>
      <c r="Q802" s="5"/>
      <c r="R802" s="5"/>
      <c r="S802" s="5"/>
      <c r="T802" s="5"/>
      <c r="U802" s="5"/>
      <c r="V802" s="5"/>
      <c r="W802" s="5"/>
    </row>
    <row r="803">
      <c r="A803" s="3" t="s">
        <v>3452</v>
      </c>
      <c r="B803" s="3" t="s">
        <v>3453</v>
      </c>
      <c r="C803" s="3" t="s">
        <v>3450</v>
      </c>
      <c r="D803" s="3" t="s">
        <v>3454</v>
      </c>
      <c r="E803" s="3"/>
      <c r="F803" s="5"/>
      <c r="G803" s="5"/>
      <c r="H803" s="5"/>
      <c r="I803" s="5"/>
      <c r="J803" s="5"/>
      <c r="K803" s="5"/>
      <c r="L803" s="5"/>
      <c r="M803" s="5"/>
      <c r="N803" s="5"/>
      <c r="O803" s="5"/>
      <c r="P803" s="5"/>
      <c r="Q803" s="5"/>
      <c r="R803" s="5"/>
      <c r="S803" s="5"/>
      <c r="T803" s="5"/>
      <c r="U803" s="5"/>
      <c r="V803" s="5"/>
      <c r="W803" s="5"/>
    </row>
    <row r="804">
      <c r="A804" s="3" t="s">
        <v>3455</v>
      </c>
      <c r="B804" s="3" t="s">
        <v>3456</v>
      </c>
      <c r="C804" s="3" t="s">
        <v>3450</v>
      </c>
      <c r="D804" s="3" t="s">
        <v>3457</v>
      </c>
      <c r="E804" s="3"/>
      <c r="F804" s="5"/>
      <c r="G804" s="5"/>
      <c r="H804" s="5"/>
      <c r="I804" s="5"/>
      <c r="J804" s="5"/>
      <c r="K804" s="5"/>
      <c r="L804" s="5"/>
      <c r="M804" s="5"/>
      <c r="N804" s="5"/>
      <c r="O804" s="5"/>
      <c r="P804" s="5"/>
      <c r="Q804" s="5"/>
      <c r="R804" s="5"/>
      <c r="S804" s="5"/>
      <c r="T804" s="5"/>
      <c r="U804" s="5"/>
      <c r="V804" s="5"/>
      <c r="W804" s="5"/>
    </row>
    <row r="805">
      <c r="A805" s="16" t="s">
        <v>3458</v>
      </c>
      <c r="B805" s="16" t="s">
        <v>3459</v>
      </c>
      <c r="C805" s="16" t="s">
        <v>3460</v>
      </c>
      <c r="D805" s="16" t="s">
        <v>3461</v>
      </c>
      <c r="E805" s="16"/>
      <c r="F805" s="17"/>
      <c r="G805" s="17"/>
      <c r="H805" s="17"/>
      <c r="I805" s="17"/>
      <c r="J805" s="17"/>
      <c r="K805" s="17"/>
      <c r="L805" s="17"/>
      <c r="M805" s="17"/>
      <c r="N805" s="17"/>
      <c r="O805" s="17"/>
      <c r="P805" s="17"/>
      <c r="Q805" s="17"/>
      <c r="R805" s="17"/>
      <c r="S805" s="17"/>
      <c r="T805" s="17"/>
      <c r="U805" s="17"/>
      <c r="V805" s="17"/>
      <c r="W805" s="17"/>
    </row>
    <row r="806">
      <c r="A806" s="3" t="s">
        <v>3462</v>
      </c>
      <c r="B806" s="3" t="s">
        <v>3463</v>
      </c>
      <c r="C806" s="3" t="s">
        <v>3464</v>
      </c>
      <c r="D806" s="3" t="s">
        <v>3465</v>
      </c>
      <c r="E806" s="3"/>
      <c r="F806" s="5"/>
      <c r="G806" s="5"/>
      <c r="H806" s="5"/>
      <c r="I806" s="5"/>
      <c r="J806" s="5"/>
      <c r="K806" s="5"/>
      <c r="L806" s="5"/>
      <c r="M806" s="5"/>
      <c r="N806" s="5"/>
      <c r="O806" s="5"/>
      <c r="P806" s="5"/>
      <c r="Q806" s="5"/>
      <c r="R806" s="5"/>
      <c r="S806" s="5"/>
      <c r="T806" s="5"/>
      <c r="U806" s="5"/>
      <c r="V806" s="5"/>
      <c r="W806" s="5"/>
    </row>
    <row r="807">
      <c r="A807" s="3" t="s">
        <v>3466</v>
      </c>
      <c r="B807" s="3" t="s">
        <v>3467</v>
      </c>
      <c r="C807" s="3" t="s">
        <v>3464</v>
      </c>
      <c r="D807" s="3" t="s">
        <v>3468</v>
      </c>
      <c r="E807" s="3"/>
      <c r="F807" s="5"/>
      <c r="G807" s="5"/>
      <c r="H807" s="5"/>
      <c r="I807" s="5"/>
      <c r="J807" s="5"/>
      <c r="K807" s="5"/>
      <c r="L807" s="5"/>
      <c r="M807" s="5"/>
      <c r="N807" s="5"/>
      <c r="O807" s="5"/>
      <c r="P807" s="5"/>
      <c r="Q807" s="5"/>
      <c r="R807" s="5"/>
      <c r="S807" s="5"/>
      <c r="T807" s="5"/>
      <c r="U807" s="5"/>
      <c r="V807" s="5"/>
      <c r="W807" s="5"/>
    </row>
    <row r="808">
      <c r="A808" s="3" t="s">
        <v>3469</v>
      </c>
      <c r="B808" s="3" t="s">
        <v>3470</v>
      </c>
      <c r="C808" s="3" t="s">
        <v>3464</v>
      </c>
      <c r="D808" s="3" t="s">
        <v>3471</v>
      </c>
      <c r="E808" s="3"/>
      <c r="F808" s="5"/>
      <c r="G808" s="5"/>
      <c r="H808" s="5"/>
      <c r="I808" s="5"/>
      <c r="J808" s="5"/>
      <c r="K808" s="5"/>
      <c r="L808" s="5"/>
      <c r="M808" s="5"/>
      <c r="N808" s="5"/>
      <c r="O808" s="5"/>
      <c r="P808" s="5"/>
      <c r="Q808" s="5"/>
      <c r="R808" s="5"/>
      <c r="S808" s="5"/>
      <c r="T808" s="5"/>
      <c r="U808" s="5"/>
      <c r="V808" s="5"/>
      <c r="W808" s="5"/>
    </row>
    <row r="809">
      <c r="A809" s="3" t="s">
        <v>3472</v>
      </c>
      <c r="B809" s="3" t="s">
        <v>3473</v>
      </c>
      <c r="C809" s="3" t="s">
        <v>3464</v>
      </c>
      <c r="D809" s="3" t="s">
        <v>3474</v>
      </c>
      <c r="E809" s="3"/>
      <c r="F809" s="5"/>
      <c r="G809" s="5"/>
      <c r="H809" s="5"/>
      <c r="I809" s="5"/>
      <c r="J809" s="5"/>
      <c r="K809" s="5"/>
      <c r="L809" s="5"/>
      <c r="M809" s="5"/>
      <c r="N809" s="5"/>
      <c r="O809" s="5"/>
      <c r="P809" s="5"/>
      <c r="Q809" s="5"/>
      <c r="R809" s="5"/>
      <c r="S809" s="5"/>
      <c r="T809" s="5"/>
      <c r="U809" s="5"/>
      <c r="V809" s="5"/>
      <c r="W809" s="5"/>
    </row>
    <row r="810">
      <c r="A810" s="3" t="s">
        <v>3475</v>
      </c>
      <c r="B810" s="3" t="s">
        <v>3476</v>
      </c>
      <c r="C810" s="3" t="s">
        <v>3477</v>
      </c>
      <c r="D810" s="3" t="s">
        <v>3478</v>
      </c>
      <c r="E810" s="3"/>
      <c r="F810" s="5"/>
      <c r="G810" s="5"/>
      <c r="H810" s="5"/>
      <c r="I810" s="5"/>
      <c r="J810" s="5"/>
      <c r="K810" s="5"/>
      <c r="L810" s="5"/>
      <c r="M810" s="5"/>
      <c r="N810" s="5"/>
      <c r="O810" s="5"/>
      <c r="P810" s="5"/>
      <c r="Q810" s="5"/>
      <c r="R810" s="5"/>
      <c r="S810" s="5"/>
      <c r="T810" s="5"/>
      <c r="U810" s="5"/>
      <c r="V810" s="5"/>
      <c r="W810" s="5"/>
    </row>
    <row r="811">
      <c r="A811" s="3" t="s">
        <v>3479</v>
      </c>
      <c r="B811" s="3" t="s">
        <v>3480</v>
      </c>
      <c r="C811" s="3" t="s">
        <v>3481</v>
      </c>
      <c r="D811" s="3" t="s">
        <v>3482</v>
      </c>
      <c r="E811" s="3"/>
      <c r="F811" s="5"/>
      <c r="G811" s="5"/>
      <c r="H811" s="5"/>
      <c r="I811" s="5"/>
      <c r="J811" s="5"/>
      <c r="K811" s="5"/>
      <c r="L811" s="5"/>
      <c r="M811" s="5"/>
      <c r="N811" s="5"/>
      <c r="O811" s="5"/>
      <c r="P811" s="5"/>
      <c r="Q811" s="5"/>
      <c r="R811" s="5"/>
      <c r="S811" s="5"/>
      <c r="T811" s="5"/>
      <c r="U811" s="5"/>
      <c r="V811" s="5"/>
      <c r="W811" s="5"/>
    </row>
    <row r="812">
      <c r="A812" s="3" t="s">
        <v>3483</v>
      </c>
      <c r="B812" s="3" t="s">
        <v>3484</v>
      </c>
      <c r="C812" s="3" t="s">
        <v>3485</v>
      </c>
      <c r="D812" s="3" t="s">
        <v>3486</v>
      </c>
      <c r="E812" s="3"/>
      <c r="F812" s="5"/>
      <c r="G812" s="5"/>
      <c r="H812" s="5"/>
      <c r="I812" s="5"/>
      <c r="J812" s="5"/>
      <c r="K812" s="5"/>
      <c r="L812" s="5"/>
      <c r="M812" s="5"/>
      <c r="N812" s="5"/>
      <c r="O812" s="5"/>
      <c r="P812" s="5"/>
      <c r="Q812" s="5"/>
      <c r="R812" s="5"/>
      <c r="S812" s="5"/>
      <c r="T812" s="5"/>
      <c r="U812" s="5"/>
      <c r="V812" s="5"/>
      <c r="W812" s="5"/>
    </row>
    <row r="813">
      <c r="A813" s="3" t="s">
        <v>3487</v>
      </c>
      <c r="B813" s="3" t="s">
        <v>3488</v>
      </c>
      <c r="C813" s="3" t="s">
        <v>3489</v>
      </c>
      <c r="D813" s="3" t="s">
        <v>3490</v>
      </c>
      <c r="E813" s="3"/>
      <c r="F813" s="5"/>
      <c r="G813" s="5"/>
      <c r="H813" s="5"/>
      <c r="I813" s="5"/>
      <c r="J813" s="5"/>
      <c r="K813" s="5"/>
      <c r="L813" s="5"/>
      <c r="M813" s="5"/>
      <c r="N813" s="5"/>
      <c r="O813" s="5"/>
      <c r="P813" s="5"/>
      <c r="Q813" s="5"/>
      <c r="R813" s="5"/>
      <c r="S813" s="5"/>
      <c r="T813" s="5"/>
      <c r="U813" s="5"/>
      <c r="V813" s="5"/>
      <c r="W813" s="5"/>
    </row>
    <row r="814">
      <c r="A814" s="3" t="s">
        <v>3491</v>
      </c>
      <c r="B814" s="3" t="s">
        <v>3492</v>
      </c>
      <c r="C814" s="3" t="s">
        <v>3493</v>
      </c>
      <c r="D814" s="3" t="s">
        <v>3494</v>
      </c>
      <c r="E814" s="3"/>
      <c r="F814" s="3"/>
      <c r="G814" s="5"/>
      <c r="H814" s="5"/>
      <c r="I814" s="5"/>
      <c r="J814" s="5"/>
      <c r="K814" s="5"/>
      <c r="L814" s="5"/>
      <c r="M814" s="5"/>
      <c r="N814" s="5"/>
      <c r="O814" s="5"/>
      <c r="P814" s="5"/>
      <c r="Q814" s="5"/>
      <c r="R814" s="5"/>
      <c r="S814" s="5"/>
      <c r="T814" s="5"/>
      <c r="U814" s="5"/>
      <c r="V814" s="5"/>
      <c r="W814" s="5"/>
    </row>
    <row r="815">
      <c r="A815" s="3" t="s">
        <v>3495</v>
      </c>
      <c r="B815" s="3" t="s">
        <v>3496</v>
      </c>
      <c r="C815" s="3" t="s">
        <v>3497</v>
      </c>
      <c r="D815" s="3" t="s">
        <v>3498</v>
      </c>
      <c r="E815" s="3"/>
      <c r="F815" s="3"/>
      <c r="G815" s="5"/>
      <c r="H815" s="5"/>
      <c r="I815" s="5"/>
      <c r="J815" s="5"/>
      <c r="K815" s="5"/>
      <c r="L815" s="5"/>
      <c r="M815" s="5"/>
      <c r="N815" s="5"/>
      <c r="O815" s="5"/>
      <c r="P815" s="5"/>
      <c r="Q815" s="5"/>
      <c r="R815" s="5"/>
      <c r="S815" s="5"/>
      <c r="T815" s="5"/>
      <c r="U815" s="5"/>
      <c r="V815" s="5"/>
      <c r="W815" s="5"/>
    </row>
    <row r="816">
      <c r="A816" s="3" t="s">
        <v>3499</v>
      </c>
      <c r="B816" s="3" t="s">
        <v>3500</v>
      </c>
      <c r="C816" s="3" t="s">
        <v>3501</v>
      </c>
      <c r="D816" s="3" t="s">
        <v>3502</v>
      </c>
      <c r="E816" s="3"/>
      <c r="F816" s="5"/>
      <c r="G816" s="5"/>
      <c r="H816" s="5"/>
      <c r="I816" s="5"/>
      <c r="J816" s="5"/>
      <c r="K816" s="5"/>
      <c r="L816" s="5"/>
      <c r="M816" s="5"/>
      <c r="N816" s="5"/>
      <c r="O816" s="5"/>
      <c r="P816" s="5"/>
      <c r="Q816" s="5"/>
      <c r="R816" s="5"/>
      <c r="S816" s="5"/>
      <c r="T816" s="5"/>
      <c r="U816" s="5"/>
      <c r="V816" s="5"/>
      <c r="W816" s="5"/>
    </row>
    <row r="817">
      <c r="A817" s="3" t="s">
        <v>3503</v>
      </c>
      <c r="B817" s="3" t="s">
        <v>3504</v>
      </c>
      <c r="C817" s="3" t="s">
        <v>3505</v>
      </c>
      <c r="D817" s="3" t="s">
        <v>3506</v>
      </c>
      <c r="E817" s="3"/>
      <c r="F817" s="5"/>
      <c r="G817" s="5"/>
      <c r="H817" s="5"/>
      <c r="I817" s="5"/>
      <c r="J817" s="5"/>
      <c r="K817" s="5"/>
      <c r="L817" s="5"/>
      <c r="M817" s="5"/>
      <c r="N817" s="5"/>
      <c r="O817" s="5"/>
      <c r="P817" s="5"/>
      <c r="Q817" s="5"/>
      <c r="R817" s="5"/>
      <c r="S817" s="5"/>
      <c r="T817" s="5"/>
      <c r="U817" s="5"/>
      <c r="V817" s="5"/>
      <c r="W817" s="5"/>
    </row>
    <row r="818">
      <c r="A818" s="3" t="s">
        <v>3507</v>
      </c>
      <c r="B818" s="3" t="s">
        <v>3508</v>
      </c>
      <c r="C818" s="3" t="s">
        <v>3505</v>
      </c>
      <c r="D818" s="3" t="s">
        <v>3509</v>
      </c>
      <c r="E818" s="3"/>
      <c r="F818" s="5"/>
      <c r="G818" s="5"/>
      <c r="H818" s="5"/>
      <c r="I818" s="5"/>
      <c r="J818" s="5"/>
      <c r="K818" s="5"/>
      <c r="L818" s="5"/>
      <c r="M818" s="5"/>
      <c r="N818" s="5"/>
      <c r="O818" s="5"/>
      <c r="P818" s="5"/>
      <c r="Q818" s="5"/>
      <c r="R818" s="5"/>
      <c r="S818" s="5"/>
      <c r="T818" s="5"/>
      <c r="U818" s="5"/>
      <c r="V818" s="5"/>
      <c r="W818" s="5"/>
    </row>
    <row r="819">
      <c r="A819" s="3" t="s">
        <v>3510</v>
      </c>
      <c r="B819" s="3" t="s">
        <v>3511</v>
      </c>
      <c r="C819" s="3" t="s">
        <v>3512</v>
      </c>
      <c r="D819" s="3" t="s">
        <v>3513</v>
      </c>
      <c r="E819" s="3"/>
      <c r="F819" s="5"/>
      <c r="G819" s="5"/>
      <c r="H819" s="5"/>
      <c r="I819" s="5"/>
      <c r="J819" s="5"/>
      <c r="K819" s="5"/>
      <c r="L819" s="5"/>
      <c r="M819" s="5"/>
      <c r="N819" s="5"/>
      <c r="O819" s="5"/>
      <c r="P819" s="5"/>
      <c r="Q819" s="5"/>
      <c r="R819" s="5"/>
      <c r="S819" s="5"/>
      <c r="T819" s="5"/>
      <c r="U819" s="5"/>
      <c r="V819" s="5"/>
      <c r="W819" s="5"/>
    </row>
    <row r="820">
      <c r="A820" s="3" t="s">
        <v>3514</v>
      </c>
      <c r="B820" s="3" t="s">
        <v>3515</v>
      </c>
      <c r="C820" s="3" t="s">
        <v>3516</v>
      </c>
      <c r="D820" s="3" t="s">
        <v>3517</v>
      </c>
      <c r="E820" s="3"/>
      <c r="F820" s="5"/>
      <c r="G820" s="5"/>
      <c r="H820" s="5"/>
      <c r="I820" s="5"/>
      <c r="J820" s="5"/>
      <c r="K820" s="5"/>
      <c r="L820" s="5"/>
      <c r="M820" s="5"/>
      <c r="N820" s="5"/>
      <c r="O820" s="5"/>
      <c r="P820" s="5"/>
      <c r="Q820" s="5"/>
      <c r="R820" s="5"/>
      <c r="S820" s="5"/>
      <c r="T820" s="5"/>
      <c r="U820" s="5"/>
      <c r="V820" s="5"/>
      <c r="W820" s="5"/>
    </row>
    <row r="821">
      <c r="A821" s="3" t="s">
        <v>3518</v>
      </c>
      <c r="B821" s="3" t="s">
        <v>3519</v>
      </c>
      <c r="C821" s="3"/>
      <c r="D821" s="3"/>
      <c r="E821" s="3"/>
      <c r="F821" s="5"/>
      <c r="G821" s="5"/>
      <c r="H821" s="5"/>
      <c r="I821" s="5"/>
      <c r="J821" s="5"/>
      <c r="K821" s="5"/>
      <c r="L821" s="5"/>
      <c r="M821" s="5"/>
      <c r="N821" s="5"/>
      <c r="O821" s="5"/>
      <c r="P821" s="5"/>
      <c r="Q821" s="5"/>
      <c r="R821" s="5"/>
      <c r="S821" s="5"/>
      <c r="T821" s="5"/>
      <c r="U821" s="5"/>
      <c r="V821" s="5"/>
      <c r="W821" s="5"/>
    </row>
    <row r="822">
      <c r="A822" s="3" t="s">
        <v>3520</v>
      </c>
      <c r="B822" s="3" t="s">
        <v>3521</v>
      </c>
      <c r="C822" s="3" t="s">
        <v>3522</v>
      </c>
      <c r="D822" s="3" t="s">
        <v>3523</v>
      </c>
      <c r="E822" s="4" t="s">
        <v>3332</v>
      </c>
      <c r="F822" s="5"/>
      <c r="G822" s="5"/>
      <c r="H822" s="5"/>
      <c r="I822" s="5"/>
      <c r="J822" s="5"/>
      <c r="K822" s="5"/>
      <c r="L822" s="5"/>
      <c r="M822" s="5"/>
      <c r="N822" s="5"/>
      <c r="O822" s="5"/>
      <c r="P822" s="5"/>
      <c r="Q822" s="5"/>
      <c r="R822" s="5"/>
      <c r="S822" s="5"/>
      <c r="T822" s="5"/>
      <c r="U822" s="5"/>
      <c r="V822" s="5"/>
      <c r="W822" s="5"/>
    </row>
    <row r="823">
      <c r="A823" s="3" t="s">
        <v>3524</v>
      </c>
      <c r="B823" s="3" t="s">
        <v>3525</v>
      </c>
      <c r="C823" s="3" t="s">
        <v>3526</v>
      </c>
      <c r="D823" s="3" t="s">
        <v>3527</v>
      </c>
      <c r="E823" s="3"/>
      <c r="F823" s="5"/>
      <c r="G823" s="5"/>
      <c r="H823" s="5"/>
      <c r="I823" s="5"/>
      <c r="J823" s="5"/>
      <c r="K823" s="5"/>
      <c r="L823" s="5"/>
      <c r="M823" s="5"/>
      <c r="N823" s="5"/>
      <c r="O823" s="5"/>
      <c r="P823" s="5"/>
      <c r="Q823" s="5"/>
      <c r="R823" s="5"/>
      <c r="S823" s="5"/>
      <c r="T823" s="5"/>
      <c r="U823" s="5"/>
      <c r="V823" s="5"/>
      <c r="W823" s="5"/>
    </row>
    <row r="824">
      <c r="A824" s="3" t="s">
        <v>3528</v>
      </c>
      <c r="B824" s="3" t="s">
        <v>3529</v>
      </c>
      <c r="C824" s="3" t="s">
        <v>78</v>
      </c>
      <c r="D824" s="3" t="s">
        <v>3530</v>
      </c>
      <c r="E824" s="5"/>
      <c r="F824" s="5"/>
      <c r="G824" s="5"/>
      <c r="H824" s="5"/>
      <c r="I824" s="5"/>
      <c r="J824" s="5"/>
      <c r="K824" s="5"/>
      <c r="L824" s="5"/>
      <c r="M824" s="5"/>
      <c r="N824" s="5"/>
      <c r="O824" s="5"/>
      <c r="P824" s="5"/>
      <c r="Q824" s="5"/>
      <c r="R824" s="5"/>
      <c r="S824" s="5"/>
      <c r="T824" s="5"/>
      <c r="U824" s="5"/>
      <c r="V824" s="5"/>
      <c r="W824" s="5"/>
    </row>
    <row r="825">
      <c r="A825" s="3" t="s">
        <v>3531</v>
      </c>
      <c r="B825" s="3" t="s">
        <v>3532</v>
      </c>
      <c r="C825" s="3" t="s">
        <v>78</v>
      </c>
      <c r="D825" s="3" t="s">
        <v>3533</v>
      </c>
      <c r="E825" s="5"/>
      <c r="F825" s="5"/>
      <c r="G825" s="5"/>
      <c r="H825" s="5"/>
      <c r="I825" s="5"/>
      <c r="J825" s="5"/>
      <c r="K825" s="5"/>
      <c r="L825" s="5"/>
      <c r="M825" s="5"/>
      <c r="N825" s="5"/>
      <c r="O825" s="5"/>
      <c r="P825" s="5"/>
      <c r="Q825" s="5"/>
      <c r="R825" s="5"/>
      <c r="S825" s="5"/>
      <c r="T825" s="5"/>
      <c r="U825" s="5"/>
      <c r="V825" s="5"/>
      <c r="W825" s="5"/>
    </row>
    <row r="826">
      <c r="A826" s="3" t="s">
        <v>3534</v>
      </c>
      <c r="B826" s="3" t="s">
        <v>3535</v>
      </c>
      <c r="C826" s="3" t="s">
        <v>78</v>
      </c>
      <c r="D826" s="3" t="s">
        <v>3536</v>
      </c>
      <c r="E826" s="5"/>
      <c r="F826" s="5"/>
      <c r="G826" s="5"/>
      <c r="H826" s="5"/>
      <c r="I826" s="5"/>
      <c r="J826" s="5"/>
      <c r="K826" s="5"/>
      <c r="L826" s="5"/>
      <c r="M826" s="5"/>
      <c r="N826" s="5"/>
      <c r="O826" s="5"/>
      <c r="P826" s="5"/>
      <c r="Q826" s="5"/>
      <c r="R826" s="5"/>
      <c r="S826" s="5"/>
      <c r="T826" s="5"/>
      <c r="U826" s="5"/>
      <c r="V826" s="5"/>
      <c r="W826" s="5"/>
    </row>
    <row r="827">
      <c r="A827" s="3" t="s">
        <v>3537</v>
      </c>
      <c r="B827" s="3" t="s">
        <v>3538</v>
      </c>
      <c r="C827" s="3" t="s">
        <v>78</v>
      </c>
      <c r="D827" s="3" t="s">
        <v>3539</v>
      </c>
      <c r="E827" s="5"/>
      <c r="F827" s="5"/>
      <c r="G827" s="5"/>
      <c r="H827" s="5"/>
      <c r="I827" s="5"/>
      <c r="J827" s="5"/>
      <c r="K827" s="5"/>
      <c r="L827" s="5"/>
      <c r="M827" s="5"/>
      <c r="N827" s="5"/>
      <c r="O827" s="5"/>
      <c r="P827" s="5"/>
      <c r="Q827" s="5"/>
      <c r="R827" s="5"/>
      <c r="S827" s="5"/>
      <c r="T827" s="5"/>
      <c r="U827" s="5"/>
      <c r="V827" s="5"/>
      <c r="W827" s="5"/>
    </row>
    <row r="828">
      <c r="A828" s="3" t="s">
        <v>3540</v>
      </c>
      <c r="B828" s="15" t="s">
        <v>3541</v>
      </c>
      <c r="C828" s="3" t="s">
        <v>78</v>
      </c>
      <c r="D828" s="3" t="s">
        <v>3542</v>
      </c>
      <c r="E828" s="5"/>
      <c r="F828" s="5"/>
      <c r="G828" s="5"/>
      <c r="H828" s="5"/>
      <c r="I828" s="5"/>
      <c r="J828" s="5"/>
      <c r="K828" s="5"/>
      <c r="L828" s="5"/>
      <c r="M828" s="5"/>
      <c r="N828" s="5"/>
      <c r="O828" s="5"/>
      <c r="P828" s="5"/>
      <c r="Q828" s="5"/>
      <c r="R828" s="5"/>
      <c r="S828" s="5"/>
      <c r="T828" s="5"/>
      <c r="U828" s="5"/>
      <c r="V828" s="5"/>
      <c r="W828" s="5"/>
    </row>
    <row r="829">
      <c r="A829" s="3" t="s">
        <v>3543</v>
      </c>
      <c r="B829" s="3" t="s">
        <v>3544</v>
      </c>
      <c r="C829" s="3" t="s">
        <v>3545</v>
      </c>
      <c r="D829" s="3" t="s">
        <v>3546</v>
      </c>
      <c r="E829" s="5"/>
      <c r="F829" s="5"/>
      <c r="G829" s="5"/>
      <c r="H829" s="5"/>
      <c r="I829" s="5"/>
      <c r="J829" s="5"/>
      <c r="K829" s="5"/>
      <c r="L829" s="5"/>
      <c r="M829" s="5"/>
      <c r="N829" s="5"/>
      <c r="O829" s="5"/>
      <c r="P829" s="5"/>
      <c r="Q829" s="5"/>
      <c r="R829" s="5"/>
      <c r="S829" s="5"/>
      <c r="T829" s="5"/>
      <c r="U829" s="5"/>
      <c r="V829" s="5"/>
      <c r="W829" s="5"/>
    </row>
    <row r="830">
      <c r="A830" s="3" t="s">
        <v>3547</v>
      </c>
      <c r="B830" s="3" t="s">
        <v>3548</v>
      </c>
      <c r="C830" s="3" t="s">
        <v>70</v>
      </c>
      <c r="D830" s="3" t="s">
        <v>3549</v>
      </c>
      <c r="E830" s="5"/>
      <c r="F830" s="5"/>
      <c r="G830" s="5"/>
      <c r="H830" s="5"/>
      <c r="I830" s="5"/>
      <c r="J830" s="5"/>
      <c r="K830" s="5"/>
      <c r="L830" s="5"/>
      <c r="M830" s="5"/>
      <c r="N830" s="5"/>
      <c r="O830" s="5"/>
      <c r="P830" s="5"/>
      <c r="Q830" s="5"/>
      <c r="R830" s="5"/>
      <c r="S830" s="5"/>
      <c r="T830" s="5"/>
      <c r="U830" s="5"/>
      <c r="V830" s="5"/>
      <c r="W830" s="5"/>
    </row>
    <row r="831">
      <c r="A831" s="3" t="s">
        <v>3550</v>
      </c>
      <c r="B831" s="3" t="s">
        <v>3551</v>
      </c>
      <c r="C831" s="3" t="s">
        <v>80</v>
      </c>
      <c r="D831" s="3" t="s">
        <v>3552</v>
      </c>
      <c r="E831" s="5"/>
      <c r="F831" s="5"/>
      <c r="G831" s="5"/>
      <c r="H831" s="5"/>
      <c r="I831" s="5"/>
      <c r="J831" s="5"/>
      <c r="K831" s="5"/>
      <c r="L831" s="5"/>
      <c r="M831" s="5"/>
      <c r="N831" s="5"/>
      <c r="O831" s="5"/>
      <c r="P831" s="5"/>
      <c r="Q831" s="5"/>
      <c r="R831" s="5"/>
      <c r="S831" s="5"/>
      <c r="T831" s="5"/>
      <c r="U831" s="5"/>
      <c r="V831" s="5"/>
      <c r="W831" s="5"/>
    </row>
    <row r="832">
      <c r="A832" s="3" t="s">
        <v>3553</v>
      </c>
      <c r="B832" s="3" t="s">
        <v>3554</v>
      </c>
      <c r="C832" s="3" t="s">
        <v>80</v>
      </c>
      <c r="D832" s="3" t="s">
        <v>3555</v>
      </c>
      <c r="E832" s="5"/>
      <c r="F832" s="5"/>
      <c r="G832" s="5"/>
      <c r="H832" s="5"/>
      <c r="I832" s="5"/>
      <c r="J832" s="5"/>
      <c r="K832" s="5"/>
      <c r="L832" s="5"/>
      <c r="M832" s="5"/>
      <c r="N832" s="5"/>
      <c r="O832" s="5"/>
      <c r="P832" s="5"/>
      <c r="Q832" s="5"/>
      <c r="R832" s="5"/>
      <c r="S832" s="5"/>
      <c r="T832" s="5"/>
      <c r="U832" s="5"/>
      <c r="V832" s="5"/>
      <c r="W832" s="5"/>
    </row>
    <row r="833">
      <c r="A833" s="3" t="s">
        <v>3556</v>
      </c>
      <c r="B833" s="3" t="s">
        <v>3557</v>
      </c>
      <c r="C833" s="3" t="s">
        <v>70</v>
      </c>
      <c r="D833" s="3" t="s">
        <v>3558</v>
      </c>
      <c r="E833" s="5"/>
      <c r="F833" s="5"/>
      <c r="G833" s="5"/>
      <c r="H833" s="5"/>
      <c r="I833" s="5"/>
      <c r="J833" s="5"/>
      <c r="K833" s="5"/>
      <c r="L833" s="5"/>
      <c r="M833" s="5"/>
      <c r="N833" s="5"/>
      <c r="O833" s="5"/>
      <c r="P833" s="5"/>
      <c r="Q833" s="5"/>
      <c r="R833" s="5"/>
      <c r="S833" s="5"/>
      <c r="T833" s="5"/>
      <c r="U833" s="5"/>
      <c r="V833" s="5"/>
      <c r="W833" s="5"/>
    </row>
    <row r="834">
      <c r="A834" s="3" t="s">
        <v>3559</v>
      </c>
      <c r="B834" s="3" t="s">
        <v>3560</v>
      </c>
      <c r="C834" s="3" t="s">
        <v>70</v>
      </c>
      <c r="D834" s="3" t="s">
        <v>3561</v>
      </c>
      <c r="E834" s="5"/>
      <c r="F834" s="5"/>
      <c r="G834" s="5"/>
      <c r="H834" s="5"/>
      <c r="I834" s="5"/>
      <c r="J834" s="5"/>
      <c r="K834" s="5"/>
      <c r="L834" s="5"/>
      <c r="M834" s="5"/>
      <c r="N834" s="5"/>
      <c r="O834" s="5"/>
      <c r="P834" s="5"/>
      <c r="Q834" s="5"/>
      <c r="R834" s="5"/>
      <c r="S834" s="5"/>
      <c r="T834" s="5"/>
      <c r="U834" s="5"/>
      <c r="V834" s="5"/>
      <c r="W834" s="5"/>
    </row>
    <row r="835">
      <c r="A835" s="3" t="s">
        <v>3562</v>
      </c>
      <c r="B835" s="3" t="s">
        <v>3563</v>
      </c>
      <c r="C835" s="3" t="s">
        <v>70</v>
      </c>
      <c r="D835" s="3" t="s">
        <v>3564</v>
      </c>
      <c r="E835" s="5"/>
      <c r="F835" s="5"/>
      <c r="G835" s="5"/>
      <c r="H835" s="5"/>
      <c r="I835" s="5"/>
      <c r="J835" s="5"/>
      <c r="K835" s="5"/>
      <c r="L835" s="5"/>
      <c r="M835" s="5"/>
      <c r="N835" s="5"/>
      <c r="O835" s="5"/>
      <c r="P835" s="5"/>
      <c r="Q835" s="5"/>
      <c r="R835" s="5"/>
      <c r="S835" s="5"/>
      <c r="T835" s="5"/>
      <c r="U835" s="5"/>
      <c r="V835" s="5"/>
      <c r="W835" s="5"/>
    </row>
    <row r="836">
      <c r="A836" s="3" t="s">
        <v>3565</v>
      </c>
      <c r="B836" s="3" t="s">
        <v>3566</v>
      </c>
      <c r="C836" s="3" t="s">
        <v>70</v>
      </c>
      <c r="D836" s="3" t="s">
        <v>3567</v>
      </c>
      <c r="E836" s="5"/>
      <c r="F836" s="5"/>
      <c r="G836" s="5"/>
      <c r="H836" s="5"/>
      <c r="I836" s="5"/>
      <c r="J836" s="5"/>
      <c r="K836" s="5"/>
      <c r="L836" s="5"/>
      <c r="M836" s="5"/>
      <c r="N836" s="5"/>
      <c r="O836" s="5"/>
      <c r="P836" s="5"/>
      <c r="Q836" s="5"/>
      <c r="R836" s="5"/>
      <c r="S836" s="5"/>
      <c r="T836" s="5"/>
      <c r="U836" s="5"/>
      <c r="V836" s="5"/>
      <c r="W836" s="5"/>
    </row>
    <row r="837">
      <c r="A837" s="3" t="s">
        <v>3568</v>
      </c>
      <c r="B837" s="3" t="s">
        <v>3569</v>
      </c>
      <c r="C837" s="3" t="s">
        <v>70</v>
      </c>
      <c r="D837" s="3" t="s">
        <v>3570</v>
      </c>
      <c r="E837" s="5"/>
      <c r="F837" s="5"/>
      <c r="G837" s="5"/>
      <c r="H837" s="5"/>
      <c r="I837" s="5"/>
      <c r="J837" s="5"/>
      <c r="K837" s="5"/>
      <c r="L837" s="5"/>
      <c r="M837" s="5"/>
      <c r="N837" s="5"/>
      <c r="O837" s="5"/>
      <c r="P837" s="5"/>
      <c r="Q837" s="5"/>
      <c r="R837" s="5"/>
      <c r="S837" s="5"/>
      <c r="T837" s="5"/>
      <c r="U837" s="5"/>
      <c r="V837" s="5"/>
      <c r="W837" s="5"/>
    </row>
    <row r="838">
      <c r="A838" s="3" t="s">
        <v>3571</v>
      </c>
      <c r="B838" s="3" t="s">
        <v>3572</v>
      </c>
      <c r="C838" s="3" t="s">
        <v>70</v>
      </c>
      <c r="D838" s="3" t="s">
        <v>3573</v>
      </c>
      <c r="E838" s="5"/>
      <c r="F838" s="5"/>
      <c r="G838" s="5"/>
      <c r="H838" s="5"/>
      <c r="I838" s="5"/>
      <c r="J838" s="5"/>
      <c r="K838" s="5"/>
      <c r="L838" s="5"/>
      <c r="M838" s="5"/>
      <c r="N838" s="5"/>
      <c r="O838" s="5"/>
      <c r="P838" s="5"/>
      <c r="Q838" s="5"/>
      <c r="R838" s="5"/>
      <c r="S838" s="5"/>
      <c r="T838" s="5"/>
      <c r="U838" s="5"/>
      <c r="V838" s="5"/>
      <c r="W838" s="5"/>
    </row>
    <row r="839">
      <c r="A839" s="3" t="s">
        <v>3574</v>
      </c>
      <c r="B839" s="3" t="s">
        <v>3575</v>
      </c>
      <c r="C839" s="3" t="s">
        <v>70</v>
      </c>
      <c r="D839" s="3" t="s">
        <v>3576</v>
      </c>
      <c r="E839" s="5"/>
      <c r="F839" s="5"/>
      <c r="G839" s="5"/>
      <c r="H839" s="5"/>
      <c r="I839" s="5"/>
      <c r="J839" s="5"/>
      <c r="K839" s="5"/>
      <c r="L839" s="5"/>
      <c r="M839" s="5"/>
      <c r="N839" s="5"/>
      <c r="O839" s="5"/>
      <c r="P839" s="5"/>
      <c r="Q839" s="5"/>
      <c r="R839" s="5"/>
      <c r="S839" s="5"/>
      <c r="T839" s="5"/>
      <c r="U839" s="5"/>
      <c r="V839" s="5"/>
      <c r="W839" s="5"/>
    </row>
    <row r="840">
      <c r="A840" s="3" t="s">
        <v>3577</v>
      </c>
      <c r="B840" s="3" t="s">
        <v>3578</v>
      </c>
      <c r="C840" s="3" t="s">
        <v>70</v>
      </c>
      <c r="D840" s="3" t="s">
        <v>3579</v>
      </c>
      <c r="E840" s="5"/>
      <c r="F840" s="5"/>
      <c r="G840" s="5"/>
      <c r="H840" s="5"/>
      <c r="I840" s="5"/>
      <c r="J840" s="5"/>
      <c r="K840" s="5"/>
      <c r="L840" s="5"/>
      <c r="M840" s="5"/>
      <c r="N840" s="5"/>
      <c r="O840" s="5"/>
      <c r="P840" s="5"/>
      <c r="Q840" s="5"/>
      <c r="R840" s="5"/>
      <c r="S840" s="5"/>
      <c r="T840" s="5"/>
      <c r="U840" s="5"/>
      <c r="V840" s="5"/>
      <c r="W840" s="5"/>
    </row>
    <row r="841">
      <c r="A841" s="3" t="s">
        <v>3580</v>
      </c>
      <c r="B841" s="3" t="s">
        <v>3581</v>
      </c>
      <c r="C841" s="3" t="s">
        <v>70</v>
      </c>
      <c r="D841" s="3" t="s">
        <v>3582</v>
      </c>
      <c r="E841" s="5"/>
      <c r="F841" s="5"/>
      <c r="G841" s="5"/>
      <c r="H841" s="5"/>
      <c r="I841" s="5"/>
      <c r="J841" s="5"/>
      <c r="K841" s="5"/>
      <c r="L841" s="5"/>
      <c r="M841" s="5"/>
      <c r="N841" s="5"/>
      <c r="O841" s="5"/>
      <c r="P841" s="5"/>
      <c r="Q841" s="5"/>
      <c r="R841" s="5"/>
      <c r="S841" s="5"/>
      <c r="T841" s="5"/>
      <c r="U841" s="5"/>
      <c r="V841" s="5"/>
      <c r="W841" s="5"/>
    </row>
    <row r="842">
      <c r="A842" s="3" t="s">
        <v>3583</v>
      </c>
      <c r="B842" s="3" t="s">
        <v>3584</v>
      </c>
      <c r="C842" s="3" t="s">
        <v>80</v>
      </c>
      <c r="D842" s="3" t="s">
        <v>3585</v>
      </c>
      <c r="E842" s="5"/>
      <c r="F842" s="5"/>
      <c r="G842" s="5"/>
      <c r="H842" s="5"/>
      <c r="I842" s="5"/>
      <c r="J842" s="5"/>
      <c r="K842" s="5"/>
      <c r="L842" s="5"/>
      <c r="M842" s="5"/>
      <c r="N842" s="5"/>
      <c r="O842" s="5"/>
      <c r="P842" s="5"/>
      <c r="Q842" s="5"/>
      <c r="R842" s="5"/>
      <c r="S842" s="5"/>
      <c r="T842" s="5"/>
      <c r="U842" s="5"/>
      <c r="V842" s="5"/>
      <c r="W842" s="5"/>
    </row>
    <row r="843">
      <c r="A843" s="3" t="s">
        <v>3586</v>
      </c>
      <c r="B843" s="3" t="s">
        <v>3587</v>
      </c>
      <c r="C843" s="3" t="s">
        <v>80</v>
      </c>
      <c r="D843" s="3" t="s">
        <v>3588</v>
      </c>
      <c r="E843" s="5"/>
      <c r="F843" s="5"/>
      <c r="G843" s="5"/>
      <c r="H843" s="5"/>
      <c r="I843" s="5"/>
      <c r="J843" s="5"/>
      <c r="K843" s="5"/>
      <c r="L843" s="5"/>
      <c r="M843" s="5"/>
      <c r="N843" s="5"/>
      <c r="O843" s="5"/>
      <c r="P843" s="5"/>
      <c r="Q843" s="5"/>
      <c r="R843" s="5"/>
      <c r="S843" s="5"/>
      <c r="T843" s="5"/>
      <c r="U843" s="5"/>
      <c r="V843" s="5"/>
      <c r="W843" s="5"/>
    </row>
    <row r="844">
      <c r="A844" s="3" t="s">
        <v>3589</v>
      </c>
      <c r="B844" s="3" t="s">
        <v>3590</v>
      </c>
      <c r="C844" s="3" t="s">
        <v>80</v>
      </c>
      <c r="D844" s="3" t="s">
        <v>3591</v>
      </c>
      <c r="E844" s="5"/>
      <c r="F844" s="5"/>
      <c r="G844" s="5"/>
      <c r="H844" s="5"/>
      <c r="I844" s="5"/>
      <c r="J844" s="5"/>
      <c r="K844" s="5"/>
      <c r="L844" s="5"/>
      <c r="M844" s="5"/>
      <c r="N844" s="5"/>
      <c r="O844" s="5"/>
      <c r="P844" s="5"/>
      <c r="Q844" s="5"/>
      <c r="R844" s="5"/>
      <c r="S844" s="5"/>
      <c r="T844" s="5"/>
      <c r="U844" s="5"/>
      <c r="V844" s="5"/>
      <c r="W844" s="5"/>
    </row>
    <row r="845">
      <c r="A845" s="3" t="s">
        <v>3592</v>
      </c>
      <c r="B845" s="3" t="s">
        <v>3593</v>
      </c>
      <c r="C845" s="3" t="s">
        <v>80</v>
      </c>
      <c r="D845" s="3" t="s">
        <v>3594</v>
      </c>
      <c r="E845" s="5"/>
      <c r="F845" s="5"/>
      <c r="G845" s="5"/>
      <c r="H845" s="5"/>
      <c r="I845" s="5"/>
      <c r="J845" s="5"/>
      <c r="K845" s="5"/>
      <c r="L845" s="5"/>
      <c r="M845" s="5"/>
      <c r="N845" s="5"/>
      <c r="O845" s="5"/>
      <c r="P845" s="5"/>
      <c r="Q845" s="5"/>
      <c r="R845" s="5"/>
      <c r="S845" s="5"/>
      <c r="T845" s="5"/>
      <c r="U845" s="5"/>
      <c r="V845" s="5"/>
      <c r="W845" s="5"/>
    </row>
    <row r="846">
      <c r="A846" s="3" t="s">
        <v>1889</v>
      </c>
      <c r="B846" s="3" t="s">
        <v>3595</v>
      </c>
      <c r="C846" s="3" t="s">
        <v>80</v>
      </c>
      <c r="D846" s="3" t="s">
        <v>3596</v>
      </c>
      <c r="E846" s="5"/>
      <c r="F846" s="5"/>
      <c r="G846" s="5"/>
      <c r="H846" s="5"/>
      <c r="I846" s="5"/>
      <c r="J846" s="5"/>
      <c r="K846" s="5"/>
      <c r="L846" s="5"/>
      <c r="M846" s="5"/>
      <c r="N846" s="5"/>
      <c r="O846" s="5"/>
      <c r="P846" s="5"/>
      <c r="Q846" s="5"/>
      <c r="R846" s="5"/>
      <c r="S846" s="5"/>
      <c r="T846" s="5"/>
      <c r="U846" s="5"/>
      <c r="V846" s="5"/>
      <c r="W846" s="5"/>
    </row>
    <row r="847">
      <c r="A847" s="3" t="s">
        <v>3597</v>
      </c>
      <c r="B847" s="3" t="s">
        <v>3598</v>
      </c>
      <c r="C847" s="3" t="s">
        <v>80</v>
      </c>
      <c r="D847" s="3" t="s">
        <v>3599</v>
      </c>
      <c r="E847" s="5"/>
      <c r="F847" s="5"/>
      <c r="G847" s="5"/>
      <c r="H847" s="5"/>
      <c r="I847" s="5"/>
      <c r="J847" s="5"/>
      <c r="K847" s="5"/>
      <c r="L847" s="5"/>
      <c r="M847" s="5"/>
      <c r="N847" s="5"/>
      <c r="O847" s="5"/>
      <c r="P847" s="5"/>
      <c r="Q847" s="5"/>
      <c r="R847" s="5"/>
      <c r="S847" s="5"/>
      <c r="T847" s="5"/>
      <c r="U847" s="5"/>
      <c r="V847" s="5"/>
      <c r="W847" s="5"/>
    </row>
    <row r="848">
      <c r="A848" s="3" t="s">
        <v>3600</v>
      </c>
      <c r="B848" s="3" t="s">
        <v>3601</v>
      </c>
      <c r="C848" s="3" t="s">
        <v>80</v>
      </c>
      <c r="D848" s="3" t="s">
        <v>3602</v>
      </c>
      <c r="E848" s="5"/>
      <c r="F848" s="5"/>
      <c r="G848" s="5"/>
      <c r="H848" s="5"/>
      <c r="I848" s="5"/>
      <c r="J848" s="5"/>
      <c r="K848" s="5"/>
      <c r="L848" s="5"/>
      <c r="M848" s="5"/>
      <c r="N848" s="5"/>
      <c r="O848" s="5"/>
      <c r="P848" s="5"/>
      <c r="Q848" s="5"/>
      <c r="R848" s="5"/>
      <c r="S848" s="5"/>
      <c r="T848" s="5"/>
      <c r="U848" s="5"/>
      <c r="V848" s="5"/>
      <c r="W848" s="5"/>
    </row>
    <row r="849">
      <c r="A849" s="3" t="s">
        <v>3603</v>
      </c>
      <c r="B849" s="3" t="s">
        <v>3604</v>
      </c>
      <c r="C849" s="3" t="s">
        <v>72</v>
      </c>
      <c r="D849" s="3" t="s">
        <v>3605</v>
      </c>
      <c r="E849" s="5"/>
      <c r="F849" s="5"/>
      <c r="G849" s="5"/>
      <c r="H849" s="5"/>
      <c r="I849" s="5"/>
      <c r="J849" s="5"/>
      <c r="K849" s="5"/>
      <c r="L849" s="5"/>
      <c r="M849" s="5"/>
      <c r="N849" s="5"/>
      <c r="O849" s="5"/>
      <c r="P849" s="5"/>
      <c r="Q849" s="5"/>
      <c r="R849" s="5"/>
      <c r="S849" s="5"/>
      <c r="T849" s="5"/>
      <c r="U849" s="5"/>
      <c r="V849" s="5"/>
      <c r="W849" s="5"/>
    </row>
    <row r="850">
      <c r="A850" s="3" t="s">
        <v>3606</v>
      </c>
      <c r="B850" s="3" t="s">
        <v>3607</v>
      </c>
      <c r="C850" s="3" t="s">
        <v>72</v>
      </c>
      <c r="D850" s="3" t="s">
        <v>3608</v>
      </c>
      <c r="E850" s="5"/>
      <c r="F850" s="5"/>
      <c r="G850" s="5"/>
      <c r="H850" s="5"/>
      <c r="I850" s="5"/>
      <c r="J850" s="5"/>
      <c r="K850" s="5"/>
      <c r="L850" s="5"/>
      <c r="M850" s="5"/>
      <c r="N850" s="5"/>
      <c r="O850" s="5"/>
      <c r="P850" s="5"/>
      <c r="Q850" s="5"/>
      <c r="R850" s="5"/>
      <c r="S850" s="5"/>
      <c r="T850" s="5"/>
      <c r="U850" s="5"/>
      <c r="V850" s="5"/>
      <c r="W850" s="5"/>
    </row>
    <row r="851">
      <c r="A851" s="3" t="s">
        <v>3609</v>
      </c>
      <c r="B851" s="3" t="s">
        <v>3610</v>
      </c>
      <c r="C851" s="3" t="s">
        <v>72</v>
      </c>
      <c r="D851" s="3" t="s">
        <v>3611</v>
      </c>
      <c r="E851" s="5"/>
      <c r="F851" s="5"/>
      <c r="G851" s="5"/>
      <c r="H851" s="5"/>
      <c r="I851" s="5"/>
      <c r="J851" s="5"/>
      <c r="K851" s="5"/>
      <c r="L851" s="5"/>
      <c r="M851" s="5"/>
      <c r="N851" s="5"/>
      <c r="O851" s="5"/>
      <c r="P851" s="5"/>
      <c r="Q851" s="5"/>
      <c r="R851" s="5"/>
      <c r="S851" s="5"/>
      <c r="T851" s="5"/>
      <c r="U851" s="5"/>
      <c r="V851" s="5"/>
      <c r="W851" s="5"/>
    </row>
    <row r="852">
      <c r="A852" s="3" t="s">
        <v>3612</v>
      </c>
      <c r="B852" s="3" t="s">
        <v>3613</v>
      </c>
      <c r="C852" s="3" t="s">
        <v>72</v>
      </c>
      <c r="D852" s="3" t="s">
        <v>3614</v>
      </c>
      <c r="E852" s="5"/>
      <c r="F852" s="5"/>
      <c r="G852" s="5"/>
      <c r="H852" s="5"/>
      <c r="I852" s="5"/>
      <c r="J852" s="5"/>
      <c r="K852" s="5"/>
      <c r="L852" s="5"/>
      <c r="M852" s="5"/>
      <c r="N852" s="5"/>
      <c r="O852" s="5"/>
      <c r="P852" s="5"/>
      <c r="Q852" s="5"/>
      <c r="R852" s="5"/>
      <c r="S852" s="5"/>
      <c r="T852" s="5"/>
      <c r="U852" s="5"/>
      <c r="V852" s="5"/>
      <c r="W852" s="5"/>
    </row>
    <row r="853">
      <c r="A853" s="3" t="s">
        <v>3615</v>
      </c>
      <c r="B853" s="3" t="s">
        <v>3616</v>
      </c>
      <c r="C853" s="3" t="s">
        <v>72</v>
      </c>
      <c r="D853" s="3" t="s">
        <v>3617</v>
      </c>
      <c r="E853" s="5"/>
      <c r="F853" s="5"/>
      <c r="G853" s="5"/>
      <c r="H853" s="5"/>
      <c r="I853" s="5"/>
      <c r="J853" s="5"/>
      <c r="K853" s="5"/>
      <c r="L853" s="5"/>
      <c r="M853" s="5"/>
      <c r="N853" s="5"/>
      <c r="O853" s="5"/>
      <c r="P853" s="5"/>
      <c r="Q853" s="5"/>
      <c r="R853" s="5"/>
      <c r="S853" s="5"/>
      <c r="T853" s="5"/>
      <c r="U853" s="5"/>
      <c r="V853" s="5"/>
      <c r="W853" s="5"/>
    </row>
    <row r="854">
      <c r="A854" s="3" t="s">
        <v>3618</v>
      </c>
      <c r="B854" s="3" t="s">
        <v>3619</v>
      </c>
      <c r="C854" s="3" t="s">
        <v>72</v>
      </c>
      <c r="D854" s="3" t="s">
        <v>3620</v>
      </c>
      <c r="E854" s="5"/>
      <c r="F854" s="5"/>
      <c r="G854" s="5"/>
      <c r="H854" s="5"/>
      <c r="I854" s="5"/>
      <c r="J854" s="5"/>
      <c r="K854" s="5"/>
      <c r="L854" s="5"/>
      <c r="M854" s="5"/>
      <c r="N854" s="5"/>
      <c r="O854" s="5"/>
      <c r="P854" s="5"/>
      <c r="Q854" s="5"/>
      <c r="R854" s="5"/>
      <c r="S854" s="5"/>
      <c r="T854" s="5"/>
      <c r="U854" s="5"/>
      <c r="V854" s="5"/>
      <c r="W854" s="5"/>
    </row>
    <row r="855">
      <c r="A855" s="3" t="s">
        <v>3621</v>
      </c>
      <c r="B855" s="3" t="s">
        <v>3622</v>
      </c>
      <c r="C855" s="3" t="s">
        <v>72</v>
      </c>
      <c r="D855" s="3" t="s">
        <v>3623</v>
      </c>
      <c r="E855" s="5"/>
      <c r="F855" s="5"/>
      <c r="G855" s="5"/>
      <c r="H855" s="5"/>
      <c r="I855" s="5"/>
      <c r="J855" s="5"/>
      <c r="K855" s="5"/>
      <c r="L855" s="5"/>
      <c r="M855" s="5"/>
      <c r="N855" s="5"/>
      <c r="O855" s="5"/>
      <c r="P855" s="5"/>
      <c r="Q855" s="5"/>
      <c r="R855" s="5"/>
      <c r="S855" s="5"/>
      <c r="T855" s="5"/>
      <c r="U855" s="5"/>
      <c r="V855" s="5"/>
      <c r="W855" s="5"/>
    </row>
    <row r="856">
      <c r="A856" s="3" t="s">
        <v>3624</v>
      </c>
      <c r="B856" s="3" t="s">
        <v>3625</v>
      </c>
      <c r="C856" s="3" t="s">
        <v>3626</v>
      </c>
      <c r="D856" s="3" t="s">
        <v>3542</v>
      </c>
      <c r="E856" s="5"/>
      <c r="F856" s="5"/>
      <c r="G856" s="5"/>
      <c r="H856" s="5"/>
      <c r="I856" s="5"/>
      <c r="J856" s="5"/>
      <c r="K856" s="5"/>
      <c r="L856" s="5"/>
      <c r="M856" s="5"/>
      <c r="N856" s="5"/>
      <c r="O856" s="5"/>
      <c r="P856" s="5"/>
      <c r="Q856" s="5"/>
      <c r="R856" s="5"/>
      <c r="S856" s="5"/>
      <c r="T856" s="5"/>
      <c r="U856" s="5"/>
      <c r="V856" s="5"/>
      <c r="W856" s="5"/>
    </row>
    <row r="857">
      <c r="A857" s="3" t="s">
        <v>3627</v>
      </c>
      <c r="B857" s="3" t="s">
        <v>3628</v>
      </c>
      <c r="C857" s="3" t="s">
        <v>3629</v>
      </c>
      <c r="D857" s="3" t="s">
        <v>3630</v>
      </c>
      <c r="E857" s="5"/>
      <c r="F857" s="5"/>
      <c r="G857" s="5"/>
      <c r="H857" s="5"/>
      <c r="I857" s="5"/>
      <c r="J857" s="5"/>
      <c r="K857" s="5"/>
      <c r="L857" s="5"/>
      <c r="M857" s="5"/>
      <c r="N857" s="5"/>
      <c r="O857" s="5"/>
      <c r="P857" s="5"/>
      <c r="Q857" s="5"/>
      <c r="R857" s="5"/>
      <c r="S857" s="5"/>
      <c r="T857" s="5"/>
      <c r="U857" s="5"/>
      <c r="V857" s="5"/>
      <c r="W857" s="5"/>
    </row>
    <row r="858">
      <c r="A858" s="3" t="s">
        <v>3631</v>
      </c>
      <c r="B858" s="3" t="s">
        <v>3632</v>
      </c>
      <c r="C858" s="3" t="s">
        <v>72</v>
      </c>
      <c r="D858" s="3" t="s">
        <v>3633</v>
      </c>
      <c r="E858" s="5"/>
      <c r="F858" s="5"/>
      <c r="G858" s="5"/>
      <c r="H858" s="5"/>
      <c r="I858" s="5"/>
      <c r="J858" s="5"/>
      <c r="K858" s="5"/>
      <c r="L858" s="5"/>
      <c r="M858" s="5"/>
      <c r="N858" s="5"/>
      <c r="O858" s="5"/>
      <c r="P858" s="5"/>
      <c r="Q858" s="5"/>
      <c r="R858" s="5"/>
      <c r="S858" s="5"/>
      <c r="T858" s="5"/>
      <c r="U858" s="5"/>
      <c r="V858" s="5"/>
      <c r="W858" s="5"/>
    </row>
    <row r="859">
      <c r="A859" s="3" t="s">
        <v>3634</v>
      </c>
      <c r="B859" s="3" t="s">
        <v>3635</v>
      </c>
      <c r="C859" s="3" t="s">
        <v>90</v>
      </c>
      <c r="D859" s="3" t="s">
        <v>3636</v>
      </c>
      <c r="E859" s="5"/>
      <c r="F859" s="5"/>
      <c r="G859" s="5"/>
      <c r="H859" s="5"/>
      <c r="I859" s="5"/>
      <c r="J859" s="5"/>
      <c r="K859" s="5"/>
      <c r="L859" s="5"/>
      <c r="M859" s="5"/>
      <c r="N859" s="5"/>
      <c r="O859" s="5"/>
      <c r="P859" s="5"/>
      <c r="Q859" s="5"/>
      <c r="R859" s="5"/>
      <c r="S859" s="5"/>
      <c r="T859" s="5"/>
      <c r="U859" s="5"/>
      <c r="V859" s="5"/>
      <c r="W859" s="5"/>
    </row>
    <row r="860">
      <c r="A860" s="3" t="s">
        <v>3637</v>
      </c>
      <c r="B860" s="3" t="s">
        <v>3638</v>
      </c>
      <c r="C860" s="3" t="s">
        <v>90</v>
      </c>
      <c r="D860" s="3" t="s">
        <v>3639</v>
      </c>
      <c r="E860" s="5"/>
      <c r="F860" s="5"/>
      <c r="G860" s="5"/>
      <c r="H860" s="5"/>
      <c r="I860" s="5"/>
      <c r="J860" s="5"/>
      <c r="K860" s="5"/>
      <c r="L860" s="5"/>
      <c r="M860" s="5"/>
      <c r="N860" s="5"/>
      <c r="O860" s="5"/>
      <c r="P860" s="5"/>
      <c r="Q860" s="5"/>
      <c r="R860" s="5"/>
      <c r="S860" s="5"/>
      <c r="T860" s="5"/>
      <c r="U860" s="5"/>
      <c r="V860" s="5"/>
      <c r="W860" s="5"/>
    </row>
    <row r="861">
      <c r="A861" s="3" t="s">
        <v>3640</v>
      </c>
      <c r="B861" s="3" t="s">
        <v>3641</v>
      </c>
      <c r="C861" s="3" t="s">
        <v>90</v>
      </c>
      <c r="D861" s="3" t="s">
        <v>3642</v>
      </c>
      <c r="E861" s="5"/>
      <c r="F861" s="5"/>
      <c r="G861" s="5"/>
      <c r="H861" s="5"/>
      <c r="I861" s="5"/>
      <c r="J861" s="5"/>
      <c r="K861" s="5"/>
      <c r="L861" s="5"/>
      <c r="M861" s="5"/>
      <c r="N861" s="5"/>
      <c r="O861" s="5"/>
      <c r="P861" s="5"/>
      <c r="Q861" s="5"/>
      <c r="R861" s="5"/>
      <c r="S861" s="5"/>
      <c r="T861" s="5"/>
      <c r="U861" s="5"/>
      <c r="V861" s="5"/>
      <c r="W861" s="5"/>
    </row>
    <row r="862">
      <c r="A862" s="3" t="s">
        <v>3643</v>
      </c>
      <c r="B862" s="3" t="s">
        <v>3644</v>
      </c>
      <c r="C862" s="3" t="s">
        <v>72</v>
      </c>
      <c r="D862" s="3" t="s">
        <v>3645</v>
      </c>
      <c r="E862" s="5"/>
      <c r="F862" s="5"/>
      <c r="G862" s="5"/>
      <c r="H862" s="5"/>
      <c r="I862" s="5"/>
      <c r="J862" s="5"/>
      <c r="K862" s="5"/>
      <c r="L862" s="5"/>
      <c r="M862" s="5"/>
      <c r="N862" s="5"/>
      <c r="O862" s="5"/>
      <c r="P862" s="5"/>
      <c r="Q862" s="5"/>
      <c r="R862" s="5"/>
      <c r="S862" s="5"/>
      <c r="T862" s="5"/>
      <c r="U862" s="5"/>
      <c r="V862" s="5"/>
      <c r="W862" s="5"/>
    </row>
    <row r="863">
      <c r="A863" s="3" t="s">
        <v>3646</v>
      </c>
      <c r="B863" s="3" t="s">
        <v>3647</v>
      </c>
      <c r="C863" s="3" t="s">
        <v>72</v>
      </c>
      <c r="D863" s="3" t="s">
        <v>3648</v>
      </c>
      <c r="E863" s="5"/>
      <c r="F863" s="5"/>
      <c r="G863" s="5"/>
      <c r="H863" s="5"/>
      <c r="I863" s="5"/>
      <c r="J863" s="5"/>
      <c r="K863" s="5"/>
      <c r="L863" s="5"/>
      <c r="M863" s="5"/>
      <c r="N863" s="5"/>
      <c r="O863" s="5"/>
      <c r="P863" s="5"/>
      <c r="Q863" s="5"/>
      <c r="R863" s="5"/>
      <c r="S863" s="5"/>
      <c r="T863" s="5"/>
      <c r="U863" s="5"/>
      <c r="V863" s="5"/>
      <c r="W863" s="5"/>
    </row>
    <row r="864">
      <c r="A864" s="3" t="s">
        <v>3649</v>
      </c>
      <c r="B864" s="3" t="s">
        <v>3650</v>
      </c>
      <c r="C864" s="3" t="s">
        <v>3651</v>
      </c>
      <c r="D864" s="3" t="s">
        <v>3652</v>
      </c>
      <c r="E864" s="5"/>
      <c r="F864" s="5"/>
      <c r="G864" s="5"/>
      <c r="H864" s="5"/>
      <c r="I864" s="5"/>
      <c r="J864" s="5"/>
      <c r="K864" s="5"/>
      <c r="L864" s="5"/>
      <c r="M864" s="5"/>
      <c r="N864" s="5"/>
      <c r="O864" s="5"/>
      <c r="P864" s="5"/>
      <c r="Q864" s="5"/>
      <c r="R864" s="5"/>
      <c r="S864" s="5"/>
      <c r="T864" s="5"/>
      <c r="U864" s="5"/>
      <c r="V864" s="5"/>
      <c r="W864" s="5"/>
    </row>
    <row r="865">
      <c r="A865" s="3" t="s">
        <v>3653</v>
      </c>
      <c r="B865" s="3" t="s">
        <v>3654</v>
      </c>
      <c r="C865" s="3" t="s">
        <v>3655</v>
      </c>
      <c r="D865" s="3" t="s">
        <v>3656</v>
      </c>
      <c r="E865" s="5"/>
      <c r="F865" s="5"/>
      <c r="G865" s="5"/>
      <c r="H865" s="5"/>
      <c r="I865" s="5"/>
      <c r="J865" s="5"/>
      <c r="K865" s="5"/>
      <c r="L865" s="5"/>
      <c r="M865" s="5"/>
      <c r="N865" s="5"/>
      <c r="O865" s="5"/>
      <c r="P865" s="5"/>
      <c r="Q865" s="5"/>
      <c r="R865" s="5"/>
      <c r="S865" s="5"/>
      <c r="T865" s="5"/>
      <c r="U865" s="5"/>
      <c r="V865" s="5"/>
      <c r="W865" s="5"/>
    </row>
    <row r="866">
      <c r="A866" s="3" t="s">
        <v>3657</v>
      </c>
      <c r="B866" s="3" t="s">
        <v>3658</v>
      </c>
      <c r="C866" s="3" t="s">
        <v>3659</v>
      </c>
      <c r="D866" s="3" t="s">
        <v>3660</v>
      </c>
      <c r="E866" s="5"/>
      <c r="F866" s="5"/>
      <c r="G866" s="5"/>
      <c r="H866" s="5"/>
      <c r="I866" s="5"/>
      <c r="J866" s="5"/>
      <c r="K866" s="5"/>
      <c r="L866" s="5"/>
      <c r="M866" s="5"/>
      <c r="N866" s="5"/>
      <c r="O866" s="5"/>
      <c r="P866" s="5"/>
      <c r="Q866" s="5"/>
      <c r="R866" s="5"/>
      <c r="S866" s="5"/>
      <c r="T866" s="5"/>
      <c r="U866" s="5"/>
      <c r="V866" s="5"/>
      <c r="W866" s="5"/>
    </row>
    <row r="867">
      <c r="A867" s="3" t="s">
        <v>3661</v>
      </c>
      <c r="B867" s="3" t="s">
        <v>3662</v>
      </c>
      <c r="C867" s="3" t="s">
        <v>72</v>
      </c>
      <c r="D867" s="3" t="s">
        <v>3663</v>
      </c>
      <c r="E867" s="5"/>
      <c r="F867" s="5"/>
      <c r="G867" s="5"/>
      <c r="H867" s="5"/>
      <c r="I867" s="5"/>
      <c r="J867" s="5"/>
      <c r="K867" s="5"/>
      <c r="L867" s="5"/>
      <c r="M867" s="5"/>
      <c r="N867" s="5"/>
      <c r="O867" s="5"/>
      <c r="P867" s="5"/>
      <c r="Q867" s="5"/>
      <c r="R867" s="5"/>
      <c r="S867" s="5"/>
      <c r="T867" s="5"/>
      <c r="U867" s="5"/>
      <c r="V867" s="5"/>
      <c r="W867" s="5"/>
    </row>
    <row r="868">
      <c r="A868" s="3" t="s">
        <v>3664</v>
      </c>
      <c r="B868" s="3" t="s">
        <v>3665</v>
      </c>
      <c r="C868" s="3" t="s">
        <v>86</v>
      </c>
      <c r="D868" s="3" t="s">
        <v>3666</v>
      </c>
      <c r="E868" s="5"/>
      <c r="F868" s="5"/>
      <c r="G868" s="5"/>
      <c r="H868" s="5"/>
      <c r="I868" s="5"/>
      <c r="J868" s="5"/>
      <c r="K868" s="5"/>
      <c r="L868" s="5"/>
      <c r="M868" s="5"/>
      <c r="N868" s="5"/>
      <c r="O868" s="5"/>
      <c r="P868" s="5"/>
      <c r="Q868" s="5"/>
      <c r="R868" s="5"/>
      <c r="S868" s="5"/>
      <c r="T868" s="5"/>
      <c r="U868" s="5"/>
      <c r="V868" s="5"/>
      <c r="W868" s="5"/>
    </row>
    <row r="869">
      <c r="A869" s="3" t="s">
        <v>3667</v>
      </c>
      <c r="B869" s="3" t="s">
        <v>3668</v>
      </c>
      <c r="C869" s="3" t="s">
        <v>3669</v>
      </c>
      <c r="D869" s="3" t="s">
        <v>3670</v>
      </c>
      <c r="E869" s="5"/>
      <c r="F869" s="5"/>
      <c r="G869" s="5"/>
      <c r="H869" s="5"/>
      <c r="I869" s="5"/>
      <c r="J869" s="5"/>
      <c r="K869" s="5"/>
      <c r="L869" s="5"/>
      <c r="M869" s="5"/>
      <c r="N869" s="5"/>
      <c r="O869" s="5"/>
      <c r="P869" s="5"/>
      <c r="Q869" s="5"/>
      <c r="R869" s="5"/>
      <c r="S869" s="5"/>
      <c r="T869" s="5"/>
      <c r="U869" s="5"/>
      <c r="V869" s="5"/>
      <c r="W869" s="5"/>
    </row>
    <row r="870">
      <c r="A870" s="3" t="s">
        <v>3671</v>
      </c>
      <c r="B870" s="3" t="s">
        <v>3672</v>
      </c>
      <c r="C870" s="3" t="s">
        <v>3673</v>
      </c>
      <c r="D870" s="3" t="s">
        <v>3674</v>
      </c>
      <c r="E870" s="5"/>
      <c r="F870" s="5"/>
      <c r="G870" s="5"/>
      <c r="H870" s="5"/>
      <c r="I870" s="5"/>
      <c r="J870" s="5"/>
      <c r="K870" s="5"/>
      <c r="L870" s="5"/>
      <c r="M870" s="5"/>
      <c r="N870" s="5"/>
      <c r="O870" s="5"/>
      <c r="P870" s="5"/>
      <c r="Q870" s="5"/>
      <c r="R870" s="5"/>
      <c r="S870" s="5"/>
      <c r="T870" s="5"/>
      <c r="U870" s="5"/>
      <c r="V870" s="5"/>
      <c r="W870" s="5"/>
    </row>
    <row r="871">
      <c r="A871" s="3" t="s">
        <v>3675</v>
      </c>
      <c r="B871" s="3" t="s">
        <v>3676</v>
      </c>
      <c r="C871" s="3" t="s">
        <v>3626</v>
      </c>
      <c r="D871" s="3" t="s">
        <v>3677</v>
      </c>
      <c r="E871" s="5"/>
      <c r="F871" s="5"/>
      <c r="G871" s="5"/>
      <c r="H871" s="5"/>
      <c r="I871" s="5"/>
      <c r="J871" s="5"/>
      <c r="K871" s="5"/>
      <c r="L871" s="5"/>
      <c r="M871" s="5"/>
      <c r="N871" s="5"/>
      <c r="O871" s="5"/>
      <c r="P871" s="5"/>
      <c r="Q871" s="5"/>
      <c r="R871" s="5"/>
      <c r="S871" s="5"/>
      <c r="T871" s="5"/>
      <c r="U871" s="5"/>
      <c r="V871" s="5"/>
      <c r="W871" s="5"/>
    </row>
    <row r="872">
      <c r="A872" s="3" t="s">
        <v>3678</v>
      </c>
      <c r="B872" s="3" t="s">
        <v>3679</v>
      </c>
      <c r="C872" s="3" t="s">
        <v>3680</v>
      </c>
      <c r="D872" s="3" t="s">
        <v>2571</v>
      </c>
      <c r="E872" s="5"/>
      <c r="F872" s="5"/>
      <c r="G872" s="5"/>
      <c r="H872" s="5"/>
      <c r="I872" s="5"/>
      <c r="J872" s="5"/>
      <c r="K872" s="5"/>
      <c r="L872" s="5"/>
      <c r="M872" s="5"/>
      <c r="N872" s="5"/>
      <c r="O872" s="5"/>
      <c r="P872" s="5"/>
      <c r="Q872" s="5"/>
      <c r="R872" s="5"/>
      <c r="S872" s="5"/>
      <c r="T872" s="5"/>
      <c r="U872" s="5"/>
      <c r="V872" s="5"/>
      <c r="W872" s="5"/>
    </row>
    <row r="873">
      <c r="A873" s="3" t="s">
        <v>3681</v>
      </c>
      <c r="B873" s="3" t="s">
        <v>3682</v>
      </c>
      <c r="C873" s="3" t="s">
        <v>3680</v>
      </c>
      <c r="D873" s="3" t="s">
        <v>3683</v>
      </c>
      <c r="E873" s="5"/>
      <c r="F873" s="5"/>
      <c r="G873" s="5"/>
      <c r="H873" s="5"/>
      <c r="I873" s="5"/>
      <c r="J873" s="5"/>
      <c r="K873" s="5"/>
      <c r="L873" s="5"/>
      <c r="M873" s="5"/>
      <c r="N873" s="5"/>
      <c r="O873" s="5"/>
      <c r="P873" s="5"/>
      <c r="Q873" s="5"/>
      <c r="R873" s="5"/>
      <c r="S873" s="5"/>
      <c r="T873" s="5"/>
      <c r="U873" s="5"/>
      <c r="V873" s="5"/>
      <c r="W873" s="5"/>
    </row>
    <row r="874">
      <c r="A874" s="3" t="s">
        <v>3684</v>
      </c>
      <c r="B874" s="3" t="s">
        <v>3685</v>
      </c>
      <c r="C874" s="3" t="s">
        <v>3680</v>
      </c>
      <c r="D874" s="3" t="s">
        <v>3686</v>
      </c>
      <c r="E874" s="5"/>
      <c r="F874" s="5"/>
      <c r="G874" s="5"/>
      <c r="H874" s="5"/>
      <c r="I874" s="5"/>
      <c r="J874" s="5"/>
      <c r="K874" s="5"/>
      <c r="L874" s="5"/>
      <c r="M874" s="5"/>
      <c r="N874" s="5"/>
      <c r="O874" s="5"/>
      <c r="P874" s="5"/>
      <c r="Q874" s="5"/>
      <c r="R874" s="5"/>
      <c r="S874" s="5"/>
      <c r="T874" s="5"/>
      <c r="U874" s="5"/>
      <c r="V874" s="5"/>
      <c r="W874" s="5"/>
    </row>
    <row r="875">
      <c r="A875" s="3" t="s">
        <v>3687</v>
      </c>
      <c r="B875" s="3" t="s">
        <v>3688</v>
      </c>
      <c r="C875" s="3" t="s">
        <v>3680</v>
      </c>
      <c r="D875" s="3" t="s">
        <v>3689</v>
      </c>
      <c r="E875" s="5"/>
      <c r="F875" s="5"/>
      <c r="G875" s="5"/>
      <c r="H875" s="5"/>
      <c r="I875" s="5"/>
      <c r="J875" s="5"/>
      <c r="K875" s="5"/>
      <c r="L875" s="5"/>
      <c r="M875" s="5"/>
      <c r="N875" s="5"/>
      <c r="O875" s="5"/>
      <c r="P875" s="5"/>
      <c r="Q875" s="5"/>
      <c r="R875" s="5"/>
      <c r="S875" s="5"/>
      <c r="T875" s="5"/>
      <c r="U875" s="5"/>
      <c r="V875" s="5"/>
      <c r="W875" s="5"/>
    </row>
    <row r="876">
      <c r="A876" s="3" t="s">
        <v>3690</v>
      </c>
      <c r="B876" s="3" t="s">
        <v>3691</v>
      </c>
      <c r="C876" s="3" t="s">
        <v>3692</v>
      </c>
      <c r="D876" s="3" t="s">
        <v>3693</v>
      </c>
      <c r="E876" s="5"/>
      <c r="F876" s="5"/>
      <c r="G876" s="5"/>
      <c r="H876" s="5"/>
      <c r="I876" s="5"/>
      <c r="J876" s="5"/>
      <c r="K876" s="5"/>
      <c r="L876" s="5"/>
      <c r="M876" s="5"/>
      <c r="N876" s="5"/>
      <c r="O876" s="5"/>
      <c r="P876" s="5"/>
      <c r="Q876" s="5"/>
      <c r="R876" s="5"/>
      <c r="S876" s="5"/>
      <c r="T876" s="5"/>
      <c r="U876" s="5"/>
      <c r="V876" s="5"/>
      <c r="W876" s="5"/>
    </row>
    <row r="877">
      <c r="A877" s="3" t="s">
        <v>3694</v>
      </c>
      <c r="B877" s="3" t="s">
        <v>3695</v>
      </c>
      <c r="C877" s="3" t="s">
        <v>3626</v>
      </c>
      <c r="D877" s="3" t="s">
        <v>3696</v>
      </c>
      <c r="E877" s="5"/>
      <c r="F877" s="5"/>
      <c r="G877" s="5"/>
      <c r="H877" s="5"/>
      <c r="I877" s="5"/>
      <c r="J877" s="5"/>
      <c r="K877" s="5"/>
      <c r="L877" s="5"/>
      <c r="M877" s="5"/>
      <c r="N877" s="5"/>
      <c r="O877" s="5"/>
      <c r="P877" s="5"/>
      <c r="Q877" s="5"/>
      <c r="R877" s="5"/>
      <c r="S877" s="5"/>
      <c r="T877" s="5"/>
      <c r="U877" s="5"/>
      <c r="V877" s="5"/>
      <c r="W877" s="5"/>
    </row>
    <row r="878">
      <c r="A878" s="16" t="s">
        <v>3697</v>
      </c>
      <c r="B878" s="16" t="s">
        <v>3420</v>
      </c>
      <c r="C878" s="16" t="s">
        <v>43</v>
      </c>
      <c r="D878" s="16" t="s">
        <v>3698</v>
      </c>
      <c r="E878" s="17"/>
      <c r="F878" s="17"/>
      <c r="G878" s="17"/>
      <c r="H878" s="17"/>
      <c r="I878" s="17"/>
      <c r="J878" s="17"/>
      <c r="K878" s="17"/>
      <c r="L878" s="17"/>
      <c r="M878" s="17"/>
      <c r="N878" s="17"/>
      <c r="O878" s="17"/>
      <c r="P878" s="17"/>
      <c r="Q878" s="17"/>
      <c r="R878" s="17"/>
      <c r="S878" s="17"/>
      <c r="T878" s="17"/>
      <c r="U878" s="17"/>
      <c r="V878" s="17"/>
      <c r="W878" s="17"/>
    </row>
    <row r="879">
      <c r="A879" s="16" t="s">
        <v>3699</v>
      </c>
      <c r="B879" s="16" t="s">
        <v>3700</v>
      </c>
      <c r="C879" s="16" t="s">
        <v>98</v>
      </c>
      <c r="D879" s="16" t="s">
        <v>3701</v>
      </c>
      <c r="E879" s="17"/>
      <c r="F879" s="17"/>
      <c r="G879" s="17"/>
      <c r="H879" s="17"/>
      <c r="I879" s="17"/>
      <c r="J879" s="17"/>
      <c r="K879" s="17"/>
      <c r="L879" s="17"/>
      <c r="M879" s="17"/>
      <c r="N879" s="17"/>
      <c r="O879" s="17"/>
      <c r="P879" s="17"/>
      <c r="Q879" s="17"/>
      <c r="R879" s="17"/>
      <c r="S879" s="17"/>
      <c r="T879" s="17"/>
      <c r="U879" s="17"/>
      <c r="V879" s="17"/>
      <c r="W879" s="17"/>
    </row>
    <row r="880">
      <c r="A880" s="3" t="s">
        <v>3702</v>
      </c>
      <c r="B880" s="3" t="s">
        <v>3703</v>
      </c>
      <c r="C880" s="3" t="s">
        <v>3704</v>
      </c>
      <c r="D880" s="3" t="s">
        <v>3705</v>
      </c>
      <c r="E880" s="5"/>
      <c r="F880" s="5"/>
      <c r="G880" s="5"/>
      <c r="H880" s="5"/>
      <c r="I880" s="5"/>
      <c r="J880" s="5"/>
      <c r="K880" s="5"/>
      <c r="L880" s="5"/>
      <c r="M880" s="5"/>
      <c r="N880" s="5"/>
      <c r="O880" s="5"/>
      <c r="P880" s="5"/>
      <c r="Q880" s="5"/>
      <c r="R880" s="5"/>
      <c r="S880" s="5"/>
      <c r="T880" s="5"/>
      <c r="U880" s="5"/>
      <c r="V880" s="5"/>
      <c r="W880" s="5"/>
    </row>
    <row r="881">
      <c r="A881" s="3" t="s">
        <v>3706</v>
      </c>
      <c r="B881" s="3" t="s">
        <v>3707</v>
      </c>
      <c r="C881" s="3" t="s">
        <v>3708</v>
      </c>
      <c r="D881" s="3" t="s">
        <v>3709</v>
      </c>
      <c r="E881" s="5"/>
      <c r="F881" s="5"/>
      <c r="G881" s="5"/>
      <c r="H881" s="5"/>
      <c r="I881" s="5"/>
      <c r="J881" s="5"/>
      <c r="K881" s="5"/>
      <c r="L881" s="5"/>
      <c r="M881" s="5"/>
      <c r="N881" s="5"/>
      <c r="O881" s="5"/>
      <c r="P881" s="5"/>
      <c r="Q881" s="5"/>
      <c r="R881" s="5"/>
      <c r="S881" s="5"/>
      <c r="T881" s="5"/>
      <c r="U881" s="5"/>
      <c r="V881" s="5"/>
      <c r="W881" s="5"/>
    </row>
    <row r="882">
      <c r="A882" s="3" t="s">
        <v>3710</v>
      </c>
      <c r="B882" s="3" t="s">
        <v>3711</v>
      </c>
      <c r="C882" s="3" t="s">
        <v>86</v>
      </c>
      <c r="D882" s="3" t="s">
        <v>3712</v>
      </c>
      <c r="E882" s="5"/>
      <c r="F882" s="5"/>
      <c r="G882" s="5"/>
      <c r="H882" s="5"/>
      <c r="I882" s="5"/>
      <c r="J882" s="5"/>
      <c r="K882" s="5"/>
      <c r="L882" s="5"/>
      <c r="M882" s="5"/>
      <c r="N882" s="5"/>
      <c r="O882" s="5"/>
      <c r="P882" s="5"/>
      <c r="Q882" s="5"/>
      <c r="R882" s="5"/>
      <c r="S882" s="5"/>
      <c r="T882" s="5"/>
      <c r="U882" s="5"/>
      <c r="V882" s="5"/>
      <c r="W882" s="5"/>
    </row>
    <row r="883">
      <c r="A883" s="3" t="s">
        <v>3713</v>
      </c>
      <c r="B883" s="3" t="s">
        <v>3714</v>
      </c>
      <c r="C883" s="3" t="s">
        <v>3715</v>
      </c>
      <c r="D883" s="3" t="s">
        <v>3716</v>
      </c>
      <c r="E883" s="5"/>
      <c r="F883" s="5"/>
      <c r="G883" s="5"/>
      <c r="H883" s="5"/>
      <c r="I883" s="5"/>
      <c r="J883" s="5"/>
      <c r="K883" s="5"/>
      <c r="L883" s="5"/>
      <c r="M883" s="5"/>
      <c r="N883" s="5"/>
      <c r="O883" s="5"/>
      <c r="P883" s="5"/>
      <c r="Q883" s="5"/>
      <c r="R883" s="5"/>
      <c r="S883" s="5"/>
      <c r="T883" s="5"/>
      <c r="U883" s="5"/>
      <c r="V883" s="5"/>
      <c r="W883" s="5"/>
    </row>
    <row r="884">
      <c r="A884" s="3" t="s">
        <v>3717</v>
      </c>
      <c r="B884" s="3" t="s">
        <v>3718</v>
      </c>
      <c r="C884" s="3" t="s">
        <v>3719</v>
      </c>
      <c r="D884" s="3" t="s">
        <v>3720</v>
      </c>
      <c r="E884" s="5"/>
      <c r="F884" s="5"/>
      <c r="G884" s="5"/>
      <c r="H884" s="5"/>
      <c r="I884" s="5"/>
      <c r="J884" s="5"/>
      <c r="K884" s="5"/>
      <c r="L884" s="5"/>
      <c r="M884" s="5"/>
      <c r="N884" s="5"/>
      <c r="O884" s="5"/>
      <c r="P884" s="5"/>
      <c r="Q884" s="5"/>
      <c r="R884" s="5"/>
      <c r="S884" s="5"/>
      <c r="T884" s="5"/>
      <c r="U884" s="5"/>
      <c r="V884" s="5"/>
      <c r="W884" s="5"/>
    </row>
    <row r="885">
      <c r="A885" s="3" t="s">
        <v>3721</v>
      </c>
      <c r="B885" s="3" t="s">
        <v>3722</v>
      </c>
      <c r="C885" s="3" t="s">
        <v>3723</v>
      </c>
      <c r="D885" s="3" t="s">
        <v>3724</v>
      </c>
      <c r="E885" s="5"/>
      <c r="F885" s="5"/>
      <c r="G885" s="5"/>
      <c r="H885" s="5"/>
      <c r="I885" s="5"/>
      <c r="J885" s="5"/>
      <c r="K885" s="5"/>
      <c r="L885" s="5"/>
      <c r="M885" s="5"/>
      <c r="N885" s="5"/>
      <c r="O885" s="5"/>
      <c r="P885" s="5"/>
      <c r="Q885" s="5"/>
      <c r="R885" s="5"/>
      <c r="S885" s="5"/>
      <c r="T885" s="5"/>
      <c r="U885" s="5"/>
      <c r="V885" s="5"/>
      <c r="W885" s="5"/>
    </row>
    <row r="886">
      <c r="A886" s="3" t="s">
        <v>3725</v>
      </c>
      <c r="B886" s="3" t="s">
        <v>3726</v>
      </c>
      <c r="C886" s="3" t="s">
        <v>3723</v>
      </c>
      <c r="D886" s="3" t="s">
        <v>3727</v>
      </c>
      <c r="E886" s="5"/>
      <c r="F886" s="5"/>
      <c r="G886" s="5"/>
      <c r="H886" s="5"/>
      <c r="I886" s="5"/>
      <c r="J886" s="5"/>
      <c r="K886" s="5"/>
      <c r="L886" s="5"/>
      <c r="M886" s="5"/>
      <c r="N886" s="5"/>
      <c r="O886" s="5"/>
      <c r="P886" s="5"/>
      <c r="Q886" s="5"/>
      <c r="R886" s="5"/>
      <c r="S886" s="5"/>
      <c r="T886" s="5"/>
      <c r="U886" s="5"/>
      <c r="V886" s="5"/>
      <c r="W886" s="5"/>
    </row>
    <row r="887">
      <c r="A887" s="3" t="s">
        <v>3728</v>
      </c>
      <c r="B887" s="3" t="s">
        <v>3729</v>
      </c>
      <c r="C887" s="3" t="s">
        <v>3730</v>
      </c>
      <c r="D887" s="3" t="s">
        <v>3731</v>
      </c>
      <c r="E887" s="5"/>
      <c r="F887" s="5"/>
      <c r="G887" s="5"/>
      <c r="H887" s="5"/>
      <c r="I887" s="5"/>
      <c r="J887" s="5"/>
      <c r="K887" s="5"/>
      <c r="L887" s="5"/>
      <c r="M887" s="5"/>
      <c r="N887" s="5"/>
      <c r="O887" s="5"/>
      <c r="P887" s="5"/>
      <c r="Q887" s="5"/>
      <c r="R887" s="5"/>
      <c r="S887" s="5"/>
      <c r="T887" s="5"/>
      <c r="U887" s="5"/>
      <c r="V887" s="5"/>
      <c r="W887" s="5"/>
    </row>
    <row r="888">
      <c r="A888" s="3" t="s">
        <v>3732</v>
      </c>
      <c r="B888" s="3" t="s">
        <v>3733</v>
      </c>
      <c r="C888" s="3" t="s">
        <v>3734</v>
      </c>
      <c r="D888" s="3" t="s">
        <v>3735</v>
      </c>
      <c r="E888" s="5"/>
      <c r="F888" s="5"/>
      <c r="G888" s="5"/>
      <c r="H888" s="5"/>
      <c r="I888" s="5"/>
      <c r="J888" s="5"/>
      <c r="K888" s="5"/>
      <c r="L888" s="5"/>
      <c r="M888" s="5"/>
      <c r="N888" s="5"/>
      <c r="O888" s="5"/>
      <c r="P888" s="5"/>
      <c r="Q888" s="5"/>
      <c r="R888" s="5"/>
      <c r="S888" s="5"/>
      <c r="T888" s="5"/>
      <c r="U888" s="5"/>
      <c r="V888" s="5"/>
      <c r="W888" s="5"/>
    </row>
    <row r="889">
      <c r="A889" s="3" t="s">
        <v>3736</v>
      </c>
      <c r="B889" s="3" t="s">
        <v>3737</v>
      </c>
      <c r="C889" s="3" t="s">
        <v>3734</v>
      </c>
      <c r="D889" s="3" t="s">
        <v>3738</v>
      </c>
      <c r="E889" s="5"/>
      <c r="F889" s="5"/>
      <c r="G889" s="5"/>
      <c r="H889" s="5"/>
      <c r="I889" s="5"/>
      <c r="J889" s="5"/>
      <c r="K889" s="5"/>
      <c r="L889" s="5"/>
      <c r="M889" s="5"/>
      <c r="N889" s="5"/>
      <c r="O889" s="5"/>
      <c r="P889" s="5"/>
      <c r="Q889" s="5"/>
      <c r="R889" s="5"/>
      <c r="S889" s="5"/>
      <c r="T889" s="5"/>
      <c r="U889" s="5"/>
      <c r="V889" s="5"/>
      <c r="W889" s="5"/>
    </row>
    <row r="890">
      <c r="A890" s="3" t="s">
        <v>3739</v>
      </c>
      <c r="B890" s="15" t="s">
        <v>3740</v>
      </c>
      <c r="C890" s="3" t="s">
        <v>3741</v>
      </c>
      <c r="D890" s="3" t="s">
        <v>3742</v>
      </c>
      <c r="E890" s="5"/>
      <c r="F890" s="5"/>
      <c r="G890" s="5"/>
      <c r="H890" s="5"/>
      <c r="I890" s="5"/>
      <c r="J890" s="5"/>
      <c r="K890" s="5"/>
      <c r="L890" s="5"/>
      <c r="M890" s="5"/>
      <c r="N890" s="5"/>
      <c r="O890" s="5"/>
      <c r="P890" s="5"/>
      <c r="Q890" s="5"/>
      <c r="R890" s="5"/>
      <c r="S890" s="5"/>
      <c r="T890" s="5"/>
      <c r="U890" s="5"/>
      <c r="V890" s="5"/>
      <c r="W890" s="5"/>
    </row>
    <row r="891">
      <c r="A891" s="3" t="s">
        <v>3743</v>
      </c>
      <c r="B891" s="3" t="s">
        <v>3744</v>
      </c>
      <c r="C891" s="3" t="s">
        <v>3745</v>
      </c>
      <c r="D891" s="3" t="s">
        <v>3746</v>
      </c>
      <c r="E891" s="5"/>
      <c r="F891" s="5"/>
      <c r="G891" s="5"/>
      <c r="H891" s="5"/>
      <c r="I891" s="5"/>
      <c r="J891" s="5"/>
      <c r="K891" s="5"/>
      <c r="L891" s="5"/>
      <c r="M891" s="5"/>
      <c r="N891" s="5"/>
      <c r="O891" s="5"/>
      <c r="P891" s="5"/>
      <c r="Q891" s="5"/>
      <c r="R891" s="5"/>
      <c r="S891" s="5"/>
      <c r="T891" s="5"/>
      <c r="U891" s="5"/>
      <c r="V891" s="5"/>
      <c r="W891" s="5"/>
    </row>
    <row r="892">
      <c r="A892" s="3" t="s">
        <v>3747</v>
      </c>
      <c r="B892" s="3" t="s">
        <v>3748</v>
      </c>
      <c r="C892" s="3" t="s">
        <v>3749</v>
      </c>
      <c r="D892" s="3" t="s">
        <v>3750</v>
      </c>
      <c r="E892" s="3"/>
      <c r="F892" s="5"/>
      <c r="G892" s="5"/>
      <c r="H892" s="5"/>
      <c r="I892" s="5"/>
      <c r="J892" s="5"/>
      <c r="K892" s="5"/>
      <c r="L892" s="5"/>
      <c r="M892" s="5"/>
      <c r="N892" s="5"/>
      <c r="O892" s="5"/>
      <c r="P892" s="5"/>
      <c r="Q892" s="5"/>
      <c r="R892" s="5"/>
      <c r="S892" s="5"/>
      <c r="T892" s="5"/>
      <c r="U892" s="5"/>
      <c r="V892" s="5"/>
      <c r="W892" s="5"/>
    </row>
    <row r="893">
      <c r="A893" s="3" t="s">
        <v>3751</v>
      </c>
      <c r="B893" s="15" t="s">
        <v>3752</v>
      </c>
      <c r="C893" s="3" t="s">
        <v>3753</v>
      </c>
      <c r="D893" s="3" t="s">
        <v>3754</v>
      </c>
      <c r="E893" s="3"/>
      <c r="F893" s="5"/>
      <c r="G893" s="5"/>
      <c r="H893" s="5"/>
      <c r="I893" s="5"/>
      <c r="J893" s="5"/>
      <c r="K893" s="5"/>
      <c r="L893" s="5"/>
      <c r="M893" s="5"/>
      <c r="N893" s="5"/>
      <c r="O893" s="5"/>
      <c r="P893" s="5"/>
      <c r="Q893" s="5"/>
      <c r="R893" s="5"/>
      <c r="S893" s="5"/>
      <c r="T893" s="5"/>
      <c r="U893" s="5"/>
      <c r="V893" s="5"/>
      <c r="W893" s="5"/>
    </row>
    <row r="894">
      <c r="A894" s="3" t="s">
        <v>3755</v>
      </c>
      <c r="B894" s="15" t="s">
        <v>3756</v>
      </c>
      <c r="C894" s="3" t="s">
        <v>3753</v>
      </c>
      <c r="D894" s="3" t="s">
        <v>3757</v>
      </c>
      <c r="E894" s="3"/>
      <c r="F894" s="5"/>
      <c r="G894" s="5"/>
      <c r="H894" s="5"/>
      <c r="I894" s="5"/>
      <c r="J894" s="5"/>
      <c r="K894" s="5"/>
      <c r="L894" s="5"/>
      <c r="M894" s="5"/>
      <c r="N894" s="5"/>
      <c r="O894" s="5"/>
      <c r="P894" s="5"/>
      <c r="Q894" s="5"/>
      <c r="R894" s="5"/>
      <c r="S894" s="5"/>
      <c r="T894" s="5"/>
      <c r="U894" s="5"/>
      <c r="V894" s="5"/>
      <c r="W894" s="5"/>
    </row>
    <row r="895">
      <c r="A895" s="3" t="s">
        <v>3758</v>
      </c>
      <c r="B895" s="3" t="s">
        <v>3759</v>
      </c>
      <c r="C895" s="3" t="s">
        <v>3760</v>
      </c>
      <c r="D895" s="3" t="s">
        <v>3761</v>
      </c>
      <c r="E895" s="3"/>
      <c r="F895" s="5"/>
      <c r="G895" s="5"/>
      <c r="H895" s="5"/>
      <c r="I895" s="5"/>
      <c r="J895" s="5"/>
      <c r="K895" s="5"/>
      <c r="L895" s="5"/>
      <c r="M895" s="5"/>
      <c r="N895" s="5"/>
      <c r="O895" s="5"/>
      <c r="P895" s="5"/>
      <c r="Q895" s="5"/>
      <c r="R895" s="5"/>
      <c r="S895" s="5"/>
      <c r="T895" s="5"/>
      <c r="U895" s="5"/>
      <c r="V895" s="5"/>
      <c r="W895" s="5"/>
    </row>
    <row r="896">
      <c r="A896" s="3" t="s">
        <v>3762</v>
      </c>
      <c r="B896" s="3" t="s">
        <v>3763</v>
      </c>
      <c r="C896" s="3" t="s">
        <v>3764</v>
      </c>
      <c r="D896" s="3" t="s">
        <v>3765</v>
      </c>
      <c r="E896" s="3"/>
      <c r="F896" s="5"/>
      <c r="G896" s="5"/>
      <c r="H896" s="5"/>
      <c r="I896" s="5"/>
      <c r="J896" s="5"/>
      <c r="K896" s="5"/>
      <c r="L896" s="5"/>
      <c r="M896" s="5"/>
      <c r="N896" s="5"/>
      <c r="O896" s="5"/>
      <c r="P896" s="5"/>
      <c r="Q896" s="5"/>
      <c r="R896" s="5"/>
      <c r="S896" s="5"/>
      <c r="T896" s="5"/>
      <c r="U896" s="5"/>
      <c r="V896" s="5"/>
      <c r="W896" s="5"/>
    </row>
    <row r="897">
      <c r="A897" s="3" t="s">
        <v>3766</v>
      </c>
      <c r="B897" s="3" t="s">
        <v>3767</v>
      </c>
      <c r="C897" s="3" t="s">
        <v>3768</v>
      </c>
      <c r="D897" s="3" t="s">
        <v>3769</v>
      </c>
      <c r="E897" s="3"/>
      <c r="F897" s="5"/>
      <c r="G897" s="5"/>
      <c r="H897" s="5"/>
      <c r="I897" s="5"/>
      <c r="J897" s="5"/>
      <c r="K897" s="5"/>
      <c r="L897" s="5"/>
      <c r="M897" s="5"/>
      <c r="N897" s="5"/>
      <c r="O897" s="5"/>
      <c r="P897" s="5"/>
      <c r="Q897" s="5"/>
      <c r="R897" s="5"/>
      <c r="S897" s="5"/>
      <c r="T897" s="5"/>
      <c r="U897" s="5"/>
      <c r="V897" s="5"/>
      <c r="W897" s="5"/>
    </row>
    <row r="898">
      <c r="A898" s="3" t="s">
        <v>3770</v>
      </c>
      <c r="B898" s="3" t="s">
        <v>3771</v>
      </c>
      <c r="C898" s="3" t="s">
        <v>3764</v>
      </c>
      <c r="D898" s="3" t="s">
        <v>3772</v>
      </c>
      <c r="E898" s="3"/>
      <c r="F898" s="5"/>
      <c r="G898" s="5"/>
      <c r="H898" s="5"/>
      <c r="I898" s="5"/>
      <c r="J898" s="5"/>
      <c r="K898" s="5"/>
      <c r="L898" s="5"/>
      <c r="M898" s="5"/>
      <c r="N898" s="5"/>
      <c r="O898" s="5"/>
      <c r="P898" s="5"/>
      <c r="Q898" s="5"/>
      <c r="R898" s="5"/>
      <c r="S898" s="5"/>
      <c r="T898" s="5"/>
      <c r="U898" s="5"/>
      <c r="V898" s="5"/>
      <c r="W898" s="5"/>
    </row>
    <row r="899">
      <c r="A899" s="3" t="s">
        <v>3773</v>
      </c>
      <c r="B899" s="3" t="s">
        <v>3774</v>
      </c>
      <c r="C899" s="3" t="s">
        <v>3775</v>
      </c>
      <c r="D899" s="3" t="s">
        <v>3776</v>
      </c>
      <c r="E899" s="3"/>
      <c r="F899" s="5"/>
      <c r="G899" s="5"/>
      <c r="H899" s="5"/>
      <c r="I899" s="5"/>
      <c r="J899" s="5"/>
      <c r="K899" s="5"/>
      <c r="L899" s="5"/>
      <c r="M899" s="5"/>
      <c r="N899" s="5"/>
      <c r="O899" s="5"/>
      <c r="P899" s="5"/>
      <c r="Q899" s="5"/>
      <c r="R899" s="5"/>
      <c r="S899" s="5"/>
      <c r="T899" s="5"/>
      <c r="U899" s="5"/>
      <c r="V899" s="5"/>
      <c r="W899" s="5"/>
    </row>
    <row r="900">
      <c r="A900" s="3" t="s">
        <v>3777</v>
      </c>
      <c r="B900" s="3" t="s">
        <v>3778</v>
      </c>
      <c r="C900" s="3" t="s">
        <v>3779</v>
      </c>
      <c r="D900" s="3" t="s">
        <v>3780</v>
      </c>
      <c r="E900" s="3"/>
      <c r="F900" s="5"/>
      <c r="G900" s="5"/>
      <c r="H900" s="5"/>
      <c r="I900" s="5"/>
      <c r="J900" s="5"/>
      <c r="K900" s="5"/>
      <c r="L900" s="5"/>
      <c r="M900" s="5"/>
      <c r="N900" s="5"/>
      <c r="O900" s="5"/>
      <c r="P900" s="5"/>
      <c r="Q900" s="5"/>
      <c r="R900" s="5"/>
      <c r="S900" s="5"/>
      <c r="T900" s="5"/>
      <c r="U900" s="5"/>
      <c r="V900" s="5"/>
      <c r="W900" s="5"/>
    </row>
    <row r="901">
      <c r="A901" s="3" t="s">
        <v>3781</v>
      </c>
      <c r="B901" s="3" t="s">
        <v>3782</v>
      </c>
      <c r="C901" s="3" t="s">
        <v>3783</v>
      </c>
      <c r="D901" s="3" t="s">
        <v>3784</v>
      </c>
      <c r="E901" s="3"/>
      <c r="F901" s="5"/>
      <c r="G901" s="5"/>
      <c r="H901" s="5"/>
      <c r="I901" s="5"/>
      <c r="J901" s="5"/>
      <c r="K901" s="5"/>
      <c r="L901" s="5"/>
      <c r="M901" s="5"/>
      <c r="N901" s="5"/>
      <c r="O901" s="5"/>
      <c r="P901" s="5"/>
      <c r="Q901" s="5"/>
      <c r="R901" s="5"/>
      <c r="S901" s="5"/>
      <c r="T901" s="5"/>
      <c r="U901" s="5"/>
      <c r="V901" s="5"/>
      <c r="W901" s="5"/>
    </row>
    <row r="902">
      <c r="A902" s="3" t="s">
        <v>3785</v>
      </c>
      <c r="B902" s="3" t="s">
        <v>3786</v>
      </c>
      <c r="C902" s="3" t="s">
        <v>3787</v>
      </c>
      <c r="D902" s="3" t="s">
        <v>3788</v>
      </c>
      <c r="E902" s="3"/>
      <c r="F902" s="5"/>
      <c r="G902" s="5"/>
      <c r="H902" s="5"/>
      <c r="I902" s="5"/>
      <c r="J902" s="5"/>
      <c r="K902" s="5"/>
      <c r="L902" s="5"/>
      <c r="M902" s="5"/>
      <c r="N902" s="5"/>
      <c r="O902" s="5"/>
      <c r="P902" s="5"/>
      <c r="Q902" s="5"/>
      <c r="R902" s="5"/>
      <c r="S902" s="5"/>
      <c r="T902" s="5"/>
      <c r="U902" s="5"/>
      <c r="V902" s="5"/>
      <c r="W902" s="5"/>
    </row>
    <row r="903">
      <c r="A903" s="3" t="s">
        <v>3789</v>
      </c>
      <c r="B903" s="3" t="s">
        <v>3790</v>
      </c>
      <c r="C903" s="3" t="s">
        <v>3791</v>
      </c>
      <c r="D903" s="3" t="s">
        <v>3792</v>
      </c>
      <c r="E903" s="3"/>
      <c r="F903" s="5"/>
      <c r="G903" s="5"/>
      <c r="H903" s="5"/>
      <c r="I903" s="5"/>
      <c r="J903" s="5"/>
      <c r="K903" s="5"/>
      <c r="L903" s="5"/>
      <c r="M903" s="5"/>
      <c r="N903" s="5"/>
      <c r="O903" s="5"/>
      <c r="P903" s="5"/>
      <c r="Q903" s="5"/>
      <c r="R903" s="5"/>
      <c r="S903" s="5"/>
      <c r="T903" s="5"/>
      <c r="U903" s="5"/>
      <c r="V903" s="5"/>
      <c r="W903" s="5"/>
    </row>
    <row r="904">
      <c r="A904" s="3" t="s">
        <v>3793</v>
      </c>
      <c r="B904" s="3" t="s">
        <v>3794</v>
      </c>
      <c r="C904" s="3" t="s">
        <v>3795</v>
      </c>
      <c r="D904" s="3" t="s">
        <v>3796</v>
      </c>
      <c r="E904" s="3"/>
      <c r="F904" s="5"/>
      <c r="G904" s="5"/>
      <c r="H904" s="5"/>
      <c r="I904" s="5"/>
      <c r="J904" s="5"/>
      <c r="K904" s="5"/>
      <c r="L904" s="5"/>
      <c r="M904" s="5"/>
      <c r="N904" s="5"/>
      <c r="O904" s="5"/>
      <c r="P904" s="5"/>
      <c r="Q904" s="5"/>
      <c r="R904" s="5"/>
      <c r="S904" s="5"/>
      <c r="T904" s="5"/>
      <c r="U904" s="5"/>
      <c r="V904" s="5"/>
      <c r="W904" s="5"/>
    </row>
    <row r="905">
      <c r="A905" s="3" t="s">
        <v>3797</v>
      </c>
      <c r="B905" s="3" t="s">
        <v>3798</v>
      </c>
      <c r="C905" s="3" t="s">
        <v>3799</v>
      </c>
      <c r="D905" s="3" t="s">
        <v>3800</v>
      </c>
      <c r="E905" s="3"/>
      <c r="F905" s="5"/>
      <c r="G905" s="5"/>
      <c r="H905" s="5"/>
      <c r="I905" s="5"/>
      <c r="J905" s="5"/>
      <c r="K905" s="5"/>
      <c r="L905" s="5"/>
      <c r="M905" s="5"/>
      <c r="N905" s="5"/>
      <c r="O905" s="5"/>
      <c r="P905" s="5"/>
      <c r="Q905" s="5"/>
      <c r="R905" s="5"/>
      <c r="S905" s="5"/>
      <c r="T905" s="5"/>
      <c r="U905" s="5"/>
      <c r="V905" s="5"/>
      <c r="W905" s="5"/>
    </row>
    <row r="906">
      <c r="A906" s="3" t="s">
        <v>3801</v>
      </c>
      <c r="B906" s="3" t="s">
        <v>3802</v>
      </c>
      <c r="C906" s="3" t="s">
        <v>3803</v>
      </c>
      <c r="D906" s="3" t="s">
        <v>3804</v>
      </c>
      <c r="E906" s="3"/>
      <c r="F906" s="5"/>
      <c r="G906" s="5"/>
      <c r="H906" s="5"/>
      <c r="I906" s="5"/>
      <c r="J906" s="5"/>
      <c r="K906" s="5"/>
      <c r="L906" s="5"/>
      <c r="M906" s="5"/>
      <c r="N906" s="5"/>
      <c r="O906" s="5"/>
      <c r="P906" s="5"/>
      <c r="Q906" s="5"/>
      <c r="R906" s="5"/>
      <c r="S906" s="5"/>
      <c r="T906" s="5"/>
      <c r="U906" s="5"/>
      <c r="V906" s="5"/>
      <c r="W906" s="5"/>
    </row>
    <row r="907">
      <c r="A907" s="3" t="s">
        <v>3805</v>
      </c>
      <c r="B907" s="3" t="s">
        <v>3806</v>
      </c>
      <c r="C907" s="3" t="s">
        <v>3807</v>
      </c>
      <c r="D907" s="3" t="s">
        <v>3808</v>
      </c>
      <c r="E907" s="3"/>
      <c r="F907" s="5"/>
      <c r="G907" s="5"/>
      <c r="H907" s="5"/>
      <c r="I907" s="5"/>
      <c r="J907" s="5"/>
      <c r="K907" s="5"/>
      <c r="L907" s="5"/>
      <c r="M907" s="5"/>
      <c r="N907" s="5"/>
      <c r="O907" s="5"/>
      <c r="P907" s="5"/>
      <c r="Q907" s="5"/>
      <c r="R907" s="5"/>
      <c r="S907" s="5"/>
      <c r="T907" s="5"/>
      <c r="U907" s="5"/>
      <c r="V907" s="5"/>
      <c r="W907" s="5"/>
    </row>
    <row r="908">
      <c r="A908" s="3" t="s">
        <v>3809</v>
      </c>
      <c r="B908" s="3" t="s">
        <v>3810</v>
      </c>
      <c r="C908" s="3" t="s">
        <v>2076</v>
      </c>
      <c r="D908" s="3" t="s">
        <v>3811</v>
      </c>
      <c r="E908" s="3"/>
      <c r="F908" s="5"/>
      <c r="G908" s="5"/>
      <c r="H908" s="5"/>
      <c r="I908" s="5"/>
      <c r="J908" s="5"/>
      <c r="K908" s="5"/>
      <c r="L908" s="5"/>
      <c r="M908" s="5"/>
      <c r="N908" s="5"/>
      <c r="O908" s="5"/>
      <c r="P908" s="5"/>
      <c r="Q908" s="5"/>
      <c r="R908" s="5"/>
      <c r="S908" s="5"/>
      <c r="T908" s="5"/>
      <c r="U908" s="5"/>
      <c r="V908" s="5"/>
      <c r="W908" s="5"/>
    </row>
    <row r="909">
      <c r="A909" s="3" t="s">
        <v>3812</v>
      </c>
      <c r="B909" s="3" t="s">
        <v>3813</v>
      </c>
      <c r="C909" s="3" t="s">
        <v>3814</v>
      </c>
      <c r="D909" s="3" t="s">
        <v>3815</v>
      </c>
      <c r="E909" s="3"/>
      <c r="F909" s="5"/>
      <c r="G909" s="5"/>
      <c r="H909" s="5"/>
      <c r="I909" s="5"/>
      <c r="J909" s="5"/>
      <c r="K909" s="5"/>
      <c r="L909" s="5"/>
      <c r="M909" s="5"/>
      <c r="N909" s="5"/>
      <c r="O909" s="5"/>
      <c r="P909" s="5"/>
      <c r="Q909" s="5"/>
      <c r="R909" s="5"/>
      <c r="S909" s="5"/>
      <c r="T909" s="5"/>
      <c r="U909" s="5"/>
      <c r="V909" s="5"/>
      <c r="W909" s="5"/>
    </row>
    <row r="910">
      <c r="A910" s="3" t="s">
        <v>3816</v>
      </c>
      <c r="B910" s="3" t="s">
        <v>3817</v>
      </c>
      <c r="C910" s="3" t="s">
        <v>3818</v>
      </c>
      <c r="D910" s="3" t="s">
        <v>3819</v>
      </c>
      <c r="E910" s="3"/>
      <c r="F910" s="5"/>
      <c r="G910" s="5"/>
      <c r="H910" s="5"/>
      <c r="I910" s="5"/>
      <c r="J910" s="5"/>
      <c r="K910" s="5"/>
      <c r="L910" s="5"/>
      <c r="M910" s="5"/>
      <c r="N910" s="5"/>
      <c r="O910" s="5"/>
      <c r="P910" s="5"/>
      <c r="Q910" s="5"/>
      <c r="R910" s="5"/>
      <c r="S910" s="5"/>
      <c r="T910" s="5"/>
      <c r="U910" s="5"/>
      <c r="V910" s="5"/>
      <c r="W910" s="5"/>
    </row>
    <row r="911">
      <c r="A911" s="3" t="s">
        <v>3820</v>
      </c>
      <c r="B911" s="3" t="s">
        <v>3821</v>
      </c>
      <c r="C911" s="3" t="s">
        <v>3822</v>
      </c>
      <c r="D911" s="3" t="s">
        <v>3823</v>
      </c>
      <c r="E911" s="5"/>
      <c r="F911" s="5"/>
      <c r="G911" s="5"/>
      <c r="H911" s="5"/>
      <c r="I911" s="5"/>
      <c r="J911" s="5"/>
      <c r="K911" s="5"/>
      <c r="L911" s="5"/>
      <c r="M911" s="5"/>
      <c r="N911" s="5"/>
      <c r="O911" s="5"/>
      <c r="P911" s="5"/>
      <c r="Q911" s="5"/>
      <c r="R911" s="5"/>
      <c r="S911" s="5"/>
      <c r="T911" s="5"/>
      <c r="U911" s="5"/>
      <c r="V911" s="5"/>
      <c r="W911" s="5"/>
    </row>
    <row r="912">
      <c r="A912" s="3" t="s">
        <v>3824</v>
      </c>
      <c r="B912" s="3" t="s">
        <v>3825</v>
      </c>
      <c r="C912" s="3" t="s">
        <v>3826</v>
      </c>
      <c r="D912" s="3" t="s">
        <v>3827</v>
      </c>
      <c r="E912" s="5"/>
      <c r="F912" s="5"/>
      <c r="G912" s="5"/>
      <c r="H912" s="5"/>
      <c r="I912" s="5"/>
      <c r="J912" s="5"/>
      <c r="K912" s="5"/>
      <c r="L912" s="5"/>
      <c r="M912" s="5"/>
      <c r="N912" s="5"/>
      <c r="O912" s="5"/>
      <c r="P912" s="5"/>
      <c r="Q912" s="5"/>
      <c r="R912" s="5"/>
      <c r="S912" s="5"/>
      <c r="T912" s="5"/>
      <c r="U912" s="5"/>
      <c r="V912" s="5"/>
      <c r="W912" s="5"/>
    </row>
    <row r="913">
      <c r="A913" s="3" t="s">
        <v>3828</v>
      </c>
      <c r="B913" s="3" t="s">
        <v>3829</v>
      </c>
      <c r="C913" s="3" t="s">
        <v>3830</v>
      </c>
      <c r="D913" s="3" t="s">
        <v>3831</v>
      </c>
      <c r="E913" s="5"/>
      <c r="F913" s="5"/>
      <c r="G913" s="5"/>
      <c r="H913" s="5"/>
      <c r="I913" s="5"/>
      <c r="J913" s="5"/>
      <c r="K913" s="5"/>
      <c r="L913" s="5"/>
      <c r="M913" s="5"/>
      <c r="N913" s="5"/>
      <c r="O913" s="5"/>
      <c r="P913" s="5"/>
      <c r="Q913" s="5"/>
      <c r="R913" s="5"/>
      <c r="S913" s="5"/>
      <c r="T913" s="5"/>
      <c r="U913" s="5"/>
      <c r="V913" s="5"/>
      <c r="W913" s="5"/>
    </row>
    <row r="914">
      <c r="A914" s="3" t="s">
        <v>3832</v>
      </c>
      <c r="B914" s="3" t="s">
        <v>3833</v>
      </c>
      <c r="C914" s="3" t="s">
        <v>3834</v>
      </c>
      <c r="D914" s="3" t="s">
        <v>3835</v>
      </c>
      <c r="E914" s="5"/>
      <c r="F914" s="5"/>
      <c r="G914" s="5"/>
      <c r="H914" s="5"/>
      <c r="I914" s="5"/>
      <c r="J914" s="5"/>
      <c r="K914" s="5"/>
      <c r="L914" s="5"/>
      <c r="M914" s="5"/>
      <c r="N914" s="5"/>
      <c r="O914" s="5"/>
      <c r="P914" s="5"/>
      <c r="Q914" s="5"/>
      <c r="R914" s="5"/>
      <c r="S914" s="5"/>
      <c r="T914" s="5"/>
      <c r="U914" s="5"/>
      <c r="V914" s="5"/>
      <c r="W914" s="5"/>
    </row>
    <row r="915">
      <c r="A915" s="3" t="s">
        <v>3836</v>
      </c>
      <c r="B915" s="3" t="s">
        <v>3837</v>
      </c>
      <c r="C915" s="3" t="s">
        <v>3838</v>
      </c>
      <c r="D915" s="3" t="s">
        <v>3839</v>
      </c>
      <c r="E915" s="5"/>
      <c r="F915" s="5"/>
      <c r="G915" s="5"/>
      <c r="H915" s="5"/>
      <c r="I915" s="5"/>
      <c r="J915" s="5"/>
      <c r="K915" s="5"/>
      <c r="L915" s="5"/>
      <c r="M915" s="5"/>
      <c r="N915" s="5"/>
      <c r="O915" s="5"/>
      <c r="P915" s="5"/>
      <c r="Q915" s="5"/>
      <c r="R915" s="5"/>
      <c r="S915" s="5"/>
      <c r="T915" s="5"/>
      <c r="U915" s="5"/>
      <c r="V915" s="5"/>
      <c r="W915" s="5"/>
    </row>
    <row r="916">
      <c r="A916" s="3" t="s">
        <v>3840</v>
      </c>
      <c r="B916" s="3" t="s">
        <v>3841</v>
      </c>
      <c r="C916" s="3" t="s">
        <v>3842</v>
      </c>
      <c r="D916" s="3" t="s">
        <v>3843</v>
      </c>
      <c r="E916" s="5"/>
      <c r="F916" s="5"/>
      <c r="G916" s="5"/>
      <c r="H916" s="5"/>
      <c r="I916" s="5"/>
      <c r="J916" s="5"/>
      <c r="K916" s="5"/>
      <c r="L916" s="5"/>
      <c r="M916" s="5"/>
      <c r="N916" s="5"/>
      <c r="O916" s="5"/>
      <c r="P916" s="5"/>
      <c r="Q916" s="5"/>
      <c r="R916" s="5"/>
      <c r="S916" s="5"/>
      <c r="T916" s="5"/>
      <c r="U916" s="5"/>
      <c r="V916" s="5"/>
      <c r="W916" s="5"/>
    </row>
    <row r="917">
      <c r="A917" s="3" t="s">
        <v>3844</v>
      </c>
      <c r="B917" s="3" t="s">
        <v>3845</v>
      </c>
      <c r="C917" s="3" t="s">
        <v>3846</v>
      </c>
      <c r="D917" s="3" t="s">
        <v>3847</v>
      </c>
      <c r="E917" s="5"/>
      <c r="F917" s="5"/>
      <c r="G917" s="5"/>
      <c r="H917" s="5"/>
      <c r="I917" s="5"/>
      <c r="J917" s="5"/>
      <c r="K917" s="5"/>
      <c r="L917" s="5"/>
      <c r="M917" s="5"/>
      <c r="N917" s="5"/>
      <c r="O917" s="5"/>
      <c r="P917" s="5"/>
      <c r="Q917" s="5"/>
      <c r="R917" s="5"/>
      <c r="S917" s="5"/>
      <c r="T917" s="5"/>
      <c r="U917" s="5"/>
      <c r="V917" s="5"/>
      <c r="W917" s="5"/>
    </row>
    <row r="918">
      <c r="A918" s="3" t="s">
        <v>3848</v>
      </c>
      <c r="B918" s="3" t="s">
        <v>3849</v>
      </c>
      <c r="C918" s="3" t="s">
        <v>3850</v>
      </c>
      <c r="D918" s="3" t="s">
        <v>3851</v>
      </c>
      <c r="E918" s="5"/>
      <c r="F918" s="5"/>
      <c r="G918" s="5"/>
      <c r="H918" s="5"/>
      <c r="I918" s="5"/>
      <c r="J918" s="5"/>
      <c r="K918" s="5"/>
      <c r="L918" s="5"/>
      <c r="M918" s="5"/>
      <c r="N918" s="5"/>
      <c r="O918" s="5"/>
      <c r="P918" s="5"/>
      <c r="Q918" s="5"/>
      <c r="R918" s="5"/>
      <c r="S918" s="5"/>
      <c r="T918" s="5"/>
      <c r="U918" s="5"/>
      <c r="V918" s="5"/>
      <c r="W918" s="5"/>
    </row>
    <row r="919">
      <c r="A919" s="3" t="s">
        <v>3852</v>
      </c>
      <c r="B919" s="3" t="s">
        <v>3853</v>
      </c>
      <c r="C919" s="3" t="s">
        <v>3854</v>
      </c>
      <c r="D919" s="3" t="s">
        <v>3855</v>
      </c>
      <c r="E919" s="5"/>
      <c r="F919" s="5"/>
      <c r="G919" s="5"/>
      <c r="H919" s="5"/>
      <c r="I919" s="5"/>
      <c r="J919" s="5"/>
      <c r="K919" s="5"/>
      <c r="L919" s="5"/>
      <c r="M919" s="5"/>
      <c r="N919" s="5"/>
      <c r="O919" s="5"/>
      <c r="P919" s="5"/>
      <c r="Q919" s="5"/>
      <c r="R919" s="5"/>
      <c r="S919" s="5"/>
      <c r="T919" s="5"/>
      <c r="U919" s="5"/>
      <c r="V919" s="5"/>
      <c r="W919" s="5"/>
    </row>
    <row r="920">
      <c r="A920" s="3" t="s">
        <v>3856</v>
      </c>
      <c r="B920" s="3" t="s">
        <v>3857</v>
      </c>
      <c r="C920" s="3" t="s">
        <v>3858</v>
      </c>
      <c r="D920" s="3" t="s">
        <v>3859</v>
      </c>
      <c r="E920" s="5"/>
      <c r="F920" s="5"/>
      <c r="G920" s="5"/>
      <c r="H920" s="5"/>
      <c r="I920" s="5"/>
      <c r="J920" s="5"/>
      <c r="K920" s="5"/>
      <c r="L920" s="5"/>
      <c r="M920" s="5"/>
      <c r="N920" s="5"/>
      <c r="O920" s="5"/>
      <c r="P920" s="5"/>
      <c r="Q920" s="5"/>
      <c r="R920" s="5"/>
      <c r="S920" s="5"/>
      <c r="T920" s="5"/>
      <c r="U920" s="5"/>
      <c r="V920" s="5"/>
      <c r="W920" s="5"/>
    </row>
    <row r="921">
      <c r="A921" s="3" t="s">
        <v>3860</v>
      </c>
      <c r="B921" s="3" t="s">
        <v>3861</v>
      </c>
      <c r="C921" s="3" t="s">
        <v>3862</v>
      </c>
      <c r="D921" s="3" t="s">
        <v>3863</v>
      </c>
      <c r="E921" s="5"/>
      <c r="F921" s="5"/>
      <c r="G921" s="5"/>
      <c r="H921" s="5"/>
      <c r="I921" s="5"/>
      <c r="J921" s="5"/>
      <c r="K921" s="5"/>
      <c r="L921" s="5"/>
      <c r="M921" s="5"/>
      <c r="N921" s="5"/>
      <c r="O921" s="5"/>
      <c r="P921" s="5"/>
      <c r="Q921" s="5"/>
      <c r="R921" s="5"/>
      <c r="S921" s="5"/>
      <c r="T921" s="5"/>
      <c r="U921" s="5"/>
      <c r="V921" s="5"/>
      <c r="W921" s="5"/>
    </row>
    <row r="922">
      <c r="A922" s="3" t="s">
        <v>3864</v>
      </c>
      <c r="B922" s="3" t="s">
        <v>3865</v>
      </c>
      <c r="C922" s="3" t="s">
        <v>3866</v>
      </c>
      <c r="D922" s="3" t="s">
        <v>3867</v>
      </c>
      <c r="E922" s="5"/>
      <c r="F922" s="5"/>
      <c r="G922" s="5"/>
      <c r="H922" s="5"/>
      <c r="I922" s="5"/>
      <c r="J922" s="5"/>
      <c r="K922" s="5"/>
      <c r="L922" s="5"/>
      <c r="M922" s="5"/>
      <c r="N922" s="5"/>
      <c r="O922" s="5"/>
      <c r="P922" s="5"/>
      <c r="Q922" s="5"/>
      <c r="R922" s="5"/>
      <c r="S922" s="5"/>
      <c r="T922" s="5"/>
      <c r="U922" s="5"/>
      <c r="V922" s="5"/>
      <c r="W922" s="5"/>
    </row>
    <row r="923">
      <c r="A923" s="3" t="s">
        <v>3868</v>
      </c>
      <c r="B923" s="3" t="s">
        <v>3869</v>
      </c>
      <c r="C923" s="3" t="s">
        <v>3870</v>
      </c>
      <c r="D923" s="3" t="s">
        <v>3871</v>
      </c>
      <c r="E923" s="5"/>
      <c r="F923" s="5"/>
      <c r="G923" s="5"/>
      <c r="H923" s="5"/>
      <c r="I923" s="5"/>
      <c r="J923" s="5"/>
      <c r="K923" s="5"/>
      <c r="L923" s="5"/>
      <c r="M923" s="5"/>
      <c r="N923" s="5"/>
      <c r="O923" s="5"/>
      <c r="P923" s="5"/>
      <c r="Q923" s="5"/>
      <c r="R923" s="5"/>
      <c r="S923" s="5"/>
      <c r="T923" s="5"/>
      <c r="U923" s="5"/>
      <c r="V923" s="5"/>
      <c r="W923" s="5"/>
    </row>
    <row r="924">
      <c r="A924" s="3" t="s">
        <v>3872</v>
      </c>
      <c r="B924" s="3" t="s">
        <v>3873</v>
      </c>
      <c r="C924" s="3" t="s">
        <v>3874</v>
      </c>
      <c r="D924" s="3" t="s">
        <v>3875</v>
      </c>
      <c r="E924" s="5"/>
      <c r="F924" s="5"/>
      <c r="G924" s="5"/>
      <c r="H924" s="5"/>
      <c r="I924" s="5"/>
      <c r="J924" s="5"/>
      <c r="K924" s="5"/>
      <c r="L924" s="5"/>
      <c r="M924" s="5"/>
      <c r="N924" s="5"/>
      <c r="O924" s="5"/>
      <c r="P924" s="5"/>
      <c r="Q924" s="5"/>
      <c r="R924" s="5"/>
      <c r="S924" s="5"/>
      <c r="T924" s="5"/>
      <c r="U924" s="5"/>
      <c r="V924" s="5"/>
      <c r="W924" s="5"/>
    </row>
    <row r="925">
      <c r="A925" s="3" t="s">
        <v>3876</v>
      </c>
      <c r="B925" s="3" t="s">
        <v>3877</v>
      </c>
      <c r="C925" s="3" t="s">
        <v>3878</v>
      </c>
      <c r="D925" s="3" t="s">
        <v>3879</v>
      </c>
      <c r="E925" s="5"/>
      <c r="F925" s="5"/>
      <c r="G925" s="5"/>
      <c r="H925" s="5"/>
      <c r="I925" s="5"/>
      <c r="J925" s="5"/>
      <c r="K925" s="5"/>
      <c r="L925" s="5"/>
      <c r="M925" s="5"/>
      <c r="N925" s="5"/>
      <c r="O925" s="5"/>
      <c r="P925" s="5"/>
      <c r="Q925" s="5"/>
      <c r="R925" s="5"/>
      <c r="S925" s="5"/>
      <c r="T925" s="5"/>
      <c r="U925" s="5"/>
      <c r="V925" s="5"/>
      <c r="W925" s="5"/>
    </row>
    <row r="926" ht="113.25" customHeight="1">
      <c r="A926" s="3" t="s">
        <v>3880</v>
      </c>
      <c r="B926" s="3" t="s">
        <v>3881</v>
      </c>
      <c r="C926" s="3" t="s">
        <v>3866</v>
      </c>
      <c r="D926" s="3" t="s">
        <v>3882</v>
      </c>
      <c r="E926" s="5"/>
      <c r="F926" s="5"/>
      <c r="G926" s="5"/>
      <c r="H926" s="5"/>
      <c r="I926" s="5"/>
      <c r="J926" s="5"/>
      <c r="K926" s="5"/>
      <c r="L926" s="5"/>
      <c r="M926" s="5"/>
      <c r="N926" s="5"/>
      <c r="O926" s="5"/>
      <c r="P926" s="5"/>
      <c r="Q926" s="5"/>
      <c r="R926" s="5"/>
      <c r="S926" s="5"/>
      <c r="T926" s="5"/>
      <c r="U926" s="5"/>
      <c r="V926" s="5"/>
      <c r="W926" s="5"/>
    </row>
    <row r="927">
      <c r="A927" s="3" t="s">
        <v>3883</v>
      </c>
      <c r="B927" s="3" t="s">
        <v>3884</v>
      </c>
      <c r="C927" s="3" t="s">
        <v>3885</v>
      </c>
      <c r="D927" s="3" t="s">
        <v>3886</v>
      </c>
      <c r="E927" s="5"/>
      <c r="F927" s="5"/>
      <c r="G927" s="5"/>
      <c r="H927" s="5"/>
      <c r="I927" s="5"/>
      <c r="J927" s="5"/>
      <c r="K927" s="5"/>
      <c r="L927" s="5"/>
      <c r="M927" s="5"/>
      <c r="N927" s="5"/>
      <c r="O927" s="5"/>
      <c r="P927" s="5"/>
      <c r="Q927" s="5"/>
      <c r="R927" s="5"/>
      <c r="S927" s="5"/>
      <c r="T927" s="5"/>
      <c r="U927" s="5"/>
      <c r="V927" s="5"/>
      <c r="W927" s="5"/>
    </row>
    <row r="928">
      <c r="A928" s="3" t="s">
        <v>3887</v>
      </c>
      <c r="B928" s="3" t="s">
        <v>3888</v>
      </c>
      <c r="C928" s="3" t="s">
        <v>3889</v>
      </c>
      <c r="D928" s="3" t="s">
        <v>3890</v>
      </c>
      <c r="E928" s="5"/>
      <c r="F928" s="5"/>
      <c r="G928" s="5"/>
      <c r="H928" s="5"/>
      <c r="I928" s="5"/>
      <c r="J928" s="5"/>
      <c r="K928" s="5"/>
      <c r="L928" s="5"/>
      <c r="M928" s="5"/>
      <c r="N928" s="5"/>
      <c r="O928" s="5"/>
      <c r="P928" s="5"/>
      <c r="Q928" s="5"/>
      <c r="R928" s="5"/>
      <c r="S928" s="5"/>
      <c r="T928" s="5"/>
      <c r="U928" s="5"/>
      <c r="V928" s="5"/>
      <c r="W928" s="5"/>
    </row>
    <row r="929">
      <c r="A929" s="3" t="s">
        <v>3891</v>
      </c>
      <c r="B929" s="3" t="s">
        <v>3892</v>
      </c>
      <c r="C929" s="3" t="s">
        <v>3893</v>
      </c>
      <c r="D929" s="3" t="s">
        <v>3894</v>
      </c>
      <c r="E929" s="5"/>
      <c r="F929" s="5"/>
      <c r="G929" s="5"/>
      <c r="H929" s="5"/>
      <c r="I929" s="5"/>
      <c r="J929" s="5"/>
      <c r="K929" s="5"/>
      <c r="L929" s="5"/>
      <c r="M929" s="5"/>
      <c r="N929" s="5"/>
      <c r="O929" s="5"/>
      <c r="P929" s="5"/>
      <c r="Q929" s="5"/>
      <c r="R929" s="5"/>
      <c r="S929" s="5"/>
      <c r="T929" s="5"/>
      <c r="U929" s="5"/>
      <c r="V929" s="5"/>
      <c r="W929" s="5"/>
    </row>
    <row r="930">
      <c r="A930" s="3" t="s">
        <v>3895</v>
      </c>
      <c r="B930" s="3" t="s">
        <v>3896</v>
      </c>
      <c r="C930" s="3" t="s">
        <v>3897</v>
      </c>
      <c r="D930" s="3" t="s">
        <v>3898</v>
      </c>
      <c r="E930" s="5"/>
      <c r="F930" s="5"/>
      <c r="G930" s="5"/>
      <c r="H930" s="5"/>
      <c r="I930" s="5"/>
      <c r="J930" s="5"/>
      <c r="K930" s="5"/>
      <c r="L930" s="5"/>
      <c r="M930" s="5"/>
      <c r="N930" s="5"/>
      <c r="O930" s="5"/>
      <c r="P930" s="5"/>
      <c r="Q930" s="5"/>
      <c r="R930" s="5"/>
      <c r="S930" s="5"/>
      <c r="T930" s="5"/>
      <c r="U930" s="5"/>
      <c r="V930" s="5"/>
      <c r="W930" s="5"/>
    </row>
    <row r="931">
      <c r="A931" s="3" t="s">
        <v>3899</v>
      </c>
      <c r="B931" s="3" t="s">
        <v>3900</v>
      </c>
      <c r="C931" s="3" t="s">
        <v>3901</v>
      </c>
      <c r="D931" s="3" t="s">
        <v>3902</v>
      </c>
      <c r="E931" s="5"/>
      <c r="F931" s="5"/>
      <c r="G931" s="5"/>
      <c r="H931" s="5"/>
      <c r="I931" s="5"/>
      <c r="J931" s="5"/>
      <c r="K931" s="5"/>
      <c r="L931" s="5"/>
      <c r="M931" s="5"/>
      <c r="N931" s="5"/>
      <c r="O931" s="5"/>
      <c r="P931" s="5"/>
      <c r="Q931" s="5"/>
      <c r="R931" s="5"/>
      <c r="S931" s="5"/>
      <c r="T931" s="5"/>
      <c r="U931" s="5"/>
      <c r="V931" s="5"/>
      <c r="W931" s="5"/>
    </row>
    <row r="932">
      <c r="A932" s="3" t="s">
        <v>3903</v>
      </c>
      <c r="B932" s="3" t="s">
        <v>3904</v>
      </c>
      <c r="C932" s="3" t="s">
        <v>3905</v>
      </c>
      <c r="D932" s="3" t="s">
        <v>3906</v>
      </c>
      <c r="E932" s="5"/>
      <c r="F932" s="5"/>
      <c r="G932" s="5"/>
      <c r="H932" s="5"/>
      <c r="I932" s="5"/>
      <c r="J932" s="5"/>
      <c r="K932" s="5"/>
      <c r="L932" s="5"/>
      <c r="M932" s="5"/>
      <c r="N932" s="5"/>
      <c r="O932" s="5"/>
      <c r="P932" s="5"/>
      <c r="Q932" s="5"/>
      <c r="R932" s="5"/>
      <c r="S932" s="5"/>
      <c r="T932" s="5"/>
      <c r="U932" s="5"/>
      <c r="V932" s="5"/>
      <c r="W932" s="5"/>
    </row>
    <row r="933">
      <c r="A933" s="3" t="s">
        <v>3907</v>
      </c>
      <c r="B933" s="3" t="s">
        <v>3908</v>
      </c>
      <c r="C933" s="3" t="s">
        <v>3822</v>
      </c>
      <c r="D933" s="3" t="s">
        <v>3909</v>
      </c>
      <c r="E933" s="5"/>
      <c r="F933" s="5"/>
      <c r="G933" s="5"/>
      <c r="H933" s="5"/>
      <c r="I933" s="5"/>
      <c r="J933" s="5"/>
      <c r="K933" s="5"/>
      <c r="L933" s="5"/>
      <c r="M933" s="5"/>
      <c r="N933" s="5"/>
      <c r="O933" s="5"/>
      <c r="P933" s="5"/>
      <c r="Q933" s="5"/>
      <c r="R933" s="5"/>
      <c r="S933" s="5"/>
      <c r="T933" s="5"/>
      <c r="U933" s="5"/>
      <c r="V933" s="5"/>
      <c r="W933" s="5"/>
    </row>
    <row r="934">
      <c r="A934" s="3" t="s">
        <v>3910</v>
      </c>
      <c r="B934" s="3" t="s">
        <v>3911</v>
      </c>
      <c r="C934" s="3" t="s">
        <v>3822</v>
      </c>
      <c r="D934" s="3" t="s">
        <v>3912</v>
      </c>
      <c r="E934" s="5"/>
      <c r="F934" s="5"/>
      <c r="G934" s="5"/>
      <c r="H934" s="5"/>
      <c r="I934" s="5"/>
      <c r="J934" s="5"/>
      <c r="K934" s="5"/>
      <c r="L934" s="5"/>
      <c r="M934" s="5"/>
      <c r="N934" s="5"/>
      <c r="O934" s="5"/>
      <c r="P934" s="5"/>
      <c r="Q934" s="5"/>
      <c r="R934" s="5"/>
      <c r="S934" s="5"/>
      <c r="T934" s="5"/>
      <c r="U934" s="5"/>
      <c r="V934" s="5"/>
      <c r="W934" s="5"/>
    </row>
    <row r="935">
      <c r="A935" s="3" t="s">
        <v>3913</v>
      </c>
      <c r="B935" s="3" t="s">
        <v>3914</v>
      </c>
      <c r="C935" s="3" t="s">
        <v>1132</v>
      </c>
      <c r="D935" s="3" t="s">
        <v>3915</v>
      </c>
      <c r="E935" s="5"/>
      <c r="F935" s="5"/>
      <c r="G935" s="5"/>
      <c r="H935" s="5"/>
      <c r="I935" s="5"/>
      <c r="J935" s="5"/>
      <c r="K935" s="5"/>
      <c r="L935" s="5"/>
      <c r="M935" s="5"/>
      <c r="N935" s="5"/>
      <c r="O935" s="5"/>
      <c r="P935" s="5"/>
      <c r="Q935" s="5"/>
      <c r="R935" s="5"/>
      <c r="S935" s="5"/>
      <c r="T935" s="5"/>
      <c r="U935" s="5"/>
      <c r="V935" s="5"/>
      <c r="W935" s="5"/>
    </row>
    <row r="936">
      <c r="A936" s="3" t="s">
        <v>3916</v>
      </c>
      <c r="B936" s="3" t="s">
        <v>3917</v>
      </c>
      <c r="C936" s="3" t="s">
        <v>3918</v>
      </c>
      <c r="D936" s="3" t="s">
        <v>3919</v>
      </c>
      <c r="E936" s="5"/>
      <c r="F936" s="5"/>
      <c r="G936" s="5"/>
      <c r="H936" s="5"/>
      <c r="I936" s="5"/>
      <c r="J936" s="5"/>
      <c r="K936" s="5"/>
      <c r="L936" s="5"/>
      <c r="M936" s="5"/>
      <c r="N936" s="5"/>
      <c r="O936" s="5"/>
      <c r="P936" s="5"/>
      <c r="Q936" s="5"/>
      <c r="R936" s="5"/>
      <c r="S936" s="5"/>
      <c r="T936" s="5"/>
      <c r="U936" s="5"/>
      <c r="V936" s="5"/>
      <c r="W936" s="5"/>
    </row>
    <row r="937">
      <c r="A937" s="3" t="s">
        <v>3920</v>
      </c>
      <c r="B937" s="3" t="s">
        <v>3921</v>
      </c>
      <c r="C937" s="3" t="s">
        <v>3922</v>
      </c>
      <c r="D937" s="3" t="s">
        <v>3923</v>
      </c>
      <c r="E937" s="5"/>
      <c r="F937" s="5"/>
      <c r="G937" s="5"/>
      <c r="H937" s="5"/>
      <c r="I937" s="5"/>
      <c r="J937" s="5"/>
      <c r="K937" s="5"/>
      <c r="L937" s="5"/>
      <c r="M937" s="5"/>
      <c r="N937" s="5"/>
      <c r="O937" s="5"/>
      <c r="P937" s="5"/>
      <c r="Q937" s="5"/>
      <c r="R937" s="5"/>
      <c r="S937" s="5"/>
      <c r="T937" s="5"/>
      <c r="U937" s="5"/>
      <c r="V937" s="5"/>
      <c r="W937" s="5"/>
    </row>
    <row r="938">
      <c r="A938" s="3" t="s">
        <v>3924</v>
      </c>
      <c r="B938" s="3" t="s">
        <v>3925</v>
      </c>
      <c r="C938" s="3" t="s">
        <v>3926</v>
      </c>
      <c r="D938" s="3" t="s">
        <v>3927</v>
      </c>
      <c r="E938" s="5"/>
      <c r="F938" s="5"/>
      <c r="G938" s="5"/>
      <c r="H938" s="5"/>
      <c r="I938" s="5"/>
      <c r="J938" s="5"/>
      <c r="K938" s="5"/>
      <c r="L938" s="5"/>
      <c r="M938" s="5"/>
      <c r="N938" s="5"/>
      <c r="O938" s="5"/>
      <c r="P938" s="5"/>
      <c r="Q938" s="5"/>
      <c r="R938" s="5"/>
      <c r="S938" s="5"/>
      <c r="T938" s="5"/>
      <c r="U938" s="5"/>
      <c r="V938" s="5"/>
      <c r="W938" s="5"/>
    </row>
    <row r="939">
      <c r="A939" s="3" t="s">
        <v>3928</v>
      </c>
      <c r="B939" s="3" t="s">
        <v>3929</v>
      </c>
      <c r="C939" s="3" t="s">
        <v>3930</v>
      </c>
      <c r="D939" s="3" t="s">
        <v>3931</v>
      </c>
      <c r="E939" s="5"/>
      <c r="F939" s="5"/>
      <c r="G939" s="5"/>
      <c r="H939" s="5"/>
      <c r="I939" s="5"/>
      <c r="J939" s="5"/>
      <c r="K939" s="5"/>
      <c r="L939" s="5"/>
      <c r="M939" s="5"/>
      <c r="N939" s="5"/>
      <c r="O939" s="5"/>
      <c r="P939" s="5"/>
      <c r="Q939" s="5"/>
      <c r="R939" s="5"/>
      <c r="S939" s="5"/>
      <c r="T939" s="5"/>
      <c r="U939" s="5"/>
      <c r="V939" s="5"/>
      <c r="W939" s="5"/>
    </row>
    <row r="940">
      <c r="A940" s="3" t="s">
        <v>3932</v>
      </c>
      <c r="B940" s="3" t="s">
        <v>3933</v>
      </c>
      <c r="C940" s="3" t="s">
        <v>3934</v>
      </c>
      <c r="D940" s="3" t="s">
        <v>3935</v>
      </c>
      <c r="E940" s="5"/>
      <c r="F940" s="5"/>
      <c r="G940" s="5"/>
      <c r="H940" s="5"/>
      <c r="I940" s="5"/>
      <c r="J940" s="5"/>
      <c r="K940" s="5"/>
      <c r="L940" s="5"/>
      <c r="M940" s="5"/>
      <c r="N940" s="5"/>
      <c r="O940" s="5"/>
      <c r="P940" s="5"/>
      <c r="Q940" s="5"/>
      <c r="R940" s="5"/>
      <c r="S940" s="5"/>
      <c r="T940" s="5"/>
      <c r="U940" s="5"/>
      <c r="V940" s="5"/>
      <c r="W940" s="5"/>
    </row>
    <row r="941">
      <c r="A941" s="3" t="s">
        <v>3936</v>
      </c>
      <c r="B941" s="3" t="s">
        <v>1001</v>
      </c>
      <c r="C941" s="3" t="s">
        <v>3937</v>
      </c>
      <c r="D941" s="3" t="s">
        <v>3938</v>
      </c>
      <c r="E941" s="5"/>
      <c r="F941" s="5"/>
      <c r="G941" s="5"/>
      <c r="H941" s="5"/>
      <c r="I941" s="5"/>
      <c r="J941" s="5"/>
      <c r="K941" s="5"/>
      <c r="L941" s="5"/>
      <c r="M941" s="5"/>
      <c r="N941" s="5"/>
      <c r="O941" s="5"/>
      <c r="P941" s="5"/>
      <c r="Q941" s="5"/>
      <c r="R941" s="5"/>
      <c r="S941" s="5"/>
      <c r="T941" s="5"/>
      <c r="U941" s="5"/>
      <c r="V941" s="5"/>
      <c r="W941" s="5"/>
    </row>
    <row r="942">
      <c r="A942" s="3" t="s">
        <v>3939</v>
      </c>
      <c r="B942" s="3" t="s">
        <v>3940</v>
      </c>
      <c r="C942" s="3" t="s">
        <v>3941</v>
      </c>
      <c r="D942" s="3" t="s">
        <v>3942</v>
      </c>
      <c r="E942" s="5"/>
      <c r="F942" s="5"/>
      <c r="G942" s="5"/>
      <c r="H942" s="5"/>
      <c r="I942" s="5"/>
      <c r="J942" s="5"/>
      <c r="K942" s="5"/>
      <c r="L942" s="5"/>
      <c r="M942" s="5"/>
      <c r="N942" s="5"/>
      <c r="O942" s="5"/>
      <c r="P942" s="5"/>
      <c r="Q942" s="5"/>
      <c r="R942" s="5"/>
      <c r="S942" s="5"/>
      <c r="T942" s="5"/>
      <c r="U942" s="5"/>
      <c r="V942" s="5"/>
      <c r="W942" s="5"/>
    </row>
    <row r="943">
      <c r="A943" s="3" t="s">
        <v>3943</v>
      </c>
      <c r="B943" s="15" t="s">
        <v>3944</v>
      </c>
      <c r="C943" s="3" t="s">
        <v>3945</v>
      </c>
      <c r="D943" s="3" t="s">
        <v>3946</v>
      </c>
      <c r="E943" s="2"/>
      <c r="F943" s="5"/>
      <c r="G943" s="5"/>
      <c r="H943" s="5"/>
      <c r="I943" s="5"/>
      <c r="J943" s="5"/>
      <c r="K943" s="5"/>
      <c r="L943" s="5"/>
      <c r="M943" s="5"/>
      <c r="N943" s="5"/>
      <c r="O943" s="5"/>
      <c r="P943" s="5"/>
      <c r="Q943" s="5"/>
      <c r="R943" s="5"/>
      <c r="S943" s="5"/>
      <c r="T943" s="5"/>
      <c r="U943" s="5"/>
      <c r="V943" s="5"/>
      <c r="W943" s="5"/>
    </row>
    <row r="944">
      <c r="A944" s="3" t="s">
        <v>3947</v>
      </c>
      <c r="B944" s="3" t="s">
        <v>3948</v>
      </c>
      <c r="C944" s="3" t="s">
        <v>3945</v>
      </c>
      <c r="D944" s="3" t="s">
        <v>3949</v>
      </c>
      <c r="E944" s="5"/>
      <c r="F944" s="5"/>
      <c r="G944" s="5"/>
      <c r="H944" s="5"/>
      <c r="I944" s="5"/>
      <c r="J944" s="5"/>
      <c r="K944" s="5"/>
      <c r="L944" s="5"/>
      <c r="M944" s="5"/>
      <c r="N944" s="5"/>
      <c r="O944" s="5"/>
      <c r="P944" s="5"/>
      <c r="Q944" s="5"/>
      <c r="R944" s="5"/>
      <c r="S944" s="5"/>
      <c r="T944" s="5"/>
      <c r="U944" s="5"/>
      <c r="V944" s="5"/>
      <c r="W944" s="5"/>
    </row>
    <row r="945">
      <c r="A945" s="3" t="s">
        <v>3950</v>
      </c>
      <c r="B945" s="3" t="s">
        <v>3951</v>
      </c>
      <c r="C945" s="3" t="s">
        <v>3945</v>
      </c>
      <c r="D945" s="3" t="s">
        <v>3952</v>
      </c>
      <c r="E945" s="5"/>
      <c r="F945" s="5"/>
      <c r="G945" s="5"/>
      <c r="H945" s="5"/>
      <c r="I945" s="5"/>
      <c r="J945" s="5"/>
      <c r="K945" s="5"/>
      <c r="L945" s="5"/>
      <c r="M945" s="5"/>
      <c r="N945" s="5"/>
      <c r="O945" s="5"/>
      <c r="P945" s="5"/>
      <c r="Q945" s="5"/>
      <c r="R945" s="5"/>
      <c r="S945" s="5"/>
      <c r="T945" s="5"/>
      <c r="U945" s="5"/>
      <c r="V945" s="5"/>
      <c r="W945" s="5"/>
    </row>
    <row r="946">
      <c r="A946" s="3" t="s">
        <v>3953</v>
      </c>
      <c r="B946" s="3" t="s">
        <v>3954</v>
      </c>
      <c r="C946" s="3" t="s">
        <v>3955</v>
      </c>
      <c r="D946" s="3" t="s">
        <v>3956</v>
      </c>
      <c r="E946" s="5"/>
      <c r="F946" s="5"/>
      <c r="G946" s="5"/>
      <c r="H946" s="5"/>
      <c r="I946" s="5"/>
      <c r="J946" s="5"/>
      <c r="K946" s="5"/>
      <c r="L946" s="5"/>
      <c r="M946" s="5"/>
      <c r="N946" s="5"/>
      <c r="O946" s="5"/>
      <c r="P946" s="5"/>
      <c r="Q946" s="5"/>
      <c r="R946" s="5"/>
      <c r="S946" s="5"/>
      <c r="T946" s="5"/>
      <c r="U946" s="5"/>
      <c r="V946" s="5"/>
      <c r="W946" s="5"/>
    </row>
    <row r="947">
      <c r="A947" s="3" t="s">
        <v>3957</v>
      </c>
      <c r="B947" s="3" t="s">
        <v>3958</v>
      </c>
      <c r="C947" s="3" t="s">
        <v>3959</v>
      </c>
      <c r="D947" s="3" t="s">
        <v>3960</v>
      </c>
      <c r="E947" s="5"/>
      <c r="F947" s="5"/>
      <c r="G947" s="5"/>
      <c r="H947" s="5"/>
      <c r="I947" s="5"/>
      <c r="J947" s="5"/>
      <c r="K947" s="5"/>
      <c r="L947" s="5"/>
      <c r="M947" s="5"/>
      <c r="N947" s="5"/>
      <c r="O947" s="5"/>
      <c r="P947" s="5"/>
      <c r="Q947" s="5"/>
      <c r="R947" s="5"/>
      <c r="S947" s="5"/>
      <c r="T947" s="5"/>
      <c r="U947" s="5"/>
      <c r="V947" s="5"/>
      <c r="W947" s="5"/>
    </row>
    <row r="948">
      <c r="A948" s="3" t="s">
        <v>3961</v>
      </c>
      <c r="B948" s="3" t="s">
        <v>3962</v>
      </c>
      <c r="C948" s="3" t="s">
        <v>3963</v>
      </c>
      <c r="D948" s="3" t="s">
        <v>3964</v>
      </c>
      <c r="E948" s="5"/>
      <c r="F948" s="5"/>
      <c r="G948" s="5"/>
      <c r="H948" s="5"/>
      <c r="I948" s="5"/>
      <c r="J948" s="5"/>
      <c r="K948" s="5"/>
      <c r="L948" s="5"/>
      <c r="M948" s="5"/>
      <c r="N948" s="5"/>
      <c r="O948" s="5"/>
      <c r="P948" s="5"/>
      <c r="Q948" s="5"/>
      <c r="R948" s="5"/>
      <c r="S948" s="5"/>
      <c r="T948" s="5"/>
      <c r="U948" s="5"/>
      <c r="V948" s="5"/>
      <c r="W948" s="5"/>
    </row>
    <row r="949">
      <c r="A949" s="3" t="s">
        <v>3965</v>
      </c>
      <c r="B949" s="3" t="s">
        <v>3966</v>
      </c>
      <c r="C949" s="3" t="s">
        <v>3967</v>
      </c>
      <c r="D949" s="3" t="s">
        <v>3968</v>
      </c>
      <c r="E949" s="5"/>
      <c r="F949" s="5"/>
      <c r="G949" s="5"/>
      <c r="H949" s="5"/>
      <c r="I949" s="5"/>
      <c r="J949" s="5"/>
      <c r="K949" s="5"/>
      <c r="L949" s="5"/>
      <c r="M949" s="5"/>
      <c r="N949" s="5"/>
      <c r="O949" s="5"/>
      <c r="P949" s="5"/>
      <c r="Q949" s="5"/>
      <c r="R949" s="5"/>
      <c r="S949" s="5"/>
      <c r="T949" s="5"/>
      <c r="U949" s="5"/>
      <c r="V949" s="5"/>
      <c r="W949" s="5"/>
    </row>
    <row r="950">
      <c r="A950" s="3" t="s">
        <v>3969</v>
      </c>
      <c r="B950" s="3" t="s">
        <v>3970</v>
      </c>
      <c r="C950" s="3" t="s">
        <v>3945</v>
      </c>
      <c r="D950" s="3" t="s">
        <v>3971</v>
      </c>
      <c r="E950" s="2"/>
      <c r="F950" s="5"/>
      <c r="G950" s="5"/>
      <c r="H950" s="5"/>
      <c r="I950" s="5"/>
      <c r="J950" s="5"/>
      <c r="K950" s="5"/>
      <c r="L950" s="5"/>
      <c r="M950" s="5"/>
      <c r="N950" s="5"/>
      <c r="O950" s="5"/>
      <c r="P950" s="5"/>
      <c r="Q950" s="5"/>
      <c r="R950" s="5"/>
      <c r="S950" s="5"/>
      <c r="T950" s="5"/>
      <c r="U950" s="5"/>
      <c r="V950" s="5"/>
      <c r="W950" s="5"/>
    </row>
    <row r="951">
      <c r="A951" s="3" t="s">
        <v>3972</v>
      </c>
      <c r="B951" s="3" t="s">
        <v>3973</v>
      </c>
      <c r="C951" s="3" t="s">
        <v>3945</v>
      </c>
      <c r="D951" s="3" t="s">
        <v>3974</v>
      </c>
      <c r="E951" s="2"/>
      <c r="F951" s="5"/>
      <c r="G951" s="5"/>
      <c r="H951" s="5"/>
      <c r="I951" s="5"/>
      <c r="J951" s="5"/>
      <c r="K951" s="5"/>
      <c r="L951" s="5"/>
      <c r="M951" s="5"/>
      <c r="N951" s="5"/>
      <c r="O951" s="5"/>
      <c r="P951" s="5"/>
      <c r="Q951" s="5"/>
      <c r="R951" s="5"/>
      <c r="S951" s="5"/>
      <c r="T951" s="5"/>
      <c r="U951" s="5"/>
      <c r="V951" s="5"/>
      <c r="W951" s="5"/>
    </row>
    <row r="952">
      <c r="A952" s="3" t="s">
        <v>3975</v>
      </c>
      <c r="B952" s="3" t="s">
        <v>3976</v>
      </c>
      <c r="C952" s="3" t="s">
        <v>3945</v>
      </c>
      <c r="D952" s="3" t="s">
        <v>3977</v>
      </c>
      <c r="E952" s="2"/>
      <c r="F952" s="5"/>
      <c r="G952" s="5"/>
      <c r="H952" s="5"/>
      <c r="I952" s="5"/>
      <c r="J952" s="5"/>
      <c r="K952" s="5"/>
      <c r="L952" s="5"/>
      <c r="M952" s="5"/>
      <c r="N952" s="5"/>
      <c r="O952" s="5"/>
      <c r="P952" s="5"/>
      <c r="Q952" s="5"/>
      <c r="R952" s="5"/>
      <c r="S952" s="5"/>
      <c r="T952" s="5"/>
      <c r="U952" s="5"/>
      <c r="V952" s="5"/>
      <c r="W952" s="5"/>
    </row>
    <row r="953">
      <c r="A953" s="3" t="s">
        <v>3978</v>
      </c>
      <c r="B953" s="3" t="s">
        <v>3979</v>
      </c>
      <c r="C953" s="3" t="s">
        <v>3945</v>
      </c>
      <c r="D953" s="3" t="s">
        <v>3980</v>
      </c>
      <c r="E953" s="5"/>
      <c r="F953" s="5"/>
      <c r="G953" s="5"/>
      <c r="H953" s="5"/>
      <c r="I953" s="5"/>
      <c r="J953" s="5"/>
      <c r="K953" s="5"/>
      <c r="L953" s="5"/>
      <c r="M953" s="5"/>
      <c r="N953" s="5"/>
      <c r="O953" s="5"/>
      <c r="P953" s="5"/>
      <c r="Q953" s="5"/>
      <c r="R953" s="5"/>
      <c r="S953" s="5"/>
      <c r="T953" s="5"/>
      <c r="U953" s="5"/>
      <c r="V953" s="5"/>
      <c r="W953" s="5"/>
    </row>
    <row r="954">
      <c r="A954" s="3" t="s">
        <v>3981</v>
      </c>
      <c r="B954" s="3" t="s">
        <v>3982</v>
      </c>
      <c r="C954" s="3" t="s">
        <v>3963</v>
      </c>
      <c r="D954" s="3" t="s">
        <v>3983</v>
      </c>
      <c r="E954" s="2"/>
      <c r="F954" s="5"/>
      <c r="G954" s="5"/>
      <c r="H954" s="5"/>
      <c r="I954" s="5"/>
      <c r="J954" s="5"/>
      <c r="K954" s="5"/>
      <c r="L954" s="5"/>
      <c r="M954" s="5"/>
      <c r="N954" s="5"/>
      <c r="O954" s="5"/>
      <c r="P954" s="5"/>
      <c r="Q954" s="5"/>
      <c r="R954" s="5"/>
      <c r="S954" s="5"/>
      <c r="T954" s="5"/>
      <c r="U954" s="5"/>
      <c r="V954" s="5"/>
      <c r="W954" s="5"/>
    </row>
    <row r="955">
      <c r="A955" s="3" t="s">
        <v>3984</v>
      </c>
      <c r="B955" s="3" t="s">
        <v>3985</v>
      </c>
      <c r="C955" s="3" t="s">
        <v>3959</v>
      </c>
      <c r="D955" s="3" t="s">
        <v>3986</v>
      </c>
      <c r="E955" s="5"/>
      <c r="F955" s="5"/>
      <c r="G955" s="5"/>
      <c r="H955" s="5"/>
      <c r="I955" s="5"/>
      <c r="J955" s="5"/>
      <c r="K955" s="5"/>
      <c r="L955" s="5"/>
      <c r="M955" s="5"/>
      <c r="N955" s="5"/>
      <c r="O955" s="5"/>
      <c r="P955" s="5"/>
      <c r="Q955" s="5"/>
      <c r="R955" s="5"/>
      <c r="S955" s="5"/>
      <c r="T955" s="5"/>
      <c r="U955" s="5"/>
      <c r="V955" s="5"/>
      <c r="W955" s="5"/>
    </row>
    <row r="956">
      <c r="A956" s="3" t="s">
        <v>3987</v>
      </c>
      <c r="B956" s="3" t="s">
        <v>3988</v>
      </c>
      <c r="C956" s="3" t="s">
        <v>3945</v>
      </c>
      <c r="D956" s="3" t="s">
        <v>3989</v>
      </c>
      <c r="E956" s="5"/>
      <c r="F956" s="5"/>
      <c r="G956" s="5"/>
      <c r="H956" s="5"/>
      <c r="I956" s="5"/>
      <c r="J956" s="5"/>
      <c r="K956" s="5"/>
      <c r="L956" s="5"/>
      <c r="M956" s="5"/>
      <c r="N956" s="5"/>
      <c r="O956" s="5"/>
      <c r="P956" s="5"/>
      <c r="Q956" s="5"/>
      <c r="R956" s="5"/>
      <c r="S956" s="5"/>
      <c r="T956" s="5"/>
      <c r="U956" s="5"/>
      <c r="V956" s="5"/>
      <c r="W956" s="5"/>
    </row>
    <row r="957">
      <c r="A957" s="3" t="s">
        <v>3990</v>
      </c>
      <c r="B957" s="5"/>
      <c r="C957" s="3" t="s">
        <v>3963</v>
      </c>
      <c r="D957" s="3" t="s">
        <v>3991</v>
      </c>
      <c r="E957" s="5"/>
      <c r="F957" s="5"/>
      <c r="G957" s="5"/>
      <c r="H957" s="5"/>
      <c r="I957" s="5"/>
      <c r="J957" s="5"/>
      <c r="K957" s="5"/>
      <c r="L957" s="5"/>
      <c r="M957" s="5"/>
      <c r="N957" s="5"/>
      <c r="O957" s="5"/>
      <c r="P957" s="5"/>
      <c r="Q957" s="5"/>
      <c r="R957" s="5"/>
      <c r="S957" s="5"/>
      <c r="T957" s="5"/>
      <c r="U957" s="5"/>
      <c r="V957" s="5"/>
      <c r="W957" s="5"/>
    </row>
    <row r="958">
      <c r="A958" s="3" t="s">
        <v>3992</v>
      </c>
      <c r="B958" s="3" t="s">
        <v>3993</v>
      </c>
      <c r="C958" s="3" t="s">
        <v>3994</v>
      </c>
      <c r="D958" s="3" t="s">
        <v>3995</v>
      </c>
      <c r="E958" s="5"/>
      <c r="F958" s="5"/>
      <c r="G958" s="5"/>
      <c r="H958" s="5"/>
      <c r="I958" s="5"/>
      <c r="J958" s="5"/>
      <c r="K958" s="5"/>
      <c r="L958" s="5"/>
      <c r="M958" s="5"/>
      <c r="N958" s="5"/>
      <c r="O958" s="5"/>
      <c r="P958" s="5"/>
      <c r="Q958" s="5"/>
      <c r="R958" s="5"/>
      <c r="S958" s="5"/>
      <c r="T958" s="5"/>
      <c r="U958" s="5"/>
      <c r="V958" s="5"/>
      <c r="W958" s="5"/>
    </row>
    <row r="959">
      <c r="A959" s="3" t="s">
        <v>3996</v>
      </c>
      <c r="B959" s="3" t="s">
        <v>3997</v>
      </c>
      <c r="C959" s="27" t="s">
        <v>1278</v>
      </c>
      <c r="D959" s="3" t="s">
        <v>3998</v>
      </c>
      <c r="E959" s="15" t="s">
        <v>1055</v>
      </c>
      <c r="F959" s="5"/>
      <c r="G959" s="5"/>
      <c r="H959" s="5"/>
      <c r="I959" s="5"/>
      <c r="J959" s="5"/>
      <c r="K959" s="5"/>
      <c r="L959" s="5"/>
      <c r="M959" s="5"/>
      <c r="N959" s="5"/>
      <c r="O959" s="5"/>
      <c r="P959" s="5"/>
      <c r="Q959" s="5"/>
      <c r="R959" s="5"/>
      <c r="S959" s="5"/>
      <c r="T959" s="5"/>
      <c r="U959" s="5"/>
      <c r="V959" s="5"/>
      <c r="W959" s="5"/>
    </row>
    <row r="960">
      <c r="A960" s="3" t="s">
        <v>3999</v>
      </c>
      <c r="B960" s="3" t="s">
        <v>4000</v>
      </c>
      <c r="C960" s="27" t="s">
        <v>1278</v>
      </c>
      <c r="D960" s="3" t="s">
        <v>4001</v>
      </c>
      <c r="E960" s="15" t="s">
        <v>1055</v>
      </c>
      <c r="F960" s="5"/>
      <c r="G960" s="5"/>
      <c r="H960" s="5"/>
      <c r="I960" s="5"/>
      <c r="J960" s="5"/>
      <c r="K960" s="5"/>
      <c r="L960" s="5"/>
      <c r="M960" s="5"/>
      <c r="N960" s="5"/>
      <c r="O960" s="5"/>
      <c r="P960" s="5"/>
      <c r="Q960" s="5"/>
      <c r="R960" s="5"/>
      <c r="S960" s="5"/>
      <c r="T960" s="5"/>
      <c r="U960" s="5"/>
      <c r="V960" s="5"/>
      <c r="W960" s="5"/>
    </row>
    <row r="961">
      <c r="A961" s="3" t="s">
        <v>4002</v>
      </c>
      <c r="B961" s="3" t="s">
        <v>4000</v>
      </c>
      <c r="C961" s="27" t="s">
        <v>1278</v>
      </c>
      <c r="D961" s="3" t="s">
        <v>4003</v>
      </c>
      <c r="E961" s="15" t="s">
        <v>1055</v>
      </c>
      <c r="F961" s="5"/>
      <c r="G961" s="5"/>
      <c r="H961" s="5"/>
      <c r="I961" s="5"/>
      <c r="J961" s="5"/>
      <c r="K961" s="5"/>
      <c r="L961" s="5"/>
      <c r="M961" s="5"/>
      <c r="N961" s="5"/>
      <c r="O961" s="5"/>
      <c r="P961" s="5"/>
      <c r="Q961" s="5"/>
      <c r="R961" s="5"/>
      <c r="S961" s="5"/>
      <c r="T961" s="5"/>
      <c r="U961" s="5"/>
      <c r="V961" s="5"/>
      <c r="W961" s="5"/>
    </row>
    <row r="962">
      <c r="A962" s="3" t="s">
        <v>4004</v>
      </c>
      <c r="B962" s="3" t="s">
        <v>4005</v>
      </c>
      <c r="C962" s="27" t="s">
        <v>1278</v>
      </c>
      <c r="D962" s="3" t="s">
        <v>4006</v>
      </c>
      <c r="E962" s="15" t="s">
        <v>1055</v>
      </c>
      <c r="F962" s="5"/>
      <c r="G962" s="5"/>
      <c r="H962" s="5"/>
      <c r="I962" s="5"/>
      <c r="J962" s="5"/>
      <c r="K962" s="5"/>
      <c r="L962" s="5"/>
      <c r="M962" s="5"/>
      <c r="N962" s="5"/>
      <c r="O962" s="5"/>
      <c r="P962" s="5"/>
      <c r="Q962" s="5"/>
      <c r="R962" s="5"/>
      <c r="S962" s="5"/>
      <c r="T962" s="5"/>
      <c r="U962" s="5"/>
      <c r="V962" s="5"/>
      <c r="W962" s="5"/>
    </row>
    <row r="963">
      <c r="A963" s="3" t="s">
        <v>4007</v>
      </c>
      <c r="B963" s="3" t="s">
        <v>4008</v>
      </c>
      <c r="C963" s="27" t="s">
        <v>1278</v>
      </c>
      <c r="D963" s="3" t="s">
        <v>4009</v>
      </c>
      <c r="E963" s="15" t="s">
        <v>1055</v>
      </c>
      <c r="F963" s="5"/>
      <c r="G963" s="5"/>
      <c r="H963" s="5"/>
      <c r="I963" s="5"/>
      <c r="J963" s="5"/>
      <c r="K963" s="5"/>
      <c r="L963" s="5"/>
      <c r="M963" s="5"/>
      <c r="N963" s="5"/>
      <c r="O963" s="5"/>
      <c r="P963" s="5"/>
      <c r="Q963" s="5"/>
      <c r="R963" s="5"/>
      <c r="S963" s="5"/>
      <c r="T963" s="5"/>
      <c r="U963" s="5"/>
      <c r="V963" s="5"/>
      <c r="W963" s="5"/>
    </row>
    <row r="964">
      <c r="A964" s="3" t="s">
        <v>4010</v>
      </c>
      <c r="B964" s="3" t="s">
        <v>4011</v>
      </c>
      <c r="C964" s="27" t="s">
        <v>1278</v>
      </c>
      <c r="D964" s="3" t="s">
        <v>4012</v>
      </c>
      <c r="E964" s="15" t="s">
        <v>1055</v>
      </c>
      <c r="F964" s="5"/>
      <c r="G964" s="5"/>
      <c r="H964" s="5"/>
      <c r="I964" s="5"/>
      <c r="J964" s="5"/>
      <c r="K964" s="5"/>
      <c r="L964" s="5"/>
      <c r="M964" s="5"/>
      <c r="N964" s="5"/>
      <c r="O964" s="5"/>
      <c r="P964" s="5"/>
      <c r="Q964" s="5"/>
      <c r="R964" s="5"/>
      <c r="S964" s="5"/>
      <c r="T964" s="5"/>
      <c r="U964" s="5"/>
      <c r="V964" s="5"/>
      <c r="W964" s="5"/>
    </row>
    <row r="965">
      <c r="A965" s="3" t="s">
        <v>4013</v>
      </c>
      <c r="B965" s="3" t="s">
        <v>4014</v>
      </c>
      <c r="C965" s="27" t="s">
        <v>1278</v>
      </c>
      <c r="D965" s="3" t="s">
        <v>4015</v>
      </c>
      <c r="E965" s="15" t="s">
        <v>1055</v>
      </c>
      <c r="F965" s="5"/>
      <c r="G965" s="5"/>
      <c r="H965" s="5"/>
      <c r="I965" s="5"/>
      <c r="J965" s="5"/>
      <c r="K965" s="5"/>
      <c r="L965" s="5"/>
      <c r="M965" s="5"/>
      <c r="N965" s="5"/>
      <c r="O965" s="5"/>
      <c r="P965" s="5"/>
      <c r="Q965" s="5"/>
      <c r="R965" s="5"/>
      <c r="S965" s="5"/>
      <c r="T965" s="5"/>
      <c r="U965" s="5"/>
      <c r="V965" s="5"/>
      <c r="W965" s="5"/>
    </row>
    <row r="966">
      <c r="A966" s="3" t="s">
        <v>4016</v>
      </c>
      <c r="B966" s="3" t="s">
        <v>4017</v>
      </c>
      <c r="C966" s="27" t="s">
        <v>1278</v>
      </c>
      <c r="D966" s="3" t="s">
        <v>4018</v>
      </c>
      <c r="E966" s="15" t="s">
        <v>1055</v>
      </c>
      <c r="F966" s="5"/>
      <c r="G966" s="5"/>
      <c r="H966" s="5"/>
      <c r="I966" s="5"/>
      <c r="J966" s="5"/>
      <c r="K966" s="5"/>
      <c r="L966" s="5"/>
      <c r="M966" s="5"/>
      <c r="N966" s="5"/>
      <c r="O966" s="5"/>
      <c r="P966" s="5"/>
      <c r="Q966" s="5"/>
      <c r="R966" s="5"/>
      <c r="S966" s="5"/>
      <c r="T966" s="5"/>
      <c r="U966" s="5"/>
      <c r="V966" s="5"/>
      <c r="W966" s="5"/>
    </row>
    <row r="967">
      <c r="A967" s="3" t="s">
        <v>4019</v>
      </c>
      <c r="B967" s="3" t="s">
        <v>4020</v>
      </c>
      <c r="C967" s="27" t="s">
        <v>1278</v>
      </c>
      <c r="D967" s="3" t="s">
        <v>4021</v>
      </c>
      <c r="E967" s="3"/>
      <c r="F967" s="5"/>
      <c r="G967" s="5"/>
      <c r="H967" s="5"/>
      <c r="I967" s="5"/>
      <c r="J967" s="5"/>
      <c r="K967" s="5"/>
      <c r="L967" s="5"/>
      <c r="M967" s="5"/>
      <c r="N967" s="5"/>
      <c r="O967" s="5"/>
      <c r="P967" s="5"/>
      <c r="Q967" s="5"/>
      <c r="R967" s="5"/>
      <c r="S967" s="5"/>
      <c r="T967" s="5"/>
      <c r="U967" s="5"/>
      <c r="V967" s="5"/>
      <c r="W967" s="5"/>
    </row>
    <row r="968">
      <c r="A968" s="3" t="s">
        <v>4022</v>
      </c>
      <c r="B968" s="3" t="s">
        <v>4023</v>
      </c>
      <c r="C968" s="27" t="s">
        <v>1278</v>
      </c>
      <c r="D968" s="3" t="s">
        <v>4024</v>
      </c>
      <c r="E968" s="3"/>
      <c r="F968" s="5"/>
      <c r="G968" s="5"/>
      <c r="H968" s="5"/>
      <c r="I968" s="5"/>
      <c r="J968" s="5"/>
      <c r="K968" s="5"/>
      <c r="L968" s="5"/>
      <c r="M968" s="5"/>
      <c r="N968" s="5"/>
      <c r="O968" s="5"/>
      <c r="P968" s="5"/>
      <c r="Q968" s="5"/>
      <c r="R968" s="5"/>
      <c r="S968" s="5"/>
      <c r="T968" s="5"/>
      <c r="U968" s="5"/>
      <c r="V968" s="5"/>
      <c r="W968" s="5"/>
    </row>
    <row r="969">
      <c r="A969" s="3" t="s">
        <v>4025</v>
      </c>
      <c r="B969" s="3" t="s">
        <v>1167</v>
      </c>
      <c r="C969" s="3" t="s">
        <v>4026</v>
      </c>
      <c r="D969" s="3" t="s">
        <v>4027</v>
      </c>
      <c r="E969" s="5"/>
      <c r="F969" s="5"/>
      <c r="G969" s="5"/>
      <c r="H969" s="5"/>
      <c r="I969" s="5"/>
      <c r="J969" s="5"/>
      <c r="K969" s="5"/>
      <c r="L969" s="5"/>
      <c r="M969" s="5"/>
      <c r="N969" s="5"/>
      <c r="O969" s="5"/>
      <c r="P969" s="5"/>
      <c r="Q969" s="5"/>
      <c r="R969" s="5"/>
      <c r="S969" s="5"/>
      <c r="T969" s="5"/>
      <c r="U969" s="5"/>
      <c r="V969" s="5"/>
      <c r="W969" s="5"/>
    </row>
    <row r="970">
      <c r="A970" s="3" t="s">
        <v>4028</v>
      </c>
      <c r="B970" s="3" t="s">
        <v>4029</v>
      </c>
      <c r="C970" s="3" t="s">
        <v>4026</v>
      </c>
      <c r="D970" s="3" t="s">
        <v>4030</v>
      </c>
      <c r="E970" s="4" t="s">
        <v>1055</v>
      </c>
      <c r="F970" s="5"/>
      <c r="G970" s="5"/>
      <c r="H970" s="5"/>
      <c r="I970" s="5"/>
      <c r="J970" s="5"/>
      <c r="K970" s="5"/>
      <c r="L970" s="5"/>
      <c r="M970" s="5"/>
      <c r="N970" s="5"/>
      <c r="O970" s="5"/>
      <c r="P970" s="5"/>
      <c r="Q970" s="5"/>
      <c r="R970" s="5"/>
      <c r="S970" s="5"/>
      <c r="T970" s="5"/>
      <c r="U970" s="5"/>
      <c r="V970" s="5"/>
      <c r="W970" s="5"/>
    </row>
    <row r="971">
      <c r="A971" s="3" t="s">
        <v>4031</v>
      </c>
      <c r="B971" s="3" t="s">
        <v>4032</v>
      </c>
      <c r="C971" s="3" t="s">
        <v>4026</v>
      </c>
      <c r="D971" s="3" t="s">
        <v>4033</v>
      </c>
      <c r="E971" s="4" t="s">
        <v>1055</v>
      </c>
      <c r="F971" s="5"/>
      <c r="G971" s="5"/>
      <c r="H971" s="5"/>
      <c r="I971" s="5"/>
      <c r="J971" s="5"/>
      <c r="K971" s="5"/>
      <c r="L971" s="5"/>
      <c r="M971" s="5"/>
      <c r="N971" s="5"/>
      <c r="O971" s="5"/>
      <c r="P971" s="5"/>
      <c r="Q971" s="5"/>
      <c r="R971" s="5"/>
      <c r="S971" s="5"/>
      <c r="T971" s="5"/>
      <c r="U971" s="5"/>
      <c r="V971" s="5"/>
      <c r="W971" s="5"/>
    </row>
    <row r="972">
      <c r="A972" s="3" t="s">
        <v>4034</v>
      </c>
      <c r="B972" s="3" t="s">
        <v>4000</v>
      </c>
      <c r="C972" s="27" t="s">
        <v>1278</v>
      </c>
      <c r="D972" s="3" t="s">
        <v>4035</v>
      </c>
      <c r="E972" s="4" t="s">
        <v>1055</v>
      </c>
      <c r="F972" s="5"/>
      <c r="G972" s="5"/>
      <c r="H972" s="5"/>
      <c r="I972" s="5"/>
      <c r="J972" s="5"/>
      <c r="K972" s="5"/>
      <c r="L972" s="5"/>
      <c r="M972" s="5"/>
      <c r="N972" s="5"/>
      <c r="O972" s="5"/>
      <c r="P972" s="5"/>
      <c r="Q972" s="5"/>
      <c r="R972" s="5"/>
      <c r="S972" s="5"/>
      <c r="T972" s="5"/>
      <c r="U972" s="5"/>
      <c r="V972" s="5"/>
      <c r="W972" s="5"/>
    </row>
    <row r="973">
      <c r="A973" s="3" t="s">
        <v>4036</v>
      </c>
      <c r="B973" s="3" t="s">
        <v>4000</v>
      </c>
      <c r="C973" s="27" t="s">
        <v>1278</v>
      </c>
      <c r="D973" s="3" t="s">
        <v>4037</v>
      </c>
      <c r="E973" s="4" t="s">
        <v>1055</v>
      </c>
      <c r="F973" s="5"/>
      <c r="G973" s="5"/>
      <c r="H973" s="5"/>
      <c r="I973" s="5"/>
      <c r="J973" s="5"/>
      <c r="K973" s="5"/>
      <c r="L973" s="5"/>
      <c r="M973" s="5"/>
      <c r="N973" s="5"/>
      <c r="O973" s="5"/>
      <c r="P973" s="5"/>
      <c r="Q973" s="5"/>
      <c r="R973" s="5"/>
      <c r="S973" s="5"/>
      <c r="T973" s="5"/>
      <c r="U973" s="5"/>
      <c r="V973" s="5"/>
      <c r="W973" s="5"/>
    </row>
    <row r="974">
      <c r="A974" s="16" t="s">
        <v>4038</v>
      </c>
      <c r="B974" s="16" t="s">
        <v>4039</v>
      </c>
      <c r="C974" s="16"/>
      <c r="D974" s="16"/>
      <c r="E974" s="17"/>
      <c r="F974" s="17"/>
      <c r="G974" s="17"/>
      <c r="H974" s="17"/>
      <c r="I974" s="17"/>
      <c r="J974" s="17"/>
      <c r="K974" s="17"/>
      <c r="L974" s="17"/>
      <c r="M974" s="17"/>
      <c r="N974" s="17"/>
      <c r="O974" s="17"/>
      <c r="P974" s="17"/>
      <c r="Q974" s="17"/>
      <c r="R974" s="17"/>
      <c r="S974" s="17"/>
      <c r="T974" s="17"/>
      <c r="U974" s="17"/>
      <c r="V974" s="17"/>
      <c r="W974" s="17"/>
    </row>
    <row r="975">
      <c r="A975" s="3" t="s">
        <v>4040</v>
      </c>
      <c r="B975" s="3" t="s">
        <v>947</v>
      </c>
      <c r="C975" s="3" t="s">
        <v>948</v>
      </c>
      <c r="D975" s="3" t="s">
        <v>4041</v>
      </c>
      <c r="E975" s="3"/>
      <c r="F975" s="5"/>
      <c r="G975" s="5"/>
      <c r="H975" s="5"/>
      <c r="I975" s="5"/>
      <c r="J975" s="5"/>
      <c r="K975" s="5"/>
      <c r="L975" s="5"/>
      <c r="M975" s="5"/>
      <c r="N975" s="5"/>
      <c r="O975" s="5"/>
      <c r="P975" s="5"/>
      <c r="Q975" s="5"/>
      <c r="R975" s="5"/>
      <c r="S975" s="5"/>
      <c r="T975" s="5"/>
      <c r="U975" s="5"/>
      <c r="V975" s="5"/>
      <c r="W975" s="5"/>
    </row>
    <row r="976">
      <c r="A976" s="3" t="s">
        <v>4042</v>
      </c>
      <c r="B976" s="3" t="s">
        <v>947</v>
      </c>
      <c r="C976" s="3" t="s">
        <v>948</v>
      </c>
      <c r="D976" s="3" t="s">
        <v>4041</v>
      </c>
      <c r="E976" s="5"/>
      <c r="F976" s="5"/>
      <c r="G976" s="5"/>
      <c r="H976" s="5"/>
      <c r="I976" s="5"/>
      <c r="J976" s="5"/>
      <c r="K976" s="5"/>
      <c r="L976" s="5"/>
      <c r="M976" s="5"/>
      <c r="N976" s="5"/>
      <c r="O976" s="5"/>
      <c r="P976" s="5"/>
      <c r="Q976" s="5"/>
      <c r="R976" s="5"/>
      <c r="S976" s="5"/>
      <c r="T976" s="5"/>
      <c r="U976" s="5"/>
      <c r="V976" s="5"/>
      <c r="W976" s="5"/>
    </row>
    <row r="977">
      <c r="A977" s="3" t="s">
        <v>4043</v>
      </c>
      <c r="B977" s="3" t="s">
        <v>947</v>
      </c>
      <c r="C977" s="3" t="s">
        <v>948</v>
      </c>
      <c r="D977" s="3" t="s">
        <v>4041</v>
      </c>
      <c r="E977" s="5"/>
      <c r="F977" s="5"/>
      <c r="G977" s="5"/>
      <c r="H977" s="5"/>
      <c r="I977" s="5"/>
      <c r="J977" s="5"/>
      <c r="K977" s="5"/>
      <c r="L977" s="5"/>
      <c r="M977" s="5"/>
      <c r="N977" s="5"/>
      <c r="O977" s="5"/>
      <c r="P977" s="5"/>
      <c r="Q977" s="5"/>
      <c r="R977" s="5"/>
      <c r="S977" s="5"/>
      <c r="T977" s="5"/>
      <c r="U977" s="5"/>
      <c r="V977" s="5"/>
      <c r="W977" s="5"/>
    </row>
    <row r="978">
      <c r="A978" s="3" t="s">
        <v>4044</v>
      </c>
      <c r="B978" s="3" t="s">
        <v>4045</v>
      </c>
      <c r="C978" s="3" t="s">
        <v>4046</v>
      </c>
      <c r="D978" s="3" t="s">
        <v>4047</v>
      </c>
      <c r="E978" s="5"/>
      <c r="F978" s="5"/>
      <c r="G978" s="5"/>
      <c r="H978" s="5"/>
      <c r="I978" s="5"/>
      <c r="J978" s="5"/>
      <c r="K978" s="5"/>
      <c r="L978" s="5"/>
      <c r="M978" s="5"/>
      <c r="N978" s="5"/>
      <c r="O978" s="5"/>
      <c r="P978" s="5"/>
      <c r="Q978" s="5"/>
      <c r="R978" s="5"/>
      <c r="S978" s="5"/>
      <c r="T978" s="5"/>
      <c r="U978" s="5"/>
      <c r="V978" s="5"/>
      <c r="W978" s="5"/>
    </row>
    <row r="979">
      <c r="A979" s="3" t="s">
        <v>4048</v>
      </c>
      <c r="B979" s="3" t="s">
        <v>4049</v>
      </c>
      <c r="C979" s="3" t="s">
        <v>4050</v>
      </c>
      <c r="D979" s="3" t="s">
        <v>4051</v>
      </c>
      <c r="E979" s="5"/>
      <c r="F979" s="5"/>
      <c r="G979" s="5"/>
      <c r="H979" s="5"/>
      <c r="I979" s="5"/>
      <c r="J979" s="5"/>
      <c r="K979" s="5"/>
      <c r="L979" s="5"/>
      <c r="M979" s="5"/>
      <c r="N979" s="5"/>
      <c r="O979" s="5"/>
      <c r="P979" s="5"/>
      <c r="Q979" s="5"/>
      <c r="R979" s="5"/>
      <c r="S979" s="5"/>
      <c r="T979" s="5"/>
      <c r="U979" s="5"/>
      <c r="V979" s="5"/>
      <c r="W979" s="5"/>
    </row>
    <row r="980">
      <c r="A980" s="3" t="s">
        <v>4052</v>
      </c>
      <c r="B980" s="3" t="s">
        <v>4053</v>
      </c>
      <c r="C980" s="27" t="s">
        <v>4054</v>
      </c>
      <c r="D980" s="3" t="s">
        <v>4055</v>
      </c>
      <c r="E980" s="3"/>
      <c r="F980" s="5"/>
      <c r="G980" s="5"/>
      <c r="H980" s="5"/>
      <c r="I980" s="5"/>
      <c r="J980" s="5"/>
      <c r="K980" s="5"/>
      <c r="L980" s="5"/>
      <c r="M980" s="5"/>
      <c r="N980" s="5"/>
      <c r="O980" s="5"/>
      <c r="P980" s="5"/>
      <c r="Q980" s="5"/>
      <c r="R980" s="5"/>
      <c r="S980" s="5"/>
      <c r="T980" s="5"/>
      <c r="U980" s="5"/>
      <c r="V980" s="5"/>
      <c r="W980" s="5"/>
    </row>
    <row r="981">
      <c r="A981" s="3" t="s">
        <v>683</v>
      </c>
      <c r="B981" s="3" t="s">
        <v>4056</v>
      </c>
      <c r="C981" s="3" t="s">
        <v>146</v>
      </c>
      <c r="D981" s="3" t="s">
        <v>4057</v>
      </c>
      <c r="E981" s="3"/>
      <c r="G981" s="5"/>
      <c r="H981" s="5"/>
      <c r="I981" s="5"/>
      <c r="J981" s="5"/>
      <c r="K981" s="5"/>
      <c r="L981" s="5"/>
      <c r="M981" s="5"/>
      <c r="N981" s="5"/>
      <c r="O981" s="5"/>
      <c r="P981" s="5"/>
      <c r="Q981" s="5"/>
      <c r="R981" s="5"/>
      <c r="S981" s="5"/>
      <c r="T981" s="5"/>
      <c r="U981" s="5"/>
      <c r="V981" s="5"/>
      <c r="W981" s="5"/>
    </row>
    <row r="982">
      <c r="A982" s="3" t="s">
        <v>4058</v>
      </c>
      <c r="B982" s="3" t="s">
        <v>4059</v>
      </c>
      <c r="C982" s="3" t="s">
        <v>146</v>
      </c>
      <c r="D982" s="3" t="s">
        <v>4060</v>
      </c>
      <c r="E982" s="5"/>
      <c r="F982" s="5"/>
      <c r="G982" s="5"/>
      <c r="H982" s="5"/>
      <c r="I982" s="5"/>
      <c r="J982" s="5"/>
      <c r="K982" s="5"/>
      <c r="L982" s="5"/>
      <c r="M982" s="5"/>
      <c r="N982" s="5"/>
      <c r="O982" s="5"/>
      <c r="P982" s="5"/>
      <c r="Q982" s="5"/>
      <c r="R982" s="5"/>
      <c r="S982" s="5"/>
      <c r="T982" s="5"/>
      <c r="U982" s="5"/>
      <c r="V982" s="5"/>
      <c r="W982" s="5"/>
    </row>
    <row r="983">
      <c r="A983" s="3" t="s">
        <v>4061</v>
      </c>
      <c r="B983" s="3" t="s">
        <v>4062</v>
      </c>
      <c r="C983" s="3" t="s">
        <v>146</v>
      </c>
      <c r="D983" s="3" t="s">
        <v>4063</v>
      </c>
      <c r="E983" s="3" t="s">
        <v>4064</v>
      </c>
      <c r="F983" s="5"/>
      <c r="G983" s="5"/>
      <c r="H983" s="5"/>
      <c r="I983" s="5"/>
      <c r="J983" s="5"/>
      <c r="K983" s="5"/>
      <c r="L983" s="5"/>
      <c r="M983" s="5"/>
      <c r="N983" s="5"/>
      <c r="O983" s="5"/>
      <c r="P983" s="5"/>
      <c r="Q983" s="5"/>
      <c r="R983" s="5"/>
      <c r="S983" s="5"/>
      <c r="T983" s="5"/>
      <c r="U983" s="5"/>
      <c r="V983" s="5"/>
      <c r="W983" s="5"/>
    </row>
    <row r="984">
      <c r="A984" s="3" t="s">
        <v>4065</v>
      </c>
      <c r="B984" s="3" t="s">
        <v>4066</v>
      </c>
      <c r="C984" s="3" t="s">
        <v>146</v>
      </c>
      <c r="D984" s="3" t="s">
        <v>4067</v>
      </c>
      <c r="E984" s="3" t="s">
        <v>4068</v>
      </c>
      <c r="F984" s="5"/>
      <c r="G984" s="5"/>
      <c r="H984" s="5"/>
      <c r="I984" s="5"/>
      <c r="J984" s="5"/>
      <c r="K984" s="5"/>
      <c r="L984" s="5"/>
      <c r="M984" s="5"/>
      <c r="N984" s="5"/>
      <c r="O984" s="5"/>
      <c r="P984" s="5"/>
      <c r="Q984" s="5"/>
      <c r="R984" s="5"/>
      <c r="S984" s="5"/>
      <c r="T984" s="5"/>
      <c r="U984" s="5"/>
      <c r="V984" s="5"/>
      <c r="W984" s="5"/>
    </row>
    <row r="985">
      <c r="A985" s="3" t="s">
        <v>629</v>
      </c>
      <c r="B985" s="3" t="s">
        <v>4069</v>
      </c>
      <c r="C985" s="3" t="s">
        <v>146</v>
      </c>
      <c r="D985" s="3" t="s">
        <v>4070</v>
      </c>
      <c r="E985" s="3" t="s">
        <v>4064</v>
      </c>
      <c r="F985" s="5"/>
      <c r="G985" s="5"/>
      <c r="H985" s="5"/>
      <c r="I985" s="5"/>
      <c r="J985" s="5"/>
      <c r="K985" s="5"/>
      <c r="L985" s="5"/>
      <c r="M985" s="5"/>
      <c r="N985" s="5"/>
      <c r="O985" s="5"/>
      <c r="P985" s="5"/>
      <c r="Q985" s="5"/>
      <c r="R985" s="5"/>
      <c r="S985" s="5"/>
      <c r="T985" s="5"/>
      <c r="U985" s="5"/>
      <c r="V985" s="5"/>
      <c r="W985" s="5"/>
    </row>
    <row r="986">
      <c r="A986" s="3" t="s">
        <v>4071</v>
      </c>
      <c r="B986" s="3" t="s">
        <v>4072</v>
      </c>
      <c r="C986" s="3" t="s">
        <v>144</v>
      </c>
      <c r="D986" s="3" t="s">
        <v>4073</v>
      </c>
      <c r="E986" s="3" t="s">
        <v>4074</v>
      </c>
      <c r="F986" s="5"/>
      <c r="G986" s="5"/>
      <c r="H986" s="5"/>
      <c r="I986" s="5"/>
      <c r="J986" s="5"/>
      <c r="K986" s="5"/>
      <c r="L986" s="5"/>
      <c r="M986" s="5"/>
      <c r="N986" s="5"/>
      <c r="O986" s="5"/>
      <c r="P986" s="5"/>
      <c r="Q986" s="5"/>
      <c r="R986" s="5"/>
      <c r="S986" s="5"/>
      <c r="T986" s="5"/>
      <c r="U986" s="5"/>
      <c r="V986" s="5"/>
      <c r="W986" s="5"/>
    </row>
    <row r="987">
      <c r="A987" s="3" t="s">
        <v>4075</v>
      </c>
      <c r="B987" s="3" t="s">
        <v>4076</v>
      </c>
      <c r="C987" s="3" t="s">
        <v>144</v>
      </c>
      <c r="D987" s="3" t="s">
        <v>4077</v>
      </c>
      <c r="E987" s="3" t="s">
        <v>4064</v>
      </c>
      <c r="F987" s="5"/>
      <c r="G987" s="5"/>
      <c r="H987" s="5"/>
      <c r="I987" s="5"/>
      <c r="J987" s="5"/>
      <c r="K987" s="5"/>
      <c r="L987" s="5"/>
      <c r="M987" s="5"/>
      <c r="N987" s="5"/>
      <c r="O987" s="5"/>
      <c r="P987" s="5"/>
      <c r="Q987" s="5"/>
      <c r="R987" s="5"/>
      <c r="S987" s="5"/>
      <c r="T987" s="5"/>
      <c r="U987" s="5"/>
      <c r="V987" s="5"/>
      <c r="W987" s="5"/>
    </row>
    <row r="988">
      <c r="A988" s="3" t="s">
        <v>4078</v>
      </c>
      <c r="B988" s="3" t="s">
        <v>4079</v>
      </c>
      <c r="C988" s="3" t="s">
        <v>4080</v>
      </c>
      <c r="D988" s="3" t="s">
        <v>4081</v>
      </c>
      <c r="E988" s="3" t="s">
        <v>4082</v>
      </c>
      <c r="F988" s="5"/>
      <c r="G988" s="5"/>
      <c r="H988" s="5"/>
      <c r="I988" s="5"/>
      <c r="J988" s="5"/>
      <c r="K988" s="5"/>
      <c r="L988" s="5"/>
      <c r="M988" s="5"/>
      <c r="N988" s="5"/>
      <c r="O988" s="5"/>
      <c r="P988" s="5"/>
      <c r="Q988" s="5"/>
      <c r="R988" s="5"/>
      <c r="S988" s="5"/>
      <c r="T988" s="5"/>
      <c r="U988" s="5"/>
      <c r="V988" s="5"/>
      <c r="W988" s="5"/>
    </row>
    <row r="989">
      <c r="A989" s="20" t="s">
        <v>4083</v>
      </c>
      <c r="B989" s="20" t="s">
        <v>4084</v>
      </c>
      <c r="C989" s="28" t="s">
        <v>1244</v>
      </c>
      <c r="D989" s="20" t="s">
        <v>4085</v>
      </c>
      <c r="E989" s="3" t="s">
        <v>4082</v>
      </c>
      <c r="F989" s="29"/>
      <c r="G989" s="29"/>
      <c r="H989" s="29"/>
      <c r="I989" s="29"/>
      <c r="J989" s="29"/>
      <c r="K989" s="29"/>
      <c r="L989" s="29"/>
      <c r="M989" s="29"/>
      <c r="N989" s="29"/>
      <c r="O989" s="29"/>
      <c r="P989" s="29"/>
      <c r="Q989" s="29"/>
      <c r="R989" s="29"/>
      <c r="S989" s="29"/>
      <c r="T989" s="29"/>
      <c r="U989" s="29"/>
      <c r="V989" s="29"/>
      <c r="W989" s="29"/>
    </row>
    <row r="990">
      <c r="A990" s="20" t="s">
        <v>4086</v>
      </c>
      <c r="B990" s="21" t="s">
        <v>4087</v>
      </c>
      <c r="C990" s="30" t="s">
        <v>4088</v>
      </c>
      <c r="D990" s="21" t="s">
        <v>4089</v>
      </c>
      <c r="E990" s="30"/>
      <c r="F990" s="29"/>
      <c r="G990" s="29"/>
      <c r="H990" s="29"/>
      <c r="I990" s="29"/>
      <c r="J990" s="29"/>
      <c r="K990" s="29"/>
      <c r="L990" s="29"/>
      <c r="M990" s="29"/>
      <c r="N990" s="29"/>
      <c r="O990" s="29"/>
      <c r="P990" s="29"/>
      <c r="Q990" s="29"/>
      <c r="R990" s="29"/>
      <c r="S990" s="29"/>
      <c r="T990" s="29"/>
      <c r="U990" s="29"/>
      <c r="V990" s="29"/>
      <c r="W990" s="29"/>
    </row>
    <row r="991">
      <c r="A991" s="3" t="s">
        <v>4090</v>
      </c>
      <c r="B991" s="3" t="s">
        <v>4091</v>
      </c>
      <c r="C991" s="3" t="s">
        <v>4092</v>
      </c>
      <c r="D991" s="3" t="s">
        <v>4093</v>
      </c>
      <c r="E991" s="3"/>
      <c r="F991" s="5"/>
      <c r="G991" s="5"/>
      <c r="H991" s="5"/>
      <c r="I991" s="5"/>
      <c r="J991" s="5"/>
      <c r="K991" s="5"/>
      <c r="L991" s="5"/>
      <c r="M991" s="5"/>
      <c r="N991" s="5"/>
      <c r="O991" s="5"/>
      <c r="P991" s="5"/>
      <c r="Q991" s="5"/>
      <c r="R991" s="5"/>
      <c r="S991" s="5"/>
      <c r="T991" s="5"/>
      <c r="U991" s="5"/>
      <c r="V991" s="5"/>
      <c r="W991" s="5"/>
    </row>
    <row r="992">
      <c r="A992" s="3" t="s">
        <v>4094</v>
      </c>
      <c r="B992" s="3" t="s">
        <v>4095</v>
      </c>
      <c r="C992" s="3" t="s">
        <v>4092</v>
      </c>
      <c r="D992" s="3" t="s">
        <v>4096</v>
      </c>
      <c r="E992" s="3"/>
      <c r="F992" s="5"/>
      <c r="G992" s="5"/>
      <c r="H992" s="5"/>
      <c r="I992" s="5"/>
      <c r="J992" s="5"/>
      <c r="K992" s="5"/>
      <c r="L992" s="5"/>
      <c r="M992" s="5"/>
      <c r="N992" s="5"/>
      <c r="O992" s="5"/>
      <c r="P992" s="5"/>
      <c r="Q992" s="5"/>
      <c r="R992" s="5"/>
      <c r="S992" s="5"/>
      <c r="T992" s="5"/>
      <c r="U992" s="5"/>
      <c r="V992" s="5"/>
      <c r="W992" s="5"/>
    </row>
    <row r="993">
      <c r="A993" s="3" t="s">
        <v>4097</v>
      </c>
      <c r="B993" s="3" t="s">
        <v>4098</v>
      </c>
      <c r="C993" s="3" t="s">
        <v>4092</v>
      </c>
      <c r="D993" s="3" t="s">
        <v>4099</v>
      </c>
      <c r="E993" s="3"/>
      <c r="F993" s="5"/>
      <c r="G993" s="5"/>
      <c r="H993" s="5"/>
      <c r="I993" s="5"/>
      <c r="J993" s="5"/>
      <c r="K993" s="5"/>
      <c r="L993" s="5"/>
      <c r="M993" s="5"/>
      <c r="N993" s="5"/>
      <c r="O993" s="5"/>
      <c r="P993" s="5"/>
      <c r="Q993" s="5"/>
      <c r="R993" s="5"/>
      <c r="S993" s="5"/>
      <c r="T993" s="5"/>
      <c r="U993" s="5"/>
      <c r="V993" s="5"/>
      <c r="W993" s="5"/>
    </row>
    <row r="994">
      <c r="A994" s="3" t="s">
        <v>4100</v>
      </c>
      <c r="B994" s="3" t="s">
        <v>4101</v>
      </c>
      <c r="C994" s="3" t="s">
        <v>4102</v>
      </c>
      <c r="D994" s="3" t="s">
        <v>4103</v>
      </c>
      <c r="E994" s="3"/>
      <c r="F994" s="5"/>
      <c r="G994" s="5"/>
      <c r="H994" s="5"/>
      <c r="I994" s="5"/>
      <c r="J994" s="5"/>
      <c r="K994" s="5"/>
      <c r="L994" s="5"/>
      <c r="M994" s="5"/>
      <c r="N994" s="5"/>
      <c r="O994" s="5"/>
      <c r="P994" s="5"/>
      <c r="Q994" s="5"/>
      <c r="R994" s="5"/>
      <c r="S994" s="5"/>
      <c r="T994" s="5"/>
      <c r="U994" s="5"/>
      <c r="V994" s="5"/>
      <c r="W994" s="5"/>
    </row>
    <row r="995">
      <c r="A995" s="3" t="s">
        <v>4104</v>
      </c>
      <c r="B995" s="3" t="s">
        <v>4105</v>
      </c>
      <c r="C995" s="3" t="s">
        <v>4106</v>
      </c>
      <c r="D995" s="3" t="s">
        <v>4107</v>
      </c>
      <c r="E995" s="3"/>
      <c r="F995" s="5"/>
      <c r="G995" s="5"/>
      <c r="H995" s="5"/>
      <c r="I995" s="5"/>
      <c r="J995" s="5"/>
      <c r="K995" s="5"/>
      <c r="L995" s="5"/>
      <c r="M995" s="5"/>
      <c r="N995" s="5"/>
      <c r="O995" s="5"/>
      <c r="P995" s="5"/>
      <c r="Q995" s="5"/>
      <c r="R995" s="5"/>
      <c r="S995" s="5"/>
      <c r="T995" s="5"/>
      <c r="U995" s="5"/>
      <c r="V995" s="5"/>
      <c r="W995" s="5"/>
    </row>
    <row r="996">
      <c r="A996" s="3" t="s">
        <v>4108</v>
      </c>
      <c r="B996" s="3" t="s">
        <v>4109</v>
      </c>
      <c r="C996" s="3" t="s">
        <v>4026</v>
      </c>
      <c r="D996" s="3" t="s">
        <v>4110</v>
      </c>
      <c r="E996" s="3"/>
      <c r="F996" s="5"/>
      <c r="G996" s="5"/>
      <c r="H996" s="5"/>
      <c r="I996" s="5"/>
      <c r="J996" s="5"/>
      <c r="K996" s="5"/>
      <c r="L996" s="5"/>
      <c r="M996" s="5"/>
      <c r="N996" s="5"/>
      <c r="O996" s="5"/>
      <c r="P996" s="5"/>
      <c r="Q996" s="5"/>
      <c r="R996" s="5"/>
      <c r="S996" s="5"/>
      <c r="T996" s="5"/>
      <c r="U996" s="5"/>
      <c r="V996" s="5"/>
      <c r="W996" s="5"/>
    </row>
    <row r="997">
      <c r="A997" s="3" t="s">
        <v>4111</v>
      </c>
      <c r="B997" s="3" t="s">
        <v>4112</v>
      </c>
      <c r="C997" s="3" t="s">
        <v>4113</v>
      </c>
      <c r="D997" s="3" t="s">
        <v>4114</v>
      </c>
      <c r="E997" s="3"/>
      <c r="F997" s="5"/>
      <c r="G997" s="5"/>
      <c r="H997" s="5"/>
      <c r="I997" s="5"/>
      <c r="J997" s="5"/>
      <c r="K997" s="5"/>
      <c r="L997" s="5"/>
      <c r="M997" s="5"/>
      <c r="N997" s="5"/>
      <c r="O997" s="5"/>
      <c r="P997" s="5"/>
      <c r="Q997" s="5"/>
      <c r="R997" s="5"/>
      <c r="S997" s="5"/>
      <c r="T997" s="5"/>
      <c r="U997" s="5"/>
      <c r="V997" s="5"/>
      <c r="W997" s="5"/>
    </row>
    <row r="998">
      <c r="A998" s="3" t="s">
        <v>4115</v>
      </c>
      <c r="B998" s="3" t="s">
        <v>4116</v>
      </c>
      <c r="C998" s="3" t="s">
        <v>4117</v>
      </c>
      <c r="D998" s="3" t="s">
        <v>4118</v>
      </c>
      <c r="E998" s="3"/>
      <c r="F998" s="5"/>
      <c r="G998" s="5"/>
      <c r="H998" s="5"/>
      <c r="I998" s="5"/>
      <c r="J998" s="5"/>
      <c r="K998" s="5"/>
      <c r="L998" s="5"/>
      <c r="M998" s="5"/>
      <c r="N998" s="5"/>
      <c r="O998" s="5"/>
      <c r="P998" s="5"/>
      <c r="Q998" s="5"/>
      <c r="R998" s="5"/>
      <c r="S998" s="5"/>
      <c r="T998" s="5"/>
      <c r="U998" s="5"/>
      <c r="V998" s="5"/>
      <c r="W998" s="5"/>
    </row>
    <row r="999">
      <c r="A999" s="3" t="s">
        <v>4119</v>
      </c>
      <c r="B999" s="3" t="s">
        <v>4120</v>
      </c>
      <c r="C999" s="3" t="s">
        <v>4121</v>
      </c>
      <c r="D999" s="3" t="s">
        <v>4122</v>
      </c>
      <c r="E999" s="3"/>
      <c r="F999" s="5"/>
      <c r="G999" s="5"/>
      <c r="H999" s="5"/>
      <c r="I999" s="5"/>
      <c r="J999" s="5"/>
      <c r="K999" s="5"/>
      <c r="L999" s="5"/>
      <c r="M999" s="5"/>
      <c r="N999" s="5"/>
      <c r="O999" s="5"/>
      <c r="P999" s="5"/>
      <c r="Q999" s="5"/>
      <c r="R999" s="5"/>
      <c r="S999" s="5"/>
      <c r="T999" s="5"/>
      <c r="U999" s="5"/>
      <c r="V999" s="5"/>
      <c r="W999" s="5"/>
    </row>
    <row r="1000">
      <c r="A1000" s="16" t="s">
        <v>4123</v>
      </c>
      <c r="B1000" s="16" t="s">
        <v>4124</v>
      </c>
      <c r="C1000" s="16" t="s">
        <v>4125</v>
      </c>
      <c r="D1000" s="16" t="s">
        <v>4126</v>
      </c>
      <c r="E1000" s="16"/>
      <c r="F1000" s="17"/>
      <c r="G1000" s="17"/>
      <c r="H1000" s="17"/>
      <c r="I1000" s="17"/>
      <c r="J1000" s="17"/>
      <c r="K1000" s="17"/>
      <c r="L1000" s="17"/>
      <c r="M1000" s="17"/>
      <c r="N1000" s="17"/>
      <c r="O1000" s="17"/>
      <c r="P1000" s="17"/>
      <c r="Q1000" s="17"/>
      <c r="R1000" s="17"/>
      <c r="S1000" s="17"/>
      <c r="T1000" s="17"/>
      <c r="U1000" s="17"/>
      <c r="V1000" s="17"/>
      <c r="W1000" s="17"/>
    </row>
    <row r="1001">
      <c r="A1001" s="3" t="s">
        <v>4127</v>
      </c>
      <c r="B1001" s="3" t="s">
        <v>4128</v>
      </c>
      <c r="C1001" s="3" t="s">
        <v>4129</v>
      </c>
      <c r="D1001" s="3" t="s">
        <v>4130</v>
      </c>
      <c r="E1001" s="3"/>
      <c r="F1001" s="5"/>
      <c r="G1001" s="5"/>
      <c r="H1001" s="5"/>
      <c r="I1001" s="5"/>
      <c r="J1001" s="5"/>
      <c r="K1001" s="5"/>
      <c r="L1001" s="5"/>
      <c r="M1001" s="5"/>
      <c r="N1001" s="5"/>
      <c r="O1001" s="5"/>
      <c r="P1001" s="5"/>
      <c r="Q1001" s="5"/>
      <c r="R1001" s="5"/>
      <c r="S1001" s="5"/>
      <c r="T1001" s="5"/>
      <c r="U1001" s="5"/>
      <c r="V1001" s="5"/>
      <c r="W1001" s="5"/>
    </row>
    <row r="1002">
      <c r="A1002" s="3" t="s">
        <v>4131</v>
      </c>
      <c r="B1002" s="3" t="s">
        <v>4132</v>
      </c>
      <c r="C1002" s="3" t="s">
        <v>4133</v>
      </c>
      <c r="D1002" s="3" t="s">
        <v>4134</v>
      </c>
      <c r="E1002" s="3"/>
      <c r="F1002" s="5"/>
      <c r="G1002" s="5"/>
      <c r="H1002" s="5"/>
      <c r="I1002" s="5"/>
      <c r="J1002" s="5"/>
      <c r="K1002" s="5"/>
      <c r="L1002" s="5"/>
      <c r="M1002" s="5"/>
      <c r="N1002" s="5"/>
      <c r="O1002" s="5"/>
      <c r="P1002" s="5"/>
      <c r="Q1002" s="5"/>
      <c r="R1002" s="5"/>
      <c r="S1002" s="5"/>
      <c r="T1002" s="5"/>
      <c r="U1002" s="5"/>
      <c r="V1002" s="5"/>
      <c r="W1002" s="5"/>
    </row>
    <row r="1003">
      <c r="A1003" s="3" t="s">
        <v>4135</v>
      </c>
      <c r="B1003" s="3" t="s">
        <v>4136</v>
      </c>
      <c r="C1003" s="3" t="s">
        <v>4137</v>
      </c>
      <c r="D1003" s="3" t="s">
        <v>4138</v>
      </c>
      <c r="E1003" s="3"/>
      <c r="F1003" s="5"/>
      <c r="G1003" s="5"/>
      <c r="H1003" s="5"/>
      <c r="I1003" s="5"/>
      <c r="J1003" s="5"/>
      <c r="K1003" s="5"/>
      <c r="L1003" s="5"/>
      <c r="M1003" s="5"/>
      <c r="N1003" s="5"/>
      <c r="O1003" s="5"/>
      <c r="P1003" s="5"/>
      <c r="Q1003" s="5"/>
      <c r="R1003" s="5"/>
      <c r="S1003" s="5"/>
      <c r="T1003" s="5"/>
      <c r="U1003" s="5"/>
      <c r="V1003" s="5"/>
      <c r="W1003" s="5"/>
    </row>
    <row r="1004">
      <c r="A1004" s="3" t="s">
        <v>4139</v>
      </c>
      <c r="B1004" s="3" t="s">
        <v>4140</v>
      </c>
      <c r="C1004" s="3" t="s">
        <v>4141</v>
      </c>
      <c r="D1004" s="3" t="s">
        <v>4142</v>
      </c>
      <c r="E1004" s="5"/>
      <c r="F1004" s="5"/>
      <c r="G1004" s="5"/>
      <c r="H1004" s="5"/>
      <c r="I1004" s="5"/>
      <c r="J1004" s="5"/>
      <c r="K1004" s="5"/>
      <c r="L1004" s="5"/>
      <c r="M1004" s="5"/>
      <c r="N1004" s="5"/>
      <c r="O1004" s="5"/>
      <c r="P1004" s="5"/>
      <c r="Q1004" s="5"/>
      <c r="R1004" s="5"/>
      <c r="S1004" s="5"/>
      <c r="T1004" s="5"/>
      <c r="U1004" s="5"/>
      <c r="V1004" s="5"/>
      <c r="W1004" s="5"/>
    </row>
    <row r="1005">
      <c r="A1005" s="3" t="s">
        <v>4143</v>
      </c>
      <c r="B1005" s="3" t="s">
        <v>4144</v>
      </c>
      <c r="C1005" s="3" t="s">
        <v>4145</v>
      </c>
      <c r="D1005" s="3" t="s">
        <v>4146</v>
      </c>
      <c r="E1005" s="3"/>
      <c r="F1005" s="5"/>
      <c r="G1005" s="5"/>
      <c r="H1005" s="5"/>
      <c r="I1005" s="5"/>
      <c r="J1005" s="5"/>
      <c r="K1005" s="5"/>
      <c r="L1005" s="5"/>
      <c r="M1005" s="5"/>
      <c r="N1005" s="5"/>
      <c r="O1005" s="5"/>
      <c r="P1005" s="5"/>
      <c r="Q1005" s="5"/>
      <c r="R1005" s="5"/>
      <c r="S1005" s="5"/>
      <c r="T1005" s="5"/>
      <c r="U1005" s="5"/>
      <c r="V1005" s="5"/>
      <c r="W1005" s="5"/>
    </row>
    <row r="1006">
      <c r="A1006" s="3" t="s">
        <v>4147</v>
      </c>
      <c r="B1006" s="3" t="s">
        <v>4148</v>
      </c>
      <c r="C1006" s="3" t="s">
        <v>4149</v>
      </c>
      <c r="D1006" s="3" t="s">
        <v>4150</v>
      </c>
      <c r="E1006" s="4" t="s">
        <v>4151</v>
      </c>
      <c r="F1006" s="5"/>
      <c r="G1006" s="5"/>
      <c r="H1006" s="5"/>
      <c r="I1006" s="5"/>
      <c r="J1006" s="5"/>
      <c r="K1006" s="5"/>
      <c r="L1006" s="5"/>
      <c r="M1006" s="5"/>
      <c r="N1006" s="5"/>
      <c r="O1006" s="5"/>
      <c r="P1006" s="5"/>
      <c r="Q1006" s="5"/>
      <c r="R1006" s="5"/>
      <c r="S1006" s="5"/>
      <c r="T1006" s="5"/>
      <c r="U1006" s="5"/>
      <c r="V1006" s="5"/>
      <c r="W1006" s="5"/>
    </row>
    <row r="1007">
      <c r="A1007" s="3" t="s">
        <v>4152</v>
      </c>
      <c r="B1007" s="3" t="s">
        <v>4153</v>
      </c>
      <c r="C1007" s="3" t="s">
        <v>2841</v>
      </c>
      <c r="D1007" s="3" t="s">
        <v>4154</v>
      </c>
      <c r="E1007" s="3"/>
      <c r="F1007" s="5"/>
      <c r="G1007" s="5"/>
      <c r="H1007" s="5"/>
      <c r="I1007" s="5"/>
      <c r="J1007" s="5"/>
      <c r="K1007" s="5"/>
      <c r="L1007" s="5"/>
      <c r="M1007" s="5"/>
      <c r="N1007" s="5"/>
      <c r="O1007" s="5"/>
      <c r="P1007" s="5"/>
      <c r="Q1007" s="5"/>
      <c r="R1007" s="5"/>
      <c r="S1007" s="5"/>
      <c r="T1007" s="5"/>
      <c r="U1007" s="5"/>
      <c r="V1007" s="5"/>
      <c r="W1007" s="5"/>
    </row>
    <row r="1008">
      <c r="A1008" s="3" t="s">
        <v>4155</v>
      </c>
      <c r="B1008" s="3" t="s">
        <v>4156</v>
      </c>
      <c r="C1008" s="3" t="s">
        <v>2375</v>
      </c>
      <c r="D1008" s="3" t="s">
        <v>4157</v>
      </c>
      <c r="E1008" s="3"/>
      <c r="F1008" s="5"/>
      <c r="G1008" s="5"/>
      <c r="H1008" s="5"/>
      <c r="I1008" s="5"/>
      <c r="J1008" s="5"/>
      <c r="K1008" s="5"/>
      <c r="L1008" s="5"/>
      <c r="M1008" s="5"/>
      <c r="N1008" s="5"/>
      <c r="O1008" s="5"/>
      <c r="P1008" s="5"/>
      <c r="Q1008" s="5"/>
      <c r="R1008" s="5"/>
      <c r="S1008" s="5"/>
      <c r="T1008" s="5"/>
      <c r="U1008" s="5"/>
      <c r="V1008" s="5"/>
      <c r="W1008" s="5"/>
    </row>
    <row r="1009">
      <c r="A1009" s="3" t="s">
        <v>4158</v>
      </c>
      <c r="B1009" s="3" t="s">
        <v>4159</v>
      </c>
      <c r="C1009" s="3" t="s">
        <v>4145</v>
      </c>
      <c r="D1009" s="3" t="s">
        <v>4160</v>
      </c>
      <c r="E1009" s="3"/>
      <c r="F1009" s="5"/>
      <c r="G1009" s="5"/>
      <c r="H1009" s="5"/>
      <c r="I1009" s="5"/>
      <c r="J1009" s="5"/>
      <c r="K1009" s="5"/>
      <c r="L1009" s="5"/>
      <c r="M1009" s="5"/>
      <c r="N1009" s="5"/>
      <c r="O1009" s="5"/>
      <c r="P1009" s="5"/>
      <c r="Q1009" s="5"/>
      <c r="R1009" s="5"/>
      <c r="S1009" s="5"/>
      <c r="T1009" s="5"/>
      <c r="U1009" s="5"/>
      <c r="V1009" s="5"/>
      <c r="W1009" s="5"/>
    </row>
    <row r="1010">
      <c r="A1010" s="3" t="s">
        <v>4161</v>
      </c>
      <c r="B1010" s="3" t="s">
        <v>4162</v>
      </c>
      <c r="C1010" s="3" t="s">
        <v>94</v>
      </c>
      <c r="D1010" s="3" t="s">
        <v>4163</v>
      </c>
      <c r="E1010" s="3"/>
      <c r="F1010" s="5"/>
      <c r="G1010" s="5"/>
      <c r="H1010" s="5"/>
      <c r="I1010" s="5"/>
      <c r="J1010" s="5"/>
      <c r="K1010" s="5"/>
      <c r="L1010" s="5"/>
      <c r="M1010" s="5"/>
      <c r="N1010" s="5"/>
      <c r="O1010" s="5"/>
      <c r="P1010" s="5"/>
      <c r="Q1010" s="5"/>
      <c r="R1010" s="5"/>
      <c r="S1010" s="5"/>
      <c r="T1010" s="5"/>
      <c r="U1010" s="5"/>
      <c r="V1010" s="5"/>
      <c r="W1010" s="5"/>
    </row>
    <row r="1011">
      <c r="A1011" s="3" t="s">
        <v>4164</v>
      </c>
      <c r="B1011" s="3" t="s">
        <v>4165</v>
      </c>
      <c r="C1011" s="3" t="s">
        <v>3390</v>
      </c>
      <c r="D1011" s="3" t="s">
        <v>4166</v>
      </c>
      <c r="E1011" s="4" t="s">
        <v>3380</v>
      </c>
      <c r="F1011" s="5"/>
      <c r="G1011" s="5"/>
      <c r="H1011" s="5"/>
      <c r="I1011" s="5"/>
      <c r="J1011" s="5"/>
      <c r="K1011" s="5"/>
      <c r="L1011" s="5"/>
      <c r="M1011" s="5"/>
      <c r="N1011" s="5"/>
      <c r="O1011" s="5"/>
      <c r="P1011" s="5"/>
      <c r="Q1011" s="5"/>
      <c r="R1011" s="5"/>
      <c r="S1011" s="5"/>
      <c r="T1011" s="5"/>
      <c r="U1011" s="5"/>
      <c r="V1011" s="5"/>
      <c r="W1011" s="5"/>
    </row>
    <row r="1012">
      <c r="A1012" s="3" t="s">
        <v>4167</v>
      </c>
      <c r="B1012" s="3" t="s">
        <v>4168</v>
      </c>
      <c r="C1012" s="3" t="s">
        <v>1244</v>
      </c>
      <c r="D1012" s="3" t="s">
        <v>4169</v>
      </c>
      <c r="E1012" s="4" t="s">
        <v>36</v>
      </c>
      <c r="F1012" s="5"/>
      <c r="G1012" s="5"/>
      <c r="H1012" s="5"/>
      <c r="I1012" s="5"/>
      <c r="J1012" s="5"/>
      <c r="K1012" s="5"/>
      <c r="L1012" s="5"/>
      <c r="M1012" s="5"/>
      <c r="N1012" s="5"/>
      <c r="O1012" s="5"/>
      <c r="P1012" s="5"/>
      <c r="Q1012" s="5"/>
      <c r="R1012" s="5"/>
      <c r="S1012" s="5"/>
      <c r="T1012" s="5"/>
      <c r="U1012" s="5"/>
      <c r="V1012" s="5"/>
      <c r="W1012" s="5"/>
    </row>
    <row r="1013">
      <c r="A1013" s="3" t="s">
        <v>4170</v>
      </c>
      <c r="B1013" s="3" t="s">
        <v>4171</v>
      </c>
      <c r="C1013" s="3" t="s">
        <v>4092</v>
      </c>
      <c r="D1013" s="3" t="s">
        <v>4172</v>
      </c>
      <c r="E1013" s="3"/>
      <c r="F1013" s="5"/>
      <c r="G1013" s="5"/>
      <c r="H1013" s="5"/>
      <c r="I1013" s="5"/>
      <c r="J1013" s="5"/>
      <c r="K1013" s="5"/>
      <c r="L1013" s="5"/>
      <c r="M1013" s="5"/>
      <c r="N1013" s="5"/>
      <c r="O1013" s="5"/>
      <c r="P1013" s="5"/>
      <c r="Q1013" s="5"/>
      <c r="R1013" s="5"/>
      <c r="S1013" s="5"/>
      <c r="T1013" s="5"/>
      <c r="U1013" s="5"/>
      <c r="V1013" s="5"/>
      <c r="W1013" s="5"/>
    </row>
    <row r="1014">
      <c r="A1014" s="3" t="s">
        <v>4173</v>
      </c>
      <c r="B1014" s="3" t="s">
        <v>4174</v>
      </c>
      <c r="C1014" s="3" t="s">
        <v>804</v>
      </c>
      <c r="D1014" s="3" t="s">
        <v>4175</v>
      </c>
      <c r="E1014" s="3" t="s">
        <v>4176</v>
      </c>
      <c r="F1014" s="5"/>
      <c r="G1014" s="5"/>
      <c r="H1014" s="5"/>
      <c r="I1014" s="5"/>
      <c r="J1014" s="5"/>
      <c r="K1014" s="5"/>
      <c r="L1014" s="5"/>
      <c r="M1014" s="5"/>
      <c r="N1014" s="5"/>
      <c r="O1014" s="5"/>
      <c r="P1014" s="5"/>
      <c r="Q1014" s="5"/>
      <c r="R1014" s="5"/>
      <c r="S1014" s="5"/>
      <c r="T1014" s="5"/>
      <c r="U1014" s="5"/>
      <c r="V1014" s="5"/>
      <c r="W1014" s="5"/>
    </row>
    <row r="1015">
      <c r="A1015" s="3" t="s">
        <v>4177</v>
      </c>
      <c r="B1015" s="3" t="s">
        <v>4178</v>
      </c>
      <c r="C1015" s="3" t="s">
        <v>4026</v>
      </c>
      <c r="D1015" s="3" t="s">
        <v>4179</v>
      </c>
      <c r="E1015" s="3"/>
      <c r="F1015" s="5"/>
      <c r="G1015" s="5"/>
      <c r="H1015" s="5"/>
      <c r="I1015" s="5"/>
      <c r="J1015" s="5"/>
      <c r="K1015" s="5"/>
      <c r="L1015" s="5"/>
      <c r="M1015" s="5"/>
      <c r="N1015" s="5"/>
      <c r="O1015" s="5"/>
      <c r="P1015" s="5"/>
      <c r="Q1015" s="5"/>
      <c r="R1015" s="5"/>
      <c r="S1015" s="5"/>
      <c r="T1015" s="5"/>
      <c r="U1015" s="5"/>
      <c r="V1015" s="5"/>
      <c r="W1015" s="5"/>
    </row>
    <row r="1016">
      <c r="A1016" s="3" t="s">
        <v>4180</v>
      </c>
      <c r="B1016" s="3" t="s">
        <v>4181</v>
      </c>
      <c r="C1016" s="3" t="s">
        <v>4092</v>
      </c>
      <c r="D1016" s="3" t="s">
        <v>4182</v>
      </c>
      <c r="E1016" s="3"/>
      <c r="F1016" s="5"/>
      <c r="G1016" s="5"/>
      <c r="H1016" s="5"/>
      <c r="I1016" s="5"/>
      <c r="J1016" s="5"/>
      <c r="K1016" s="5"/>
      <c r="L1016" s="5"/>
      <c r="M1016" s="5"/>
      <c r="N1016" s="5"/>
      <c r="O1016" s="5"/>
      <c r="P1016" s="5"/>
      <c r="Q1016" s="5"/>
      <c r="R1016" s="5"/>
      <c r="S1016" s="5"/>
      <c r="T1016" s="5"/>
      <c r="U1016" s="5"/>
      <c r="V1016" s="5"/>
      <c r="W1016" s="5"/>
    </row>
    <row r="1017">
      <c r="A1017" s="3" t="s">
        <v>4183</v>
      </c>
      <c r="B1017" s="3" t="s">
        <v>4184</v>
      </c>
      <c r="C1017" s="3" t="s">
        <v>3335</v>
      </c>
      <c r="D1017" s="3" t="s">
        <v>4185</v>
      </c>
      <c r="E1017" s="4" t="s">
        <v>3317</v>
      </c>
      <c r="F1017" s="5"/>
      <c r="G1017" s="5"/>
      <c r="H1017" s="5"/>
      <c r="I1017" s="5"/>
      <c r="J1017" s="5"/>
      <c r="K1017" s="5"/>
      <c r="L1017" s="5"/>
      <c r="M1017" s="5"/>
      <c r="N1017" s="5"/>
      <c r="O1017" s="5"/>
      <c r="P1017" s="5"/>
      <c r="Q1017" s="5"/>
      <c r="R1017" s="5"/>
      <c r="S1017" s="5"/>
      <c r="T1017" s="5"/>
      <c r="U1017" s="5"/>
      <c r="V1017" s="5"/>
      <c r="W1017" s="5"/>
    </row>
    <row r="1018">
      <c r="A1018" s="3" t="s">
        <v>4186</v>
      </c>
      <c r="B1018" s="3" t="s">
        <v>4187</v>
      </c>
      <c r="C1018" s="3" t="s">
        <v>146</v>
      </c>
      <c r="D1018" s="3" t="s">
        <v>4188</v>
      </c>
      <c r="E1018" s="3"/>
      <c r="F1018" s="5"/>
      <c r="G1018" s="5"/>
      <c r="H1018" s="5"/>
      <c r="I1018" s="5"/>
      <c r="J1018" s="5"/>
      <c r="K1018" s="5"/>
      <c r="L1018" s="5"/>
      <c r="M1018" s="5"/>
      <c r="N1018" s="5"/>
      <c r="O1018" s="5"/>
      <c r="P1018" s="5"/>
      <c r="Q1018" s="5"/>
      <c r="R1018" s="5"/>
      <c r="S1018" s="5"/>
      <c r="T1018" s="5"/>
      <c r="U1018" s="5"/>
      <c r="V1018" s="5"/>
      <c r="W1018" s="5"/>
    </row>
    <row r="1019">
      <c r="A1019" s="3" t="s">
        <v>4189</v>
      </c>
      <c r="B1019" s="3" t="s">
        <v>4190</v>
      </c>
      <c r="C1019" s="3" t="s">
        <v>146</v>
      </c>
      <c r="D1019" s="3" t="s">
        <v>4191</v>
      </c>
      <c r="E1019" s="3"/>
      <c r="F1019" s="5"/>
      <c r="G1019" s="5"/>
      <c r="H1019" s="5"/>
      <c r="I1019" s="5"/>
      <c r="J1019" s="5"/>
      <c r="K1019" s="5"/>
      <c r="L1019" s="5"/>
      <c r="M1019" s="5"/>
      <c r="N1019" s="5"/>
      <c r="O1019" s="5"/>
      <c r="P1019" s="5"/>
      <c r="Q1019" s="5"/>
      <c r="R1019" s="5"/>
      <c r="S1019" s="5"/>
      <c r="T1019" s="5"/>
      <c r="U1019" s="5"/>
      <c r="V1019" s="5"/>
      <c r="W1019" s="5"/>
    </row>
    <row r="1020">
      <c r="A1020" s="3" t="s">
        <v>4192</v>
      </c>
      <c r="B1020" s="3" t="s">
        <v>4193</v>
      </c>
      <c r="C1020" s="3" t="s">
        <v>3335</v>
      </c>
      <c r="D1020" s="3" t="s">
        <v>4194</v>
      </c>
      <c r="E1020" s="3"/>
      <c r="F1020" s="5"/>
      <c r="G1020" s="5"/>
      <c r="H1020" s="5"/>
      <c r="I1020" s="5"/>
      <c r="J1020" s="5"/>
      <c r="K1020" s="5"/>
      <c r="L1020" s="5"/>
      <c r="M1020" s="5"/>
      <c r="N1020" s="5"/>
      <c r="O1020" s="5"/>
      <c r="P1020" s="5"/>
      <c r="Q1020" s="5"/>
      <c r="R1020" s="5"/>
      <c r="S1020" s="5"/>
      <c r="T1020" s="5"/>
      <c r="U1020" s="5"/>
      <c r="V1020" s="5"/>
      <c r="W1020" s="5"/>
    </row>
    <row r="1021">
      <c r="A1021" s="3" t="s">
        <v>4195</v>
      </c>
      <c r="B1021" s="3" t="s">
        <v>4196</v>
      </c>
      <c r="C1021" s="3" t="s">
        <v>4197</v>
      </c>
      <c r="D1021" s="3" t="s">
        <v>4198</v>
      </c>
      <c r="E1021" s="3"/>
      <c r="F1021" s="5"/>
      <c r="G1021" s="5"/>
      <c r="H1021" s="5"/>
      <c r="I1021" s="5"/>
      <c r="J1021" s="5"/>
      <c r="K1021" s="5"/>
      <c r="L1021" s="5"/>
      <c r="M1021" s="5"/>
      <c r="N1021" s="5"/>
      <c r="O1021" s="5"/>
      <c r="P1021" s="5"/>
      <c r="Q1021" s="5"/>
      <c r="R1021" s="5"/>
      <c r="S1021" s="5"/>
      <c r="T1021" s="5"/>
      <c r="U1021" s="5"/>
      <c r="V1021" s="5"/>
      <c r="W1021" s="5"/>
    </row>
    <row r="1022">
      <c r="A1022" s="3" t="s">
        <v>4199</v>
      </c>
      <c r="B1022" s="3" t="s">
        <v>4200</v>
      </c>
      <c r="C1022" s="3" t="s">
        <v>804</v>
      </c>
      <c r="D1022" s="3" t="s">
        <v>4201</v>
      </c>
      <c r="E1022" s="3"/>
      <c r="F1022" s="5"/>
      <c r="G1022" s="5"/>
      <c r="H1022" s="5"/>
      <c r="I1022" s="5"/>
      <c r="J1022" s="5"/>
      <c r="K1022" s="5"/>
      <c r="L1022" s="5"/>
      <c r="M1022" s="5"/>
      <c r="N1022" s="5"/>
      <c r="O1022" s="5"/>
      <c r="P1022" s="5"/>
      <c r="Q1022" s="5"/>
      <c r="R1022" s="5"/>
      <c r="S1022" s="5"/>
      <c r="T1022" s="5"/>
      <c r="U1022" s="5"/>
      <c r="V1022" s="5"/>
      <c r="W1022" s="5"/>
    </row>
    <row r="1023">
      <c r="A1023" s="3" t="s">
        <v>4202</v>
      </c>
      <c r="B1023" s="3" t="s">
        <v>4203</v>
      </c>
      <c r="C1023" s="3" t="s">
        <v>948</v>
      </c>
      <c r="D1023" s="3" t="s">
        <v>4204</v>
      </c>
      <c r="E1023" s="3"/>
      <c r="F1023" s="5"/>
      <c r="G1023" s="5"/>
      <c r="H1023" s="5"/>
      <c r="I1023" s="5"/>
      <c r="J1023" s="5"/>
      <c r="K1023" s="5"/>
      <c r="L1023" s="5"/>
      <c r="M1023" s="5"/>
      <c r="N1023" s="5"/>
      <c r="O1023" s="5"/>
      <c r="P1023" s="5"/>
      <c r="Q1023" s="5"/>
      <c r="R1023" s="5"/>
      <c r="S1023" s="5"/>
      <c r="T1023" s="5"/>
      <c r="U1023" s="5"/>
      <c r="V1023" s="5"/>
      <c r="W1023" s="5"/>
    </row>
    <row r="1024">
      <c r="A1024" s="3" t="s">
        <v>4205</v>
      </c>
      <c r="B1024" s="3" t="s">
        <v>4206</v>
      </c>
      <c r="C1024" s="3" t="s">
        <v>76</v>
      </c>
      <c r="D1024" s="3" t="s">
        <v>4207</v>
      </c>
      <c r="E1024" s="3"/>
      <c r="F1024" s="5"/>
      <c r="G1024" s="5"/>
      <c r="H1024" s="5"/>
      <c r="I1024" s="5"/>
      <c r="J1024" s="5"/>
      <c r="K1024" s="5"/>
      <c r="L1024" s="5"/>
      <c r="M1024" s="5"/>
      <c r="N1024" s="5"/>
      <c r="O1024" s="5"/>
      <c r="P1024" s="5"/>
      <c r="Q1024" s="5"/>
      <c r="R1024" s="5"/>
      <c r="S1024" s="5"/>
      <c r="T1024" s="5"/>
      <c r="U1024" s="5"/>
      <c r="V1024" s="5"/>
      <c r="W1024" s="5"/>
    </row>
    <row r="1025">
      <c r="A1025" s="3" t="s">
        <v>4208</v>
      </c>
      <c r="B1025" s="3" t="s">
        <v>4209</v>
      </c>
      <c r="C1025" s="3" t="s">
        <v>78</v>
      </c>
      <c r="D1025" s="3" t="s">
        <v>4210</v>
      </c>
      <c r="E1025" s="3"/>
      <c r="F1025" s="5"/>
      <c r="G1025" s="5"/>
      <c r="H1025" s="5"/>
      <c r="I1025" s="5"/>
      <c r="J1025" s="5"/>
      <c r="K1025" s="5"/>
      <c r="L1025" s="5"/>
      <c r="M1025" s="5"/>
      <c r="N1025" s="5"/>
      <c r="O1025" s="5"/>
      <c r="P1025" s="5"/>
      <c r="Q1025" s="5"/>
      <c r="R1025" s="5"/>
      <c r="S1025" s="5"/>
      <c r="T1025" s="5"/>
      <c r="U1025" s="5"/>
      <c r="V1025" s="5"/>
      <c r="W1025" s="5"/>
    </row>
    <row r="1026">
      <c r="A1026" s="3" t="s">
        <v>4211</v>
      </c>
      <c r="B1026" s="3" t="s">
        <v>4212</v>
      </c>
      <c r="C1026" s="3" t="s">
        <v>4213</v>
      </c>
      <c r="D1026" s="3" t="s">
        <v>4214</v>
      </c>
      <c r="E1026" s="3"/>
      <c r="F1026" s="5"/>
      <c r="G1026" s="5"/>
      <c r="H1026" s="5"/>
      <c r="I1026" s="5"/>
      <c r="J1026" s="5"/>
      <c r="K1026" s="5"/>
      <c r="L1026" s="5"/>
      <c r="M1026" s="5"/>
      <c r="N1026" s="5"/>
      <c r="O1026" s="5"/>
      <c r="P1026" s="5"/>
      <c r="Q1026" s="5"/>
      <c r="R1026" s="5"/>
      <c r="S1026" s="5"/>
      <c r="T1026" s="5"/>
      <c r="U1026" s="5"/>
      <c r="V1026" s="5"/>
      <c r="W1026" s="5"/>
    </row>
    <row r="1027">
      <c r="A1027" s="3" t="s">
        <v>4215</v>
      </c>
      <c r="B1027" s="3" t="s">
        <v>4216</v>
      </c>
      <c r="C1027" s="3" t="s">
        <v>804</v>
      </c>
      <c r="D1027" s="3" t="s">
        <v>4217</v>
      </c>
      <c r="E1027" s="3"/>
      <c r="F1027" s="5"/>
      <c r="G1027" s="5"/>
      <c r="H1027" s="5"/>
      <c r="I1027" s="5"/>
      <c r="J1027" s="5"/>
      <c r="K1027" s="5"/>
      <c r="L1027" s="5"/>
      <c r="M1027" s="5"/>
      <c r="N1027" s="5"/>
      <c r="O1027" s="5"/>
      <c r="P1027" s="5"/>
      <c r="Q1027" s="5"/>
      <c r="R1027" s="5"/>
      <c r="S1027" s="5"/>
      <c r="T1027" s="5"/>
      <c r="U1027" s="5"/>
      <c r="V1027" s="5"/>
      <c r="W1027" s="5"/>
    </row>
    <row r="1028">
      <c r="A1028" s="3" t="s">
        <v>4218</v>
      </c>
      <c r="B1028" s="3" t="s">
        <v>4219</v>
      </c>
      <c r="C1028" s="3" t="s">
        <v>4026</v>
      </c>
      <c r="D1028" s="3" t="s">
        <v>4220</v>
      </c>
      <c r="E1028" s="3"/>
      <c r="F1028" s="5"/>
      <c r="G1028" s="5"/>
      <c r="H1028" s="5"/>
      <c r="I1028" s="5"/>
      <c r="J1028" s="5"/>
      <c r="K1028" s="5"/>
      <c r="L1028" s="5"/>
      <c r="M1028" s="5"/>
      <c r="N1028" s="5"/>
      <c r="O1028" s="5"/>
      <c r="P1028" s="5"/>
      <c r="Q1028" s="5"/>
      <c r="R1028" s="5"/>
      <c r="S1028" s="5"/>
      <c r="T1028" s="5"/>
      <c r="U1028" s="5"/>
      <c r="V1028" s="5"/>
      <c r="W1028" s="5"/>
    </row>
    <row r="1029">
      <c r="A1029" s="3" t="s">
        <v>4221</v>
      </c>
      <c r="B1029" s="3" t="s">
        <v>4222</v>
      </c>
      <c r="C1029" s="3" t="s">
        <v>4026</v>
      </c>
      <c r="D1029" s="3" t="s">
        <v>4223</v>
      </c>
      <c r="E1029" s="3"/>
      <c r="F1029" s="5"/>
      <c r="G1029" s="5"/>
      <c r="H1029" s="5"/>
      <c r="I1029" s="5"/>
      <c r="J1029" s="5"/>
      <c r="K1029" s="5"/>
      <c r="L1029" s="5"/>
      <c r="M1029" s="5"/>
      <c r="N1029" s="5"/>
      <c r="O1029" s="5"/>
      <c r="P1029" s="5"/>
      <c r="Q1029" s="5"/>
      <c r="R1029" s="5"/>
      <c r="S1029" s="5"/>
      <c r="T1029" s="5"/>
      <c r="U1029" s="5"/>
      <c r="V1029" s="5"/>
      <c r="W1029" s="5"/>
    </row>
    <row r="1030">
      <c r="A1030" s="3" t="s">
        <v>4224</v>
      </c>
      <c r="B1030" s="3" t="s">
        <v>4225</v>
      </c>
      <c r="C1030" s="3" t="s">
        <v>4026</v>
      </c>
      <c r="D1030" s="3" t="s">
        <v>4226</v>
      </c>
      <c r="E1030" s="3"/>
      <c r="F1030" s="5"/>
      <c r="G1030" s="5"/>
      <c r="H1030" s="5"/>
      <c r="I1030" s="5"/>
      <c r="J1030" s="5"/>
      <c r="K1030" s="5"/>
      <c r="L1030" s="5"/>
      <c r="M1030" s="5"/>
      <c r="N1030" s="5"/>
      <c r="O1030" s="5"/>
      <c r="P1030" s="5"/>
      <c r="Q1030" s="5"/>
      <c r="R1030" s="5"/>
      <c r="S1030" s="5"/>
      <c r="T1030" s="5"/>
      <c r="U1030" s="5"/>
      <c r="V1030" s="5"/>
      <c r="W1030" s="5"/>
    </row>
    <row r="1031">
      <c r="A1031" s="3" t="s">
        <v>4227</v>
      </c>
      <c r="B1031" s="3" t="s">
        <v>4228</v>
      </c>
      <c r="C1031" s="3" t="s">
        <v>4092</v>
      </c>
      <c r="D1031" s="3" t="s">
        <v>4229</v>
      </c>
      <c r="E1031" s="3"/>
      <c r="F1031" s="5"/>
      <c r="G1031" s="5"/>
      <c r="H1031" s="5"/>
      <c r="I1031" s="5"/>
      <c r="J1031" s="5"/>
      <c r="K1031" s="5"/>
      <c r="L1031" s="5"/>
      <c r="M1031" s="5"/>
      <c r="N1031" s="5"/>
      <c r="O1031" s="5"/>
      <c r="P1031" s="5"/>
      <c r="Q1031" s="5"/>
      <c r="R1031" s="5"/>
      <c r="S1031" s="5"/>
      <c r="T1031" s="5"/>
      <c r="U1031" s="5"/>
      <c r="V1031" s="5"/>
      <c r="W1031" s="5"/>
    </row>
    <row r="1032">
      <c r="A1032" s="3" t="s">
        <v>4230</v>
      </c>
      <c r="B1032" s="3" t="s">
        <v>4231</v>
      </c>
      <c r="C1032" s="3" t="s">
        <v>4026</v>
      </c>
      <c r="D1032" s="3" t="s">
        <v>4232</v>
      </c>
      <c r="E1032" s="3"/>
      <c r="F1032" s="5"/>
      <c r="G1032" s="5"/>
      <c r="H1032" s="5"/>
      <c r="I1032" s="5"/>
      <c r="J1032" s="5"/>
      <c r="K1032" s="5"/>
      <c r="L1032" s="5"/>
      <c r="M1032" s="5"/>
      <c r="N1032" s="5"/>
      <c r="O1032" s="5"/>
      <c r="P1032" s="5"/>
      <c r="Q1032" s="5"/>
      <c r="R1032" s="5"/>
      <c r="S1032" s="5"/>
      <c r="T1032" s="5"/>
      <c r="U1032" s="5"/>
      <c r="V1032" s="5"/>
      <c r="W1032" s="5"/>
    </row>
    <row r="1033">
      <c r="A1033" s="3" t="s">
        <v>4233</v>
      </c>
      <c r="B1033" s="3" t="s">
        <v>4234</v>
      </c>
      <c r="C1033" s="3" t="s">
        <v>2841</v>
      </c>
      <c r="D1033" s="3" t="s">
        <v>4235</v>
      </c>
      <c r="E1033" s="3"/>
      <c r="F1033" s="5"/>
      <c r="G1033" s="5"/>
      <c r="H1033" s="5"/>
      <c r="I1033" s="5"/>
      <c r="J1033" s="5"/>
      <c r="K1033" s="5"/>
      <c r="L1033" s="5"/>
      <c r="M1033" s="5"/>
      <c r="N1033" s="5"/>
      <c r="O1033" s="5"/>
      <c r="P1033" s="5"/>
      <c r="Q1033" s="5"/>
      <c r="R1033" s="5"/>
      <c r="S1033" s="5"/>
      <c r="T1033" s="5"/>
      <c r="U1033" s="5"/>
      <c r="V1033" s="5"/>
      <c r="W1033" s="5"/>
    </row>
    <row r="1034">
      <c r="A1034" s="3" t="s">
        <v>4236</v>
      </c>
      <c r="B1034" s="3" t="s">
        <v>4237</v>
      </c>
      <c r="C1034" s="3" t="s">
        <v>2841</v>
      </c>
      <c r="D1034" s="3" t="s">
        <v>4238</v>
      </c>
      <c r="E1034" s="3"/>
      <c r="F1034" s="5"/>
      <c r="G1034" s="5"/>
      <c r="H1034" s="5"/>
      <c r="I1034" s="5"/>
      <c r="J1034" s="5"/>
      <c r="K1034" s="5"/>
      <c r="L1034" s="5"/>
      <c r="M1034" s="5"/>
      <c r="N1034" s="5"/>
      <c r="O1034" s="5"/>
      <c r="P1034" s="5"/>
      <c r="Q1034" s="5"/>
      <c r="R1034" s="5"/>
      <c r="S1034" s="5"/>
      <c r="T1034" s="5"/>
      <c r="U1034" s="5"/>
      <c r="V1034" s="5"/>
      <c r="W1034" s="5"/>
    </row>
    <row r="1035">
      <c r="A1035" s="3" t="s">
        <v>4239</v>
      </c>
      <c r="B1035" s="3" t="s">
        <v>4240</v>
      </c>
      <c r="C1035" s="3" t="s">
        <v>2375</v>
      </c>
      <c r="D1035" s="3" t="s">
        <v>4241</v>
      </c>
      <c r="E1035" s="3"/>
      <c r="F1035" s="5"/>
      <c r="G1035" s="5"/>
      <c r="H1035" s="5"/>
      <c r="I1035" s="5"/>
      <c r="J1035" s="5"/>
      <c r="K1035" s="5"/>
      <c r="L1035" s="5"/>
      <c r="M1035" s="5"/>
      <c r="N1035" s="5"/>
      <c r="O1035" s="5"/>
      <c r="P1035" s="5"/>
      <c r="Q1035" s="5"/>
      <c r="R1035" s="5"/>
      <c r="S1035" s="5"/>
      <c r="T1035" s="5"/>
      <c r="U1035" s="5"/>
      <c r="V1035" s="5"/>
      <c r="W1035" s="5"/>
    </row>
    <row r="1036">
      <c r="A1036" s="3" t="s">
        <v>4242</v>
      </c>
      <c r="B1036" s="3" t="s">
        <v>4243</v>
      </c>
      <c r="C1036" s="3" t="s">
        <v>2375</v>
      </c>
      <c r="D1036" s="3" t="s">
        <v>4244</v>
      </c>
      <c r="E1036" s="3"/>
      <c r="F1036" s="5"/>
      <c r="G1036" s="5"/>
      <c r="H1036" s="5"/>
      <c r="I1036" s="5"/>
      <c r="J1036" s="5"/>
      <c r="K1036" s="5"/>
      <c r="L1036" s="5"/>
      <c r="M1036" s="5"/>
      <c r="N1036" s="5"/>
      <c r="O1036" s="5"/>
      <c r="P1036" s="5"/>
      <c r="Q1036" s="5"/>
      <c r="R1036" s="5"/>
      <c r="S1036" s="5"/>
      <c r="T1036" s="5"/>
      <c r="U1036" s="5"/>
      <c r="V1036" s="5"/>
      <c r="W1036" s="5"/>
    </row>
    <row r="1037">
      <c r="A1037" s="3" t="s">
        <v>4245</v>
      </c>
      <c r="B1037" s="3" t="s">
        <v>4246</v>
      </c>
      <c r="C1037" s="3" t="s">
        <v>2571</v>
      </c>
      <c r="D1037" s="3" t="s">
        <v>4247</v>
      </c>
      <c r="E1037" s="3"/>
      <c r="F1037" s="5"/>
      <c r="G1037" s="5"/>
      <c r="H1037" s="5"/>
      <c r="I1037" s="5"/>
      <c r="J1037" s="5"/>
      <c r="K1037" s="5"/>
      <c r="L1037" s="5"/>
      <c r="M1037" s="5"/>
      <c r="N1037" s="5"/>
      <c r="O1037" s="5"/>
      <c r="P1037" s="5"/>
      <c r="Q1037" s="5"/>
      <c r="R1037" s="5"/>
      <c r="S1037" s="5"/>
      <c r="T1037" s="5"/>
      <c r="U1037" s="5"/>
      <c r="V1037" s="5"/>
      <c r="W1037" s="5"/>
    </row>
    <row r="1038">
      <c r="A1038" s="3" t="s">
        <v>4248</v>
      </c>
      <c r="B1038" s="3" t="s">
        <v>4249</v>
      </c>
      <c r="C1038" s="3" t="s">
        <v>2571</v>
      </c>
      <c r="D1038" s="3" t="s">
        <v>4250</v>
      </c>
      <c r="E1038" s="3"/>
      <c r="F1038" s="5"/>
      <c r="G1038" s="5"/>
      <c r="H1038" s="5"/>
      <c r="I1038" s="5"/>
      <c r="J1038" s="5"/>
      <c r="K1038" s="5"/>
      <c r="L1038" s="5"/>
      <c r="M1038" s="5"/>
      <c r="N1038" s="5"/>
      <c r="O1038" s="5"/>
      <c r="P1038" s="5"/>
      <c r="Q1038" s="5"/>
      <c r="R1038" s="5"/>
      <c r="S1038" s="5"/>
      <c r="T1038" s="5"/>
      <c r="U1038" s="5"/>
      <c r="V1038" s="5"/>
      <c r="W1038" s="5"/>
    </row>
    <row r="1039">
      <c r="A1039" s="3" t="s">
        <v>4251</v>
      </c>
      <c r="B1039" s="3" t="s">
        <v>4252</v>
      </c>
      <c r="C1039" s="3" t="s">
        <v>2571</v>
      </c>
      <c r="D1039" s="3" t="s">
        <v>4253</v>
      </c>
      <c r="E1039" s="3"/>
      <c r="F1039" s="5"/>
      <c r="G1039" s="5"/>
      <c r="H1039" s="5"/>
      <c r="I1039" s="5"/>
      <c r="J1039" s="5"/>
      <c r="K1039" s="5"/>
      <c r="L1039" s="5"/>
      <c r="M1039" s="5"/>
      <c r="N1039" s="5"/>
      <c r="O1039" s="5"/>
      <c r="P1039" s="5"/>
      <c r="Q1039" s="5"/>
      <c r="R1039" s="5"/>
      <c r="S1039" s="5"/>
      <c r="T1039" s="5"/>
      <c r="U1039" s="5"/>
      <c r="V1039" s="5"/>
      <c r="W1039" s="5"/>
    </row>
    <row r="1040">
      <c r="A1040" s="3" t="s">
        <v>4254</v>
      </c>
      <c r="B1040" s="3" t="s">
        <v>4255</v>
      </c>
      <c r="C1040" s="3" t="s">
        <v>98</v>
      </c>
      <c r="D1040" s="3" t="s">
        <v>4256</v>
      </c>
      <c r="E1040" s="3"/>
      <c r="F1040" s="5"/>
      <c r="G1040" s="5"/>
      <c r="H1040" s="5"/>
      <c r="I1040" s="5"/>
      <c r="J1040" s="5"/>
      <c r="K1040" s="5"/>
      <c r="L1040" s="5"/>
      <c r="M1040" s="5"/>
      <c r="N1040" s="5"/>
      <c r="O1040" s="5"/>
      <c r="P1040" s="5"/>
      <c r="Q1040" s="5"/>
      <c r="R1040" s="5"/>
      <c r="S1040" s="5"/>
      <c r="T1040" s="5"/>
      <c r="U1040" s="5"/>
      <c r="V1040" s="5"/>
      <c r="W1040" s="5"/>
    </row>
    <row r="1041">
      <c r="A1041" s="3" t="s">
        <v>4257</v>
      </c>
      <c r="B1041" s="3" t="s">
        <v>4258</v>
      </c>
      <c r="C1041" s="3" t="s">
        <v>98</v>
      </c>
      <c r="D1041" s="3" t="s">
        <v>4259</v>
      </c>
      <c r="E1041" s="3"/>
      <c r="F1041" s="5"/>
      <c r="G1041" s="5"/>
      <c r="H1041" s="5"/>
      <c r="I1041" s="5"/>
      <c r="J1041" s="5"/>
      <c r="K1041" s="5"/>
      <c r="L1041" s="5"/>
      <c r="M1041" s="5"/>
      <c r="N1041" s="5"/>
      <c r="O1041" s="5"/>
      <c r="P1041" s="5"/>
      <c r="Q1041" s="5"/>
      <c r="R1041" s="5"/>
      <c r="S1041" s="5"/>
      <c r="T1041" s="5"/>
      <c r="U1041" s="5"/>
      <c r="V1041" s="5"/>
      <c r="W1041" s="5"/>
    </row>
    <row r="1042">
      <c r="A1042" s="3" t="s">
        <v>4260</v>
      </c>
      <c r="B1042" s="3" t="s">
        <v>4261</v>
      </c>
      <c r="C1042" s="3" t="s">
        <v>4262</v>
      </c>
      <c r="D1042" s="3" t="s">
        <v>4263</v>
      </c>
      <c r="E1042" s="3"/>
      <c r="F1042" s="5"/>
      <c r="G1042" s="5"/>
      <c r="H1042" s="5"/>
      <c r="I1042" s="5"/>
      <c r="J1042" s="5"/>
      <c r="K1042" s="5"/>
      <c r="L1042" s="5"/>
      <c r="M1042" s="5"/>
      <c r="N1042" s="5"/>
      <c r="O1042" s="5"/>
      <c r="P1042" s="5"/>
      <c r="Q1042" s="5"/>
      <c r="R1042" s="5"/>
      <c r="S1042" s="5"/>
      <c r="T1042" s="5"/>
      <c r="U1042" s="5"/>
      <c r="V1042" s="5"/>
      <c r="W1042" s="5"/>
    </row>
    <row r="1043">
      <c r="A1043" s="3" t="s">
        <v>4264</v>
      </c>
      <c r="B1043" s="3" t="s">
        <v>4265</v>
      </c>
      <c r="C1043" s="3" t="s">
        <v>4262</v>
      </c>
      <c r="D1043" s="3" t="s">
        <v>4266</v>
      </c>
      <c r="E1043" s="3"/>
      <c r="F1043" s="5"/>
      <c r="G1043" s="5"/>
      <c r="H1043" s="5"/>
      <c r="I1043" s="5"/>
      <c r="J1043" s="5"/>
      <c r="K1043" s="5"/>
      <c r="L1043" s="5"/>
      <c r="M1043" s="5"/>
      <c r="N1043" s="5"/>
      <c r="O1043" s="5"/>
      <c r="P1043" s="5"/>
      <c r="Q1043" s="5"/>
      <c r="R1043" s="5"/>
      <c r="S1043" s="5"/>
      <c r="T1043" s="5"/>
      <c r="U1043" s="5"/>
      <c r="V1043" s="5"/>
      <c r="W1043" s="5"/>
    </row>
    <row r="1044">
      <c r="A1044" s="3" t="s">
        <v>4267</v>
      </c>
      <c r="B1044" s="3" t="s">
        <v>4268</v>
      </c>
      <c r="C1044" s="3" t="s">
        <v>4262</v>
      </c>
      <c r="D1044" s="3" t="s">
        <v>4269</v>
      </c>
      <c r="E1044" s="3"/>
      <c r="F1044" s="5"/>
      <c r="G1044" s="5"/>
      <c r="H1044" s="5"/>
      <c r="I1044" s="5"/>
      <c r="J1044" s="5"/>
      <c r="K1044" s="5"/>
      <c r="L1044" s="5"/>
      <c r="M1044" s="5"/>
      <c r="N1044" s="5"/>
      <c r="O1044" s="5"/>
      <c r="P1044" s="5"/>
      <c r="Q1044" s="5"/>
      <c r="R1044" s="5"/>
      <c r="S1044" s="5"/>
      <c r="T1044" s="5"/>
      <c r="U1044" s="5"/>
      <c r="V1044" s="5"/>
      <c r="W1044" s="5"/>
    </row>
    <row r="1045">
      <c r="A1045" s="3" t="s">
        <v>4270</v>
      </c>
      <c r="B1045" s="3" t="s">
        <v>4271</v>
      </c>
      <c r="C1045" s="3" t="s">
        <v>70</v>
      </c>
      <c r="D1045" s="3" t="s">
        <v>4272</v>
      </c>
      <c r="E1045" s="3"/>
      <c r="F1045" s="5"/>
      <c r="G1045" s="5"/>
      <c r="H1045" s="5"/>
      <c r="I1045" s="5"/>
      <c r="J1045" s="5"/>
      <c r="K1045" s="5"/>
      <c r="L1045" s="5"/>
      <c r="M1045" s="5"/>
      <c r="N1045" s="5"/>
      <c r="O1045" s="5"/>
      <c r="P1045" s="5"/>
      <c r="Q1045" s="5"/>
      <c r="R1045" s="5"/>
      <c r="S1045" s="5"/>
      <c r="T1045" s="5"/>
      <c r="U1045" s="5"/>
      <c r="V1045" s="5"/>
      <c r="W1045" s="5"/>
    </row>
    <row r="1046">
      <c r="A1046" s="3" t="s">
        <v>4273</v>
      </c>
      <c r="B1046" s="3" t="s">
        <v>4274</v>
      </c>
      <c r="C1046" s="3" t="s">
        <v>1150</v>
      </c>
      <c r="D1046" s="3" t="s">
        <v>4275</v>
      </c>
      <c r="E1046" s="3"/>
      <c r="F1046" s="5"/>
      <c r="G1046" s="5"/>
      <c r="H1046" s="5"/>
      <c r="I1046" s="5"/>
      <c r="J1046" s="5"/>
      <c r="K1046" s="5"/>
      <c r="L1046" s="5"/>
      <c r="M1046" s="5"/>
      <c r="N1046" s="5"/>
      <c r="O1046" s="5"/>
      <c r="P1046" s="5"/>
      <c r="Q1046" s="5"/>
      <c r="R1046" s="5"/>
      <c r="S1046" s="5"/>
      <c r="T1046" s="5"/>
      <c r="U1046" s="5"/>
      <c r="V1046" s="5"/>
      <c r="W1046" s="5"/>
    </row>
    <row r="1047">
      <c r="A1047" s="3" t="s">
        <v>4276</v>
      </c>
      <c r="B1047" s="3" t="s">
        <v>4277</v>
      </c>
      <c r="C1047" s="3" t="s">
        <v>4092</v>
      </c>
      <c r="D1047" s="3" t="s">
        <v>4278</v>
      </c>
      <c r="E1047" s="3"/>
      <c r="F1047" s="5"/>
      <c r="G1047" s="5"/>
      <c r="H1047" s="5"/>
      <c r="I1047" s="5"/>
      <c r="J1047" s="5"/>
      <c r="K1047" s="5"/>
      <c r="L1047" s="5"/>
      <c r="M1047" s="5"/>
      <c r="N1047" s="5"/>
      <c r="O1047" s="5"/>
      <c r="P1047" s="5"/>
      <c r="Q1047" s="5"/>
      <c r="R1047" s="5"/>
      <c r="S1047" s="5"/>
      <c r="T1047" s="5"/>
      <c r="U1047" s="5"/>
      <c r="V1047" s="5"/>
      <c r="W1047" s="5"/>
    </row>
    <row r="1048">
      <c r="A1048" s="3" t="s">
        <v>4279</v>
      </c>
      <c r="B1048" s="3" t="s">
        <v>4280</v>
      </c>
      <c r="C1048" s="3" t="s">
        <v>82</v>
      </c>
      <c r="D1048" s="3" t="s">
        <v>4281</v>
      </c>
      <c r="E1048" s="3"/>
      <c r="F1048" s="5"/>
      <c r="G1048" s="5"/>
      <c r="H1048" s="5"/>
      <c r="I1048" s="5"/>
      <c r="J1048" s="5"/>
      <c r="K1048" s="5"/>
      <c r="L1048" s="5"/>
      <c r="M1048" s="5"/>
      <c r="N1048" s="5"/>
      <c r="O1048" s="5"/>
      <c r="P1048" s="5"/>
      <c r="Q1048" s="5"/>
      <c r="R1048" s="5"/>
      <c r="S1048" s="5"/>
      <c r="T1048" s="5"/>
      <c r="U1048" s="5"/>
      <c r="V1048" s="5"/>
      <c r="W1048" s="5"/>
    </row>
    <row r="1049">
      <c r="A1049" s="3" t="s">
        <v>4282</v>
      </c>
      <c r="B1049" s="3" t="s">
        <v>4283</v>
      </c>
      <c r="C1049" s="3" t="s">
        <v>76</v>
      </c>
      <c r="D1049" s="3" t="s">
        <v>4284</v>
      </c>
      <c r="E1049" s="4" t="s">
        <v>77</v>
      </c>
      <c r="F1049" s="5"/>
      <c r="G1049" s="5"/>
      <c r="H1049" s="5"/>
      <c r="I1049" s="5"/>
      <c r="J1049" s="5"/>
      <c r="K1049" s="5"/>
      <c r="L1049" s="5"/>
      <c r="M1049" s="5"/>
      <c r="N1049" s="5"/>
      <c r="O1049" s="5"/>
      <c r="P1049" s="5"/>
      <c r="Q1049" s="5"/>
      <c r="R1049" s="5"/>
      <c r="S1049" s="5"/>
      <c r="T1049" s="5"/>
      <c r="U1049" s="5"/>
      <c r="V1049" s="5"/>
      <c r="W1049" s="5"/>
    </row>
    <row r="1050">
      <c r="A1050" s="3" t="s">
        <v>4285</v>
      </c>
      <c r="B1050" s="3" t="s">
        <v>4286</v>
      </c>
      <c r="C1050" s="3" t="s">
        <v>4197</v>
      </c>
      <c r="D1050" s="3" t="s">
        <v>4287</v>
      </c>
      <c r="E1050" s="3"/>
      <c r="F1050" s="5"/>
      <c r="G1050" s="5"/>
      <c r="H1050" s="5"/>
      <c r="I1050" s="5"/>
      <c r="J1050" s="5"/>
      <c r="K1050" s="5"/>
      <c r="L1050" s="5"/>
      <c r="M1050" s="5"/>
      <c r="N1050" s="5"/>
      <c r="O1050" s="5"/>
      <c r="P1050" s="5"/>
      <c r="Q1050" s="5"/>
      <c r="R1050" s="5"/>
      <c r="S1050" s="5"/>
      <c r="T1050" s="5"/>
      <c r="U1050" s="5"/>
      <c r="V1050" s="5"/>
      <c r="W1050" s="5"/>
    </row>
    <row r="1051">
      <c r="A1051" s="3" t="s">
        <v>4288</v>
      </c>
      <c r="B1051" s="3" t="s">
        <v>4289</v>
      </c>
      <c r="C1051" s="3" t="s">
        <v>4197</v>
      </c>
      <c r="D1051" s="3" t="s">
        <v>4290</v>
      </c>
      <c r="E1051" s="3"/>
      <c r="F1051" s="5"/>
      <c r="G1051" s="5"/>
      <c r="H1051" s="5"/>
      <c r="I1051" s="5"/>
      <c r="J1051" s="5"/>
      <c r="K1051" s="5"/>
      <c r="L1051" s="5"/>
      <c r="M1051" s="5"/>
      <c r="N1051" s="5"/>
      <c r="O1051" s="5"/>
      <c r="P1051" s="5"/>
      <c r="Q1051" s="5"/>
      <c r="R1051" s="5"/>
      <c r="S1051" s="5"/>
      <c r="T1051" s="5"/>
      <c r="U1051" s="5"/>
      <c r="V1051" s="5"/>
      <c r="W1051" s="5"/>
    </row>
    <row r="1052">
      <c r="A1052" s="3" t="s">
        <v>4291</v>
      </c>
      <c r="B1052" s="3" t="s">
        <v>4292</v>
      </c>
      <c r="C1052" s="3" t="s">
        <v>4197</v>
      </c>
      <c r="D1052" s="3" t="s">
        <v>4293</v>
      </c>
      <c r="E1052" s="3"/>
      <c r="F1052" s="5"/>
      <c r="G1052" s="5"/>
      <c r="H1052" s="5"/>
      <c r="I1052" s="5"/>
      <c r="J1052" s="5"/>
      <c r="K1052" s="5"/>
      <c r="L1052" s="5"/>
      <c r="M1052" s="5"/>
      <c r="N1052" s="5"/>
      <c r="O1052" s="5"/>
      <c r="P1052" s="5"/>
      <c r="Q1052" s="5"/>
      <c r="R1052" s="5"/>
      <c r="S1052" s="5"/>
      <c r="T1052" s="5"/>
      <c r="U1052" s="5"/>
      <c r="V1052" s="5"/>
      <c r="W1052" s="5"/>
    </row>
    <row r="1053">
      <c r="A1053" s="3" t="s">
        <v>4294</v>
      </c>
      <c r="B1053" s="3" t="s">
        <v>4295</v>
      </c>
      <c r="C1053" s="3" t="s">
        <v>4197</v>
      </c>
      <c r="D1053" s="3" t="s">
        <v>4296</v>
      </c>
      <c r="E1053" s="3"/>
      <c r="F1053" s="5"/>
      <c r="G1053" s="5"/>
      <c r="H1053" s="5"/>
      <c r="I1053" s="5"/>
      <c r="J1053" s="5"/>
      <c r="K1053" s="5"/>
      <c r="L1053" s="5"/>
      <c r="M1053" s="5"/>
      <c r="N1053" s="5"/>
      <c r="O1053" s="5"/>
      <c r="P1053" s="5"/>
      <c r="Q1053" s="5"/>
      <c r="R1053" s="5"/>
      <c r="S1053" s="5"/>
      <c r="T1053" s="5"/>
      <c r="U1053" s="5"/>
      <c r="V1053" s="5"/>
      <c r="W1053" s="5"/>
    </row>
    <row r="1054">
      <c r="A1054" s="3" t="s">
        <v>4297</v>
      </c>
      <c r="B1054" s="3" t="s">
        <v>4298</v>
      </c>
      <c r="C1054" s="3" t="s">
        <v>4197</v>
      </c>
      <c r="D1054" s="3" t="s">
        <v>4299</v>
      </c>
      <c r="E1054" s="3"/>
      <c r="F1054" s="5"/>
      <c r="G1054" s="5"/>
      <c r="H1054" s="5"/>
      <c r="I1054" s="5"/>
      <c r="J1054" s="5"/>
      <c r="K1054" s="5"/>
      <c r="L1054" s="5"/>
      <c r="M1054" s="5"/>
      <c r="N1054" s="5"/>
      <c r="O1054" s="5"/>
      <c r="P1054" s="5"/>
      <c r="Q1054" s="5"/>
      <c r="R1054" s="5"/>
      <c r="S1054" s="5"/>
      <c r="T1054" s="5"/>
      <c r="U1054" s="5"/>
      <c r="V1054" s="5"/>
      <c r="W1054" s="5"/>
    </row>
    <row r="1055">
      <c r="A1055" s="3" t="s">
        <v>4300</v>
      </c>
      <c r="B1055" s="3" t="s">
        <v>4301</v>
      </c>
      <c r="C1055" s="3" t="s">
        <v>4197</v>
      </c>
      <c r="D1055" s="3" t="s">
        <v>4302</v>
      </c>
      <c r="E1055" s="3"/>
      <c r="F1055" s="5"/>
      <c r="G1055" s="5"/>
      <c r="H1055" s="5"/>
      <c r="I1055" s="5"/>
      <c r="J1055" s="5"/>
      <c r="K1055" s="5"/>
      <c r="L1055" s="5"/>
      <c r="M1055" s="5"/>
      <c r="N1055" s="5"/>
      <c r="O1055" s="5"/>
      <c r="P1055" s="5"/>
      <c r="Q1055" s="5"/>
      <c r="R1055" s="5"/>
      <c r="S1055" s="5"/>
      <c r="T1055" s="5"/>
      <c r="U1055" s="5"/>
      <c r="V1055" s="5"/>
      <c r="W1055" s="5"/>
    </row>
    <row r="1056">
      <c r="A1056" s="3" t="s">
        <v>4303</v>
      </c>
      <c r="B1056" s="3" t="s">
        <v>4304</v>
      </c>
      <c r="C1056" s="3" t="s">
        <v>4197</v>
      </c>
      <c r="D1056" s="3" t="s">
        <v>4305</v>
      </c>
      <c r="E1056" s="3"/>
      <c r="F1056" s="5"/>
      <c r="G1056" s="5"/>
      <c r="H1056" s="5"/>
      <c r="I1056" s="5"/>
      <c r="J1056" s="5"/>
      <c r="K1056" s="5"/>
      <c r="L1056" s="5"/>
      <c r="M1056" s="5"/>
      <c r="N1056" s="5"/>
      <c r="O1056" s="5"/>
      <c r="P1056" s="5"/>
      <c r="Q1056" s="5"/>
      <c r="R1056" s="5"/>
      <c r="S1056" s="5"/>
      <c r="T1056" s="5"/>
      <c r="U1056" s="5"/>
      <c r="V1056" s="5"/>
      <c r="W1056" s="5"/>
    </row>
    <row r="1057">
      <c r="A1057" s="3" t="s">
        <v>4306</v>
      </c>
      <c r="B1057" s="3" t="s">
        <v>4307</v>
      </c>
      <c r="C1057" s="3" t="s">
        <v>4308</v>
      </c>
      <c r="D1057" s="3" t="s">
        <v>4309</v>
      </c>
      <c r="E1057" s="3"/>
      <c r="F1057" s="5"/>
      <c r="G1057" s="5"/>
      <c r="H1057" s="5"/>
      <c r="I1057" s="5"/>
      <c r="J1057" s="5"/>
      <c r="K1057" s="5"/>
      <c r="L1057" s="5"/>
      <c r="M1057" s="5"/>
      <c r="N1057" s="5"/>
      <c r="O1057" s="5"/>
      <c r="P1057" s="5"/>
      <c r="Q1057" s="5"/>
      <c r="R1057" s="5"/>
      <c r="S1057" s="5"/>
      <c r="T1057" s="5"/>
      <c r="U1057" s="5"/>
      <c r="V1057" s="5"/>
      <c r="W1057" s="5"/>
    </row>
    <row r="1058">
      <c r="A1058" s="3" t="s">
        <v>4310</v>
      </c>
      <c r="B1058" s="3" t="s">
        <v>4311</v>
      </c>
      <c r="C1058" s="3" t="s">
        <v>4308</v>
      </c>
      <c r="D1058" s="3" t="s">
        <v>4312</v>
      </c>
      <c r="E1058" s="3"/>
      <c r="F1058" s="5"/>
      <c r="G1058" s="5"/>
      <c r="H1058" s="5"/>
      <c r="I1058" s="5"/>
      <c r="J1058" s="5"/>
      <c r="K1058" s="5"/>
      <c r="L1058" s="5"/>
      <c r="M1058" s="5"/>
      <c r="N1058" s="5"/>
      <c r="O1058" s="5"/>
      <c r="P1058" s="5"/>
      <c r="Q1058" s="5"/>
      <c r="R1058" s="5"/>
      <c r="S1058" s="5"/>
      <c r="T1058" s="5"/>
      <c r="U1058" s="5"/>
      <c r="V1058" s="5"/>
      <c r="W1058" s="5"/>
    </row>
    <row r="1059">
      <c r="A1059" s="3" t="s">
        <v>4313</v>
      </c>
      <c r="B1059" s="3" t="s">
        <v>4314</v>
      </c>
      <c r="C1059" s="3" t="s">
        <v>4308</v>
      </c>
      <c r="D1059" s="3" t="s">
        <v>4315</v>
      </c>
      <c r="E1059" s="3"/>
      <c r="F1059" s="5"/>
      <c r="G1059" s="5"/>
      <c r="H1059" s="5"/>
      <c r="I1059" s="5"/>
      <c r="J1059" s="5"/>
      <c r="K1059" s="5"/>
      <c r="L1059" s="5"/>
      <c r="M1059" s="5"/>
      <c r="N1059" s="5"/>
      <c r="O1059" s="5"/>
      <c r="P1059" s="5"/>
      <c r="Q1059" s="5"/>
      <c r="R1059" s="5"/>
      <c r="S1059" s="5"/>
      <c r="T1059" s="5"/>
      <c r="U1059" s="5"/>
      <c r="V1059" s="5"/>
      <c r="W1059" s="5"/>
    </row>
    <row r="1060">
      <c r="A1060" s="3" t="s">
        <v>4316</v>
      </c>
      <c r="B1060" s="3" t="s">
        <v>4317</v>
      </c>
      <c r="C1060" s="3" t="s">
        <v>76</v>
      </c>
      <c r="D1060" s="3" t="s">
        <v>4318</v>
      </c>
      <c r="E1060" s="3"/>
      <c r="F1060" s="5"/>
      <c r="G1060" s="5"/>
      <c r="H1060" s="5"/>
      <c r="I1060" s="5"/>
      <c r="J1060" s="5"/>
      <c r="K1060" s="5"/>
      <c r="L1060" s="5"/>
      <c r="M1060" s="5"/>
      <c r="N1060" s="5"/>
      <c r="O1060" s="5"/>
      <c r="P1060" s="5"/>
      <c r="Q1060" s="5"/>
      <c r="R1060" s="5"/>
      <c r="S1060" s="5"/>
      <c r="T1060" s="5"/>
      <c r="U1060" s="5"/>
      <c r="V1060" s="5"/>
      <c r="W1060" s="5"/>
    </row>
    <row r="1061">
      <c r="A1061" s="3" t="s">
        <v>4319</v>
      </c>
      <c r="B1061" s="3" t="s">
        <v>4320</v>
      </c>
      <c r="C1061" s="3" t="s">
        <v>4308</v>
      </c>
      <c r="D1061" s="3" t="s">
        <v>4321</v>
      </c>
      <c r="E1061" s="3"/>
      <c r="F1061" s="5"/>
      <c r="G1061" s="5"/>
      <c r="H1061" s="5"/>
      <c r="I1061" s="5"/>
      <c r="J1061" s="5"/>
      <c r="K1061" s="5"/>
      <c r="L1061" s="5"/>
      <c r="M1061" s="5"/>
      <c r="N1061" s="5"/>
      <c r="O1061" s="5"/>
      <c r="P1061" s="5"/>
      <c r="Q1061" s="5"/>
      <c r="R1061" s="5"/>
      <c r="S1061" s="5"/>
      <c r="T1061" s="5"/>
      <c r="U1061" s="5"/>
      <c r="V1061" s="5"/>
      <c r="W1061" s="5"/>
    </row>
    <row r="1062">
      <c r="A1062" s="3" t="s">
        <v>4322</v>
      </c>
      <c r="B1062" s="3" t="s">
        <v>4323</v>
      </c>
      <c r="C1062" s="3" t="s">
        <v>4308</v>
      </c>
      <c r="D1062" s="3" t="s">
        <v>4324</v>
      </c>
      <c r="E1062" s="3"/>
      <c r="F1062" s="5"/>
      <c r="G1062" s="5"/>
      <c r="H1062" s="5"/>
      <c r="I1062" s="5"/>
      <c r="J1062" s="5"/>
      <c r="K1062" s="5"/>
      <c r="L1062" s="5"/>
      <c r="M1062" s="5"/>
      <c r="N1062" s="5"/>
      <c r="O1062" s="5"/>
      <c r="P1062" s="5"/>
      <c r="Q1062" s="5"/>
      <c r="R1062" s="5"/>
      <c r="S1062" s="5"/>
      <c r="T1062" s="5"/>
      <c r="U1062" s="5"/>
      <c r="V1062" s="5"/>
      <c r="W1062" s="5"/>
    </row>
    <row r="1063">
      <c r="A1063" s="3" t="s">
        <v>4325</v>
      </c>
      <c r="B1063" s="3" t="s">
        <v>4326</v>
      </c>
      <c r="C1063" s="3" t="s">
        <v>4308</v>
      </c>
      <c r="D1063" s="3" t="s">
        <v>4327</v>
      </c>
      <c r="E1063" s="3"/>
      <c r="F1063" s="5"/>
      <c r="G1063" s="5"/>
      <c r="H1063" s="5"/>
      <c r="I1063" s="5"/>
      <c r="J1063" s="5"/>
      <c r="K1063" s="5"/>
      <c r="L1063" s="5"/>
      <c r="M1063" s="5"/>
      <c r="N1063" s="5"/>
      <c r="O1063" s="5"/>
      <c r="P1063" s="5"/>
      <c r="Q1063" s="5"/>
      <c r="R1063" s="5"/>
      <c r="S1063" s="5"/>
      <c r="T1063" s="5"/>
      <c r="U1063" s="5"/>
      <c r="V1063" s="5"/>
      <c r="W1063" s="5"/>
    </row>
    <row r="1064">
      <c r="A1064" s="3" t="s">
        <v>4328</v>
      </c>
      <c r="B1064" s="3" t="s">
        <v>4329</v>
      </c>
      <c r="C1064" s="3" t="s">
        <v>80</v>
      </c>
      <c r="D1064" s="3" t="s">
        <v>4330</v>
      </c>
      <c r="E1064" s="3"/>
      <c r="F1064" s="5"/>
      <c r="G1064" s="5"/>
      <c r="H1064" s="5"/>
      <c r="I1064" s="5"/>
      <c r="J1064" s="5"/>
      <c r="K1064" s="5"/>
      <c r="L1064" s="5"/>
      <c r="M1064" s="5"/>
      <c r="N1064" s="5"/>
      <c r="O1064" s="5"/>
      <c r="P1064" s="5"/>
      <c r="Q1064" s="5"/>
      <c r="R1064" s="5"/>
      <c r="S1064" s="5"/>
      <c r="T1064" s="5"/>
      <c r="U1064" s="5"/>
      <c r="V1064" s="5"/>
      <c r="W1064" s="5"/>
    </row>
    <row r="1065">
      <c r="A1065" s="3" t="s">
        <v>4331</v>
      </c>
      <c r="B1065" s="3" t="s">
        <v>4332</v>
      </c>
      <c r="C1065" s="3" t="s">
        <v>80</v>
      </c>
      <c r="D1065" s="3" t="s">
        <v>4333</v>
      </c>
      <c r="E1065" s="3"/>
      <c r="F1065" s="5"/>
      <c r="G1065" s="5"/>
      <c r="H1065" s="5"/>
      <c r="I1065" s="5"/>
      <c r="J1065" s="5"/>
      <c r="K1065" s="5"/>
      <c r="L1065" s="5"/>
      <c r="M1065" s="5"/>
      <c r="N1065" s="5"/>
      <c r="O1065" s="5"/>
      <c r="P1065" s="5"/>
      <c r="Q1065" s="5"/>
      <c r="R1065" s="5"/>
      <c r="S1065" s="5"/>
      <c r="T1065" s="5"/>
      <c r="U1065" s="5"/>
      <c r="V1065" s="5"/>
      <c r="W1065" s="5"/>
    </row>
    <row r="1066">
      <c r="A1066" s="3" t="s">
        <v>4334</v>
      </c>
      <c r="B1066" s="3" t="s">
        <v>4335</v>
      </c>
      <c r="C1066" s="3" t="s">
        <v>4026</v>
      </c>
      <c r="D1066" s="3" t="s">
        <v>4336</v>
      </c>
      <c r="E1066" s="3"/>
      <c r="F1066" s="5"/>
      <c r="G1066" s="5"/>
      <c r="H1066" s="5"/>
      <c r="I1066" s="5"/>
      <c r="J1066" s="5"/>
      <c r="K1066" s="5"/>
      <c r="L1066" s="5"/>
      <c r="M1066" s="5"/>
      <c r="N1066" s="5"/>
      <c r="O1066" s="5"/>
      <c r="P1066" s="5"/>
      <c r="Q1066" s="5"/>
      <c r="R1066" s="5"/>
      <c r="S1066" s="5"/>
      <c r="T1066" s="5"/>
      <c r="U1066" s="5"/>
      <c r="V1066" s="5"/>
      <c r="W1066" s="5"/>
    </row>
    <row r="1067">
      <c r="A1067" s="3" t="s">
        <v>4337</v>
      </c>
      <c r="B1067" s="3" t="s">
        <v>4338</v>
      </c>
      <c r="C1067" s="3" t="s">
        <v>146</v>
      </c>
      <c r="D1067" s="3" t="s">
        <v>4339</v>
      </c>
      <c r="E1067" s="3"/>
      <c r="F1067" s="5"/>
      <c r="G1067" s="5"/>
      <c r="H1067" s="5"/>
      <c r="I1067" s="5"/>
      <c r="J1067" s="5"/>
      <c r="K1067" s="5"/>
      <c r="L1067" s="5"/>
      <c r="M1067" s="5"/>
      <c r="N1067" s="5"/>
      <c r="O1067" s="5"/>
      <c r="P1067" s="5"/>
      <c r="Q1067" s="5"/>
      <c r="R1067" s="5"/>
      <c r="S1067" s="5"/>
      <c r="T1067" s="5"/>
      <c r="U1067" s="5"/>
      <c r="V1067" s="5"/>
      <c r="W1067" s="5"/>
    </row>
    <row r="1068">
      <c r="A1068" s="3" t="s">
        <v>4340</v>
      </c>
      <c r="B1068" s="3" t="s">
        <v>4341</v>
      </c>
      <c r="C1068" s="3" t="s">
        <v>146</v>
      </c>
      <c r="D1068" s="3" t="s">
        <v>4342</v>
      </c>
      <c r="E1068" s="3"/>
      <c r="F1068" s="5"/>
      <c r="G1068" s="5"/>
      <c r="H1068" s="5"/>
      <c r="I1068" s="5"/>
      <c r="J1068" s="5"/>
      <c r="K1068" s="5"/>
      <c r="L1068" s="5"/>
      <c r="M1068" s="5"/>
      <c r="N1068" s="5"/>
      <c r="O1068" s="5"/>
      <c r="P1068" s="5"/>
      <c r="Q1068" s="5"/>
      <c r="R1068" s="5"/>
      <c r="S1068" s="5"/>
      <c r="T1068" s="5"/>
      <c r="U1068" s="5"/>
      <c r="V1068" s="5"/>
      <c r="W1068" s="5"/>
    </row>
    <row r="1069">
      <c r="A1069" s="3" t="s">
        <v>4343</v>
      </c>
      <c r="B1069" s="3" t="s">
        <v>4344</v>
      </c>
      <c r="C1069" s="3" t="s">
        <v>88</v>
      </c>
      <c r="D1069" s="3" t="s">
        <v>4345</v>
      </c>
      <c r="E1069" s="4" t="s">
        <v>553</v>
      </c>
      <c r="F1069" s="5"/>
      <c r="G1069" s="5"/>
      <c r="H1069" s="5"/>
      <c r="I1069" s="5"/>
      <c r="J1069" s="5"/>
      <c r="K1069" s="5"/>
      <c r="L1069" s="5"/>
      <c r="M1069" s="5"/>
      <c r="N1069" s="5"/>
      <c r="O1069" s="5"/>
      <c r="P1069" s="5"/>
      <c r="Q1069" s="5"/>
      <c r="R1069" s="5"/>
      <c r="S1069" s="5"/>
      <c r="T1069" s="5"/>
      <c r="U1069" s="5"/>
      <c r="V1069" s="5"/>
      <c r="W1069" s="5"/>
    </row>
    <row r="1070">
      <c r="A1070" s="3" t="s">
        <v>4346</v>
      </c>
      <c r="B1070" s="3" t="s">
        <v>4347</v>
      </c>
      <c r="C1070" s="3" t="s">
        <v>88</v>
      </c>
      <c r="D1070" s="3" t="s">
        <v>4348</v>
      </c>
      <c r="E1070" s="4" t="s">
        <v>553</v>
      </c>
      <c r="F1070" s="5"/>
      <c r="G1070" s="5"/>
      <c r="H1070" s="5"/>
      <c r="I1070" s="5"/>
      <c r="J1070" s="5"/>
      <c r="K1070" s="5"/>
      <c r="L1070" s="5"/>
      <c r="M1070" s="5"/>
      <c r="N1070" s="5"/>
      <c r="O1070" s="5"/>
      <c r="P1070" s="5"/>
      <c r="Q1070" s="5"/>
      <c r="R1070" s="5"/>
      <c r="S1070" s="5"/>
      <c r="T1070" s="5"/>
      <c r="U1070" s="5"/>
      <c r="V1070" s="5"/>
      <c r="W1070" s="5"/>
    </row>
    <row r="1071">
      <c r="A1071" s="3" t="s">
        <v>4349</v>
      </c>
      <c r="B1071" s="3" t="s">
        <v>4350</v>
      </c>
      <c r="C1071" s="3" t="s">
        <v>88</v>
      </c>
      <c r="D1071" s="3" t="s">
        <v>4351</v>
      </c>
      <c r="E1071" s="4" t="s">
        <v>553</v>
      </c>
      <c r="F1071" s="5"/>
      <c r="G1071" s="5"/>
      <c r="H1071" s="5"/>
      <c r="I1071" s="5"/>
      <c r="J1071" s="5"/>
      <c r="K1071" s="5"/>
      <c r="L1071" s="5"/>
      <c r="M1071" s="5"/>
      <c r="N1071" s="5"/>
      <c r="O1071" s="5"/>
      <c r="P1071" s="5"/>
      <c r="Q1071" s="5"/>
      <c r="R1071" s="5"/>
      <c r="S1071" s="5"/>
      <c r="T1071" s="5"/>
      <c r="U1071" s="5"/>
      <c r="V1071" s="5"/>
      <c r="W1071" s="5"/>
    </row>
    <row r="1072">
      <c r="A1072" s="3" t="s">
        <v>4352</v>
      </c>
      <c r="B1072" s="3" t="s">
        <v>4353</v>
      </c>
      <c r="C1072" s="3" t="s">
        <v>88</v>
      </c>
      <c r="D1072" s="3" t="s">
        <v>4354</v>
      </c>
      <c r="E1072" s="4" t="s">
        <v>553</v>
      </c>
      <c r="F1072" s="5"/>
      <c r="G1072" s="5"/>
      <c r="H1072" s="5"/>
      <c r="I1072" s="5"/>
      <c r="J1072" s="5"/>
      <c r="K1072" s="5"/>
      <c r="L1072" s="5"/>
      <c r="M1072" s="5"/>
      <c r="N1072" s="5"/>
      <c r="O1072" s="5"/>
      <c r="P1072" s="5"/>
      <c r="Q1072" s="5"/>
      <c r="R1072" s="5"/>
      <c r="S1072" s="5"/>
      <c r="T1072" s="5"/>
      <c r="U1072" s="5"/>
      <c r="V1072" s="5"/>
      <c r="W1072" s="5"/>
    </row>
    <row r="1073">
      <c r="A1073" s="3" t="s">
        <v>4355</v>
      </c>
      <c r="B1073" s="3" t="s">
        <v>4356</v>
      </c>
      <c r="C1073" s="3" t="s">
        <v>88</v>
      </c>
      <c r="D1073" s="3" t="s">
        <v>4357</v>
      </c>
      <c r="E1073" s="4" t="s">
        <v>553</v>
      </c>
      <c r="F1073" s="5"/>
      <c r="G1073" s="5"/>
      <c r="H1073" s="5"/>
      <c r="I1073" s="5"/>
      <c r="J1073" s="5"/>
      <c r="K1073" s="5"/>
      <c r="L1073" s="5"/>
      <c r="M1073" s="5"/>
      <c r="N1073" s="5"/>
      <c r="O1073" s="5"/>
      <c r="P1073" s="5"/>
      <c r="Q1073" s="5"/>
      <c r="R1073" s="5"/>
      <c r="S1073" s="5"/>
      <c r="T1073" s="5"/>
      <c r="U1073" s="5"/>
      <c r="V1073" s="5"/>
      <c r="W1073" s="5"/>
    </row>
    <row r="1074">
      <c r="A1074" s="3" t="s">
        <v>4358</v>
      </c>
      <c r="B1074" s="3" t="s">
        <v>4359</v>
      </c>
      <c r="C1074" s="3" t="s">
        <v>88</v>
      </c>
      <c r="D1074" s="3" t="s">
        <v>4360</v>
      </c>
      <c r="E1074" s="4" t="s">
        <v>553</v>
      </c>
      <c r="F1074" s="5"/>
      <c r="G1074" s="5"/>
      <c r="H1074" s="5"/>
      <c r="I1074" s="5"/>
      <c r="J1074" s="5"/>
      <c r="K1074" s="5"/>
      <c r="L1074" s="5"/>
      <c r="M1074" s="5"/>
      <c r="N1074" s="5"/>
      <c r="O1074" s="5"/>
      <c r="P1074" s="5"/>
      <c r="Q1074" s="5"/>
      <c r="R1074" s="5"/>
      <c r="S1074" s="5"/>
      <c r="T1074" s="5"/>
      <c r="U1074" s="5"/>
      <c r="V1074" s="5"/>
      <c r="W1074" s="5"/>
    </row>
    <row r="1075">
      <c r="A1075" s="3" t="s">
        <v>4361</v>
      </c>
      <c r="B1075" s="3" t="s">
        <v>4362</v>
      </c>
      <c r="C1075" s="3" t="s">
        <v>70</v>
      </c>
      <c r="D1075" s="3" t="s">
        <v>4363</v>
      </c>
      <c r="E1075" s="3"/>
      <c r="F1075" s="5"/>
      <c r="G1075" s="5"/>
      <c r="H1075" s="5"/>
      <c r="I1075" s="5"/>
      <c r="J1075" s="5"/>
      <c r="K1075" s="5"/>
      <c r="L1075" s="5"/>
      <c r="M1075" s="5"/>
      <c r="N1075" s="5"/>
      <c r="O1075" s="5"/>
      <c r="P1075" s="5"/>
      <c r="Q1075" s="5"/>
      <c r="R1075" s="5"/>
      <c r="S1075" s="5"/>
      <c r="T1075" s="5"/>
      <c r="U1075" s="5"/>
      <c r="V1075" s="5"/>
      <c r="W1075" s="5"/>
    </row>
    <row r="1076">
      <c r="A1076" s="3" t="s">
        <v>4364</v>
      </c>
      <c r="B1076" s="3" t="s">
        <v>4362</v>
      </c>
      <c r="C1076" s="3" t="s">
        <v>76</v>
      </c>
      <c r="D1076" s="3" t="s">
        <v>4365</v>
      </c>
      <c r="E1076" s="3"/>
      <c r="F1076" s="5"/>
      <c r="G1076" s="5"/>
      <c r="H1076" s="5"/>
      <c r="I1076" s="5"/>
      <c r="J1076" s="5"/>
      <c r="K1076" s="5"/>
      <c r="L1076" s="5"/>
      <c r="M1076" s="5"/>
      <c r="N1076" s="5"/>
      <c r="O1076" s="5"/>
      <c r="P1076" s="5"/>
      <c r="Q1076" s="5"/>
      <c r="R1076" s="5"/>
      <c r="S1076" s="5"/>
      <c r="T1076" s="5"/>
      <c r="U1076" s="5"/>
      <c r="V1076" s="5"/>
      <c r="W1076" s="5"/>
    </row>
    <row r="1077">
      <c r="A1077" s="3" t="s">
        <v>4366</v>
      </c>
      <c r="B1077" s="3" t="s">
        <v>4362</v>
      </c>
      <c r="C1077" s="3" t="s">
        <v>2375</v>
      </c>
      <c r="D1077" s="3" t="s">
        <v>4367</v>
      </c>
      <c r="E1077" s="3"/>
      <c r="F1077" s="5"/>
      <c r="G1077" s="5"/>
      <c r="H1077" s="5"/>
      <c r="I1077" s="5"/>
      <c r="J1077" s="5"/>
      <c r="K1077" s="5"/>
      <c r="L1077" s="5"/>
      <c r="M1077" s="5"/>
      <c r="N1077" s="5"/>
      <c r="O1077" s="5"/>
      <c r="P1077" s="5"/>
      <c r="Q1077" s="5"/>
      <c r="R1077" s="5"/>
      <c r="S1077" s="5"/>
      <c r="T1077" s="5"/>
      <c r="U1077" s="5"/>
      <c r="V1077" s="5"/>
      <c r="W1077" s="5"/>
    </row>
    <row r="1078">
      <c r="A1078" s="3" t="s">
        <v>4368</v>
      </c>
      <c r="B1078" s="3" t="s">
        <v>4362</v>
      </c>
      <c r="C1078" s="3" t="s">
        <v>2841</v>
      </c>
      <c r="D1078" s="3" t="s">
        <v>4369</v>
      </c>
      <c r="E1078" s="3"/>
      <c r="F1078" s="5"/>
      <c r="G1078" s="5"/>
      <c r="H1078" s="5"/>
      <c r="I1078" s="5"/>
      <c r="J1078" s="5"/>
      <c r="K1078" s="5"/>
      <c r="L1078" s="5"/>
      <c r="M1078" s="5"/>
      <c r="N1078" s="5"/>
      <c r="O1078" s="5"/>
      <c r="P1078" s="5"/>
      <c r="Q1078" s="5"/>
      <c r="R1078" s="5"/>
      <c r="S1078" s="5"/>
      <c r="T1078" s="5"/>
      <c r="U1078" s="5"/>
      <c r="V1078" s="5"/>
      <c r="W1078" s="5"/>
    </row>
    <row r="1079">
      <c r="A1079" s="3" t="s">
        <v>4370</v>
      </c>
      <c r="B1079" s="3" t="s">
        <v>4362</v>
      </c>
      <c r="C1079" s="3" t="s">
        <v>84</v>
      </c>
      <c r="D1079" s="3" t="s">
        <v>4371</v>
      </c>
      <c r="E1079" s="3"/>
      <c r="F1079" s="5"/>
      <c r="G1079" s="5"/>
      <c r="H1079" s="5"/>
      <c r="I1079" s="5"/>
      <c r="J1079" s="5"/>
      <c r="K1079" s="5"/>
      <c r="L1079" s="5"/>
      <c r="M1079" s="5"/>
      <c r="N1079" s="5"/>
      <c r="O1079" s="5"/>
      <c r="P1079" s="5"/>
      <c r="Q1079" s="5"/>
      <c r="R1079" s="5"/>
      <c r="S1079" s="5"/>
      <c r="T1079" s="5"/>
      <c r="U1079" s="5"/>
      <c r="V1079" s="5"/>
      <c r="W1079" s="5"/>
    </row>
    <row r="1080">
      <c r="A1080" s="3" t="s">
        <v>4372</v>
      </c>
      <c r="B1080" s="3" t="s">
        <v>4362</v>
      </c>
      <c r="C1080" s="3" t="s">
        <v>2571</v>
      </c>
      <c r="D1080" s="3" t="s">
        <v>4373</v>
      </c>
      <c r="E1080" s="3"/>
      <c r="F1080" s="5"/>
      <c r="G1080" s="5"/>
      <c r="H1080" s="5"/>
      <c r="I1080" s="5"/>
      <c r="J1080" s="5"/>
      <c r="K1080" s="5"/>
      <c r="L1080" s="5"/>
      <c r="M1080" s="5"/>
      <c r="N1080" s="5"/>
      <c r="O1080" s="5"/>
      <c r="P1080" s="5"/>
      <c r="Q1080" s="5"/>
      <c r="R1080" s="5"/>
      <c r="S1080" s="5"/>
      <c r="T1080" s="5"/>
      <c r="U1080" s="5"/>
      <c r="V1080" s="5"/>
      <c r="W1080" s="5"/>
    </row>
    <row r="1081">
      <c r="A1081" s="3" t="s">
        <v>4374</v>
      </c>
      <c r="B1081" s="3" t="s">
        <v>4375</v>
      </c>
      <c r="C1081" s="3" t="s">
        <v>4026</v>
      </c>
      <c r="D1081" s="3" t="s">
        <v>4376</v>
      </c>
      <c r="E1081" s="3"/>
      <c r="F1081" s="5"/>
      <c r="G1081" s="5"/>
      <c r="H1081" s="5"/>
      <c r="I1081" s="5"/>
      <c r="J1081" s="5"/>
      <c r="K1081" s="5"/>
      <c r="L1081" s="5"/>
      <c r="M1081" s="5"/>
      <c r="N1081" s="5"/>
      <c r="O1081" s="5"/>
      <c r="P1081" s="5"/>
      <c r="Q1081" s="5"/>
      <c r="R1081" s="5"/>
      <c r="S1081" s="5"/>
      <c r="T1081" s="5"/>
      <c r="U1081" s="5"/>
      <c r="V1081" s="5"/>
      <c r="W1081" s="5"/>
    </row>
    <row r="1082">
      <c r="A1082" s="3" t="s">
        <v>4377</v>
      </c>
      <c r="B1082" s="3" t="s">
        <v>4378</v>
      </c>
      <c r="C1082" s="3" t="s">
        <v>82</v>
      </c>
      <c r="D1082" s="3" t="s">
        <v>4379</v>
      </c>
      <c r="E1082" s="3"/>
      <c r="F1082" s="5"/>
      <c r="G1082" s="5"/>
      <c r="H1082" s="5"/>
      <c r="I1082" s="5"/>
      <c r="J1082" s="5"/>
      <c r="K1082" s="5"/>
      <c r="L1082" s="5"/>
      <c r="M1082" s="5"/>
      <c r="N1082" s="5"/>
      <c r="O1082" s="5"/>
      <c r="P1082" s="5"/>
      <c r="Q1082" s="5"/>
      <c r="R1082" s="5"/>
      <c r="S1082" s="5"/>
      <c r="T1082" s="5"/>
      <c r="U1082" s="5"/>
      <c r="V1082" s="5"/>
      <c r="W1082" s="5"/>
    </row>
    <row r="1083">
      <c r="A1083" s="3" t="s">
        <v>4380</v>
      </c>
      <c r="B1083" s="3" t="s">
        <v>4381</v>
      </c>
      <c r="C1083" s="3" t="s">
        <v>2375</v>
      </c>
      <c r="D1083" s="3" t="s">
        <v>4382</v>
      </c>
      <c r="E1083" s="3"/>
      <c r="F1083" s="5"/>
      <c r="G1083" s="5"/>
      <c r="H1083" s="5"/>
      <c r="I1083" s="5"/>
      <c r="J1083" s="5"/>
      <c r="K1083" s="5"/>
      <c r="L1083" s="5"/>
      <c r="M1083" s="5"/>
      <c r="N1083" s="5"/>
      <c r="O1083" s="5"/>
      <c r="P1083" s="5"/>
      <c r="Q1083" s="5"/>
      <c r="R1083" s="5"/>
      <c r="S1083" s="5"/>
      <c r="T1083" s="5"/>
      <c r="U1083" s="5"/>
      <c r="V1083" s="5"/>
      <c r="W1083" s="5"/>
    </row>
    <row r="1084">
      <c r="A1084" s="3" t="s">
        <v>4383</v>
      </c>
      <c r="B1084" s="3" t="s">
        <v>4384</v>
      </c>
      <c r="C1084" s="3" t="s">
        <v>84</v>
      </c>
      <c r="D1084" s="3" t="s">
        <v>4385</v>
      </c>
      <c r="E1084" s="3"/>
      <c r="F1084" s="5"/>
      <c r="G1084" s="5"/>
      <c r="H1084" s="5"/>
      <c r="I1084" s="5"/>
      <c r="J1084" s="5"/>
      <c r="K1084" s="5"/>
      <c r="L1084" s="5"/>
      <c r="M1084" s="5"/>
      <c r="N1084" s="5"/>
      <c r="O1084" s="5"/>
      <c r="P1084" s="5"/>
      <c r="Q1084" s="5"/>
      <c r="R1084" s="5"/>
      <c r="S1084" s="5"/>
      <c r="T1084" s="5"/>
      <c r="U1084" s="5"/>
      <c r="V1084" s="5"/>
      <c r="W1084" s="5"/>
    </row>
    <row r="1085">
      <c r="A1085" s="3" t="s">
        <v>4386</v>
      </c>
      <c r="B1085" s="3" t="s">
        <v>4387</v>
      </c>
      <c r="C1085" s="3" t="s">
        <v>86</v>
      </c>
      <c r="D1085" s="3" t="s">
        <v>4388</v>
      </c>
      <c r="E1085" s="3"/>
      <c r="F1085" s="5"/>
      <c r="G1085" s="5"/>
      <c r="H1085" s="5"/>
      <c r="I1085" s="5"/>
      <c r="J1085" s="5"/>
      <c r="K1085" s="5"/>
      <c r="L1085" s="5"/>
      <c r="M1085" s="5"/>
      <c r="N1085" s="5"/>
      <c r="O1085" s="5"/>
      <c r="P1085" s="5"/>
      <c r="Q1085" s="5"/>
      <c r="R1085" s="5"/>
      <c r="S1085" s="5"/>
      <c r="T1085" s="5"/>
      <c r="U1085" s="5"/>
      <c r="V1085" s="5"/>
      <c r="W1085" s="5"/>
    </row>
    <row r="1086">
      <c r="A1086" s="3" t="s">
        <v>4389</v>
      </c>
      <c r="B1086" s="3" t="s">
        <v>4390</v>
      </c>
      <c r="C1086" s="3" t="s">
        <v>74</v>
      </c>
      <c r="D1086" s="3" t="s">
        <v>4391</v>
      </c>
      <c r="E1086" s="3"/>
      <c r="F1086" s="5"/>
      <c r="G1086" s="5"/>
      <c r="H1086" s="5"/>
      <c r="I1086" s="5"/>
      <c r="J1086" s="5"/>
      <c r="K1086" s="5"/>
      <c r="L1086" s="5"/>
      <c r="M1086" s="5"/>
      <c r="N1086" s="5"/>
      <c r="O1086" s="5"/>
      <c r="P1086" s="5"/>
      <c r="Q1086" s="5"/>
      <c r="R1086" s="5"/>
      <c r="S1086" s="5"/>
      <c r="T1086" s="5"/>
      <c r="U1086" s="5"/>
      <c r="V1086" s="5"/>
      <c r="W1086" s="5"/>
    </row>
    <row r="1087">
      <c r="A1087" s="3" t="s">
        <v>4392</v>
      </c>
      <c r="B1087" s="3" t="s">
        <v>4393</v>
      </c>
      <c r="C1087" s="3" t="s">
        <v>88</v>
      </c>
      <c r="D1087" s="3" t="s">
        <v>4394</v>
      </c>
      <c r="E1087" s="3"/>
      <c r="F1087" s="5"/>
      <c r="G1087" s="5"/>
      <c r="H1087" s="5"/>
      <c r="I1087" s="5"/>
      <c r="J1087" s="5"/>
      <c r="K1087" s="5"/>
      <c r="L1087" s="5"/>
      <c r="M1087" s="5"/>
      <c r="N1087" s="5"/>
      <c r="O1087" s="5"/>
      <c r="P1087" s="5"/>
      <c r="Q1087" s="5"/>
      <c r="R1087" s="5"/>
      <c r="S1087" s="5"/>
      <c r="T1087" s="5"/>
      <c r="U1087" s="5"/>
      <c r="V1087" s="5"/>
      <c r="W1087" s="5"/>
    </row>
    <row r="1088">
      <c r="A1088" s="3" t="s">
        <v>4395</v>
      </c>
      <c r="B1088" s="3" t="s">
        <v>4396</v>
      </c>
      <c r="C1088" s="3" t="s">
        <v>4197</v>
      </c>
      <c r="D1088" s="3" t="s">
        <v>4397</v>
      </c>
      <c r="E1088" s="3"/>
      <c r="F1088" s="5"/>
      <c r="G1088" s="5"/>
      <c r="H1088" s="5"/>
      <c r="I1088" s="5"/>
      <c r="J1088" s="5"/>
      <c r="K1088" s="5"/>
      <c r="L1088" s="5"/>
      <c r="M1088" s="5"/>
      <c r="N1088" s="5"/>
      <c r="O1088" s="5"/>
      <c r="P1088" s="5"/>
      <c r="Q1088" s="5"/>
      <c r="R1088" s="5"/>
      <c r="S1088" s="5"/>
      <c r="T1088" s="5"/>
      <c r="U1088" s="5"/>
      <c r="V1088" s="5"/>
      <c r="W1088" s="5"/>
    </row>
    <row r="1089">
      <c r="A1089" s="3" t="s">
        <v>4398</v>
      </c>
      <c r="B1089" s="3" t="s">
        <v>4399</v>
      </c>
      <c r="C1089" s="3" t="s">
        <v>4308</v>
      </c>
      <c r="D1089" s="3" t="s">
        <v>4400</v>
      </c>
      <c r="E1089" s="3"/>
      <c r="F1089" s="5"/>
      <c r="G1089" s="5"/>
      <c r="H1089" s="5"/>
      <c r="I1089" s="5"/>
      <c r="J1089" s="5"/>
      <c r="K1089" s="5"/>
      <c r="L1089" s="5"/>
      <c r="M1089" s="5"/>
      <c r="N1089" s="5"/>
      <c r="O1089" s="5"/>
      <c r="P1089" s="5"/>
      <c r="Q1089" s="5"/>
      <c r="R1089" s="5"/>
      <c r="S1089" s="5"/>
      <c r="T1089" s="5"/>
      <c r="U1089" s="5"/>
      <c r="V1089" s="5"/>
      <c r="W1089" s="5"/>
    </row>
    <row r="1090">
      <c r="A1090" s="3" t="s">
        <v>4401</v>
      </c>
      <c r="B1090" s="3" t="s">
        <v>4402</v>
      </c>
      <c r="C1090" s="3" t="s">
        <v>935</v>
      </c>
      <c r="D1090" s="3" t="s">
        <v>4403</v>
      </c>
      <c r="E1090" s="3"/>
      <c r="F1090" s="5"/>
      <c r="G1090" s="5"/>
      <c r="H1090" s="5"/>
      <c r="I1090" s="5"/>
      <c r="J1090" s="5"/>
      <c r="K1090" s="5"/>
      <c r="L1090" s="5"/>
      <c r="M1090" s="5"/>
      <c r="N1090" s="5"/>
      <c r="O1090" s="5"/>
      <c r="P1090" s="5"/>
      <c r="Q1090" s="5"/>
      <c r="R1090" s="5"/>
      <c r="S1090" s="5"/>
      <c r="T1090" s="5"/>
      <c r="U1090" s="5"/>
      <c r="V1090" s="5"/>
      <c r="W1090" s="5"/>
    </row>
    <row r="1091">
      <c r="A1091" s="3" t="s">
        <v>4404</v>
      </c>
      <c r="B1091" s="3" t="s">
        <v>4405</v>
      </c>
      <c r="C1091" s="3" t="s">
        <v>4026</v>
      </c>
      <c r="D1091" s="3" t="s">
        <v>4406</v>
      </c>
      <c r="E1091" s="3"/>
      <c r="F1091" s="5"/>
      <c r="G1091" s="5"/>
      <c r="H1091" s="5"/>
      <c r="I1091" s="5"/>
      <c r="J1091" s="5"/>
      <c r="K1091" s="5"/>
      <c r="L1091" s="5"/>
      <c r="M1091" s="5"/>
      <c r="N1091" s="5"/>
      <c r="O1091" s="5"/>
      <c r="P1091" s="5"/>
      <c r="Q1091" s="5"/>
      <c r="R1091" s="5"/>
      <c r="S1091" s="5"/>
      <c r="T1091" s="5"/>
      <c r="U1091" s="5"/>
      <c r="V1091" s="5"/>
      <c r="W1091" s="5"/>
    </row>
    <row r="1092">
      <c r="A1092" s="3" t="s">
        <v>4407</v>
      </c>
      <c r="B1092" s="3" t="s">
        <v>4408</v>
      </c>
      <c r="C1092" s="3" t="s">
        <v>2375</v>
      </c>
      <c r="D1092" s="3" t="s">
        <v>4409</v>
      </c>
      <c r="E1092" s="3"/>
      <c r="F1092" s="5"/>
      <c r="G1092" s="5"/>
      <c r="H1092" s="5"/>
      <c r="I1092" s="5"/>
      <c r="J1092" s="5"/>
      <c r="K1092" s="5"/>
      <c r="L1092" s="5"/>
      <c r="M1092" s="5"/>
      <c r="N1092" s="5"/>
      <c r="O1092" s="5"/>
      <c r="P1092" s="5"/>
      <c r="Q1092" s="5"/>
      <c r="R1092" s="5"/>
      <c r="S1092" s="5"/>
      <c r="T1092" s="5"/>
      <c r="U1092" s="5"/>
      <c r="V1092" s="5"/>
      <c r="W1092" s="5"/>
    </row>
    <row r="1093">
      <c r="A1093" s="3" t="s">
        <v>4410</v>
      </c>
      <c r="B1093" s="3" t="s">
        <v>4411</v>
      </c>
      <c r="C1093" s="3" t="s">
        <v>1132</v>
      </c>
      <c r="D1093" s="3" t="s">
        <v>4412</v>
      </c>
      <c r="E1093" s="3"/>
      <c r="F1093" s="5"/>
      <c r="G1093" s="5"/>
      <c r="H1093" s="5"/>
      <c r="I1093" s="5"/>
      <c r="J1093" s="5"/>
      <c r="K1093" s="5"/>
      <c r="L1093" s="5"/>
      <c r="M1093" s="5"/>
      <c r="N1093" s="5"/>
      <c r="O1093" s="5"/>
      <c r="P1093" s="5"/>
      <c r="Q1093" s="5"/>
      <c r="R1093" s="5"/>
      <c r="S1093" s="5"/>
      <c r="T1093" s="5"/>
      <c r="U1093" s="5"/>
      <c r="V1093" s="5"/>
      <c r="W1093" s="5"/>
    </row>
    <row r="1094">
      <c r="A1094" s="3" t="s">
        <v>4413</v>
      </c>
      <c r="B1094" s="3" t="s">
        <v>4414</v>
      </c>
      <c r="C1094" s="3" t="s">
        <v>1132</v>
      </c>
      <c r="D1094" s="3" t="s">
        <v>4415</v>
      </c>
      <c r="E1094" s="3"/>
      <c r="F1094" s="5"/>
      <c r="G1094" s="5"/>
      <c r="H1094" s="5"/>
      <c r="I1094" s="5"/>
      <c r="J1094" s="5"/>
      <c r="K1094" s="5"/>
      <c r="L1094" s="5"/>
      <c r="M1094" s="5"/>
      <c r="N1094" s="5"/>
      <c r="O1094" s="5"/>
      <c r="P1094" s="5"/>
      <c r="Q1094" s="5"/>
      <c r="R1094" s="5"/>
      <c r="S1094" s="5"/>
      <c r="T1094" s="5"/>
      <c r="U1094" s="5"/>
      <c r="V1094" s="5"/>
      <c r="W1094" s="5"/>
    </row>
    <row r="1095">
      <c r="A1095" s="3" t="s">
        <v>4416</v>
      </c>
      <c r="B1095" s="3" t="s">
        <v>4417</v>
      </c>
      <c r="C1095" s="3" t="s">
        <v>2375</v>
      </c>
      <c r="D1095" s="3" t="s">
        <v>4418</v>
      </c>
      <c r="E1095" s="3"/>
      <c r="F1095" s="5"/>
      <c r="G1095" s="5"/>
      <c r="H1095" s="5"/>
      <c r="I1095" s="5"/>
      <c r="J1095" s="5"/>
      <c r="K1095" s="5"/>
      <c r="L1095" s="5"/>
      <c r="M1095" s="5"/>
      <c r="N1095" s="5"/>
      <c r="O1095" s="5"/>
      <c r="P1095" s="5"/>
      <c r="Q1095" s="5"/>
      <c r="R1095" s="5"/>
      <c r="S1095" s="5"/>
      <c r="T1095" s="5"/>
      <c r="U1095" s="5"/>
      <c r="V1095" s="5"/>
      <c r="W1095" s="5"/>
    </row>
    <row r="1096">
      <c r="A1096" s="3" t="s">
        <v>4419</v>
      </c>
      <c r="B1096" s="3" t="s">
        <v>4420</v>
      </c>
      <c r="C1096" s="3" t="s">
        <v>146</v>
      </c>
      <c r="D1096" s="3" t="s">
        <v>4421</v>
      </c>
      <c r="E1096" s="3"/>
      <c r="F1096" s="5"/>
      <c r="G1096" s="5"/>
      <c r="H1096" s="5"/>
      <c r="I1096" s="5"/>
      <c r="J1096" s="5"/>
      <c r="K1096" s="5"/>
      <c r="L1096" s="5"/>
      <c r="M1096" s="5"/>
      <c r="N1096" s="5"/>
      <c r="O1096" s="5"/>
      <c r="P1096" s="5"/>
      <c r="Q1096" s="5"/>
      <c r="R1096" s="5"/>
      <c r="S1096" s="5"/>
      <c r="T1096" s="5"/>
      <c r="U1096" s="5"/>
      <c r="V1096" s="5"/>
      <c r="W1096" s="5"/>
    </row>
    <row r="1097">
      <c r="A1097" s="3" t="s">
        <v>4422</v>
      </c>
      <c r="B1097" s="3" t="s">
        <v>4423</v>
      </c>
      <c r="C1097" s="3" t="s">
        <v>144</v>
      </c>
      <c r="D1097" s="3" t="s">
        <v>4424</v>
      </c>
      <c r="E1097" s="3"/>
      <c r="F1097" s="5"/>
      <c r="G1097" s="5"/>
      <c r="H1097" s="5"/>
      <c r="I1097" s="5"/>
      <c r="J1097" s="5"/>
      <c r="K1097" s="5"/>
      <c r="L1097" s="5"/>
      <c r="M1097" s="5"/>
      <c r="N1097" s="5"/>
      <c r="O1097" s="5"/>
      <c r="P1097" s="5"/>
      <c r="Q1097" s="5"/>
      <c r="R1097" s="5"/>
      <c r="S1097" s="5"/>
      <c r="T1097" s="5"/>
      <c r="U1097" s="5"/>
      <c r="V1097" s="5"/>
      <c r="W1097" s="5"/>
    </row>
    <row r="1098">
      <c r="A1098" s="3" t="s">
        <v>4425</v>
      </c>
      <c r="B1098" s="3" t="s">
        <v>4426</v>
      </c>
      <c r="C1098" s="3" t="s">
        <v>4145</v>
      </c>
      <c r="D1098" s="3" t="s">
        <v>4427</v>
      </c>
      <c r="E1098" s="3"/>
      <c r="F1098" s="5"/>
      <c r="G1098" s="5"/>
      <c r="H1098" s="5"/>
      <c r="I1098" s="5"/>
      <c r="J1098" s="5"/>
      <c r="K1098" s="5"/>
      <c r="L1098" s="5"/>
      <c r="M1098" s="5"/>
      <c r="N1098" s="5"/>
      <c r="O1098" s="5"/>
      <c r="P1098" s="5"/>
      <c r="Q1098" s="5"/>
      <c r="R1098" s="5"/>
      <c r="S1098" s="5"/>
      <c r="T1098" s="5"/>
      <c r="U1098" s="5"/>
      <c r="V1098" s="5"/>
      <c r="W1098" s="5"/>
    </row>
    <row r="1099">
      <c r="A1099" s="3" t="s">
        <v>4428</v>
      </c>
      <c r="B1099" s="3" t="s">
        <v>4429</v>
      </c>
      <c r="C1099" s="3" t="s">
        <v>3340</v>
      </c>
      <c r="D1099" s="3" t="s">
        <v>4430</v>
      </c>
      <c r="E1099" s="3"/>
      <c r="F1099" s="5"/>
      <c r="G1099" s="5"/>
      <c r="H1099" s="5"/>
      <c r="I1099" s="5"/>
      <c r="J1099" s="5"/>
      <c r="K1099" s="5"/>
      <c r="L1099" s="5"/>
      <c r="M1099" s="5"/>
      <c r="N1099" s="5"/>
      <c r="O1099" s="5"/>
      <c r="P1099" s="5"/>
      <c r="Q1099" s="5"/>
      <c r="R1099" s="5"/>
      <c r="S1099" s="5"/>
      <c r="T1099" s="5"/>
      <c r="U1099" s="5"/>
      <c r="V1099" s="5"/>
      <c r="W1099" s="5"/>
    </row>
    <row r="1100">
      <c r="A1100" s="3" t="s">
        <v>4431</v>
      </c>
      <c r="B1100" s="3" t="s">
        <v>4432</v>
      </c>
      <c r="C1100" s="3" t="s">
        <v>76</v>
      </c>
      <c r="D1100" s="3" t="s">
        <v>4433</v>
      </c>
      <c r="E1100" s="4" t="s">
        <v>79</v>
      </c>
      <c r="F1100" s="5"/>
      <c r="G1100" s="5"/>
      <c r="H1100" s="5"/>
      <c r="I1100" s="5"/>
      <c r="J1100" s="5"/>
      <c r="K1100" s="5"/>
      <c r="L1100" s="5"/>
      <c r="M1100" s="5"/>
      <c r="N1100" s="5"/>
      <c r="O1100" s="5"/>
      <c r="P1100" s="5"/>
      <c r="Q1100" s="5"/>
      <c r="R1100" s="5"/>
      <c r="S1100" s="5"/>
      <c r="T1100" s="5"/>
      <c r="U1100" s="5"/>
      <c r="V1100" s="5"/>
      <c r="W1100" s="5"/>
    </row>
    <row r="1101">
      <c r="A1101" s="3" t="s">
        <v>4434</v>
      </c>
      <c r="B1101" s="3" t="s">
        <v>4435</v>
      </c>
      <c r="C1101" s="3" t="s">
        <v>76</v>
      </c>
      <c r="D1101" s="3" t="s">
        <v>4436</v>
      </c>
      <c r="E1101" s="3"/>
      <c r="F1101" s="5"/>
      <c r="G1101" s="5"/>
      <c r="H1101" s="5"/>
      <c r="I1101" s="5"/>
      <c r="J1101" s="5"/>
      <c r="K1101" s="5"/>
      <c r="L1101" s="5"/>
      <c r="M1101" s="5"/>
      <c r="N1101" s="5"/>
      <c r="O1101" s="5"/>
      <c r="P1101" s="5"/>
      <c r="Q1101" s="5"/>
      <c r="R1101" s="5"/>
      <c r="S1101" s="5"/>
      <c r="T1101" s="5"/>
      <c r="U1101" s="5"/>
      <c r="V1101" s="5"/>
      <c r="W1101" s="5"/>
    </row>
    <row r="1102">
      <c r="A1102" s="3" t="s">
        <v>4437</v>
      </c>
      <c r="B1102" s="3" t="s">
        <v>4438</v>
      </c>
      <c r="C1102" s="3" t="s">
        <v>4145</v>
      </c>
      <c r="D1102" s="3" t="s">
        <v>4439</v>
      </c>
      <c r="E1102" s="3"/>
      <c r="F1102" s="5"/>
      <c r="G1102" s="5"/>
      <c r="H1102" s="5"/>
      <c r="I1102" s="5"/>
      <c r="J1102" s="5"/>
      <c r="K1102" s="5"/>
      <c r="L1102" s="5"/>
      <c r="M1102" s="5"/>
      <c r="N1102" s="5"/>
      <c r="O1102" s="5"/>
      <c r="P1102" s="5"/>
      <c r="Q1102" s="5"/>
      <c r="R1102" s="5"/>
      <c r="S1102" s="5"/>
      <c r="T1102" s="5"/>
      <c r="U1102" s="5"/>
      <c r="V1102" s="5"/>
      <c r="W1102" s="5"/>
    </row>
    <row r="1103">
      <c r="A1103" s="3" t="s">
        <v>4440</v>
      </c>
      <c r="B1103" s="3" t="s">
        <v>4441</v>
      </c>
      <c r="C1103" s="3" t="s">
        <v>4145</v>
      </c>
      <c r="D1103" s="3" t="s">
        <v>4442</v>
      </c>
      <c r="E1103" s="3"/>
      <c r="F1103" s="5"/>
      <c r="G1103" s="5"/>
      <c r="H1103" s="5"/>
      <c r="I1103" s="5"/>
      <c r="J1103" s="5"/>
      <c r="K1103" s="5"/>
      <c r="L1103" s="5"/>
      <c r="M1103" s="5"/>
      <c r="N1103" s="5"/>
      <c r="O1103" s="5"/>
      <c r="P1103" s="5"/>
      <c r="Q1103" s="5"/>
      <c r="R1103" s="5"/>
      <c r="S1103" s="5"/>
      <c r="T1103" s="5"/>
      <c r="U1103" s="5"/>
      <c r="V1103" s="5"/>
      <c r="W1103" s="5"/>
    </row>
    <row r="1104">
      <c r="A1104" s="3" t="s">
        <v>4443</v>
      </c>
      <c r="B1104" s="3" t="s">
        <v>4444</v>
      </c>
      <c r="C1104" s="3" t="s">
        <v>1132</v>
      </c>
      <c r="D1104" s="3" t="s">
        <v>4445</v>
      </c>
      <c r="E1104" s="3"/>
      <c r="F1104" s="5"/>
      <c r="G1104" s="5"/>
      <c r="H1104" s="5"/>
      <c r="I1104" s="5"/>
      <c r="J1104" s="5"/>
      <c r="K1104" s="5"/>
      <c r="L1104" s="5"/>
      <c r="M1104" s="5"/>
      <c r="N1104" s="5"/>
      <c r="O1104" s="5"/>
      <c r="P1104" s="5"/>
      <c r="Q1104" s="5"/>
      <c r="R1104" s="5"/>
      <c r="S1104" s="5"/>
      <c r="T1104" s="5"/>
      <c r="U1104" s="5"/>
      <c r="V1104" s="5"/>
      <c r="W1104" s="5"/>
    </row>
    <row r="1105">
      <c r="A1105" s="3" t="s">
        <v>4446</v>
      </c>
      <c r="B1105" s="3" t="s">
        <v>4447</v>
      </c>
      <c r="C1105" s="3" t="s">
        <v>1132</v>
      </c>
      <c r="D1105" s="3" t="s">
        <v>4448</v>
      </c>
      <c r="E1105" s="3"/>
      <c r="F1105" s="5"/>
      <c r="G1105" s="5"/>
      <c r="H1105" s="5"/>
      <c r="I1105" s="5"/>
      <c r="J1105" s="5"/>
      <c r="K1105" s="5"/>
      <c r="L1105" s="5"/>
      <c r="M1105" s="5"/>
      <c r="N1105" s="5"/>
      <c r="O1105" s="5"/>
      <c r="P1105" s="5"/>
      <c r="Q1105" s="5"/>
      <c r="R1105" s="5"/>
      <c r="S1105" s="5"/>
      <c r="T1105" s="5"/>
      <c r="U1105" s="5"/>
      <c r="V1105" s="5"/>
      <c r="W1105" s="5"/>
    </row>
    <row r="1106">
      <c r="A1106" s="3" t="s">
        <v>4449</v>
      </c>
      <c r="B1106" s="3" t="s">
        <v>4450</v>
      </c>
      <c r="C1106" s="3" t="s">
        <v>2571</v>
      </c>
      <c r="D1106" s="3" t="s">
        <v>4451</v>
      </c>
      <c r="E1106" s="3" t="s">
        <v>4452</v>
      </c>
      <c r="F1106" s="5"/>
      <c r="G1106" s="5"/>
      <c r="H1106" s="5"/>
      <c r="I1106" s="5"/>
      <c r="J1106" s="5"/>
      <c r="K1106" s="5"/>
      <c r="L1106" s="5"/>
      <c r="M1106" s="5"/>
      <c r="N1106" s="5"/>
      <c r="O1106" s="5"/>
      <c r="P1106" s="5"/>
      <c r="Q1106" s="5"/>
      <c r="R1106" s="5"/>
      <c r="S1106" s="5"/>
      <c r="T1106" s="5"/>
      <c r="U1106" s="5"/>
      <c r="V1106" s="5"/>
      <c r="W1106" s="5"/>
    </row>
    <row r="1107">
      <c r="A1107" s="3" t="s">
        <v>4453</v>
      </c>
      <c r="B1107" s="3" t="s">
        <v>4454</v>
      </c>
      <c r="C1107" s="3" t="s">
        <v>4145</v>
      </c>
      <c r="D1107" s="3" t="s">
        <v>4455</v>
      </c>
      <c r="E1107" s="3"/>
      <c r="F1107" s="5"/>
      <c r="G1107" s="5"/>
      <c r="H1107" s="5"/>
      <c r="I1107" s="5"/>
      <c r="J1107" s="5"/>
      <c r="K1107" s="5"/>
      <c r="L1107" s="5"/>
      <c r="M1107" s="5"/>
      <c r="N1107" s="5"/>
      <c r="O1107" s="5"/>
      <c r="P1107" s="5"/>
      <c r="Q1107" s="5"/>
      <c r="R1107" s="5"/>
      <c r="S1107" s="5"/>
      <c r="T1107" s="5"/>
      <c r="U1107" s="5"/>
      <c r="V1107" s="5"/>
      <c r="W1107" s="5"/>
    </row>
    <row r="1108">
      <c r="A1108" s="3" t="s">
        <v>4456</v>
      </c>
      <c r="B1108" s="3" t="s">
        <v>4457</v>
      </c>
      <c r="C1108" s="3" t="s">
        <v>4026</v>
      </c>
      <c r="D1108" s="3" t="s">
        <v>4458</v>
      </c>
      <c r="E1108" s="3"/>
      <c r="F1108" s="5"/>
      <c r="G1108" s="5"/>
      <c r="H1108" s="5"/>
      <c r="I1108" s="5"/>
      <c r="J1108" s="5"/>
      <c r="K1108" s="5"/>
      <c r="L1108" s="5"/>
      <c r="M1108" s="5"/>
      <c r="N1108" s="5"/>
      <c r="O1108" s="5"/>
      <c r="P1108" s="5"/>
      <c r="Q1108" s="5"/>
      <c r="R1108" s="5"/>
      <c r="S1108" s="5"/>
      <c r="T1108" s="5"/>
      <c r="U1108" s="5"/>
      <c r="V1108" s="5"/>
      <c r="W1108" s="5"/>
    </row>
    <row r="1109">
      <c r="A1109" s="3" t="s">
        <v>4459</v>
      </c>
      <c r="B1109" s="3" t="s">
        <v>4460</v>
      </c>
      <c r="C1109" s="3" t="s">
        <v>1132</v>
      </c>
      <c r="D1109" s="3" t="s">
        <v>4461</v>
      </c>
      <c r="E1109" s="3"/>
      <c r="F1109" s="5"/>
      <c r="G1109" s="5"/>
      <c r="H1109" s="5"/>
      <c r="I1109" s="5"/>
      <c r="J1109" s="5"/>
      <c r="K1109" s="5"/>
      <c r="L1109" s="5"/>
      <c r="M1109" s="5"/>
      <c r="N1109" s="5"/>
      <c r="O1109" s="5"/>
      <c r="P1109" s="5"/>
      <c r="Q1109" s="5"/>
      <c r="R1109" s="5"/>
      <c r="S1109" s="5"/>
      <c r="T1109" s="5"/>
      <c r="U1109" s="5"/>
      <c r="V1109" s="5"/>
      <c r="W1109" s="5"/>
    </row>
    <row r="1110">
      <c r="A1110" s="3" t="s">
        <v>4462</v>
      </c>
      <c r="B1110" s="3" t="s">
        <v>4463</v>
      </c>
      <c r="C1110" s="3" t="s">
        <v>76</v>
      </c>
      <c r="D1110" s="3" t="s">
        <v>4464</v>
      </c>
      <c r="E1110" s="4" t="s">
        <v>79</v>
      </c>
      <c r="F1110" s="5"/>
      <c r="G1110" s="5"/>
      <c r="H1110" s="5"/>
      <c r="I1110" s="5"/>
      <c r="J1110" s="5"/>
      <c r="K1110" s="5"/>
      <c r="L1110" s="5"/>
      <c r="M1110" s="5"/>
      <c r="N1110" s="5"/>
      <c r="O1110" s="5"/>
      <c r="P1110" s="5"/>
      <c r="Q1110" s="5"/>
      <c r="R1110" s="5"/>
      <c r="S1110" s="5"/>
      <c r="T1110" s="5"/>
      <c r="U1110" s="5"/>
      <c r="V1110" s="5"/>
      <c r="W1110" s="5"/>
    </row>
    <row r="1111">
      <c r="A1111" s="3" t="s">
        <v>4465</v>
      </c>
      <c r="B1111" s="3" t="s">
        <v>4466</v>
      </c>
      <c r="C1111" s="3" t="s">
        <v>94</v>
      </c>
      <c r="D1111" s="3" t="s">
        <v>4467</v>
      </c>
      <c r="E1111" s="3"/>
      <c r="F1111" s="5"/>
      <c r="G1111" s="5"/>
      <c r="H1111" s="5"/>
      <c r="I1111" s="5"/>
      <c r="J1111" s="5"/>
      <c r="K1111" s="5"/>
      <c r="L1111" s="5"/>
      <c r="M1111" s="5"/>
      <c r="N1111" s="5"/>
      <c r="O1111" s="5"/>
      <c r="P1111" s="5"/>
      <c r="Q1111" s="5"/>
      <c r="R1111" s="5"/>
      <c r="S1111" s="5"/>
      <c r="T1111" s="5"/>
      <c r="U1111" s="5"/>
      <c r="V1111" s="5"/>
      <c r="W1111" s="5"/>
    </row>
    <row r="1112">
      <c r="A1112" s="3" t="s">
        <v>4468</v>
      </c>
      <c r="B1112" s="3" t="s">
        <v>4469</v>
      </c>
      <c r="C1112" s="3" t="s">
        <v>4145</v>
      </c>
      <c r="D1112" s="3" t="s">
        <v>4470</v>
      </c>
      <c r="E1112" s="3"/>
      <c r="F1112" s="5"/>
      <c r="G1112" s="5"/>
      <c r="H1112" s="5"/>
      <c r="I1112" s="5"/>
      <c r="J1112" s="5"/>
      <c r="K1112" s="5"/>
      <c r="L1112" s="5"/>
      <c r="M1112" s="5"/>
      <c r="N1112" s="5"/>
      <c r="O1112" s="5"/>
      <c r="P1112" s="5"/>
      <c r="Q1112" s="5"/>
      <c r="R1112" s="5"/>
      <c r="S1112" s="5"/>
      <c r="T1112" s="5"/>
      <c r="U1112" s="5"/>
      <c r="V1112" s="5"/>
      <c r="W1112" s="5"/>
    </row>
    <row r="1113">
      <c r="A1113" s="3" t="s">
        <v>4471</v>
      </c>
      <c r="B1113" s="3" t="s">
        <v>4472</v>
      </c>
      <c r="C1113" s="3" t="s">
        <v>1132</v>
      </c>
      <c r="D1113" s="3" t="s">
        <v>4473</v>
      </c>
      <c r="E1113" s="3"/>
      <c r="F1113" s="5"/>
      <c r="G1113" s="5"/>
      <c r="H1113" s="5"/>
      <c r="I1113" s="5"/>
      <c r="J1113" s="5"/>
      <c r="K1113" s="5"/>
      <c r="L1113" s="5"/>
      <c r="M1113" s="5"/>
      <c r="N1113" s="5"/>
      <c r="O1113" s="5"/>
      <c r="P1113" s="5"/>
      <c r="Q1113" s="5"/>
      <c r="R1113" s="5"/>
      <c r="S1113" s="5"/>
      <c r="T1113" s="5"/>
      <c r="U1113" s="5"/>
      <c r="V1113" s="5"/>
      <c r="W1113" s="5"/>
    </row>
    <row r="1114">
      <c r="A1114" s="3" t="s">
        <v>4474</v>
      </c>
      <c r="B1114" s="3" t="s">
        <v>4475</v>
      </c>
      <c r="C1114" s="3" t="s">
        <v>4026</v>
      </c>
      <c r="D1114" s="3" t="s">
        <v>4476</v>
      </c>
      <c r="E1114" s="3"/>
      <c r="F1114" s="5"/>
      <c r="G1114" s="5"/>
      <c r="H1114" s="5"/>
      <c r="I1114" s="5"/>
      <c r="J1114" s="5"/>
      <c r="K1114" s="5"/>
      <c r="L1114" s="5"/>
      <c r="M1114" s="5"/>
      <c r="N1114" s="5"/>
      <c r="O1114" s="5"/>
      <c r="P1114" s="5"/>
      <c r="Q1114" s="5"/>
      <c r="R1114" s="5"/>
      <c r="S1114" s="5"/>
      <c r="T1114" s="5"/>
      <c r="U1114" s="5"/>
      <c r="V1114" s="5"/>
      <c r="W1114" s="5"/>
    </row>
    <row r="1115">
      <c r="A1115" s="3" t="s">
        <v>4477</v>
      </c>
      <c r="B1115" s="3" t="s">
        <v>4478</v>
      </c>
      <c r="C1115" s="3" t="s">
        <v>1132</v>
      </c>
      <c r="D1115" s="3" t="s">
        <v>4479</v>
      </c>
      <c r="E1115" s="3"/>
      <c r="F1115" s="5"/>
      <c r="G1115" s="5"/>
      <c r="H1115" s="5"/>
      <c r="I1115" s="5"/>
      <c r="J1115" s="5"/>
      <c r="K1115" s="5"/>
      <c r="L1115" s="5"/>
      <c r="M1115" s="5"/>
      <c r="N1115" s="5"/>
      <c r="O1115" s="5"/>
      <c r="P1115" s="5"/>
      <c r="Q1115" s="5"/>
      <c r="R1115" s="5"/>
      <c r="S1115" s="5"/>
      <c r="T1115" s="5"/>
      <c r="U1115" s="5"/>
      <c r="V1115" s="5"/>
      <c r="W1115" s="5"/>
    </row>
    <row r="1116">
      <c r="A1116" s="3" t="s">
        <v>4254</v>
      </c>
      <c r="B1116" s="3" t="s">
        <v>4255</v>
      </c>
      <c r="C1116" s="3" t="s">
        <v>98</v>
      </c>
      <c r="D1116" s="3" t="s">
        <v>4256</v>
      </c>
      <c r="E1116" s="3"/>
      <c r="F1116" s="5"/>
      <c r="G1116" s="5"/>
      <c r="H1116" s="5"/>
      <c r="I1116" s="5"/>
      <c r="J1116" s="5"/>
      <c r="K1116" s="5"/>
      <c r="L1116" s="5"/>
      <c r="M1116" s="5"/>
      <c r="N1116" s="5"/>
      <c r="O1116" s="5"/>
      <c r="P1116" s="5"/>
      <c r="Q1116" s="5"/>
      <c r="R1116" s="5"/>
      <c r="S1116" s="5"/>
      <c r="T1116" s="5"/>
      <c r="U1116" s="5"/>
      <c r="V1116" s="5"/>
      <c r="W1116" s="5"/>
    </row>
    <row r="1117">
      <c r="A1117" s="3" t="s">
        <v>4480</v>
      </c>
      <c r="B1117" s="3" t="s">
        <v>4481</v>
      </c>
      <c r="C1117" s="3" t="s">
        <v>4145</v>
      </c>
      <c r="D1117" s="3" t="s">
        <v>4482</v>
      </c>
      <c r="E1117" s="3"/>
      <c r="F1117" s="5"/>
      <c r="G1117" s="5"/>
      <c r="H1117" s="5"/>
      <c r="I1117" s="5"/>
      <c r="J1117" s="5"/>
      <c r="K1117" s="5"/>
      <c r="L1117" s="5"/>
      <c r="M1117" s="5"/>
      <c r="N1117" s="5"/>
      <c r="O1117" s="5"/>
      <c r="P1117" s="5"/>
      <c r="Q1117" s="5"/>
      <c r="R1117" s="5"/>
      <c r="S1117" s="5"/>
      <c r="T1117" s="5"/>
      <c r="U1117" s="5"/>
      <c r="V1117" s="5"/>
      <c r="W1117" s="5"/>
    </row>
    <row r="1118">
      <c r="A1118" s="3" t="s">
        <v>4483</v>
      </c>
      <c r="B1118" s="3" t="s">
        <v>4484</v>
      </c>
      <c r="C1118" s="3" t="s">
        <v>4145</v>
      </c>
      <c r="D1118" s="3" t="s">
        <v>4485</v>
      </c>
      <c r="E1118" s="3"/>
      <c r="F1118" s="5"/>
      <c r="G1118" s="5"/>
      <c r="H1118" s="5"/>
      <c r="I1118" s="5"/>
      <c r="J1118" s="5"/>
      <c r="K1118" s="5"/>
      <c r="L1118" s="5"/>
      <c r="M1118" s="5"/>
      <c r="N1118" s="5"/>
      <c r="O1118" s="5"/>
      <c r="P1118" s="5"/>
      <c r="Q1118" s="5"/>
      <c r="R1118" s="5"/>
      <c r="S1118" s="5"/>
      <c r="T1118" s="5"/>
      <c r="U1118" s="5"/>
      <c r="V1118" s="5"/>
      <c r="W1118" s="5"/>
    </row>
    <row r="1119">
      <c r="A1119" s="3" t="s">
        <v>4486</v>
      </c>
      <c r="B1119" s="3" t="s">
        <v>4487</v>
      </c>
      <c r="C1119" s="3" t="s">
        <v>3340</v>
      </c>
      <c r="D1119" s="3" t="s">
        <v>4488</v>
      </c>
      <c r="E1119" s="3"/>
      <c r="F1119" s="5"/>
      <c r="G1119" s="5"/>
      <c r="H1119" s="5"/>
      <c r="I1119" s="5"/>
      <c r="J1119" s="5"/>
      <c r="K1119" s="5"/>
      <c r="L1119" s="5"/>
      <c r="M1119" s="5"/>
      <c r="N1119" s="5"/>
      <c r="O1119" s="5"/>
      <c r="P1119" s="5"/>
      <c r="Q1119" s="5"/>
      <c r="R1119" s="5"/>
      <c r="S1119" s="5"/>
      <c r="T1119" s="5"/>
      <c r="U1119" s="5"/>
      <c r="V1119" s="5"/>
      <c r="W1119" s="5"/>
    </row>
    <row r="1120">
      <c r="A1120" s="3" t="s">
        <v>4489</v>
      </c>
      <c r="B1120" s="3" t="s">
        <v>4490</v>
      </c>
      <c r="C1120" s="3" t="s">
        <v>146</v>
      </c>
      <c r="D1120" s="3" t="s">
        <v>4491</v>
      </c>
      <c r="E1120" s="3"/>
      <c r="F1120" s="5"/>
      <c r="G1120" s="5"/>
      <c r="H1120" s="5"/>
      <c r="I1120" s="5"/>
      <c r="J1120" s="5"/>
      <c r="K1120" s="5"/>
      <c r="L1120" s="5"/>
      <c r="M1120" s="5"/>
      <c r="N1120" s="5"/>
      <c r="O1120" s="5"/>
      <c r="P1120" s="5"/>
      <c r="Q1120" s="5"/>
      <c r="R1120" s="5"/>
      <c r="S1120" s="5"/>
      <c r="T1120" s="5"/>
      <c r="U1120" s="5"/>
      <c r="V1120" s="5"/>
      <c r="W1120" s="5"/>
    </row>
    <row r="1121">
      <c r="A1121" s="3" t="s">
        <v>4492</v>
      </c>
      <c r="B1121" s="3" t="s">
        <v>4493</v>
      </c>
      <c r="C1121" s="3" t="s">
        <v>1244</v>
      </c>
      <c r="D1121" s="3" t="s">
        <v>4494</v>
      </c>
      <c r="E1121" s="3"/>
      <c r="F1121" s="5"/>
      <c r="G1121" s="5"/>
      <c r="H1121" s="5"/>
      <c r="I1121" s="5"/>
      <c r="J1121" s="5"/>
      <c r="K1121" s="5"/>
      <c r="L1121" s="5"/>
      <c r="M1121" s="5"/>
      <c r="N1121" s="5"/>
      <c r="O1121" s="5"/>
      <c r="P1121" s="5"/>
      <c r="Q1121" s="5"/>
      <c r="R1121" s="5"/>
      <c r="S1121" s="5"/>
      <c r="T1121" s="5"/>
      <c r="U1121" s="5"/>
      <c r="V1121" s="5"/>
      <c r="W1121" s="5"/>
    </row>
    <row r="1122">
      <c r="A1122" s="3" t="s">
        <v>4495</v>
      </c>
      <c r="B1122" s="3" t="s">
        <v>4496</v>
      </c>
      <c r="C1122" s="3" t="s">
        <v>76</v>
      </c>
      <c r="D1122" s="3" t="s">
        <v>4497</v>
      </c>
      <c r="E1122" s="3"/>
      <c r="F1122" s="5"/>
      <c r="G1122" s="5"/>
      <c r="H1122" s="5"/>
      <c r="I1122" s="5"/>
      <c r="J1122" s="5"/>
      <c r="K1122" s="5"/>
      <c r="L1122" s="5"/>
      <c r="M1122" s="5"/>
      <c r="N1122" s="5"/>
      <c r="O1122" s="5"/>
      <c r="P1122" s="5"/>
      <c r="Q1122" s="5"/>
      <c r="R1122" s="5"/>
      <c r="S1122" s="5"/>
      <c r="T1122" s="5"/>
      <c r="U1122" s="5"/>
      <c r="V1122" s="5"/>
      <c r="W1122" s="5"/>
    </row>
    <row r="1123">
      <c r="A1123" s="3" t="s">
        <v>4498</v>
      </c>
      <c r="B1123" s="3" t="s">
        <v>4499</v>
      </c>
      <c r="C1123" s="3" t="s">
        <v>76</v>
      </c>
      <c r="D1123" s="3" t="s">
        <v>4500</v>
      </c>
      <c r="E1123" s="3"/>
      <c r="F1123" s="5"/>
      <c r="G1123" s="5"/>
      <c r="H1123" s="5"/>
      <c r="I1123" s="5"/>
      <c r="J1123" s="5"/>
      <c r="K1123" s="5"/>
      <c r="L1123" s="5"/>
      <c r="M1123" s="5"/>
      <c r="N1123" s="5"/>
      <c r="O1123" s="5"/>
      <c r="P1123" s="5"/>
      <c r="Q1123" s="5"/>
      <c r="R1123" s="5"/>
      <c r="S1123" s="5"/>
      <c r="T1123" s="5"/>
      <c r="U1123" s="5"/>
      <c r="V1123" s="5"/>
      <c r="W1123" s="5"/>
    </row>
    <row r="1124">
      <c r="A1124" s="3" t="s">
        <v>4501</v>
      </c>
      <c r="B1124" s="3" t="s">
        <v>4502</v>
      </c>
      <c r="C1124" s="3" t="s">
        <v>94</v>
      </c>
      <c r="D1124" s="3" t="s">
        <v>4503</v>
      </c>
      <c r="E1124" s="3"/>
      <c r="F1124" s="5"/>
      <c r="G1124" s="5"/>
      <c r="H1124" s="5"/>
      <c r="I1124" s="5"/>
      <c r="J1124" s="5"/>
      <c r="K1124" s="5"/>
      <c r="L1124" s="5"/>
      <c r="M1124" s="5"/>
      <c r="N1124" s="5"/>
      <c r="O1124" s="5"/>
      <c r="P1124" s="5"/>
      <c r="Q1124" s="5"/>
      <c r="R1124" s="5"/>
      <c r="S1124" s="5"/>
      <c r="T1124" s="5"/>
      <c r="U1124" s="5"/>
      <c r="V1124" s="5"/>
      <c r="W1124" s="5"/>
    </row>
    <row r="1125">
      <c r="A1125" s="3" t="s">
        <v>4504</v>
      </c>
      <c r="B1125" s="3" t="s">
        <v>4505</v>
      </c>
      <c r="C1125" s="3" t="s">
        <v>4506</v>
      </c>
      <c r="D1125" s="3" t="s">
        <v>4507</v>
      </c>
      <c r="E1125" s="3"/>
      <c r="F1125" s="5"/>
      <c r="G1125" s="5"/>
      <c r="H1125" s="5"/>
      <c r="I1125" s="5"/>
      <c r="J1125" s="5"/>
      <c r="K1125" s="5"/>
      <c r="L1125" s="5"/>
      <c r="M1125" s="5"/>
      <c r="N1125" s="5"/>
      <c r="O1125" s="5"/>
      <c r="P1125" s="5"/>
      <c r="Q1125" s="5"/>
      <c r="R1125" s="5"/>
      <c r="S1125" s="5"/>
      <c r="T1125" s="5"/>
      <c r="U1125" s="5"/>
      <c r="V1125" s="5"/>
      <c r="W1125" s="5"/>
    </row>
    <row r="1126">
      <c r="A1126" s="3" t="s">
        <v>4508</v>
      </c>
      <c r="B1126" s="3" t="s">
        <v>4509</v>
      </c>
      <c r="C1126" s="3" t="s">
        <v>4506</v>
      </c>
      <c r="D1126" s="3" t="s">
        <v>4510</v>
      </c>
      <c r="E1126" s="3"/>
      <c r="F1126" s="5"/>
      <c r="G1126" s="5"/>
      <c r="H1126" s="5"/>
      <c r="I1126" s="5"/>
      <c r="J1126" s="5"/>
      <c r="K1126" s="5"/>
      <c r="L1126" s="5"/>
      <c r="M1126" s="5"/>
      <c r="N1126" s="5"/>
      <c r="O1126" s="5"/>
      <c r="P1126" s="5"/>
      <c r="Q1126" s="5"/>
      <c r="R1126" s="5"/>
      <c r="S1126" s="5"/>
      <c r="T1126" s="5"/>
      <c r="U1126" s="5"/>
      <c r="V1126" s="5"/>
      <c r="W1126" s="5"/>
    </row>
    <row r="1127">
      <c r="A1127" s="3" t="s">
        <v>4511</v>
      </c>
      <c r="B1127" s="3" t="s">
        <v>4512</v>
      </c>
      <c r="C1127" s="3" t="s">
        <v>4506</v>
      </c>
      <c r="D1127" s="3" t="s">
        <v>4513</v>
      </c>
      <c r="E1127" s="3"/>
      <c r="F1127" s="5"/>
      <c r="G1127" s="5"/>
      <c r="H1127" s="5"/>
      <c r="I1127" s="5"/>
      <c r="J1127" s="5"/>
      <c r="K1127" s="5"/>
      <c r="L1127" s="5"/>
      <c r="M1127" s="5"/>
      <c r="N1127" s="5"/>
      <c r="O1127" s="5"/>
      <c r="P1127" s="5"/>
      <c r="Q1127" s="5"/>
      <c r="R1127" s="5"/>
      <c r="S1127" s="5"/>
      <c r="T1127" s="5"/>
      <c r="U1127" s="5"/>
      <c r="V1127" s="5"/>
      <c r="W1127" s="5"/>
    </row>
    <row r="1128">
      <c r="A1128" s="3" t="s">
        <v>4514</v>
      </c>
      <c r="B1128" s="3" t="s">
        <v>4515</v>
      </c>
      <c r="C1128" s="3" t="s">
        <v>2375</v>
      </c>
      <c r="D1128" s="3" t="s">
        <v>4516</v>
      </c>
      <c r="E1128" s="3"/>
      <c r="F1128" s="5"/>
      <c r="G1128" s="5"/>
      <c r="H1128" s="5"/>
      <c r="I1128" s="5"/>
      <c r="J1128" s="5"/>
      <c r="K1128" s="5"/>
      <c r="L1128" s="5"/>
      <c r="M1128" s="5"/>
      <c r="N1128" s="5"/>
      <c r="O1128" s="5"/>
      <c r="P1128" s="5"/>
      <c r="Q1128" s="5"/>
      <c r="R1128" s="5"/>
      <c r="S1128" s="5"/>
      <c r="T1128" s="5"/>
      <c r="U1128" s="5"/>
      <c r="V1128" s="5"/>
      <c r="W1128" s="5"/>
    </row>
    <row r="1129">
      <c r="A1129" s="3" t="s">
        <v>4517</v>
      </c>
      <c r="B1129" s="3" t="s">
        <v>4518</v>
      </c>
      <c r="C1129" s="3" t="s">
        <v>2375</v>
      </c>
      <c r="D1129" s="3" t="s">
        <v>4519</v>
      </c>
      <c r="E1129" s="3"/>
      <c r="F1129" s="5"/>
      <c r="G1129" s="5"/>
      <c r="H1129" s="5"/>
      <c r="I1129" s="5"/>
      <c r="J1129" s="5"/>
      <c r="K1129" s="5"/>
      <c r="L1129" s="5"/>
      <c r="M1129" s="5"/>
      <c r="N1129" s="5"/>
      <c r="O1129" s="5"/>
      <c r="P1129" s="5"/>
      <c r="Q1129" s="5"/>
      <c r="R1129" s="5"/>
      <c r="S1129" s="5"/>
      <c r="T1129" s="5"/>
      <c r="U1129" s="5"/>
      <c r="V1129" s="5"/>
      <c r="W1129" s="5"/>
    </row>
    <row r="1130">
      <c r="A1130" s="3" t="s">
        <v>4520</v>
      </c>
      <c r="B1130" s="3" t="s">
        <v>4521</v>
      </c>
      <c r="C1130" s="3" t="s">
        <v>4506</v>
      </c>
      <c r="D1130" s="3" t="s">
        <v>4522</v>
      </c>
      <c r="E1130" s="3"/>
      <c r="F1130" s="5"/>
      <c r="G1130" s="5"/>
      <c r="H1130" s="5"/>
      <c r="I1130" s="5"/>
      <c r="J1130" s="5"/>
      <c r="K1130" s="5"/>
      <c r="L1130" s="5"/>
      <c r="M1130" s="5"/>
      <c r="N1130" s="5"/>
      <c r="O1130" s="5"/>
      <c r="P1130" s="5"/>
      <c r="Q1130" s="5"/>
      <c r="R1130" s="5"/>
      <c r="S1130" s="5"/>
      <c r="T1130" s="5"/>
      <c r="U1130" s="5"/>
      <c r="V1130" s="5"/>
      <c r="W1130" s="5"/>
    </row>
    <row r="1131">
      <c r="A1131" s="3" t="s">
        <v>4523</v>
      </c>
      <c r="B1131" s="3" t="s">
        <v>4524</v>
      </c>
      <c r="C1131" s="3" t="s">
        <v>4145</v>
      </c>
      <c r="D1131" s="3" t="s">
        <v>4525</v>
      </c>
      <c r="E1131" s="3"/>
      <c r="F1131" s="5"/>
      <c r="G1131" s="5"/>
      <c r="H1131" s="5"/>
      <c r="I1131" s="5"/>
      <c r="J1131" s="5"/>
      <c r="K1131" s="5"/>
      <c r="L1131" s="5"/>
      <c r="M1131" s="5"/>
      <c r="N1131" s="5"/>
      <c r="O1131" s="5"/>
      <c r="P1131" s="5"/>
      <c r="Q1131" s="5"/>
      <c r="R1131" s="5"/>
      <c r="S1131" s="5"/>
      <c r="T1131" s="5"/>
      <c r="U1131" s="5"/>
      <c r="V1131" s="5"/>
      <c r="W1131" s="5"/>
    </row>
    <row r="1132">
      <c r="A1132" s="3" t="s">
        <v>4526</v>
      </c>
      <c r="B1132" s="3" t="s">
        <v>4527</v>
      </c>
      <c r="C1132" s="3" t="s">
        <v>154</v>
      </c>
      <c r="D1132" s="3" t="s">
        <v>4528</v>
      </c>
      <c r="E1132" s="3"/>
      <c r="F1132" s="5"/>
      <c r="G1132" s="5"/>
      <c r="H1132" s="5"/>
      <c r="I1132" s="5"/>
      <c r="J1132" s="5"/>
      <c r="K1132" s="5"/>
      <c r="L1132" s="5"/>
      <c r="M1132" s="5"/>
      <c r="N1132" s="5"/>
      <c r="O1132" s="5"/>
      <c r="P1132" s="5"/>
      <c r="Q1132" s="5"/>
      <c r="R1132" s="5"/>
      <c r="S1132" s="5"/>
      <c r="T1132" s="5"/>
      <c r="U1132" s="5"/>
      <c r="V1132" s="5"/>
      <c r="W1132" s="5"/>
    </row>
    <row r="1133">
      <c r="A1133" s="3" t="s">
        <v>4529</v>
      </c>
      <c r="B1133" s="3" t="s">
        <v>4530</v>
      </c>
      <c r="C1133" s="3" t="s">
        <v>2571</v>
      </c>
      <c r="D1133" s="3" t="s">
        <v>4531</v>
      </c>
      <c r="E1133" s="3"/>
      <c r="F1133" s="5"/>
      <c r="G1133" s="5"/>
      <c r="H1133" s="5"/>
      <c r="I1133" s="5"/>
      <c r="J1133" s="5"/>
      <c r="K1133" s="5"/>
      <c r="L1133" s="5"/>
      <c r="M1133" s="5"/>
      <c r="N1133" s="5"/>
      <c r="O1133" s="5"/>
      <c r="P1133" s="5"/>
      <c r="Q1133" s="5"/>
      <c r="R1133" s="5"/>
      <c r="S1133" s="5"/>
      <c r="T1133" s="5"/>
      <c r="U1133" s="5"/>
      <c r="V1133" s="5"/>
      <c r="W1133" s="5"/>
    </row>
    <row r="1134">
      <c r="A1134" s="3" t="s">
        <v>4532</v>
      </c>
      <c r="B1134" s="3" t="s">
        <v>4533</v>
      </c>
      <c r="C1134" s="3" t="s">
        <v>2571</v>
      </c>
      <c r="D1134" s="3" t="s">
        <v>4534</v>
      </c>
      <c r="E1134" s="3"/>
      <c r="F1134" s="5"/>
      <c r="G1134" s="5"/>
      <c r="H1134" s="5"/>
      <c r="I1134" s="5"/>
      <c r="J1134" s="5"/>
      <c r="K1134" s="5"/>
      <c r="L1134" s="5"/>
      <c r="M1134" s="5"/>
      <c r="N1134" s="5"/>
      <c r="O1134" s="5"/>
      <c r="P1134" s="5"/>
      <c r="Q1134" s="5"/>
      <c r="R1134" s="5"/>
      <c r="S1134" s="5"/>
      <c r="T1134" s="5"/>
      <c r="U1134" s="5"/>
      <c r="V1134" s="5"/>
      <c r="W1134" s="5"/>
    </row>
    <row r="1135">
      <c r="A1135" s="3" t="s">
        <v>4535</v>
      </c>
      <c r="B1135" s="3" t="s">
        <v>4536</v>
      </c>
      <c r="C1135" s="3" t="s">
        <v>2571</v>
      </c>
      <c r="D1135" s="3" t="s">
        <v>4537</v>
      </c>
      <c r="E1135" s="3"/>
      <c r="F1135" s="5"/>
      <c r="G1135" s="5"/>
      <c r="H1135" s="5"/>
      <c r="I1135" s="5"/>
      <c r="J1135" s="5"/>
      <c r="K1135" s="5"/>
      <c r="L1135" s="5"/>
      <c r="M1135" s="5"/>
      <c r="N1135" s="5"/>
      <c r="O1135" s="5"/>
      <c r="P1135" s="5"/>
      <c r="Q1135" s="5"/>
      <c r="R1135" s="5"/>
      <c r="S1135" s="5"/>
      <c r="T1135" s="5"/>
      <c r="U1135" s="5"/>
      <c r="V1135" s="5"/>
      <c r="W1135" s="5"/>
    </row>
    <row r="1136">
      <c r="A1136" s="3" t="s">
        <v>4538</v>
      </c>
      <c r="B1136" s="3" t="s">
        <v>4539</v>
      </c>
      <c r="C1136" s="3" t="s">
        <v>2571</v>
      </c>
      <c r="D1136" s="3" t="s">
        <v>4540</v>
      </c>
      <c r="E1136" s="3"/>
      <c r="F1136" s="5"/>
      <c r="G1136" s="5"/>
      <c r="H1136" s="5"/>
      <c r="I1136" s="5"/>
      <c r="J1136" s="5"/>
      <c r="K1136" s="5"/>
      <c r="L1136" s="5"/>
      <c r="M1136" s="5"/>
      <c r="N1136" s="5"/>
      <c r="O1136" s="5"/>
      <c r="P1136" s="5"/>
      <c r="Q1136" s="5"/>
      <c r="R1136" s="5"/>
      <c r="S1136" s="5"/>
      <c r="T1136" s="5"/>
      <c r="U1136" s="5"/>
      <c r="V1136" s="5"/>
      <c r="W1136" s="5"/>
    </row>
    <row r="1137">
      <c r="A1137" s="3" t="s">
        <v>4541</v>
      </c>
      <c r="B1137" s="3" t="s">
        <v>4542</v>
      </c>
      <c r="C1137" s="3" t="s">
        <v>2571</v>
      </c>
      <c r="D1137" s="3" t="s">
        <v>4543</v>
      </c>
      <c r="E1137" s="3"/>
      <c r="F1137" s="5"/>
      <c r="G1137" s="5"/>
      <c r="H1137" s="5"/>
      <c r="I1137" s="5"/>
      <c r="J1137" s="5"/>
      <c r="K1137" s="5"/>
      <c r="L1137" s="5"/>
      <c r="M1137" s="5"/>
      <c r="N1137" s="5"/>
      <c r="O1137" s="5"/>
      <c r="P1137" s="5"/>
      <c r="Q1137" s="5"/>
      <c r="R1137" s="5"/>
      <c r="S1137" s="5"/>
      <c r="T1137" s="5"/>
      <c r="U1137" s="5"/>
      <c r="V1137" s="5"/>
      <c r="W1137" s="5"/>
    </row>
    <row r="1138">
      <c r="A1138" s="3" t="s">
        <v>4544</v>
      </c>
      <c r="B1138" s="3" t="s">
        <v>4545</v>
      </c>
      <c r="C1138" s="3" t="s">
        <v>2571</v>
      </c>
      <c r="D1138" s="3" t="s">
        <v>4546</v>
      </c>
      <c r="E1138" s="3"/>
      <c r="F1138" s="5"/>
      <c r="G1138" s="5"/>
      <c r="H1138" s="5"/>
      <c r="I1138" s="5"/>
      <c r="J1138" s="5"/>
      <c r="K1138" s="5"/>
      <c r="L1138" s="5"/>
      <c r="M1138" s="5"/>
      <c r="N1138" s="5"/>
      <c r="O1138" s="5"/>
      <c r="P1138" s="5"/>
      <c r="Q1138" s="5"/>
      <c r="R1138" s="5"/>
      <c r="S1138" s="5"/>
      <c r="T1138" s="5"/>
      <c r="U1138" s="5"/>
      <c r="V1138" s="5"/>
      <c r="W1138" s="5"/>
    </row>
    <row r="1139">
      <c r="A1139" s="3" t="s">
        <v>4547</v>
      </c>
      <c r="B1139" s="3" t="s">
        <v>4548</v>
      </c>
      <c r="C1139" s="3" t="s">
        <v>2571</v>
      </c>
      <c r="D1139" s="3" t="s">
        <v>4549</v>
      </c>
      <c r="E1139" s="3"/>
      <c r="F1139" s="5"/>
      <c r="G1139" s="5"/>
      <c r="H1139" s="5"/>
      <c r="I1139" s="5"/>
      <c r="J1139" s="5"/>
      <c r="K1139" s="5"/>
      <c r="L1139" s="5"/>
      <c r="M1139" s="5"/>
      <c r="N1139" s="5"/>
      <c r="O1139" s="5"/>
      <c r="P1139" s="5"/>
      <c r="Q1139" s="5"/>
      <c r="R1139" s="5"/>
      <c r="S1139" s="5"/>
      <c r="T1139" s="5"/>
      <c r="U1139" s="5"/>
      <c r="V1139" s="5"/>
      <c r="W1139" s="5"/>
    </row>
    <row r="1140">
      <c r="A1140" s="3" t="s">
        <v>4550</v>
      </c>
      <c r="B1140" s="3" t="s">
        <v>4551</v>
      </c>
      <c r="C1140" s="3" t="s">
        <v>1132</v>
      </c>
      <c r="D1140" s="3" t="s">
        <v>4552</v>
      </c>
      <c r="E1140" s="3"/>
      <c r="F1140" s="5"/>
      <c r="G1140" s="5"/>
      <c r="H1140" s="5"/>
      <c r="I1140" s="5"/>
      <c r="J1140" s="5"/>
      <c r="K1140" s="5"/>
      <c r="L1140" s="5"/>
      <c r="M1140" s="5"/>
      <c r="N1140" s="5"/>
      <c r="O1140" s="5"/>
      <c r="P1140" s="5"/>
      <c r="Q1140" s="5"/>
      <c r="R1140" s="5"/>
      <c r="S1140" s="5"/>
      <c r="T1140" s="5"/>
      <c r="U1140" s="5"/>
      <c r="V1140" s="5"/>
      <c r="W1140" s="5"/>
    </row>
    <row r="1141">
      <c r="A1141" s="3" t="s">
        <v>4553</v>
      </c>
      <c r="B1141" s="3" t="s">
        <v>4554</v>
      </c>
      <c r="C1141" s="3" t="s">
        <v>4555</v>
      </c>
      <c r="D1141" s="3" t="s">
        <v>4556</v>
      </c>
      <c r="E1141" s="3"/>
      <c r="F1141" s="5"/>
      <c r="G1141" s="5"/>
      <c r="H1141" s="5"/>
      <c r="I1141" s="5"/>
      <c r="J1141" s="5"/>
      <c r="K1141" s="5"/>
      <c r="L1141" s="5"/>
      <c r="M1141" s="5"/>
      <c r="N1141" s="5"/>
      <c r="O1141" s="5"/>
      <c r="P1141" s="5"/>
      <c r="Q1141" s="5"/>
      <c r="R1141" s="5"/>
      <c r="S1141" s="5"/>
      <c r="T1141" s="5"/>
      <c r="U1141" s="5"/>
      <c r="V1141" s="5"/>
      <c r="W1141" s="5"/>
    </row>
    <row r="1142">
      <c r="A1142" s="3" t="s">
        <v>4557</v>
      </c>
      <c r="B1142" s="3" t="s">
        <v>4558</v>
      </c>
      <c r="C1142" s="3" t="s">
        <v>4145</v>
      </c>
      <c r="D1142" s="3" t="s">
        <v>4559</v>
      </c>
      <c r="E1142" s="3"/>
      <c r="F1142" s="5"/>
      <c r="G1142" s="5"/>
      <c r="H1142" s="5"/>
      <c r="I1142" s="5"/>
      <c r="J1142" s="5"/>
      <c r="K1142" s="5"/>
      <c r="L1142" s="5"/>
      <c r="M1142" s="5"/>
      <c r="N1142" s="5"/>
      <c r="O1142" s="5"/>
      <c r="P1142" s="5"/>
      <c r="Q1142" s="5"/>
      <c r="R1142" s="5"/>
      <c r="S1142" s="5"/>
      <c r="T1142" s="5"/>
      <c r="U1142" s="5"/>
      <c r="V1142" s="5"/>
      <c r="W1142" s="5"/>
    </row>
    <row r="1143">
      <c r="A1143" s="3" t="s">
        <v>4560</v>
      </c>
      <c r="B1143" s="3" t="s">
        <v>4561</v>
      </c>
      <c r="C1143" s="3" t="s">
        <v>1132</v>
      </c>
      <c r="D1143" s="3" t="s">
        <v>4562</v>
      </c>
      <c r="E1143" s="3"/>
      <c r="F1143" s="5"/>
      <c r="G1143" s="5"/>
      <c r="H1143" s="5"/>
      <c r="I1143" s="5"/>
      <c r="J1143" s="5"/>
      <c r="K1143" s="5"/>
      <c r="L1143" s="5"/>
      <c r="M1143" s="5"/>
      <c r="N1143" s="5"/>
      <c r="O1143" s="5"/>
      <c r="P1143" s="5"/>
      <c r="Q1143" s="5"/>
      <c r="R1143" s="5"/>
      <c r="S1143" s="5"/>
      <c r="T1143" s="5"/>
      <c r="U1143" s="5"/>
      <c r="V1143" s="5"/>
      <c r="W1143" s="5"/>
    </row>
    <row r="1144">
      <c r="A1144" s="3" t="s">
        <v>4563</v>
      </c>
      <c r="B1144" s="3" t="s">
        <v>4564</v>
      </c>
      <c r="C1144" s="3" t="s">
        <v>1132</v>
      </c>
      <c r="D1144" s="3" t="s">
        <v>4565</v>
      </c>
      <c r="E1144" s="3"/>
      <c r="F1144" s="5"/>
      <c r="G1144" s="5"/>
      <c r="H1144" s="5"/>
      <c r="I1144" s="5"/>
      <c r="J1144" s="5"/>
      <c r="K1144" s="5"/>
      <c r="L1144" s="5"/>
      <c r="M1144" s="5"/>
      <c r="N1144" s="5"/>
      <c r="O1144" s="5"/>
      <c r="P1144" s="5"/>
      <c r="Q1144" s="5"/>
      <c r="R1144" s="5"/>
      <c r="S1144" s="5"/>
      <c r="T1144" s="5"/>
      <c r="U1144" s="5"/>
      <c r="V1144" s="5"/>
      <c r="W1144" s="5"/>
    </row>
    <row r="1145">
      <c r="A1145" s="3" t="s">
        <v>4566</v>
      </c>
      <c r="B1145" s="3" t="s">
        <v>4567</v>
      </c>
      <c r="C1145" s="3" t="s">
        <v>1132</v>
      </c>
      <c r="D1145" s="3" t="s">
        <v>4568</v>
      </c>
      <c r="E1145" s="3"/>
      <c r="F1145" s="5"/>
      <c r="G1145" s="5"/>
      <c r="H1145" s="5"/>
      <c r="I1145" s="5"/>
      <c r="J1145" s="5"/>
      <c r="K1145" s="5"/>
      <c r="L1145" s="5"/>
      <c r="M1145" s="5"/>
      <c r="N1145" s="5"/>
      <c r="O1145" s="5"/>
      <c r="P1145" s="5"/>
      <c r="Q1145" s="5"/>
      <c r="R1145" s="5"/>
      <c r="S1145" s="5"/>
      <c r="T1145" s="5"/>
      <c r="U1145" s="5"/>
      <c r="V1145" s="5"/>
      <c r="W1145" s="5"/>
    </row>
    <row r="1146">
      <c r="A1146" s="3" t="s">
        <v>4569</v>
      </c>
      <c r="B1146" s="3" t="s">
        <v>4570</v>
      </c>
      <c r="C1146" s="3" t="s">
        <v>43</v>
      </c>
      <c r="D1146" s="3" t="s">
        <v>4571</v>
      </c>
      <c r="E1146" s="3"/>
      <c r="F1146" s="5"/>
      <c r="G1146" s="5"/>
      <c r="H1146" s="5"/>
      <c r="I1146" s="5"/>
      <c r="J1146" s="5"/>
      <c r="K1146" s="5"/>
      <c r="L1146" s="5"/>
      <c r="M1146" s="5"/>
      <c r="N1146" s="5"/>
      <c r="O1146" s="5"/>
      <c r="P1146" s="5"/>
      <c r="Q1146" s="5"/>
      <c r="R1146" s="5"/>
      <c r="S1146" s="5"/>
      <c r="T1146" s="5"/>
      <c r="U1146" s="5"/>
      <c r="V1146" s="5"/>
      <c r="W1146" s="5"/>
    </row>
    <row r="1147">
      <c r="A1147" s="3" t="s">
        <v>4572</v>
      </c>
      <c r="B1147" s="3" t="s">
        <v>4573</v>
      </c>
      <c r="C1147" s="3" t="s">
        <v>4026</v>
      </c>
      <c r="D1147" s="3" t="s">
        <v>4574</v>
      </c>
      <c r="E1147" s="3"/>
      <c r="F1147" s="5"/>
      <c r="G1147" s="5"/>
      <c r="H1147" s="5"/>
      <c r="I1147" s="5"/>
      <c r="J1147" s="5"/>
      <c r="K1147" s="5"/>
      <c r="L1147" s="5"/>
      <c r="M1147" s="5"/>
      <c r="N1147" s="5"/>
      <c r="O1147" s="5"/>
      <c r="P1147" s="5"/>
      <c r="Q1147" s="5"/>
      <c r="R1147" s="5"/>
      <c r="S1147" s="5"/>
      <c r="T1147" s="5"/>
      <c r="U1147" s="5"/>
      <c r="V1147" s="5"/>
      <c r="W1147" s="5"/>
    </row>
    <row r="1148">
      <c r="A1148" s="3" t="s">
        <v>4575</v>
      </c>
      <c r="B1148" s="3" t="s">
        <v>4576</v>
      </c>
      <c r="C1148" s="3" t="s">
        <v>1244</v>
      </c>
      <c r="D1148" s="3" t="s">
        <v>4577</v>
      </c>
      <c r="E1148" s="3"/>
      <c r="F1148" s="5"/>
      <c r="G1148" s="5"/>
      <c r="H1148" s="5"/>
      <c r="I1148" s="5"/>
      <c r="J1148" s="5"/>
      <c r="K1148" s="5"/>
      <c r="L1148" s="5"/>
      <c r="M1148" s="5"/>
      <c r="N1148" s="5"/>
      <c r="O1148" s="5"/>
      <c r="P1148" s="5"/>
      <c r="Q1148" s="5"/>
      <c r="R1148" s="5"/>
      <c r="S1148" s="5"/>
      <c r="T1148" s="5"/>
      <c r="U1148" s="5"/>
      <c r="V1148" s="5"/>
      <c r="W1148" s="5"/>
    </row>
    <row r="1149">
      <c r="A1149" s="3" t="s">
        <v>4578</v>
      </c>
      <c r="B1149" s="3" t="s">
        <v>4579</v>
      </c>
      <c r="C1149" s="3" t="s">
        <v>4580</v>
      </c>
      <c r="D1149" s="3" t="s">
        <v>4581</v>
      </c>
      <c r="E1149" s="3"/>
      <c r="F1149" s="5"/>
      <c r="G1149" s="5"/>
      <c r="H1149" s="5"/>
      <c r="I1149" s="5"/>
      <c r="J1149" s="5"/>
      <c r="K1149" s="5"/>
      <c r="L1149" s="5"/>
      <c r="M1149" s="5"/>
      <c r="N1149" s="5"/>
      <c r="O1149" s="5"/>
      <c r="P1149" s="5"/>
      <c r="Q1149" s="5"/>
      <c r="R1149" s="5"/>
      <c r="S1149" s="5"/>
      <c r="T1149" s="5"/>
      <c r="U1149" s="5"/>
      <c r="V1149" s="5"/>
      <c r="W1149" s="5"/>
    </row>
    <row r="1150">
      <c r="A1150" s="3" t="s">
        <v>4582</v>
      </c>
      <c r="B1150" s="3" t="s">
        <v>4583</v>
      </c>
      <c r="C1150" s="3" t="s">
        <v>1132</v>
      </c>
      <c r="D1150" s="3" t="s">
        <v>4584</v>
      </c>
      <c r="E1150" s="3"/>
      <c r="F1150" s="5"/>
      <c r="G1150" s="5"/>
      <c r="H1150" s="5"/>
      <c r="I1150" s="5"/>
      <c r="J1150" s="5"/>
      <c r="K1150" s="5"/>
      <c r="L1150" s="5"/>
      <c r="M1150" s="5"/>
      <c r="N1150" s="5"/>
      <c r="O1150" s="5"/>
      <c r="P1150" s="5"/>
      <c r="Q1150" s="5"/>
      <c r="R1150" s="5"/>
      <c r="S1150" s="5"/>
      <c r="T1150" s="5"/>
      <c r="U1150" s="5"/>
      <c r="V1150" s="5"/>
      <c r="W1150" s="5"/>
    </row>
    <row r="1151">
      <c r="A1151" s="3" t="s">
        <v>4585</v>
      </c>
      <c r="B1151" s="3" t="s">
        <v>4586</v>
      </c>
      <c r="C1151" s="3" t="s">
        <v>4145</v>
      </c>
      <c r="D1151" s="3" t="s">
        <v>4587</v>
      </c>
      <c r="E1151" s="3"/>
      <c r="F1151" s="5"/>
      <c r="G1151" s="5"/>
      <c r="H1151" s="5"/>
      <c r="I1151" s="5"/>
      <c r="J1151" s="5"/>
      <c r="K1151" s="5"/>
      <c r="L1151" s="5"/>
      <c r="M1151" s="5"/>
      <c r="N1151" s="5"/>
      <c r="O1151" s="5"/>
      <c r="P1151" s="5"/>
      <c r="Q1151" s="5"/>
      <c r="R1151" s="5"/>
      <c r="S1151" s="5"/>
      <c r="T1151" s="5"/>
      <c r="U1151" s="5"/>
      <c r="V1151" s="5"/>
      <c r="W1151" s="5"/>
    </row>
    <row r="1152">
      <c r="A1152" s="3" t="s">
        <v>4588</v>
      </c>
      <c r="B1152" s="3" t="s">
        <v>4589</v>
      </c>
      <c r="C1152" s="3" t="s">
        <v>4145</v>
      </c>
      <c r="D1152" s="3" t="s">
        <v>4590</v>
      </c>
      <c r="E1152" s="3"/>
      <c r="F1152" s="5"/>
      <c r="G1152" s="5"/>
      <c r="H1152" s="5"/>
      <c r="I1152" s="5"/>
      <c r="J1152" s="5"/>
      <c r="K1152" s="5"/>
      <c r="L1152" s="5"/>
      <c r="M1152" s="5"/>
      <c r="N1152" s="5"/>
      <c r="O1152" s="5"/>
      <c r="P1152" s="5"/>
      <c r="Q1152" s="5"/>
      <c r="R1152" s="5"/>
      <c r="S1152" s="5"/>
      <c r="T1152" s="5"/>
      <c r="U1152" s="5"/>
      <c r="V1152" s="5"/>
      <c r="W1152" s="5"/>
    </row>
    <row r="1153">
      <c r="A1153" s="3" t="s">
        <v>4591</v>
      </c>
      <c r="B1153" s="3" t="s">
        <v>4592</v>
      </c>
      <c r="C1153" s="3" t="s">
        <v>76</v>
      </c>
      <c r="D1153" s="3" t="s">
        <v>4593</v>
      </c>
      <c r="E1153" s="3" t="s">
        <v>4452</v>
      </c>
      <c r="F1153" s="5"/>
      <c r="G1153" s="5"/>
      <c r="H1153" s="5"/>
      <c r="I1153" s="5"/>
      <c r="J1153" s="5"/>
      <c r="K1153" s="5"/>
      <c r="L1153" s="5"/>
      <c r="M1153" s="5"/>
      <c r="N1153" s="5"/>
      <c r="O1153" s="5"/>
      <c r="P1153" s="5"/>
      <c r="Q1153" s="5"/>
      <c r="R1153" s="5"/>
      <c r="S1153" s="5"/>
      <c r="T1153" s="5"/>
      <c r="U1153" s="5"/>
      <c r="V1153" s="5"/>
      <c r="W1153" s="5"/>
    </row>
    <row r="1154">
      <c r="A1154" s="3" t="s">
        <v>4594</v>
      </c>
      <c r="B1154" s="3" t="s">
        <v>4595</v>
      </c>
      <c r="C1154" s="3" t="s">
        <v>76</v>
      </c>
      <c r="D1154" s="3" t="s">
        <v>4596</v>
      </c>
      <c r="E1154" s="3"/>
      <c r="F1154" s="5"/>
      <c r="G1154" s="5"/>
      <c r="H1154" s="5"/>
      <c r="I1154" s="5"/>
      <c r="J1154" s="5"/>
      <c r="K1154" s="5"/>
      <c r="L1154" s="5"/>
      <c r="M1154" s="5"/>
      <c r="N1154" s="5"/>
      <c r="O1154" s="5"/>
      <c r="P1154" s="5"/>
      <c r="Q1154" s="5"/>
      <c r="R1154" s="5"/>
      <c r="S1154" s="5"/>
      <c r="T1154" s="5"/>
      <c r="U1154" s="5"/>
      <c r="V1154" s="5"/>
      <c r="W1154" s="5"/>
    </row>
    <row r="1155">
      <c r="A1155" s="3" t="s">
        <v>4597</v>
      </c>
      <c r="B1155" s="3" t="s">
        <v>4598</v>
      </c>
      <c r="C1155" s="3" t="s">
        <v>76</v>
      </c>
      <c r="D1155" s="3" t="s">
        <v>4599</v>
      </c>
      <c r="E1155" s="3"/>
      <c r="F1155" s="5"/>
      <c r="G1155" s="5"/>
      <c r="H1155" s="5"/>
      <c r="I1155" s="5"/>
      <c r="J1155" s="5"/>
      <c r="K1155" s="5"/>
      <c r="L1155" s="5"/>
      <c r="M1155" s="5"/>
      <c r="N1155" s="5"/>
      <c r="O1155" s="5"/>
      <c r="P1155" s="5"/>
      <c r="Q1155" s="5"/>
      <c r="R1155" s="5"/>
      <c r="S1155" s="5"/>
      <c r="T1155" s="5"/>
      <c r="U1155" s="5"/>
      <c r="V1155" s="5"/>
      <c r="W1155" s="5"/>
    </row>
    <row r="1156">
      <c r="A1156" s="3" t="s">
        <v>4600</v>
      </c>
      <c r="B1156" s="3" t="s">
        <v>4601</v>
      </c>
      <c r="C1156" s="3" t="s">
        <v>76</v>
      </c>
      <c r="D1156" s="3" t="s">
        <v>4602</v>
      </c>
      <c r="E1156" s="3"/>
      <c r="F1156" s="5"/>
      <c r="G1156" s="5"/>
      <c r="H1156" s="5"/>
      <c r="I1156" s="5"/>
      <c r="J1156" s="5"/>
      <c r="K1156" s="5"/>
      <c r="L1156" s="5"/>
      <c r="M1156" s="5"/>
      <c r="N1156" s="5"/>
      <c r="O1156" s="5"/>
      <c r="P1156" s="5"/>
      <c r="Q1156" s="5"/>
      <c r="R1156" s="5"/>
      <c r="S1156" s="5"/>
      <c r="T1156" s="5"/>
      <c r="U1156" s="5"/>
      <c r="V1156" s="5"/>
      <c r="W1156" s="5"/>
    </row>
    <row r="1157">
      <c r="A1157" s="3" t="s">
        <v>4603</v>
      </c>
      <c r="B1157" s="3" t="s">
        <v>4604</v>
      </c>
      <c r="C1157" s="3" t="s">
        <v>4145</v>
      </c>
      <c r="D1157" s="3" t="s">
        <v>4605</v>
      </c>
      <c r="E1157" s="3"/>
      <c r="F1157" s="5"/>
      <c r="G1157" s="5"/>
      <c r="H1157" s="5"/>
      <c r="I1157" s="5"/>
      <c r="J1157" s="5"/>
      <c r="K1157" s="5"/>
      <c r="L1157" s="5"/>
      <c r="M1157" s="5"/>
      <c r="N1157" s="5"/>
      <c r="O1157" s="5"/>
      <c r="P1157" s="5"/>
      <c r="Q1157" s="5"/>
      <c r="R1157" s="5"/>
      <c r="S1157" s="5"/>
      <c r="T1157" s="5"/>
      <c r="U1157" s="5"/>
      <c r="V1157" s="5"/>
      <c r="W1157" s="5"/>
    </row>
    <row r="1158">
      <c r="A1158" s="3" t="s">
        <v>4606</v>
      </c>
      <c r="B1158" s="3" t="s">
        <v>4607</v>
      </c>
      <c r="C1158" s="3" t="s">
        <v>4506</v>
      </c>
      <c r="D1158" s="3" t="s">
        <v>4608</v>
      </c>
      <c r="E1158" s="3"/>
      <c r="F1158" s="5"/>
      <c r="G1158" s="5"/>
      <c r="H1158" s="5"/>
      <c r="I1158" s="5"/>
      <c r="J1158" s="5"/>
      <c r="K1158" s="5"/>
      <c r="L1158" s="5"/>
      <c r="M1158" s="5"/>
      <c r="N1158" s="5"/>
      <c r="O1158" s="5"/>
      <c r="P1158" s="5"/>
      <c r="Q1158" s="5"/>
      <c r="R1158" s="5"/>
      <c r="S1158" s="5"/>
      <c r="T1158" s="5"/>
      <c r="U1158" s="5"/>
      <c r="V1158" s="5"/>
      <c r="W1158" s="5"/>
    </row>
    <row r="1159">
      <c r="A1159" s="3" t="s">
        <v>4609</v>
      </c>
      <c r="B1159" s="3" t="s">
        <v>4610</v>
      </c>
      <c r="C1159" s="3" t="s">
        <v>2571</v>
      </c>
      <c r="D1159" s="3" t="s">
        <v>4611</v>
      </c>
      <c r="E1159" s="3"/>
      <c r="F1159" s="5"/>
      <c r="G1159" s="5"/>
      <c r="H1159" s="5"/>
      <c r="I1159" s="5"/>
      <c r="J1159" s="5"/>
      <c r="K1159" s="5"/>
      <c r="L1159" s="5"/>
      <c r="M1159" s="5"/>
      <c r="N1159" s="5"/>
      <c r="O1159" s="5"/>
      <c r="P1159" s="5"/>
      <c r="Q1159" s="5"/>
      <c r="R1159" s="5"/>
      <c r="S1159" s="5"/>
      <c r="T1159" s="5"/>
      <c r="U1159" s="5"/>
      <c r="V1159" s="5"/>
      <c r="W1159" s="5"/>
    </row>
    <row r="1160">
      <c r="A1160" s="3" t="s">
        <v>4612</v>
      </c>
      <c r="B1160" s="3" t="s">
        <v>4613</v>
      </c>
      <c r="C1160" s="3" t="s">
        <v>1132</v>
      </c>
      <c r="D1160" s="3" t="s">
        <v>4614</v>
      </c>
      <c r="E1160" s="3"/>
      <c r="F1160" s="5"/>
      <c r="G1160" s="5"/>
      <c r="H1160" s="5"/>
      <c r="I1160" s="5"/>
      <c r="J1160" s="5"/>
      <c r="K1160" s="5"/>
      <c r="L1160" s="5"/>
      <c r="M1160" s="5"/>
      <c r="N1160" s="5"/>
      <c r="O1160" s="5"/>
      <c r="P1160" s="5"/>
      <c r="Q1160" s="5"/>
      <c r="R1160" s="5"/>
      <c r="S1160" s="5"/>
      <c r="T1160" s="5"/>
      <c r="U1160" s="5"/>
      <c r="V1160" s="5"/>
      <c r="W1160" s="5"/>
    </row>
    <row r="1161">
      <c r="A1161" s="3" t="s">
        <v>4615</v>
      </c>
      <c r="B1161" s="3" t="s">
        <v>4616</v>
      </c>
      <c r="C1161" s="3" t="s">
        <v>804</v>
      </c>
      <c r="D1161" s="3" t="s">
        <v>4617</v>
      </c>
      <c r="E1161" s="3"/>
      <c r="F1161" s="5"/>
      <c r="G1161" s="5"/>
      <c r="H1161" s="5"/>
      <c r="I1161" s="5"/>
      <c r="J1161" s="5"/>
      <c r="K1161" s="5"/>
      <c r="L1161" s="5"/>
      <c r="M1161" s="5"/>
      <c r="N1161" s="5"/>
      <c r="O1161" s="5"/>
      <c r="P1161" s="5"/>
      <c r="Q1161" s="5"/>
      <c r="R1161" s="5"/>
      <c r="S1161" s="5"/>
      <c r="T1161" s="5"/>
      <c r="U1161" s="5"/>
      <c r="V1161" s="5"/>
      <c r="W1161" s="5"/>
    </row>
    <row r="1162">
      <c r="A1162" s="3" t="s">
        <v>4618</v>
      </c>
      <c r="B1162" s="3" t="s">
        <v>4619</v>
      </c>
      <c r="C1162" s="3" t="s">
        <v>1132</v>
      </c>
      <c r="D1162" s="3" t="s">
        <v>4620</v>
      </c>
      <c r="E1162" s="3"/>
      <c r="F1162" s="5"/>
      <c r="G1162" s="5"/>
      <c r="H1162" s="5"/>
      <c r="I1162" s="5"/>
      <c r="J1162" s="5"/>
      <c r="K1162" s="5"/>
      <c r="L1162" s="5"/>
      <c r="M1162" s="5"/>
      <c r="N1162" s="5"/>
      <c r="O1162" s="5"/>
      <c r="P1162" s="5"/>
      <c r="Q1162" s="5"/>
      <c r="R1162" s="5"/>
      <c r="S1162" s="5"/>
      <c r="T1162" s="5"/>
      <c r="U1162" s="5"/>
      <c r="V1162" s="5"/>
      <c r="W1162" s="5"/>
    </row>
    <row r="1163">
      <c r="A1163" s="3" t="s">
        <v>4621</v>
      </c>
      <c r="B1163" s="3" t="s">
        <v>4622</v>
      </c>
      <c r="C1163" s="3" t="s">
        <v>3335</v>
      </c>
      <c r="D1163" s="3" t="s">
        <v>4623</v>
      </c>
      <c r="E1163" s="4" t="s">
        <v>44</v>
      </c>
      <c r="F1163" s="5"/>
      <c r="G1163" s="5"/>
      <c r="H1163" s="5"/>
      <c r="I1163" s="5"/>
      <c r="J1163" s="5"/>
      <c r="K1163" s="5"/>
      <c r="L1163" s="5"/>
      <c r="M1163" s="5"/>
      <c r="N1163" s="5"/>
      <c r="O1163" s="5"/>
      <c r="P1163" s="5"/>
      <c r="Q1163" s="5"/>
      <c r="R1163" s="5"/>
      <c r="S1163" s="5"/>
      <c r="T1163" s="5"/>
      <c r="U1163" s="5"/>
      <c r="V1163" s="5"/>
      <c r="W1163" s="5"/>
    </row>
    <row r="1164">
      <c r="A1164" s="3" t="s">
        <v>4624</v>
      </c>
      <c r="B1164" s="3" t="s">
        <v>4625</v>
      </c>
      <c r="C1164" s="3" t="s">
        <v>154</v>
      </c>
      <c r="D1164" s="3" t="s">
        <v>4626</v>
      </c>
      <c r="E1164" s="4" t="s">
        <v>4627</v>
      </c>
      <c r="F1164" s="5"/>
      <c r="G1164" s="5"/>
      <c r="H1164" s="5"/>
      <c r="I1164" s="5"/>
      <c r="J1164" s="5"/>
      <c r="K1164" s="5"/>
      <c r="L1164" s="5"/>
      <c r="M1164" s="5"/>
      <c r="N1164" s="5"/>
      <c r="O1164" s="5"/>
      <c r="P1164" s="5"/>
      <c r="Q1164" s="5"/>
      <c r="R1164" s="5"/>
      <c r="S1164" s="5"/>
      <c r="T1164" s="5"/>
      <c r="U1164" s="5"/>
      <c r="V1164" s="5"/>
      <c r="W1164" s="5"/>
    </row>
    <row r="1165">
      <c r="A1165" s="3" t="s">
        <v>4628</v>
      </c>
      <c r="B1165" s="3" t="s">
        <v>4629</v>
      </c>
      <c r="C1165" s="3" t="s">
        <v>4630</v>
      </c>
      <c r="D1165" s="3" t="s">
        <v>4631</v>
      </c>
      <c r="E1165" s="3"/>
      <c r="F1165" s="5"/>
      <c r="G1165" s="5"/>
      <c r="H1165" s="5"/>
      <c r="I1165" s="5"/>
      <c r="J1165" s="5"/>
      <c r="K1165" s="5"/>
      <c r="L1165" s="5"/>
      <c r="M1165" s="5"/>
      <c r="N1165" s="5"/>
      <c r="O1165" s="5"/>
      <c r="P1165" s="5"/>
      <c r="Q1165" s="5"/>
      <c r="R1165" s="5"/>
      <c r="S1165" s="5"/>
      <c r="T1165" s="5"/>
      <c r="U1165" s="5"/>
      <c r="V1165" s="5"/>
      <c r="W1165" s="5"/>
    </row>
    <row r="1166">
      <c r="A1166" s="3" t="s">
        <v>4632</v>
      </c>
      <c r="B1166" s="3" t="s">
        <v>4633</v>
      </c>
      <c r="C1166" s="3" t="s">
        <v>4630</v>
      </c>
      <c r="D1166" s="3" t="s">
        <v>4634</v>
      </c>
      <c r="E1166" s="3"/>
      <c r="F1166" s="5"/>
      <c r="G1166" s="5"/>
      <c r="H1166" s="5"/>
      <c r="I1166" s="5"/>
      <c r="J1166" s="5"/>
      <c r="K1166" s="5"/>
      <c r="L1166" s="5"/>
      <c r="M1166" s="5"/>
      <c r="N1166" s="5"/>
      <c r="O1166" s="5"/>
      <c r="P1166" s="5"/>
      <c r="Q1166" s="5"/>
      <c r="R1166" s="5"/>
      <c r="S1166" s="5"/>
      <c r="T1166" s="5"/>
      <c r="U1166" s="5"/>
      <c r="V1166" s="5"/>
      <c r="W1166" s="5"/>
    </row>
    <row r="1167">
      <c r="A1167" s="3" t="s">
        <v>4635</v>
      </c>
      <c r="B1167" s="3" t="s">
        <v>4636</v>
      </c>
      <c r="C1167" s="3" t="s">
        <v>4630</v>
      </c>
      <c r="D1167" s="3" t="s">
        <v>4637</v>
      </c>
      <c r="E1167" s="3"/>
      <c r="F1167" s="5"/>
      <c r="G1167" s="5"/>
      <c r="H1167" s="5"/>
      <c r="I1167" s="5"/>
      <c r="J1167" s="5"/>
      <c r="K1167" s="5"/>
      <c r="L1167" s="5"/>
      <c r="M1167" s="5"/>
      <c r="N1167" s="5"/>
      <c r="O1167" s="5"/>
      <c r="P1167" s="5"/>
      <c r="Q1167" s="5"/>
      <c r="R1167" s="5"/>
      <c r="S1167" s="5"/>
      <c r="T1167" s="5"/>
      <c r="U1167" s="5"/>
      <c r="V1167" s="5"/>
      <c r="W1167" s="5"/>
    </row>
    <row r="1168">
      <c r="A1168" s="3" t="s">
        <v>4638</v>
      </c>
      <c r="B1168" s="3" t="s">
        <v>4639</v>
      </c>
      <c r="C1168" s="3" t="s">
        <v>4630</v>
      </c>
      <c r="D1168" s="3" t="s">
        <v>4640</v>
      </c>
      <c r="E1168" s="3"/>
      <c r="F1168" s="5"/>
      <c r="G1168" s="5"/>
      <c r="H1168" s="5"/>
      <c r="I1168" s="5"/>
      <c r="J1168" s="5"/>
      <c r="K1168" s="5"/>
      <c r="L1168" s="5"/>
      <c r="M1168" s="5"/>
      <c r="N1168" s="5"/>
      <c r="O1168" s="5"/>
      <c r="P1168" s="5"/>
      <c r="Q1168" s="5"/>
      <c r="R1168" s="5"/>
      <c r="S1168" s="5"/>
      <c r="T1168" s="5"/>
      <c r="U1168" s="5"/>
      <c r="V1168" s="5"/>
      <c r="W1168" s="5"/>
    </row>
    <row r="1169">
      <c r="A1169" s="3" t="s">
        <v>4641</v>
      </c>
      <c r="B1169" s="3" t="s">
        <v>4642</v>
      </c>
      <c r="C1169" s="3" t="s">
        <v>4630</v>
      </c>
      <c r="D1169" s="3" t="s">
        <v>4643</v>
      </c>
      <c r="E1169" s="3"/>
      <c r="F1169" s="5"/>
      <c r="G1169" s="5"/>
      <c r="H1169" s="5"/>
      <c r="I1169" s="5"/>
      <c r="J1169" s="5"/>
      <c r="K1169" s="5"/>
      <c r="L1169" s="5"/>
      <c r="M1169" s="5"/>
      <c r="N1169" s="5"/>
      <c r="O1169" s="5"/>
      <c r="P1169" s="5"/>
      <c r="Q1169" s="5"/>
      <c r="R1169" s="5"/>
      <c r="S1169" s="5"/>
      <c r="T1169" s="5"/>
      <c r="U1169" s="5"/>
      <c r="V1169" s="5"/>
      <c r="W1169" s="5"/>
    </row>
    <row r="1170">
      <c r="A1170" s="3" t="s">
        <v>4644</v>
      </c>
      <c r="B1170" s="3" t="s">
        <v>4645</v>
      </c>
      <c r="C1170" s="3" t="s">
        <v>1132</v>
      </c>
      <c r="D1170" s="3" t="s">
        <v>4646</v>
      </c>
      <c r="E1170" s="3"/>
      <c r="F1170" s="5"/>
      <c r="G1170" s="5"/>
      <c r="H1170" s="5"/>
      <c r="I1170" s="5"/>
      <c r="J1170" s="5"/>
      <c r="K1170" s="5"/>
      <c r="L1170" s="5"/>
      <c r="M1170" s="5"/>
      <c r="N1170" s="5"/>
      <c r="O1170" s="5"/>
      <c r="P1170" s="5"/>
      <c r="Q1170" s="5"/>
      <c r="R1170" s="5"/>
      <c r="S1170" s="5"/>
      <c r="T1170" s="5"/>
      <c r="U1170" s="5"/>
      <c r="V1170" s="5"/>
      <c r="W1170" s="5"/>
    </row>
    <row r="1171">
      <c r="A1171" s="3" t="s">
        <v>4647</v>
      </c>
      <c r="B1171" s="3" t="s">
        <v>4648</v>
      </c>
      <c r="C1171" s="3" t="s">
        <v>144</v>
      </c>
      <c r="D1171" s="3" t="s">
        <v>4649</v>
      </c>
      <c r="E1171" s="3"/>
      <c r="F1171" s="5"/>
      <c r="G1171" s="5"/>
      <c r="H1171" s="5"/>
      <c r="I1171" s="5"/>
      <c r="J1171" s="5"/>
      <c r="K1171" s="5"/>
      <c r="L1171" s="5"/>
      <c r="M1171" s="5"/>
      <c r="N1171" s="5"/>
      <c r="O1171" s="5"/>
      <c r="P1171" s="5"/>
      <c r="Q1171" s="5"/>
      <c r="R1171" s="5"/>
      <c r="S1171" s="5"/>
      <c r="T1171" s="5"/>
      <c r="U1171" s="5"/>
      <c r="V1171" s="5"/>
      <c r="W1171" s="5"/>
    </row>
    <row r="1172">
      <c r="A1172" s="3" t="s">
        <v>4650</v>
      </c>
      <c r="B1172" s="3" t="s">
        <v>4651</v>
      </c>
      <c r="C1172" s="3" t="s">
        <v>154</v>
      </c>
      <c r="D1172" s="3" t="s">
        <v>4652</v>
      </c>
      <c r="E1172" s="3"/>
      <c r="F1172" s="5"/>
      <c r="G1172" s="5"/>
      <c r="H1172" s="5"/>
      <c r="I1172" s="5"/>
      <c r="J1172" s="5"/>
      <c r="K1172" s="5"/>
      <c r="L1172" s="5"/>
      <c r="M1172" s="5"/>
      <c r="N1172" s="5"/>
      <c r="O1172" s="5"/>
      <c r="P1172" s="5"/>
      <c r="Q1172" s="5"/>
      <c r="R1172" s="5"/>
      <c r="S1172" s="5"/>
      <c r="T1172" s="5"/>
      <c r="U1172" s="5"/>
      <c r="V1172" s="5"/>
      <c r="W1172" s="5"/>
    </row>
    <row r="1173">
      <c r="A1173" s="3" t="s">
        <v>4653</v>
      </c>
      <c r="B1173" s="3" t="s">
        <v>4654</v>
      </c>
      <c r="C1173" s="3" t="s">
        <v>78</v>
      </c>
      <c r="D1173" s="3" t="s">
        <v>4655</v>
      </c>
      <c r="E1173" s="3"/>
      <c r="F1173" s="5"/>
      <c r="G1173" s="5"/>
      <c r="H1173" s="5"/>
      <c r="I1173" s="5"/>
      <c r="J1173" s="5"/>
      <c r="K1173" s="5"/>
      <c r="L1173" s="5"/>
      <c r="M1173" s="5"/>
      <c r="N1173" s="5"/>
      <c r="O1173" s="5"/>
      <c r="P1173" s="5"/>
      <c r="Q1173" s="5"/>
      <c r="R1173" s="5"/>
      <c r="S1173" s="5"/>
      <c r="T1173" s="5"/>
      <c r="U1173" s="5"/>
      <c r="V1173" s="5"/>
      <c r="W1173" s="5"/>
    </row>
    <row r="1174">
      <c r="A1174" s="3" t="s">
        <v>4656</v>
      </c>
      <c r="B1174" s="3" t="s">
        <v>4657</v>
      </c>
      <c r="C1174" s="3" t="s">
        <v>3335</v>
      </c>
      <c r="D1174" s="3" t="s">
        <v>4658</v>
      </c>
      <c r="E1174" s="3"/>
      <c r="F1174" s="5"/>
      <c r="G1174" s="5"/>
      <c r="H1174" s="5"/>
      <c r="I1174" s="5"/>
      <c r="J1174" s="5"/>
      <c r="K1174" s="5"/>
      <c r="L1174" s="5"/>
      <c r="M1174" s="5"/>
      <c r="N1174" s="5"/>
      <c r="O1174" s="5"/>
      <c r="P1174" s="5"/>
      <c r="Q1174" s="5"/>
      <c r="R1174" s="5"/>
      <c r="S1174" s="5"/>
      <c r="T1174" s="5"/>
      <c r="U1174" s="5"/>
      <c r="V1174" s="5"/>
      <c r="W1174" s="5"/>
    </row>
    <row r="1175">
      <c r="A1175" s="3" t="s">
        <v>4659</v>
      </c>
      <c r="B1175" s="3" t="s">
        <v>4660</v>
      </c>
      <c r="C1175" s="3" t="s">
        <v>1278</v>
      </c>
      <c r="D1175" s="3" t="s">
        <v>4661</v>
      </c>
      <c r="E1175" s="3"/>
      <c r="F1175" s="5"/>
      <c r="G1175" s="5"/>
      <c r="H1175" s="5"/>
      <c r="I1175" s="5"/>
      <c r="J1175" s="5"/>
      <c r="K1175" s="5"/>
      <c r="L1175" s="5"/>
      <c r="M1175" s="5"/>
      <c r="N1175" s="5"/>
      <c r="O1175" s="5"/>
      <c r="P1175" s="5"/>
      <c r="Q1175" s="5"/>
      <c r="R1175" s="5"/>
      <c r="S1175" s="5"/>
      <c r="T1175" s="5"/>
      <c r="U1175" s="5"/>
      <c r="V1175" s="5"/>
      <c r="W1175" s="5"/>
    </row>
    <row r="1176">
      <c r="A1176" s="3" t="s">
        <v>4662</v>
      </c>
      <c r="B1176" s="3" t="s">
        <v>4663</v>
      </c>
      <c r="C1176" s="3" t="s">
        <v>1278</v>
      </c>
      <c r="D1176" s="3" t="s">
        <v>4664</v>
      </c>
      <c r="E1176" s="3"/>
      <c r="F1176" s="5"/>
      <c r="G1176" s="5"/>
      <c r="H1176" s="5"/>
      <c r="I1176" s="5"/>
      <c r="J1176" s="5"/>
      <c r="K1176" s="5"/>
      <c r="L1176" s="5"/>
      <c r="M1176" s="5"/>
      <c r="N1176" s="5"/>
      <c r="O1176" s="5"/>
      <c r="P1176" s="5"/>
      <c r="Q1176" s="5"/>
      <c r="R1176" s="5"/>
      <c r="S1176" s="5"/>
      <c r="T1176" s="5"/>
      <c r="U1176" s="5"/>
      <c r="V1176" s="5"/>
      <c r="W1176" s="5"/>
    </row>
    <row r="1177">
      <c r="A1177" s="3" t="s">
        <v>4665</v>
      </c>
      <c r="B1177" s="3" t="s">
        <v>4666</v>
      </c>
      <c r="C1177" s="3" t="s">
        <v>43</v>
      </c>
      <c r="D1177" s="3" t="s">
        <v>4667</v>
      </c>
      <c r="E1177" s="3"/>
      <c r="F1177" s="5"/>
      <c r="G1177" s="5"/>
      <c r="H1177" s="5"/>
      <c r="I1177" s="5"/>
      <c r="J1177" s="5"/>
      <c r="K1177" s="5"/>
      <c r="L1177" s="5"/>
      <c r="M1177" s="5"/>
      <c r="N1177" s="5"/>
      <c r="O1177" s="5"/>
      <c r="P1177" s="5"/>
      <c r="Q1177" s="5"/>
      <c r="R1177" s="5"/>
      <c r="S1177" s="5"/>
      <c r="T1177" s="5"/>
      <c r="U1177" s="5"/>
      <c r="V1177" s="5"/>
      <c r="W1177" s="5"/>
    </row>
    <row r="1178">
      <c r="A1178" s="3" t="s">
        <v>4668</v>
      </c>
      <c r="B1178" s="3" t="s">
        <v>4669</v>
      </c>
      <c r="C1178" s="3" t="s">
        <v>43</v>
      </c>
      <c r="D1178" s="3" t="s">
        <v>4670</v>
      </c>
      <c r="E1178" s="3"/>
      <c r="F1178" s="5"/>
      <c r="G1178" s="5"/>
      <c r="H1178" s="5"/>
      <c r="I1178" s="5"/>
      <c r="J1178" s="5"/>
      <c r="K1178" s="5"/>
      <c r="L1178" s="5"/>
      <c r="M1178" s="5"/>
      <c r="N1178" s="5"/>
      <c r="O1178" s="5"/>
      <c r="P1178" s="5"/>
      <c r="Q1178" s="5"/>
      <c r="R1178" s="5"/>
      <c r="S1178" s="5"/>
      <c r="T1178" s="5"/>
      <c r="U1178" s="5"/>
      <c r="V1178" s="5"/>
      <c r="W1178" s="5"/>
    </row>
    <row r="1179">
      <c r="A1179" s="3" t="s">
        <v>4671</v>
      </c>
      <c r="B1179" s="3" t="s">
        <v>4672</v>
      </c>
      <c r="C1179" s="3" t="s">
        <v>2571</v>
      </c>
      <c r="D1179" s="3" t="s">
        <v>4673</v>
      </c>
      <c r="E1179" s="3"/>
      <c r="F1179" s="5"/>
      <c r="G1179" s="5"/>
      <c r="H1179" s="5"/>
      <c r="I1179" s="5"/>
      <c r="J1179" s="5"/>
      <c r="K1179" s="5"/>
      <c r="L1179" s="5"/>
      <c r="M1179" s="5"/>
      <c r="N1179" s="5"/>
      <c r="O1179" s="5"/>
      <c r="P1179" s="5"/>
      <c r="Q1179" s="5"/>
      <c r="R1179" s="5"/>
      <c r="S1179" s="5"/>
      <c r="T1179" s="5"/>
      <c r="U1179" s="5"/>
      <c r="V1179" s="5"/>
      <c r="W1179" s="5"/>
    </row>
    <row r="1180">
      <c r="A1180" s="3" t="s">
        <v>4674</v>
      </c>
      <c r="B1180" s="3" t="s">
        <v>4675</v>
      </c>
      <c r="C1180" s="3" t="s">
        <v>2571</v>
      </c>
      <c r="D1180" s="3" t="s">
        <v>4676</v>
      </c>
      <c r="E1180" s="3"/>
      <c r="F1180" s="5"/>
      <c r="G1180" s="5"/>
      <c r="H1180" s="5"/>
      <c r="I1180" s="5"/>
      <c r="J1180" s="5"/>
      <c r="K1180" s="5"/>
      <c r="L1180" s="5"/>
      <c r="M1180" s="5"/>
      <c r="N1180" s="5"/>
      <c r="O1180" s="5"/>
      <c r="P1180" s="5"/>
      <c r="Q1180" s="5"/>
      <c r="R1180" s="5"/>
      <c r="S1180" s="5"/>
      <c r="T1180" s="5"/>
      <c r="U1180" s="5"/>
      <c r="V1180" s="5"/>
      <c r="W1180" s="5"/>
    </row>
    <row r="1181">
      <c r="A1181" s="3" t="s">
        <v>4677</v>
      </c>
      <c r="B1181" s="3" t="s">
        <v>4678</v>
      </c>
      <c r="C1181" s="3" t="s">
        <v>1132</v>
      </c>
      <c r="D1181" s="3" t="s">
        <v>4679</v>
      </c>
      <c r="E1181" s="3"/>
      <c r="F1181" s="5"/>
      <c r="G1181" s="5"/>
      <c r="H1181" s="5"/>
      <c r="I1181" s="5"/>
      <c r="J1181" s="5"/>
      <c r="K1181" s="5"/>
      <c r="L1181" s="5"/>
      <c r="M1181" s="5"/>
      <c r="N1181" s="5"/>
      <c r="O1181" s="5"/>
      <c r="P1181" s="5"/>
      <c r="Q1181" s="5"/>
      <c r="R1181" s="5"/>
      <c r="S1181" s="5"/>
      <c r="T1181" s="5"/>
      <c r="U1181" s="5"/>
      <c r="V1181" s="5"/>
      <c r="W1181" s="5"/>
    </row>
    <row r="1182">
      <c r="A1182" s="3" t="s">
        <v>4680</v>
      </c>
      <c r="B1182" s="3" t="s">
        <v>4681</v>
      </c>
      <c r="C1182" s="3" t="s">
        <v>154</v>
      </c>
      <c r="D1182" s="3" t="s">
        <v>4682</v>
      </c>
      <c r="E1182" s="3"/>
      <c r="F1182" s="5"/>
      <c r="G1182" s="5"/>
      <c r="H1182" s="5"/>
      <c r="I1182" s="5"/>
      <c r="J1182" s="5"/>
      <c r="K1182" s="5"/>
      <c r="L1182" s="5"/>
      <c r="M1182" s="5"/>
      <c r="N1182" s="5"/>
      <c r="O1182" s="5"/>
      <c r="P1182" s="5"/>
      <c r="Q1182" s="5"/>
      <c r="R1182" s="5"/>
      <c r="S1182" s="5"/>
      <c r="T1182" s="5"/>
      <c r="U1182" s="5"/>
      <c r="V1182" s="5"/>
      <c r="W1182" s="5"/>
    </row>
    <row r="1183">
      <c r="A1183" s="3" t="s">
        <v>4683</v>
      </c>
      <c r="B1183" s="3" t="s">
        <v>4684</v>
      </c>
      <c r="C1183" s="3" t="s">
        <v>154</v>
      </c>
      <c r="D1183" s="3" t="s">
        <v>4685</v>
      </c>
      <c r="E1183" s="3"/>
      <c r="F1183" s="5"/>
      <c r="G1183" s="5"/>
      <c r="H1183" s="5"/>
      <c r="I1183" s="5"/>
      <c r="J1183" s="5"/>
      <c r="K1183" s="5"/>
      <c r="L1183" s="5"/>
      <c r="M1183" s="5"/>
      <c r="N1183" s="5"/>
      <c r="O1183" s="5"/>
      <c r="P1183" s="5"/>
      <c r="Q1183" s="5"/>
      <c r="R1183" s="5"/>
      <c r="S1183" s="5"/>
      <c r="T1183" s="5"/>
      <c r="U1183" s="5"/>
      <c r="V1183" s="5"/>
      <c r="W1183" s="5"/>
    </row>
    <row r="1184">
      <c r="A1184" s="3" t="s">
        <v>4686</v>
      </c>
      <c r="B1184" s="3" t="s">
        <v>4687</v>
      </c>
      <c r="C1184" s="3" t="s">
        <v>70</v>
      </c>
      <c r="D1184" s="3" t="s">
        <v>4688</v>
      </c>
      <c r="E1184" s="3"/>
      <c r="F1184" s="5"/>
      <c r="G1184" s="5"/>
      <c r="H1184" s="5"/>
      <c r="I1184" s="5"/>
      <c r="J1184" s="5"/>
      <c r="K1184" s="5"/>
      <c r="L1184" s="5"/>
      <c r="M1184" s="5"/>
      <c r="N1184" s="5"/>
      <c r="O1184" s="5"/>
      <c r="P1184" s="5"/>
      <c r="Q1184" s="5"/>
      <c r="R1184" s="5"/>
      <c r="S1184" s="5"/>
      <c r="T1184" s="5"/>
      <c r="U1184" s="5"/>
      <c r="V1184" s="5"/>
      <c r="W1184" s="5"/>
    </row>
    <row r="1185">
      <c r="A1185" s="3" t="s">
        <v>4689</v>
      </c>
      <c r="B1185" s="3" t="s">
        <v>4690</v>
      </c>
      <c r="C1185" s="3" t="s">
        <v>1132</v>
      </c>
      <c r="D1185" s="3" t="s">
        <v>4691</v>
      </c>
      <c r="E1185" s="3"/>
      <c r="F1185" s="5"/>
      <c r="G1185" s="5"/>
      <c r="H1185" s="5"/>
      <c r="I1185" s="5"/>
      <c r="J1185" s="5"/>
      <c r="K1185" s="5"/>
      <c r="L1185" s="5"/>
      <c r="M1185" s="5"/>
      <c r="N1185" s="5"/>
      <c r="O1185" s="5"/>
      <c r="P1185" s="5"/>
      <c r="Q1185" s="5"/>
      <c r="R1185" s="5"/>
      <c r="S1185" s="5"/>
      <c r="T1185" s="5"/>
      <c r="U1185" s="5"/>
      <c r="V1185" s="5"/>
      <c r="W1185" s="5"/>
    </row>
    <row r="1186">
      <c r="A1186" s="3" t="s">
        <v>4692</v>
      </c>
      <c r="B1186" s="3" t="s">
        <v>4693</v>
      </c>
      <c r="C1186" s="3" t="s">
        <v>2571</v>
      </c>
      <c r="D1186" s="3" t="s">
        <v>4694</v>
      </c>
      <c r="E1186" s="3"/>
      <c r="F1186" s="5"/>
      <c r="G1186" s="5"/>
      <c r="H1186" s="5"/>
      <c r="I1186" s="5"/>
      <c r="J1186" s="5"/>
      <c r="K1186" s="5"/>
      <c r="L1186" s="5"/>
      <c r="M1186" s="5"/>
      <c r="N1186" s="5"/>
      <c r="O1186" s="5"/>
      <c r="P1186" s="5"/>
      <c r="Q1186" s="5"/>
      <c r="R1186" s="5"/>
      <c r="S1186" s="5"/>
      <c r="T1186" s="5"/>
      <c r="U1186" s="5"/>
      <c r="V1186" s="5"/>
      <c r="W1186" s="5"/>
    </row>
    <row r="1187">
      <c r="A1187" s="3" t="s">
        <v>4695</v>
      </c>
      <c r="B1187" s="3" t="s">
        <v>4696</v>
      </c>
      <c r="C1187" s="3" t="s">
        <v>80</v>
      </c>
      <c r="D1187" s="3" t="s">
        <v>4697</v>
      </c>
      <c r="E1187" s="3"/>
      <c r="F1187" s="5"/>
      <c r="G1187" s="5"/>
      <c r="H1187" s="5"/>
      <c r="I1187" s="5"/>
      <c r="J1187" s="5"/>
      <c r="K1187" s="5"/>
      <c r="L1187" s="5"/>
      <c r="M1187" s="5"/>
      <c r="N1187" s="5"/>
      <c r="O1187" s="5"/>
      <c r="P1187" s="5"/>
      <c r="Q1187" s="5"/>
      <c r="R1187" s="5"/>
      <c r="S1187" s="5"/>
      <c r="T1187" s="5"/>
      <c r="U1187" s="5"/>
      <c r="V1187" s="5"/>
      <c r="W1187" s="5"/>
    </row>
    <row r="1188">
      <c r="A1188" s="3" t="s">
        <v>4698</v>
      </c>
      <c r="B1188" s="3" t="s">
        <v>4699</v>
      </c>
      <c r="C1188" s="3" t="s">
        <v>4700</v>
      </c>
      <c r="D1188" s="3" t="s">
        <v>4701</v>
      </c>
      <c r="E1188" s="3"/>
      <c r="F1188" s="5"/>
      <c r="G1188" s="5"/>
      <c r="H1188" s="5"/>
      <c r="I1188" s="5"/>
      <c r="J1188" s="5"/>
      <c r="K1188" s="5"/>
      <c r="L1188" s="5"/>
      <c r="M1188" s="5"/>
      <c r="N1188" s="5"/>
      <c r="O1188" s="5"/>
      <c r="P1188" s="5"/>
      <c r="Q1188" s="5"/>
      <c r="R1188" s="5"/>
      <c r="S1188" s="5"/>
      <c r="T1188" s="5"/>
      <c r="U1188" s="5"/>
      <c r="V1188" s="5"/>
      <c r="W1188" s="5"/>
    </row>
    <row r="1189">
      <c r="A1189" s="3" t="s">
        <v>4702</v>
      </c>
      <c r="B1189" s="3" t="s">
        <v>4703</v>
      </c>
      <c r="C1189" s="3" t="s">
        <v>4700</v>
      </c>
      <c r="D1189" s="3" t="s">
        <v>4704</v>
      </c>
      <c r="E1189" s="3"/>
      <c r="F1189" s="5"/>
      <c r="G1189" s="5"/>
      <c r="H1189" s="5"/>
      <c r="I1189" s="5"/>
      <c r="J1189" s="5"/>
      <c r="K1189" s="5"/>
      <c r="L1189" s="5"/>
      <c r="M1189" s="5"/>
      <c r="N1189" s="5"/>
      <c r="O1189" s="5"/>
      <c r="P1189" s="5"/>
      <c r="Q1189" s="5"/>
      <c r="R1189" s="5"/>
      <c r="S1189" s="5"/>
      <c r="T1189" s="5"/>
      <c r="U1189" s="5"/>
      <c r="V1189" s="5"/>
      <c r="W1189" s="5"/>
    </row>
    <row r="1190">
      <c r="A1190" s="3" t="s">
        <v>4705</v>
      </c>
      <c r="B1190" s="3" t="s">
        <v>4706</v>
      </c>
      <c r="C1190" s="3" t="s">
        <v>4700</v>
      </c>
      <c r="D1190" s="3" t="s">
        <v>4707</v>
      </c>
      <c r="E1190" s="3"/>
      <c r="F1190" s="5"/>
      <c r="G1190" s="5"/>
      <c r="H1190" s="5"/>
      <c r="I1190" s="5"/>
      <c r="J1190" s="5"/>
      <c r="K1190" s="5"/>
      <c r="L1190" s="5"/>
      <c r="M1190" s="5"/>
      <c r="N1190" s="5"/>
      <c r="O1190" s="5"/>
      <c r="P1190" s="5"/>
      <c r="Q1190" s="5"/>
      <c r="R1190" s="5"/>
      <c r="S1190" s="5"/>
      <c r="T1190" s="5"/>
      <c r="U1190" s="5"/>
      <c r="V1190" s="5"/>
      <c r="W1190" s="5"/>
    </row>
    <row r="1191">
      <c r="A1191" s="3" t="s">
        <v>4708</v>
      </c>
      <c r="B1191" s="3" t="s">
        <v>4709</v>
      </c>
      <c r="C1191" s="3" t="s">
        <v>1132</v>
      </c>
      <c r="D1191" s="3" t="s">
        <v>4710</v>
      </c>
      <c r="E1191" s="3"/>
      <c r="F1191" s="5"/>
      <c r="G1191" s="5"/>
      <c r="H1191" s="5"/>
      <c r="I1191" s="5"/>
      <c r="J1191" s="5"/>
      <c r="K1191" s="5"/>
      <c r="L1191" s="5"/>
      <c r="M1191" s="5"/>
      <c r="N1191" s="5"/>
      <c r="O1191" s="5"/>
      <c r="P1191" s="5"/>
      <c r="Q1191" s="5"/>
      <c r="R1191" s="5"/>
      <c r="S1191" s="5"/>
      <c r="T1191" s="5"/>
      <c r="U1191" s="5"/>
      <c r="V1191" s="5"/>
      <c r="W1191" s="5"/>
    </row>
    <row r="1192">
      <c r="A1192" s="3" t="s">
        <v>4711</v>
      </c>
      <c r="B1192" s="3" t="s">
        <v>4712</v>
      </c>
      <c r="C1192" s="3" t="s">
        <v>4580</v>
      </c>
      <c r="D1192" s="3" t="s">
        <v>4713</v>
      </c>
      <c r="E1192" s="3"/>
      <c r="F1192" s="5"/>
      <c r="G1192" s="5"/>
      <c r="H1192" s="5"/>
      <c r="I1192" s="5"/>
      <c r="J1192" s="5"/>
      <c r="K1192" s="5"/>
      <c r="L1192" s="5"/>
      <c r="M1192" s="5"/>
      <c r="N1192" s="5"/>
      <c r="O1192" s="5"/>
      <c r="P1192" s="5"/>
      <c r="Q1192" s="5"/>
      <c r="R1192" s="5"/>
      <c r="S1192" s="5"/>
      <c r="T1192" s="5"/>
      <c r="U1192" s="5"/>
      <c r="V1192" s="5"/>
      <c r="W1192" s="5"/>
    </row>
    <row r="1193">
      <c r="A1193" s="3" t="s">
        <v>4714</v>
      </c>
      <c r="B1193" s="15" t="s">
        <v>4715</v>
      </c>
      <c r="C1193" s="3" t="s">
        <v>4308</v>
      </c>
      <c r="D1193" s="3" t="s">
        <v>4716</v>
      </c>
      <c r="E1193" s="3"/>
      <c r="F1193" s="5"/>
      <c r="G1193" s="5"/>
      <c r="H1193" s="5"/>
      <c r="I1193" s="5"/>
      <c r="J1193" s="5"/>
      <c r="K1193" s="5"/>
      <c r="L1193" s="5"/>
      <c r="M1193" s="5"/>
      <c r="N1193" s="5"/>
      <c r="O1193" s="5"/>
      <c r="P1193" s="5"/>
      <c r="Q1193" s="5"/>
      <c r="R1193" s="5"/>
      <c r="S1193" s="5"/>
      <c r="T1193" s="5"/>
      <c r="U1193" s="5"/>
      <c r="V1193" s="5"/>
      <c r="W1193" s="5"/>
    </row>
    <row r="1194">
      <c r="A1194" s="3" t="s">
        <v>4717</v>
      </c>
      <c r="B1194" s="3" t="s">
        <v>4718</v>
      </c>
      <c r="C1194" s="3" t="s">
        <v>4580</v>
      </c>
      <c r="D1194" s="3" t="s">
        <v>4719</v>
      </c>
      <c r="E1194" s="3"/>
      <c r="F1194" s="5"/>
      <c r="G1194" s="5"/>
      <c r="H1194" s="5"/>
      <c r="I1194" s="5"/>
      <c r="J1194" s="5"/>
      <c r="K1194" s="5"/>
      <c r="L1194" s="5"/>
      <c r="M1194" s="5"/>
      <c r="N1194" s="5"/>
      <c r="O1194" s="5"/>
      <c r="P1194" s="5"/>
      <c r="Q1194" s="5"/>
      <c r="R1194" s="5"/>
      <c r="S1194" s="5"/>
      <c r="T1194" s="5"/>
      <c r="U1194" s="5"/>
      <c r="V1194" s="5"/>
      <c r="W1194" s="5"/>
    </row>
    <row r="1195">
      <c r="A1195" s="3" t="s">
        <v>4720</v>
      </c>
      <c r="B1195" s="3" t="s">
        <v>4721</v>
      </c>
      <c r="C1195" s="3" t="s">
        <v>4580</v>
      </c>
      <c r="D1195" s="3" t="s">
        <v>4722</v>
      </c>
      <c r="E1195" s="3"/>
      <c r="F1195" s="5"/>
      <c r="G1195" s="5"/>
      <c r="H1195" s="5"/>
      <c r="I1195" s="5"/>
      <c r="J1195" s="5"/>
      <c r="K1195" s="5"/>
      <c r="L1195" s="5"/>
      <c r="M1195" s="5"/>
      <c r="N1195" s="5"/>
      <c r="O1195" s="5"/>
      <c r="P1195" s="5"/>
      <c r="Q1195" s="5"/>
      <c r="R1195" s="5"/>
      <c r="S1195" s="5"/>
      <c r="T1195" s="5"/>
      <c r="U1195" s="5"/>
      <c r="V1195" s="5"/>
      <c r="W1195" s="5"/>
    </row>
    <row r="1196">
      <c r="A1196" s="3" t="s">
        <v>4723</v>
      </c>
      <c r="B1196" s="3" t="s">
        <v>4724</v>
      </c>
      <c r="C1196" s="3" t="s">
        <v>804</v>
      </c>
      <c r="D1196" s="3" t="s">
        <v>4725</v>
      </c>
      <c r="E1196" s="3"/>
      <c r="F1196" s="5"/>
      <c r="G1196" s="5"/>
      <c r="H1196" s="5"/>
      <c r="I1196" s="5"/>
      <c r="J1196" s="5"/>
      <c r="K1196" s="5"/>
      <c r="L1196" s="5"/>
      <c r="M1196" s="5"/>
      <c r="N1196" s="5"/>
      <c r="O1196" s="5"/>
      <c r="P1196" s="5"/>
      <c r="Q1196" s="5"/>
      <c r="R1196" s="5"/>
      <c r="S1196" s="5"/>
      <c r="T1196" s="5"/>
      <c r="U1196" s="5"/>
      <c r="V1196" s="5"/>
      <c r="W1196" s="5"/>
    </row>
    <row r="1197">
      <c r="A1197" s="3" t="s">
        <v>4726</v>
      </c>
      <c r="B1197" s="3" t="s">
        <v>4727</v>
      </c>
      <c r="C1197" s="3" t="s">
        <v>70</v>
      </c>
      <c r="D1197" s="3" t="s">
        <v>4728</v>
      </c>
      <c r="E1197" s="3"/>
      <c r="F1197" s="5"/>
      <c r="G1197" s="5"/>
      <c r="H1197" s="5"/>
      <c r="I1197" s="5"/>
      <c r="J1197" s="5"/>
      <c r="K1197" s="5"/>
      <c r="L1197" s="5"/>
      <c r="M1197" s="5"/>
      <c r="N1197" s="5"/>
      <c r="O1197" s="5"/>
      <c r="P1197" s="5"/>
      <c r="Q1197" s="5"/>
      <c r="R1197" s="5"/>
      <c r="S1197" s="5"/>
      <c r="T1197" s="5"/>
      <c r="U1197" s="5"/>
      <c r="V1197" s="5"/>
      <c r="W1197" s="5"/>
    </row>
    <row r="1198">
      <c r="A1198" s="3" t="s">
        <v>4729</v>
      </c>
      <c r="B1198" s="3" t="s">
        <v>4730</v>
      </c>
      <c r="C1198" s="3" t="s">
        <v>4580</v>
      </c>
      <c r="D1198" s="3" t="s">
        <v>4731</v>
      </c>
      <c r="E1198" s="3"/>
      <c r="F1198" s="5"/>
      <c r="G1198" s="5"/>
      <c r="H1198" s="5"/>
      <c r="I1198" s="5"/>
      <c r="J1198" s="5"/>
      <c r="K1198" s="5"/>
      <c r="L1198" s="5"/>
      <c r="M1198" s="5"/>
      <c r="N1198" s="5"/>
      <c r="O1198" s="5"/>
      <c r="P1198" s="5"/>
      <c r="Q1198" s="5"/>
      <c r="R1198" s="5"/>
      <c r="S1198" s="5"/>
      <c r="T1198" s="5"/>
      <c r="U1198" s="5"/>
      <c r="V1198" s="5"/>
      <c r="W1198" s="5"/>
    </row>
    <row r="1199">
      <c r="A1199" s="3" t="s">
        <v>4732</v>
      </c>
      <c r="B1199" s="3" t="s">
        <v>4733</v>
      </c>
      <c r="C1199" s="3" t="s">
        <v>4734</v>
      </c>
      <c r="D1199" s="3" t="s">
        <v>4735</v>
      </c>
      <c r="E1199" s="3"/>
      <c r="F1199" s="5"/>
      <c r="G1199" s="5"/>
      <c r="H1199" s="5"/>
      <c r="I1199" s="5"/>
      <c r="J1199" s="5"/>
      <c r="K1199" s="5"/>
      <c r="L1199" s="5"/>
      <c r="M1199" s="5"/>
      <c r="N1199" s="5"/>
      <c r="O1199" s="5"/>
      <c r="P1199" s="5"/>
      <c r="Q1199" s="5"/>
      <c r="R1199" s="5"/>
      <c r="S1199" s="5"/>
      <c r="T1199" s="5"/>
      <c r="U1199" s="5"/>
      <c r="V1199" s="5"/>
      <c r="W1199" s="5"/>
    </row>
    <row r="1200">
      <c r="A1200" s="3" t="s">
        <v>4736</v>
      </c>
      <c r="B1200" s="3" t="s">
        <v>4737</v>
      </c>
      <c r="C1200" s="3" t="s">
        <v>4734</v>
      </c>
      <c r="D1200" s="3" t="s">
        <v>4738</v>
      </c>
      <c r="E1200" s="3"/>
      <c r="F1200" s="5"/>
      <c r="G1200" s="5"/>
      <c r="H1200" s="5"/>
      <c r="I1200" s="5"/>
      <c r="J1200" s="5"/>
      <c r="K1200" s="5"/>
      <c r="L1200" s="5"/>
      <c r="M1200" s="5"/>
      <c r="N1200" s="5"/>
      <c r="O1200" s="5"/>
      <c r="P1200" s="5"/>
      <c r="Q1200" s="5"/>
      <c r="R1200" s="5"/>
      <c r="S1200" s="5"/>
      <c r="T1200" s="5"/>
      <c r="U1200" s="5"/>
      <c r="V1200" s="5"/>
      <c r="W1200" s="5"/>
    </row>
    <row r="1201">
      <c r="A1201" s="3" t="s">
        <v>4739</v>
      </c>
      <c r="B1201" s="3" t="s">
        <v>4740</v>
      </c>
      <c r="C1201" s="3" t="s">
        <v>1132</v>
      </c>
      <c r="D1201" s="3" t="s">
        <v>4741</v>
      </c>
      <c r="E1201" s="3"/>
      <c r="F1201" s="5"/>
      <c r="G1201" s="5"/>
      <c r="H1201" s="5"/>
      <c r="I1201" s="5"/>
      <c r="J1201" s="5"/>
      <c r="K1201" s="5"/>
      <c r="L1201" s="5"/>
      <c r="M1201" s="5"/>
      <c r="N1201" s="5"/>
      <c r="O1201" s="5"/>
      <c r="P1201" s="5"/>
      <c r="Q1201" s="5"/>
      <c r="R1201" s="5"/>
      <c r="S1201" s="5"/>
      <c r="T1201" s="5"/>
      <c r="U1201" s="5"/>
      <c r="V1201" s="5"/>
      <c r="W1201" s="5"/>
    </row>
    <row r="1202">
      <c r="A1202" s="3" t="s">
        <v>4742</v>
      </c>
      <c r="B1202" s="3" t="s">
        <v>4743</v>
      </c>
      <c r="C1202" s="3" t="s">
        <v>3335</v>
      </c>
      <c r="D1202" s="3" t="s">
        <v>4744</v>
      </c>
      <c r="E1202" s="3"/>
      <c r="F1202" s="5"/>
      <c r="G1202" s="5"/>
      <c r="H1202" s="5"/>
      <c r="I1202" s="5"/>
      <c r="J1202" s="5"/>
      <c r="K1202" s="5"/>
      <c r="L1202" s="5"/>
      <c r="M1202" s="5"/>
      <c r="N1202" s="5"/>
      <c r="O1202" s="5"/>
      <c r="P1202" s="5"/>
      <c r="Q1202" s="5"/>
      <c r="R1202" s="5"/>
      <c r="S1202" s="5"/>
      <c r="T1202" s="5"/>
      <c r="U1202" s="5"/>
      <c r="V1202" s="5"/>
      <c r="W1202" s="5"/>
    </row>
    <row r="1203">
      <c r="A1203" s="3" t="s">
        <v>4745</v>
      </c>
      <c r="B1203" s="3" t="s">
        <v>4746</v>
      </c>
      <c r="C1203" s="3" t="s">
        <v>3335</v>
      </c>
      <c r="D1203" s="3" t="s">
        <v>4747</v>
      </c>
      <c r="E1203" s="3"/>
      <c r="F1203" s="5"/>
      <c r="G1203" s="5"/>
      <c r="H1203" s="5"/>
      <c r="I1203" s="5"/>
      <c r="J1203" s="5"/>
      <c r="K1203" s="5"/>
      <c r="L1203" s="5"/>
      <c r="M1203" s="5"/>
      <c r="N1203" s="5"/>
      <c r="O1203" s="5"/>
      <c r="P1203" s="5"/>
      <c r="Q1203" s="5"/>
      <c r="R1203" s="5"/>
      <c r="S1203" s="5"/>
      <c r="T1203" s="5"/>
      <c r="U1203" s="5"/>
      <c r="V1203" s="5"/>
      <c r="W1203" s="5"/>
    </row>
    <row r="1204">
      <c r="A1204" s="3" t="s">
        <v>4748</v>
      </c>
      <c r="B1204" s="3" t="s">
        <v>4749</v>
      </c>
      <c r="C1204" s="3" t="s">
        <v>3335</v>
      </c>
      <c r="D1204" s="3" t="s">
        <v>4750</v>
      </c>
      <c r="E1204" s="3"/>
      <c r="F1204" s="5"/>
      <c r="G1204" s="5"/>
      <c r="H1204" s="5"/>
      <c r="I1204" s="5"/>
      <c r="J1204" s="5"/>
      <c r="K1204" s="5"/>
      <c r="L1204" s="5"/>
      <c r="M1204" s="5"/>
      <c r="N1204" s="5"/>
      <c r="O1204" s="5"/>
      <c r="P1204" s="5"/>
      <c r="Q1204" s="5"/>
      <c r="R1204" s="5"/>
      <c r="S1204" s="5"/>
      <c r="T1204" s="5"/>
      <c r="U1204" s="5"/>
      <c r="V1204" s="5"/>
      <c r="W1204" s="5"/>
    </row>
    <row r="1205">
      <c r="A1205" s="3" t="s">
        <v>4751</v>
      </c>
      <c r="B1205" s="3" t="s">
        <v>4752</v>
      </c>
      <c r="C1205" s="3" t="s">
        <v>1132</v>
      </c>
      <c r="D1205" s="3" t="s">
        <v>4753</v>
      </c>
      <c r="E1205" s="3"/>
      <c r="F1205" s="5"/>
      <c r="G1205" s="5"/>
      <c r="H1205" s="5"/>
      <c r="I1205" s="5"/>
      <c r="J1205" s="5"/>
      <c r="K1205" s="5"/>
      <c r="L1205" s="5"/>
      <c r="M1205" s="5"/>
      <c r="N1205" s="5"/>
      <c r="O1205" s="5"/>
      <c r="P1205" s="5"/>
      <c r="Q1205" s="5"/>
      <c r="R1205" s="5"/>
      <c r="S1205" s="5"/>
      <c r="T1205" s="5"/>
      <c r="U1205" s="5"/>
      <c r="V1205" s="5"/>
      <c r="W1205" s="5"/>
    </row>
    <row r="1206">
      <c r="A1206" s="3" t="s">
        <v>4754</v>
      </c>
      <c r="B1206" s="3" t="s">
        <v>4755</v>
      </c>
      <c r="C1206" s="3" t="s">
        <v>4756</v>
      </c>
      <c r="D1206" s="3" t="s">
        <v>4757</v>
      </c>
      <c r="E1206" s="3"/>
      <c r="F1206" s="5"/>
      <c r="G1206" s="5"/>
      <c r="H1206" s="5"/>
      <c r="I1206" s="5"/>
      <c r="J1206" s="5"/>
      <c r="K1206" s="5"/>
      <c r="L1206" s="5"/>
      <c r="M1206" s="5"/>
      <c r="N1206" s="5"/>
      <c r="O1206" s="5"/>
      <c r="P1206" s="5"/>
      <c r="Q1206" s="5"/>
      <c r="R1206" s="5"/>
      <c r="S1206" s="5"/>
      <c r="T1206" s="5"/>
      <c r="U1206" s="5"/>
      <c r="V1206" s="5"/>
      <c r="W1206" s="5"/>
    </row>
    <row r="1207">
      <c r="A1207" s="3" t="s">
        <v>4758</v>
      </c>
      <c r="B1207" s="3" t="s">
        <v>4759</v>
      </c>
      <c r="C1207" s="3" t="s">
        <v>1132</v>
      </c>
      <c r="D1207" s="3" t="s">
        <v>4760</v>
      </c>
      <c r="E1207" s="5"/>
      <c r="F1207" s="5"/>
      <c r="G1207" s="5"/>
      <c r="H1207" s="5"/>
      <c r="I1207" s="5"/>
      <c r="J1207" s="5"/>
      <c r="K1207" s="5"/>
      <c r="L1207" s="5"/>
      <c r="M1207" s="5"/>
      <c r="N1207" s="5"/>
      <c r="O1207" s="5"/>
      <c r="P1207" s="5"/>
      <c r="Q1207" s="5"/>
      <c r="R1207" s="5"/>
      <c r="S1207" s="5"/>
      <c r="T1207" s="5"/>
      <c r="U1207" s="5"/>
      <c r="V1207" s="5"/>
      <c r="W1207" s="5"/>
    </row>
    <row r="1208">
      <c r="A1208" s="3" t="s">
        <v>4761</v>
      </c>
      <c r="B1208" s="3" t="s">
        <v>4762</v>
      </c>
      <c r="C1208" s="3" t="s">
        <v>1132</v>
      </c>
      <c r="D1208" s="3" t="s">
        <v>4763</v>
      </c>
      <c r="E1208" s="5"/>
      <c r="F1208" s="5"/>
      <c r="G1208" s="5"/>
      <c r="H1208" s="5"/>
      <c r="I1208" s="5"/>
      <c r="J1208" s="5"/>
      <c r="K1208" s="5"/>
      <c r="L1208" s="5"/>
      <c r="M1208" s="5"/>
      <c r="N1208" s="5"/>
      <c r="O1208" s="5"/>
      <c r="P1208" s="5"/>
      <c r="Q1208" s="5"/>
      <c r="R1208" s="5"/>
      <c r="S1208" s="5"/>
      <c r="T1208" s="5"/>
      <c r="U1208" s="5"/>
      <c r="V1208" s="5"/>
      <c r="W1208" s="5"/>
    </row>
    <row r="1209">
      <c r="A1209" s="3" t="s">
        <v>4764</v>
      </c>
      <c r="B1209" s="3" t="s">
        <v>4765</v>
      </c>
      <c r="C1209" s="3" t="s">
        <v>1278</v>
      </c>
      <c r="D1209" s="3" t="s">
        <v>4766</v>
      </c>
      <c r="E1209" s="3"/>
      <c r="F1209" s="5"/>
      <c r="G1209" s="5"/>
      <c r="H1209" s="5"/>
      <c r="I1209" s="5"/>
      <c r="J1209" s="5"/>
      <c r="K1209" s="5"/>
      <c r="L1209" s="5"/>
      <c r="M1209" s="5"/>
      <c r="N1209" s="5"/>
      <c r="O1209" s="5"/>
      <c r="P1209" s="5"/>
      <c r="Q1209" s="5"/>
      <c r="R1209" s="5"/>
      <c r="S1209" s="5"/>
      <c r="T1209" s="5"/>
      <c r="U1209" s="5"/>
      <c r="V1209" s="5"/>
      <c r="W1209" s="5"/>
    </row>
    <row r="1210">
      <c r="A1210" s="3" t="s">
        <v>4767</v>
      </c>
      <c r="B1210" s="3" t="s">
        <v>4768</v>
      </c>
      <c r="C1210" s="3" t="s">
        <v>1132</v>
      </c>
      <c r="D1210" s="3" t="s">
        <v>4769</v>
      </c>
      <c r="E1210" s="3"/>
      <c r="F1210" s="5"/>
      <c r="G1210" s="5"/>
      <c r="H1210" s="5"/>
      <c r="I1210" s="5"/>
      <c r="J1210" s="5"/>
      <c r="K1210" s="5"/>
      <c r="L1210" s="5"/>
      <c r="M1210" s="5"/>
      <c r="N1210" s="5"/>
      <c r="O1210" s="5"/>
      <c r="P1210" s="5"/>
      <c r="Q1210" s="5"/>
      <c r="R1210" s="5"/>
      <c r="S1210" s="5"/>
      <c r="T1210" s="5"/>
      <c r="U1210" s="5"/>
      <c r="V1210" s="5"/>
      <c r="W1210" s="5"/>
    </row>
    <row r="1211">
      <c r="A1211" s="3" t="s">
        <v>4770</v>
      </c>
      <c r="B1211" s="3" t="s">
        <v>4771</v>
      </c>
      <c r="C1211" s="3" t="s">
        <v>1132</v>
      </c>
      <c r="D1211" s="3" t="s">
        <v>4772</v>
      </c>
      <c r="E1211" s="3"/>
      <c r="F1211" s="5"/>
      <c r="G1211" s="5"/>
      <c r="H1211" s="5"/>
      <c r="I1211" s="5"/>
      <c r="J1211" s="5"/>
      <c r="K1211" s="5"/>
      <c r="L1211" s="5"/>
      <c r="M1211" s="5"/>
      <c r="N1211" s="5"/>
      <c r="O1211" s="5"/>
      <c r="P1211" s="5"/>
      <c r="Q1211" s="5"/>
      <c r="R1211" s="5"/>
      <c r="S1211" s="5"/>
      <c r="T1211" s="5"/>
      <c r="U1211" s="5"/>
      <c r="V1211" s="5"/>
      <c r="W1211" s="5"/>
    </row>
    <row r="1212">
      <c r="A1212" s="3" t="s">
        <v>4773</v>
      </c>
      <c r="B1212" s="3" t="s">
        <v>4774</v>
      </c>
      <c r="C1212" s="3" t="s">
        <v>4756</v>
      </c>
      <c r="D1212" s="3" t="s">
        <v>4775</v>
      </c>
      <c r="E1212" s="3"/>
      <c r="F1212" s="5"/>
      <c r="G1212" s="5"/>
      <c r="H1212" s="5"/>
      <c r="I1212" s="5"/>
      <c r="J1212" s="5"/>
      <c r="K1212" s="5"/>
      <c r="L1212" s="5"/>
      <c r="M1212" s="5"/>
      <c r="N1212" s="5"/>
      <c r="O1212" s="5"/>
      <c r="P1212" s="5"/>
      <c r="Q1212" s="5"/>
      <c r="R1212" s="5"/>
      <c r="S1212" s="5"/>
      <c r="T1212" s="5"/>
      <c r="U1212" s="5"/>
      <c r="V1212" s="5"/>
      <c r="W1212" s="5"/>
    </row>
    <row r="1213">
      <c r="A1213" s="3" t="s">
        <v>4776</v>
      </c>
      <c r="B1213" s="3" t="s">
        <v>4777</v>
      </c>
      <c r="C1213" s="3" t="s">
        <v>4778</v>
      </c>
      <c r="D1213" s="3" t="s">
        <v>4779</v>
      </c>
      <c r="E1213" s="4" t="s">
        <v>97</v>
      </c>
      <c r="F1213" s="5"/>
      <c r="G1213" s="5"/>
      <c r="H1213" s="5"/>
      <c r="I1213" s="5"/>
      <c r="J1213" s="5"/>
      <c r="K1213" s="5"/>
      <c r="L1213" s="5"/>
      <c r="M1213" s="5"/>
      <c r="N1213" s="5"/>
      <c r="O1213" s="5"/>
      <c r="P1213" s="5"/>
      <c r="Q1213" s="5"/>
      <c r="R1213" s="5"/>
      <c r="S1213" s="5"/>
      <c r="T1213" s="5"/>
      <c r="U1213" s="5"/>
      <c r="V1213" s="5"/>
      <c r="W1213" s="5"/>
    </row>
    <row r="1214">
      <c r="A1214" s="3" t="s">
        <v>4780</v>
      </c>
      <c r="B1214" s="3" t="s">
        <v>4781</v>
      </c>
      <c r="C1214" s="3" t="s">
        <v>76</v>
      </c>
      <c r="D1214" s="3" t="s">
        <v>4782</v>
      </c>
      <c r="E1214" s="3"/>
      <c r="F1214" s="5"/>
      <c r="G1214" s="5"/>
      <c r="H1214" s="5"/>
      <c r="I1214" s="5"/>
      <c r="J1214" s="5"/>
      <c r="K1214" s="5"/>
      <c r="L1214" s="5"/>
      <c r="M1214" s="5"/>
      <c r="N1214" s="5"/>
      <c r="O1214" s="5"/>
      <c r="P1214" s="5"/>
      <c r="Q1214" s="5"/>
      <c r="R1214" s="5"/>
      <c r="S1214" s="5"/>
      <c r="T1214" s="5"/>
      <c r="U1214" s="5"/>
      <c r="V1214" s="5"/>
      <c r="W1214" s="5"/>
    </row>
    <row r="1215">
      <c r="A1215" s="5"/>
      <c r="B1215" s="5"/>
      <c r="C1215" s="5"/>
      <c r="D1215" s="5"/>
      <c r="E1215" s="5"/>
      <c r="F1215" s="5"/>
      <c r="G1215" s="5"/>
      <c r="H1215" s="5"/>
      <c r="I1215" s="5"/>
      <c r="J1215" s="5"/>
      <c r="K1215" s="5"/>
      <c r="L1215" s="5"/>
      <c r="M1215" s="5"/>
      <c r="N1215" s="5"/>
      <c r="O1215" s="5"/>
      <c r="P1215" s="5"/>
      <c r="Q1215" s="5"/>
      <c r="R1215" s="5"/>
      <c r="S1215" s="5"/>
      <c r="T1215" s="5"/>
      <c r="U1215" s="5"/>
      <c r="V1215" s="5"/>
      <c r="W1215" s="5"/>
    </row>
    <row r="1216">
      <c r="A1216" s="5"/>
      <c r="B1216" s="5"/>
      <c r="C1216" s="5"/>
      <c r="D1216" s="5"/>
      <c r="E1216" s="5"/>
      <c r="F1216" s="5"/>
      <c r="G1216" s="5"/>
      <c r="H1216" s="5"/>
      <c r="I1216" s="5"/>
      <c r="J1216" s="5"/>
      <c r="K1216" s="5"/>
      <c r="L1216" s="5"/>
      <c r="M1216" s="5"/>
      <c r="N1216" s="5"/>
      <c r="O1216" s="5"/>
      <c r="P1216" s="5"/>
      <c r="Q1216" s="5"/>
      <c r="R1216" s="5"/>
      <c r="S1216" s="5"/>
      <c r="T1216" s="5"/>
      <c r="U1216" s="5"/>
      <c r="V1216" s="5"/>
      <c r="W1216" s="5"/>
    </row>
    <row r="1217">
      <c r="A1217" s="5"/>
      <c r="B1217" s="5"/>
      <c r="C1217" s="5"/>
      <c r="D1217" s="5"/>
      <c r="E1217" s="5"/>
      <c r="F1217" s="5"/>
      <c r="G1217" s="5"/>
      <c r="H1217" s="5"/>
      <c r="I1217" s="5"/>
      <c r="J1217" s="5"/>
      <c r="K1217" s="5"/>
      <c r="L1217" s="5"/>
      <c r="M1217" s="5"/>
      <c r="N1217" s="5"/>
      <c r="O1217" s="5"/>
      <c r="P1217" s="5"/>
      <c r="Q1217" s="5"/>
      <c r="R1217" s="5"/>
      <c r="S1217" s="5"/>
      <c r="T1217" s="5"/>
      <c r="U1217" s="5"/>
      <c r="V1217" s="5"/>
      <c r="W1217" s="5"/>
    </row>
    <row r="1218">
      <c r="A1218" s="5"/>
      <c r="B1218" s="5"/>
      <c r="C1218" s="5"/>
      <c r="D1218" s="5"/>
      <c r="E1218" s="5"/>
      <c r="F1218" s="5"/>
      <c r="G1218" s="5"/>
      <c r="H1218" s="5"/>
      <c r="I1218" s="5"/>
      <c r="J1218" s="5"/>
      <c r="K1218" s="5"/>
      <c r="L1218" s="5"/>
      <c r="M1218" s="5"/>
      <c r="N1218" s="5"/>
      <c r="O1218" s="5"/>
      <c r="P1218" s="5"/>
      <c r="Q1218" s="5"/>
      <c r="R1218" s="5"/>
      <c r="S1218" s="5"/>
      <c r="T1218" s="5"/>
      <c r="U1218" s="5"/>
      <c r="V1218" s="5"/>
      <c r="W1218" s="5"/>
    </row>
    <row r="1219">
      <c r="A1219" s="5"/>
      <c r="B1219" s="5"/>
      <c r="C1219" s="5"/>
      <c r="D1219" s="5"/>
      <c r="E1219" s="5"/>
      <c r="F1219" s="5"/>
      <c r="G1219" s="5"/>
      <c r="H1219" s="5"/>
      <c r="I1219" s="5"/>
      <c r="J1219" s="5"/>
      <c r="K1219" s="5"/>
      <c r="L1219" s="5"/>
      <c r="M1219" s="5"/>
      <c r="N1219" s="5"/>
      <c r="O1219" s="5"/>
      <c r="P1219" s="5"/>
      <c r="Q1219" s="5"/>
      <c r="R1219" s="5"/>
      <c r="S1219" s="5"/>
      <c r="T1219" s="5"/>
      <c r="U1219" s="5"/>
      <c r="V1219" s="5"/>
      <c r="W1219" s="5"/>
    </row>
    <row r="1220">
      <c r="A1220" s="5"/>
      <c r="B1220" s="5"/>
      <c r="C1220" s="5"/>
      <c r="D1220" s="5"/>
      <c r="E1220" s="5"/>
      <c r="F1220" s="5"/>
      <c r="G1220" s="5"/>
      <c r="H1220" s="5"/>
      <c r="I1220" s="5"/>
      <c r="J1220" s="5"/>
      <c r="K1220" s="5"/>
      <c r="L1220" s="5"/>
      <c r="M1220" s="5"/>
      <c r="N1220" s="5"/>
      <c r="O1220" s="5"/>
      <c r="P1220" s="5"/>
      <c r="Q1220" s="5"/>
      <c r="R1220" s="5"/>
      <c r="S1220" s="5"/>
      <c r="T1220" s="5"/>
      <c r="U1220" s="5"/>
      <c r="V1220" s="5"/>
      <c r="W1220" s="5"/>
    </row>
    <row r="1221">
      <c r="A1221" s="5"/>
      <c r="B1221" s="5"/>
      <c r="C1221" s="5"/>
      <c r="D1221" s="5"/>
      <c r="E1221" s="5"/>
      <c r="F1221" s="5"/>
      <c r="G1221" s="5"/>
      <c r="H1221" s="5"/>
      <c r="I1221" s="5"/>
      <c r="J1221" s="5"/>
      <c r="K1221" s="5"/>
      <c r="L1221" s="5"/>
      <c r="M1221" s="5"/>
      <c r="N1221" s="5"/>
      <c r="O1221" s="5"/>
      <c r="P1221" s="5"/>
      <c r="Q1221" s="5"/>
      <c r="R1221" s="5"/>
      <c r="S1221" s="5"/>
      <c r="T1221" s="5"/>
      <c r="U1221" s="5"/>
      <c r="V1221" s="5"/>
      <c r="W1221" s="5"/>
    </row>
    <row r="1222">
      <c r="A1222" s="5"/>
      <c r="B1222" s="5"/>
      <c r="C1222" s="5"/>
      <c r="D1222" s="5"/>
      <c r="E1222" s="5"/>
      <c r="F1222" s="5"/>
      <c r="G1222" s="5"/>
      <c r="H1222" s="5"/>
      <c r="I1222" s="5"/>
      <c r="J1222" s="5"/>
      <c r="K1222" s="5"/>
      <c r="L1222" s="5"/>
      <c r="M1222" s="5"/>
      <c r="N1222" s="5"/>
      <c r="O1222" s="5"/>
      <c r="P1222" s="5"/>
      <c r="Q1222" s="5"/>
      <c r="R1222" s="5"/>
      <c r="S1222" s="5"/>
      <c r="T1222" s="5"/>
      <c r="U1222" s="5"/>
      <c r="V1222" s="5"/>
      <c r="W1222" s="5"/>
    </row>
    <row r="1223">
      <c r="A1223" s="5"/>
      <c r="B1223" s="5"/>
      <c r="C1223" s="5"/>
      <c r="D1223" s="5"/>
      <c r="E1223" s="5"/>
      <c r="F1223" s="5"/>
      <c r="G1223" s="5"/>
      <c r="H1223" s="5"/>
      <c r="I1223" s="5"/>
      <c r="J1223" s="5"/>
      <c r="K1223" s="5"/>
      <c r="L1223" s="5"/>
      <c r="M1223" s="5"/>
      <c r="N1223" s="5"/>
      <c r="O1223" s="5"/>
      <c r="P1223" s="5"/>
      <c r="Q1223" s="5"/>
      <c r="R1223" s="5"/>
      <c r="S1223" s="5"/>
      <c r="T1223" s="5"/>
      <c r="U1223" s="5"/>
      <c r="V1223" s="5"/>
      <c r="W1223" s="5"/>
    </row>
    <row r="1224">
      <c r="A1224" s="5"/>
      <c r="B1224" s="5"/>
      <c r="C1224" s="5"/>
      <c r="D1224" s="5"/>
      <c r="E1224" s="5"/>
      <c r="F1224" s="5"/>
      <c r="G1224" s="5"/>
      <c r="H1224" s="5"/>
      <c r="I1224" s="5"/>
      <c r="J1224" s="5"/>
      <c r="K1224" s="5"/>
      <c r="L1224" s="5"/>
      <c r="M1224" s="5"/>
      <c r="N1224" s="5"/>
      <c r="O1224" s="5"/>
      <c r="P1224" s="5"/>
      <c r="Q1224" s="5"/>
      <c r="R1224" s="5"/>
      <c r="S1224" s="5"/>
      <c r="T1224" s="5"/>
      <c r="U1224" s="5"/>
      <c r="V1224" s="5"/>
      <c r="W1224" s="5"/>
    </row>
    <row r="1225">
      <c r="A1225" s="5"/>
      <c r="B1225" s="5"/>
      <c r="C1225" s="5"/>
      <c r="D1225" s="5"/>
      <c r="E1225" s="5"/>
      <c r="F1225" s="5"/>
      <c r="G1225" s="5"/>
      <c r="H1225" s="5"/>
      <c r="I1225" s="5"/>
      <c r="J1225" s="5"/>
      <c r="K1225" s="5"/>
      <c r="L1225" s="5"/>
      <c r="M1225" s="5"/>
      <c r="N1225" s="5"/>
      <c r="O1225" s="5"/>
      <c r="P1225" s="5"/>
      <c r="Q1225" s="5"/>
      <c r="R1225" s="5"/>
      <c r="S1225" s="5"/>
      <c r="T1225" s="5"/>
      <c r="U1225" s="5"/>
      <c r="V1225" s="5"/>
      <c r="W1225" s="5"/>
    </row>
    <row r="1226">
      <c r="A1226" s="5"/>
      <c r="B1226" s="5"/>
      <c r="C1226" s="5"/>
      <c r="D1226" s="5"/>
      <c r="E1226" s="5"/>
      <c r="F1226" s="5"/>
      <c r="G1226" s="5"/>
      <c r="H1226" s="5"/>
      <c r="I1226" s="5"/>
      <c r="J1226" s="5"/>
      <c r="K1226" s="5"/>
      <c r="L1226" s="5"/>
      <c r="M1226" s="5"/>
      <c r="N1226" s="5"/>
      <c r="O1226" s="5"/>
      <c r="P1226" s="5"/>
      <c r="Q1226" s="5"/>
      <c r="R1226" s="5"/>
      <c r="S1226" s="5"/>
      <c r="T1226" s="5"/>
      <c r="U1226" s="5"/>
      <c r="V1226" s="5"/>
      <c r="W1226" s="5"/>
    </row>
    <row r="1227">
      <c r="A1227" s="5"/>
      <c r="B1227" s="5"/>
      <c r="C1227" s="5"/>
      <c r="D1227" s="5"/>
      <c r="E1227" s="5"/>
      <c r="F1227" s="5"/>
      <c r="G1227" s="5"/>
      <c r="H1227" s="5"/>
      <c r="I1227" s="5"/>
      <c r="J1227" s="5"/>
      <c r="K1227" s="5"/>
      <c r="L1227" s="5"/>
      <c r="M1227" s="5"/>
      <c r="N1227" s="5"/>
      <c r="O1227" s="5"/>
      <c r="P1227" s="5"/>
      <c r="Q1227" s="5"/>
      <c r="R1227" s="5"/>
      <c r="S1227" s="5"/>
      <c r="T1227" s="5"/>
      <c r="U1227" s="5"/>
      <c r="V1227" s="5"/>
      <c r="W1227" s="5"/>
    </row>
    <row r="1228">
      <c r="A1228" s="5"/>
      <c r="B1228" s="5"/>
      <c r="C1228" s="5"/>
      <c r="D1228" s="5"/>
      <c r="E1228" s="5"/>
      <c r="F1228" s="5"/>
      <c r="G1228" s="5"/>
      <c r="H1228" s="5"/>
      <c r="I1228" s="5"/>
      <c r="J1228" s="5"/>
      <c r="K1228" s="5"/>
      <c r="L1228" s="5"/>
      <c r="M1228" s="5"/>
      <c r="N1228" s="5"/>
      <c r="O1228" s="5"/>
      <c r="P1228" s="5"/>
      <c r="Q1228" s="5"/>
      <c r="R1228" s="5"/>
      <c r="S1228" s="5"/>
      <c r="T1228" s="5"/>
      <c r="U1228" s="5"/>
      <c r="V1228" s="5"/>
      <c r="W1228" s="5"/>
    </row>
    <row r="1229">
      <c r="A1229" s="5"/>
      <c r="B1229" s="5"/>
      <c r="C1229" s="5"/>
      <c r="D1229" s="5"/>
      <c r="E1229" s="5"/>
      <c r="F1229" s="5"/>
      <c r="G1229" s="5"/>
      <c r="H1229" s="5"/>
      <c r="I1229" s="5"/>
      <c r="J1229" s="5"/>
      <c r="K1229" s="5"/>
      <c r="L1229" s="5"/>
      <c r="M1229" s="5"/>
      <c r="N1229" s="5"/>
      <c r="O1229" s="5"/>
      <c r="P1229" s="5"/>
      <c r="Q1229" s="5"/>
      <c r="R1229" s="5"/>
      <c r="S1229" s="5"/>
      <c r="T1229" s="5"/>
      <c r="U1229" s="5"/>
      <c r="V1229" s="5"/>
      <c r="W1229" s="5"/>
    </row>
    <row r="1230">
      <c r="A1230" s="5"/>
      <c r="B1230" s="5"/>
      <c r="C1230" s="5"/>
      <c r="D1230" s="5"/>
      <c r="E1230" s="5"/>
      <c r="F1230" s="5"/>
      <c r="G1230" s="5"/>
      <c r="H1230" s="5"/>
      <c r="I1230" s="5"/>
      <c r="J1230" s="5"/>
      <c r="K1230" s="5"/>
      <c r="L1230" s="5"/>
      <c r="M1230" s="5"/>
      <c r="N1230" s="5"/>
      <c r="O1230" s="5"/>
      <c r="P1230" s="5"/>
      <c r="Q1230" s="5"/>
      <c r="R1230" s="5"/>
      <c r="S1230" s="5"/>
      <c r="T1230" s="5"/>
      <c r="U1230" s="5"/>
      <c r="V1230" s="5"/>
      <c r="W1230" s="5"/>
    </row>
    <row r="1231">
      <c r="A1231" s="5"/>
      <c r="B1231" s="5"/>
      <c r="C1231" s="5"/>
      <c r="D1231" s="5"/>
      <c r="E1231" s="5"/>
      <c r="F1231" s="5"/>
      <c r="G1231" s="5"/>
      <c r="H1231" s="5"/>
      <c r="I1231" s="5"/>
      <c r="J1231" s="5"/>
      <c r="K1231" s="5"/>
      <c r="L1231" s="5"/>
      <c r="M1231" s="5"/>
      <c r="N1231" s="5"/>
      <c r="O1231" s="5"/>
      <c r="P1231" s="5"/>
      <c r="Q1231" s="5"/>
      <c r="R1231" s="5"/>
      <c r="S1231" s="5"/>
      <c r="T1231" s="5"/>
      <c r="U1231" s="5"/>
      <c r="V1231" s="5"/>
      <c r="W1231" s="5"/>
    </row>
    <row r="1232">
      <c r="A1232" s="5"/>
      <c r="B1232" s="5"/>
      <c r="C1232" s="5"/>
      <c r="D1232" s="5"/>
      <c r="E1232" s="5"/>
      <c r="F1232" s="5"/>
      <c r="G1232" s="5"/>
      <c r="H1232" s="5"/>
      <c r="I1232" s="5"/>
      <c r="J1232" s="5"/>
      <c r="K1232" s="5"/>
      <c r="L1232" s="5"/>
      <c r="M1232" s="5"/>
      <c r="N1232" s="5"/>
      <c r="O1232" s="5"/>
      <c r="P1232" s="5"/>
      <c r="Q1232" s="5"/>
      <c r="R1232" s="5"/>
      <c r="S1232" s="5"/>
      <c r="T1232" s="5"/>
      <c r="U1232" s="5"/>
      <c r="V1232" s="5"/>
      <c r="W1232" s="5"/>
    </row>
    <row r="1233">
      <c r="A1233" s="5"/>
      <c r="B1233" s="5"/>
      <c r="C1233" s="5"/>
      <c r="D1233" s="5"/>
      <c r="E1233" s="5"/>
      <c r="F1233" s="5"/>
      <c r="G1233" s="5"/>
      <c r="H1233" s="5"/>
      <c r="I1233" s="5"/>
      <c r="J1233" s="5"/>
      <c r="K1233" s="5"/>
      <c r="L1233" s="5"/>
      <c r="M1233" s="5"/>
      <c r="N1233" s="5"/>
      <c r="O1233" s="5"/>
      <c r="P1233" s="5"/>
      <c r="Q1233" s="5"/>
      <c r="R1233" s="5"/>
      <c r="S1233" s="5"/>
      <c r="T1233" s="5"/>
      <c r="U1233" s="5"/>
      <c r="V1233" s="5"/>
      <c r="W1233" s="5"/>
    </row>
    <row r="1234">
      <c r="A1234" s="5"/>
      <c r="B1234" s="5"/>
      <c r="C1234" s="5"/>
      <c r="D1234" s="5"/>
      <c r="E1234" s="5"/>
      <c r="F1234" s="5"/>
      <c r="G1234" s="5"/>
      <c r="H1234" s="5"/>
      <c r="I1234" s="5"/>
      <c r="J1234" s="5"/>
      <c r="K1234" s="5"/>
      <c r="L1234" s="5"/>
      <c r="M1234" s="5"/>
      <c r="N1234" s="5"/>
      <c r="O1234" s="5"/>
      <c r="P1234" s="5"/>
      <c r="Q1234" s="5"/>
      <c r="R1234" s="5"/>
      <c r="S1234" s="5"/>
      <c r="T1234" s="5"/>
      <c r="U1234" s="5"/>
      <c r="V1234" s="5"/>
      <c r="W1234" s="5"/>
    </row>
    <row r="1235">
      <c r="A1235" s="5"/>
      <c r="B1235" s="5"/>
      <c r="C1235" s="5"/>
      <c r="D1235" s="5"/>
      <c r="E1235" s="5"/>
      <c r="F1235" s="5"/>
      <c r="G1235" s="5"/>
      <c r="H1235" s="5"/>
      <c r="I1235" s="5"/>
      <c r="J1235" s="5"/>
      <c r="K1235" s="5"/>
      <c r="L1235" s="5"/>
      <c r="M1235" s="5"/>
      <c r="N1235" s="5"/>
      <c r="O1235" s="5"/>
      <c r="P1235" s="5"/>
      <c r="Q1235" s="5"/>
      <c r="R1235" s="5"/>
      <c r="S1235" s="5"/>
      <c r="T1235" s="5"/>
      <c r="U1235" s="5"/>
      <c r="V1235" s="5"/>
      <c r="W1235" s="5"/>
    </row>
    <row r="1236">
      <c r="A1236" s="5"/>
      <c r="B1236" s="5"/>
      <c r="C1236" s="5"/>
      <c r="D1236" s="5"/>
      <c r="E1236" s="5"/>
      <c r="F1236" s="5"/>
      <c r="G1236" s="5"/>
      <c r="H1236" s="5"/>
      <c r="I1236" s="5"/>
      <c r="J1236" s="5"/>
      <c r="K1236" s="5"/>
      <c r="L1236" s="5"/>
      <c r="M1236" s="5"/>
      <c r="N1236" s="5"/>
      <c r="O1236" s="5"/>
      <c r="P1236" s="5"/>
      <c r="Q1236" s="5"/>
      <c r="R1236" s="5"/>
      <c r="S1236" s="5"/>
      <c r="T1236" s="5"/>
      <c r="U1236" s="5"/>
      <c r="V1236" s="5"/>
      <c r="W1236" s="5"/>
    </row>
    <row r="1237">
      <c r="A1237" s="5"/>
      <c r="B1237" s="5"/>
      <c r="C1237" s="5"/>
      <c r="D1237" s="5"/>
      <c r="E1237" s="5"/>
      <c r="F1237" s="5"/>
      <c r="G1237" s="5"/>
      <c r="H1237" s="5"/>
      <c r="I1237" s="5"/>
      <c r="J1237" s="5"/>
      <c r="K1237" s="5"/>
      <c r="L1237" s="5"/>
      <c r="M1237" s="5"/>
      <c r="N1237" s="5"/>
      <c r="O1237" s="5"/>
      <c r="P1237" s="5"/>
      <c r="Q1237" s="5"/>
      <c r="R1237" s="5"/>
      <c r="S1237" s="5"/>
      <c r="T1237" s="5"/>
      <c r="U1237" s="5"/>
      <c r="V1237" s="5"/>
      <c r="W1237" s="5"/>
    </row>
    <row r="1238">
      <c r="A1238" s="5"/>
      <c r="B1238" s="5"/>
      <c r="C1238" s="5"/>
      <c r="D1238" s="5"/>
      <c r="E1238" s="5"/>
      <c r="F1238" s="5"/>
      <c r="G1238" s="5"/>
      <c r="H1238" s="5"/>
      <c r="I1238" s="5"/>
      <c r="J1238" s="5"/>
      <c r="K1238" s="5"/>
      <c r="L1238" s="5"/>
      <c r="M1238" s="5"/>
      <c r="N1238" s="5"/>
      <c r="O1238" s="5"/>
      <c r="P1238" s="5"/>
      <c r="Q1238" s="5"/>
      <c r="R1238" s="5"/>
      <c r="S1238" s="5"/>
      <c r="T1238" s="5"/>
      <c r="U1238" s="5"/>
      <c r="V1238" s="5"/>
      <c r="W1238" s="5"/>
    </row>
    <row r="1239">
      <c r="A1239" s="5"/>
      <c r="B1239" s="5"/>
      <c r="C1239" s="5"/>
      <c r="D1239" s="5"/>
      <c r="E1239" s="5"/>
      <c r="F1239" s="5"/>
      <c r="G1239" s="5"/>
      <c r="H1239" s="5"/>
      <c r="I1239" s="5"/>
      <c r="J1239" s="5"/>
      <c r="K1239" s="5"/>
      <c r="L1239" s="5"/>
      <c r="M1239" s="5"/>
      <c r="N1239" s="5"/>
      <c r="O1239" s="5"/>
      <c r="P1239" s="5"/>
      <c r="Q1239" s="5"/>
      <c r="R1239" s="5"/>
      <c r="S1239" s="5"/>
      <c r="T1239" s="5"/>
      <c r="U1239" s="5"/>
      <c r="V1239" s="5"/>
      <c r="W1239" s="5"/>
    </row>
    <row r="1240">
      <c r="A1240" s="5"/>
      <c r="B1240" s="5"/>
      <c r="C1240" s="5"/>
      <c r="D1240" s="5"/>
      <c r="E1240" s="5"/>
      <c r="F1240" s="5"/>
      <c r="G1240" s="5"/>
      <c r="H1240" s="5"/>
      <c r="I1240" s="5"/>
      <c r="J1240" s="5"/>
      <c r="K1240" s="5"/>
      <c r="L1240" s="5"/>
      <c r="M1240" s="5"/>
      <c r="N1240" s="5"/>
      <c r="O1240" s="5"/>
      <c r="P1240" s="5"/>
      <c r="Q1240" s="5"/>
      <c r="R1240" s="5"/>
      <c r="S1240" s="5"/>
      <c r="T1240" s="5"/>
      <c r="U1240" s="5"/>
      <c r="V1240" s="5"/>
      <c r="W1240" s="5"/>
    </row>
    <row r="1241">
      <c r="A1241" s="5"/>
      <c r="B1241" s="5"/>
      <c r="C1241" s="5"/>
      <c r="D1241" s="5"/>
      <c r="E1241" s="5"/>
      <c r="F1241" s="5"/>
      <c r="G1241" s="5"/>
      <c r="H1241" s="5"/>
      <c r="I1241" s="5"/>
      <c r="J1241" s="5"/>
      <c r="K1241" s="5"/>
      <c r="L1241" s="5"/>
      <c r="M1241" s="5"/>
      <c r="N1241" s="5"/>
      <c r="O1241" s="5"/>
      <c r="P1241" s="5"/>
      <c r="Q1241" s="5"/>
      <c r="R1241" s="5"/>
      <c r="S1241" s="5"/>
      <c r="T1241" s="5"/>
      <c r="U1241" s="5"/>
      <c r="V1241" s="5"/>
      <c r="W1241" s="5"/>
    </row>
    <row r="1242">
      <c r="A1242" s="5"/>
      <c r="B1242" s="5"/>
      <c r="C1242" s="5"/>
      <c r="D1242" s="5"/>
      <c r="E1242" s="5"/>
      <c r="F1242" s="5"/>
      <c r="G1242" s="5"/>
      <c r="H1242" s="5"/>
      <c r="I1242" s="5"/>
      <c r="J1242" s="5"/>
      <c r="K1242" s="5"/>
      <c r="L1242" s="5"/>
      <c r="M1242" s="5"/>
      <c r="N1242" s="5"/>
      <c r="O1242" s="5"/>
      <c r="P1242" s="5"/>
      <c r="Q1242" s="5"/>
      <c r="R1242" s="5"/>
      <c r="S1242" s="5"/>
      <c r="T1242" s="5"/>
      <c r="U1242" s="5"/>
      <c r="V1242" s="5"/>
      <c r="W1242" s="5"/>
    </row>
    <row r="1243">
      <c r="A1243" s="5"/>
      <c r="B1243" s="5"/>
      <c r="C1243" s="5"/>
      <c r="D1243" s="5"/>
      <c r="E1243" s="5"/>
      <c r="F1243" s="5"/>
      <c r="G1243" s="5"/>
      <c r="H1243" s="5"/>
      <c r="I1243" s="5"/>
      <c r="J1243" s="5"/>
      <c r="K1243" s="5"/>
      <c r="L1243" s="5"/>
      <c r="M1243" s="5"/>
      <c r="N1243" s="5"/>
      <c r="O1243" s="5"/>
      <c r="P1243" s="5"/>
      <c r="Q1243" s="5"/>
      <c r="R1243" s="5"/>
      <c r="S1243" s="5"/>
      <c r="T1243" s="5"/>
      <c r="U1243" s="5"/>
      <c r="V1243" s="5"/>
      <c r="W1243" s="5"/>
    </row>
    <row r="1244">
      <c r="A1244" s="5"/>
      <c r="B1244" s="5"/>
      <c r="C1244" s="5"/>
      <c r="D1244" s="5"/>
      <c r="E1244" s="5"/>
      <c r="F1244" s="5"/>
      <c r="G1244" s="5"/>
      <c r="H1244" s="5"/>
      <c r="I1244" s="5"/>
      <c r="J1244" s="5"/>
      <c r="K1244" s="5"/>
      <c r="L1244" s="5"/>
      <c r="M1244" s="5"/>
      <c r="N1244" s="5"/>
      <c r="O1244" s="5"/>
      <c r="P1244" s="5"/>
      <c r="Q1244" s="5"/>
      <c r="R1244" s="5"/>
      <c r="S1244" s="5"/>
      <c r="T1244" s="5"/>
      <c r="U1244" s="5"/>
      <c r="V1244" s="5"/>
      <c r="W1244" s="5"/>
    </row>
    <row r="1245">
      <c r="A1245" s="5"/>
      <c r="B1245" s="5"/>
      <c r="C1245" s="5"/>
      <c r="D1245" s="5"/>
      <c r="E1245" s="5"/>
      <c r="F1245" s="5"/>
      <c r="G1245" s="5"/>
      <c r="H1245" s="5"/>
      <c r="I1245" s="5"/>
      <c r="J1245" s="5"/>
      <c r="K1245" s="5"/>
      <c r="L1245" s="5"/>
      <c r="M1245" s="5"/>
      <c r="N1245" s="5"/>
      <c r="O1245" s="5"/>
      <c r="P1245" s="5"/>
      <c r="Q1245" s="5"/>
      <c r="R1245" s="5"/>
      <c r="S1245" s="5"/>
      <c r="T1245" s="5"/>
      <c r="U1245" s="5"/>
      <c r="V1245" s="5"/>
      <c r="W1245" s="5"/>
    </row>
    <row r="1246">
      <c r="A1246" s="5"/>
      <c r="B1246" s="5"/>
      <c r="C1246" s="5"/>
      <c r="D1246" s="5"/>
      <c r="E1246" s="5"/>
      <c r="F1246" s="5"/>
      <c r="G1246" s="5"/>
      <c r="H1246" s="5"/>
      <c r="I1246" s="5"/>
      <c r="J1246" s="5"/>
      <c r="K1246" s="5"/>
      <c r="L1246" s="5"/>
      <c r="M1246" s="5"/>
      <c r="N1246" s="5"/>
      <c r="O1246" s="5"/>
      <c r="P1246" s="5"/>
      <c r="Q1246" s="5"/>
      <c r="R1246" s="5"/>
      <c r="S1246" s="5"/>
      <c r="T1246" s="5"/>
      <c r="U1246" s="5"/>
      <c r="V1246" s="5"/>
      <c r="W1246" s="5"/>
    </row>
    <row r="1247">
      <c r="A1247" s="5"/>
      <c r="B1247" s="5"/>
      <c r="C1247" s="5"/>
      <c r="D1247" s="5"/>
      <c r="E1247" s="5"/>
      <c r="F1247" s="5"/>
      <c r="G1247" s="5"/>
      <c r="H1247" s="5"/>
      <c r="I1247" s="5"/>
      <c r="J1247" s="5"/>
      <c r="K1247" s="5"/>
      <c r="L1247" s="5"/>
      <c r="M1247" s="5"/>
      <c r="N1247" s="5"/>
      <c r="O1247" s="5"/>
      <c r="P1247" s="5"/>
      <c r="Q1247" s="5"/>
      <c r="R1247" s="5"/>
      <c r="S1247" s="5"/>
      <c r="T1247" s="5"/>
      <c r="U1247" s="5"/>
      <c r="V1247" s="5"/>
      <c r="W1247" s="5"/>
    </row>
    <row r="1248">
      <c r="A1248" s="5"/>
      <c r="B1248" s="5"/>
      <c r="C1248" s="5"/>
      <c r="D1248" s="5"/>
      <c r="E1248" s="5"/>
      <c r="F1248" s="5"/>
      <c r="G1248" s="5"/>
      <c r="H1248" s="5"/>
      <c r="I1248" s="5"/>
      <c r="J1248" s="5"/>
      <c r="K1248" s="5"/>
      <c r="L1248" s="5"/>
      <c r="M1248" s="5"/>
      <c r="N1248" s="5"/>
      <c r="O1248" s="5"/>
      <c r="P1248" s="5"/>
      <c r="Q1248" s="5"/>
      <c r="R1248" s="5"/>
      <c r="S1248" s="5"/>
      <c r="T1248" s="5"/>
      <c r="U1248" s="5"/>
      <c r="V1248" s="5"/>
      <c r="W1248" s="5"/>
    </row>
    <row r="1249">
      <c r="A1249" s="5"/>
      <c r="B1249" s="5"/>
      <c r="C1249" s="5"/>
      <c r="D1249" s="5"/>
      <c r="E1249" s="5"/>
      <c r="F1249" s="5"/>
      <c r="G1249" s="5"/>
      <c r="H1249" s="5"/>
      <c r="I1249" s="5"/>
      <c r="J1249" s="5"/>
      <c r="K1249" s="5"/>
      <c r="L1249" s="5"/>
      <c r="M1249" s="5"/>
      <c r="N1249" s="5"/>
      <c r="O1249" s="5"/>
      <c r="P1249" s="5"/>
      <c r="Q1249" s="5"/>
      <c r="R1249" s="5"/>
      <c r="S1249" s="5"/>
      <c r="T1249" s="5"/>
      <c r="U1249" s="5"/>
      <c r="V1249" s="5"/>
      <c r="W1249" s="5"/>
    </row>
    <row r="1250">
      <c r="A1250" s="5"/>
      <c r="B1250" s="5"/>
      <c r="C1250" s="5"/>
      <c r="D1250" s="5"/>
      <c r="E1250" s="5"/>
      <c r="F1250" s="5"/>
      <c r="G1250" s="5"/>
      <c r="H1250" s="5"/>
      <c r="I1250" s="5"/>
      <c r="J1250" s="5"/>
      <c r="K1250" s="5"/>
      <c r="L1250" s="5"/>
      <c r="M1250" s="5"/>
      <c r="N1250" s="5"/>
      <c r="O1250" s="5"/>
      <c r="P1250" s="5"/>
      <c r="Q1250" s="5"/>
      <c r="R1250" s="5"/>
      <c r="S1250" s="5"/>
      <c r="T1250" s="5"/>
      <c r="U1250" s="5"/>
      <c r="V1250" s="5"/>
      <c r="W1250" s="5"/>
    </row>
    <row r="1251">
      <c r="A1251" s="5"/>
      <c r="B1251" s="5"/>
      <c r="C1251" s="5"/>
      <c r="D1251" s="5"/>
      <c r="E1251" s="5"/>
      <c r="F1251" s="5"/>
      <c r="G1251" s="5"/>
      <c r="H1251" s="5"/>
      <c r="I1251" s="5"/>
      <c r="J1251" s="5"/>
      <c r="K1251" s="5"/>
      <c r="L1251" s="5"/>
      <c r="M1251" s="5"/>
      <c r="N1251" s="5"/>
      <c r="O1251" s="5"/>
      <c r="P1251" s="5"/>
      <c r="Q1251" s="5"/>
      <c r="R1251" s="5"/>
      <c r="S1251" s="5"/>
      <c r="T1251" s="5"/>
      <c r="U1251" s="5"/>
      <c r="V1251" s="5"/>
      <c r="W1251" s="5"/>
    </row>
    <row r="1252">
      <c r="A1252" s="5"/>
      <c r="B1252" s="5"/>
      <c r="C1252" s="5"/>
      <c r="D1252" s="5"/>
      <c r="E1252" s="5"/>
      <c r="F1252" s="5"/>
      <c r="G1252" s="5"/>
      <c r="H1252" s="5"/>
      <c r="I1252" s="5"/>
      <c r="J1252" s="5"/>
      <c r="K1252" s="5"/>
      <c r="L1252" s="5"/>
      <c r="M1252" s="5"/>
      <c r="N1252" s="5"/>
      <c r="O1252" s="5"/>
      <c r="P1252" s="5"/>
      <c r="Q1252" s="5"/>
      <c r="R1252" s="5"/>
      <c r="S1252" s="5"/>
      <c r="T1252" s="5"/>
      <c r="U1252" s="5"/>
      <c r="V1252" s="5"/>
      <c r="W1252" s="5"/>
    </row>
    <row r="1253">
      <c r="A1253" s="5"/>
      <c r="B1253" s="5"/>
      <c r="C1253" s="5"/>
      <c r="D1253" s="5"/>
      <c r="E1253" s="5"/>
      <c r="F1253" s="5"/>
      <c r="G1253" s="5"/>
      <c r="H1253" s="5"/>
      <c r="I1253" s="5"/>
      <c r="J1253" s="5"/>
      <c r="K1253" s="5"/>
      <c r="L1253" s="5"/>
      <c r="M1253" s="5"/>
      <c r="N1253" s="5"/>
      <c r="O1253" s="5"/>
      <c r="P1253" s="5"/>
      <c r="Q1253" s="5"/>
      <c r="R1253" s="5"/>
      <c r="S1253" s="5"/>
      <c r="T1253" s="5"/>
      <c r="U1253" s="5"/>
      <c r="V1253" s="5"/>
      <c r="W1253" s="5"/>
    </row>
    <row r="1254">
      <c r="A1254" s="5"/>
      <c r="B1254" s="5"/>
      <c r="C1254" s="5"/>
      <c r="D1254" s="5"/>
      <c r="E1254" s="5"/>
      <c r="F1254" s="5"/>
      <c r="G1254" s="5"/>
      <c r="H1254" s="5"/>
      <c r="I1254" s="5"/>
      <c r="J1254" s="5"/>
      <c r="K1254" s="5"/>
      <c r="L1254" s="5"/>
      <c r="M1254" s="5"/>
      <c r="N1254" s="5"/>
      <c r="O1254" s="5"/>
      <c r="P1254" s="5"/>
      <c r="Q1254" s="5"/>
      <c r="R1254" s="5"/>
      <c r="S1254" s="5"/>
      <c r="T1254" s="5"/>
      <c r="U1254" s="5"/>
      <c r="V1254" s="5"/>
      <c r="W1254" s="5"/>
    </row>
    <row r="1255">
      <c r="A1255" s="5"/>
      <c r="B1255" s="5"/>
      <c r="C1255" s="5"/>
      <c r="D1255" s="5"/>
      <c r="E1255" s="5"/>
      <c r="F1255" s="5"/>
      <c r="G1255" s="5"/>
      <c r="H1255" s="5"/>
      <c r="I1255" s="5"/>
      <c r="J1255" s="5"/>
      <c r="K1255" s="5"/>
      <c r="L1255" s="5"/>
      <c r="M1255" s="5"/>
      <c r="N1255" s="5"/>
      <c r="O1255" s="5"/>
      <c r="P1255" s="5"/>
      <c r="Q1255" s="5"/>
      <c r="R1255" s="5"/>
      <c r="S1255" s="5"/>
      <c r="T1255" s="5"/>
      <c r="U1255" s="5"/>
      <c r="V1255" s="5"/>
      <c r="W1255" s="5"/>
    </row>
    <row r="1256">
      <c r="A1256" s="5"/>
      <c r="B1256" s="5"/>
      <c r="C1256" s="5"/>
      <c r="D1256" s="5"/>
      <c r="E1256" s="5"/>
      <c r="F1256" s="5"/>
      <c r="G1256" s="5"/>
      <c r="H1256" s="5"/>
      <c r="I1256" s="5"/>
      <c r="J1256" s="5"/>
      <c r="K1256" s="5"/>
      <c r="L1256" s="5"/>
      <c r="M1256" s="5"/>
      <c r="N1256" s="5"/>
      <c r="O1256" s="5"/>
      <c r="P1256" s="5"/>
      <c r="Q1256" s="5"/>
      <c r="R1256" s="5"/>
      <c r="S1256" s="5"/>
      <c r="T1256" s="5"/>
      <c r="U1256" s="5"/>
      <c r="V1256" s="5"/>
      <c r="W1256" s="5"/>
    </row>
    <row r="1257">
      <c r="A1257" s="5"/>
      <c r="B1257" s="5"/>
      <c r="C1257" s="5"/>
      <c r="D1257" s="5"/>
      <c r="E1257" s="5"/>
      <c r="F1257" s="5"/>
      <c r="G1257" s="5"/>
      <c r="H1257" s="5"/>
      <c r="I1257" s="5"/>
      <c r="J1257" s="5"/>
      <c r="K1257" s="5"/>
      <c r="L1257" s="5"/>
      <c r="M1257" s="5"/>
      <c r="N1257" s="5"/>
      <c r="O1257" s="5"/>
      <c r="P1257" s="5"/>
      <c r="Q1257" s="5"/>
      <c r="R1257" s="5"/>
      <c r="S1257" s="5"/>
      <c r="T1257" s="5"/>
      <c r="U1257" s="5"/>
      <c r="V1257" s="5"/>
      <c r="W1257" s="5"/>
    </row>
    <row r="1258">
      <c r="A1258" s="5"/>
      <c r="B1258" s="5"/>
      <c r="C1258" s="5"/>
      <c r="D1258" s="5"/>
      <c r="E1258" s="5"/>
      <c r="F1258" s="5"/>
      <c r="G1258" s="5"/>
      <c r="H1258" s="5"/>
      <c r="I1258" s="5"/>
      <c r="J1258" s="5"/>
      <c r="K1258" s="5"/>
      <c r="L1258" s="5"/>
      <c r="M1258" s="5"/>
      <c r="N1258" s="5"/>
      <c r="O1258" s="5"/>
      <c r="P1258" s="5"/>
      <c r="Q1258" s="5"/>
      <c r="R1258" s="5"/>
      <c r="S1258" s="5"/>
      <c r="T1258" s="5"/>
      <c r="U1258" s="5"/>
      <c r="V1258" s="5"/>
      <c r="W1258" s="5"/>
    </row>
    <row r="1259">
      <c r="A1259" s="5"/>
      <c r="B1259" s="5"/>
      <c r="C1259" s="5"/>
      <c r="D1259" s="5"/>
      <c r="E1259" s="5"/>
      <c r="F1259" s="5"/>
      <c r="G1259" s="5"/>
      <c r="H1259" s="5"/>
      <c r="I1259" s="5"/>
      <c r="J1259" s="5"/>
      <c r="K1259" s="5"/>
      <c r="L1259" s="5"/>
      <c r="M1259" s="5"/>
      <c r="N1259" s="5"/>
      <c r="O1259" s="5"/>
      <c r="P1259" s="5"/>
      <c r="Q1259" s="5"/>
      <c r="R1259" s="5"/>
      <c r="S1259" s="5"/>
      <c r="T1259" s="5"/>
      <c r="U1259" s="5"/>
      <c r="V1259" s="5"/>
      <c r="W1259" s="5"/>
    </row>
    <row r="1260">
      <c r="A1260" s="5"/>
      <c r="B1260" s="5"/>
      <c r="C1260" s="5"/>
      <c r="D1260" s="5"/>
      <c r="E1260" s="5"/>
      <c r="F1260" s="5"/>
      <c r="G1260" s="5"/>
      <c r="H1260" s="5"/>
      <c r="I1260" s="5"/>
      <c r="J1260" s="5"/>
      <c r="K1260" s="5"/>
      <c r="L1260" s="5"/>
      <c r="M1260" s="5"/>
      <c r="N1260" s="5"/>
      <c r="O1260" s="5"/>
      <c r="P1260" s="5"/>
      <c r="Q1260" s="5"/>
      <c r="R1260" s="5"/>
      <c r="S1260" s="5"/>
      <c r="T1260" s="5"/>
      <c r="U1260" s="5"/>
      <c r="V1260" s="5"/>
      <c r="W1260" s="5"/>
    </row>
    <row r="1261">
      <c r="A1261" s="5"/>
      <c r="B1261" s="5"/>
      <c r="C1261" s="5"/>
      <c r="D1261" s="5"/>
      <c r="E1261" s="5"/>
      <c r="F1261" s="5"/>
      <c r="G1261" s="5"/>
      <c r="H1261" s="5"/>
      <c r="I1261" s="5"/>
      <c r="J1261" s="5"/>
      <c r="K1261" s="5"/>
      <c r="L1261" s="5"/>
      <c r="M1261" s="5"/>
      <c r="N1261" s="5"/>
      <c r="O1261" s="5"/>
      <c r="P1261" s="5"/>
      <c r="Q1261" s="5"/>
      <c r="R1261" s="5"/>
      <c r="S1261" s="5"/>
      <c r="T1261" s="5"/>
      <c r="U1261" s="5"/>
      <c r="V1261" s="5"/>
      <c r="W1261" s="5"/>
    </row>
    <row r="1262">
      <c r="A1262" s="5"/>
      <c r="B1262" s="5"/>
      <c r="C1262" s="5"/>
      <c r="D1262" s="5"/>
      <c r="E1262" s="5"/>
      <c r="F1262" s="5"/>
      <c r="G1262" s="5"/>
      <c r="H1262" s="5"/>
      <c r="I1262" s="5"/>
      <c r="J1262" s="5"/>
      <c r="K1262" s="5"/>
      <c r="L1262" s="5"/>
      <c r="M1262" s="5"/>
      <c r="N1262" s="5"/>
      <c r="O1262" s="5"/>
      <c r="P1262" s="5"/>
      <c r="Q1262" s="5"/>
      <c r="R1262" s="5"/>
      <c r="S1262" s="5"/>
      <c r="T1262" s="5"/>
      <c r="U1262" s="5"/>
      <c r="V1262" s="5"/>
      <c r="W1262" s="5"/>
    </row>
    <row r="1263">
      <c r="A1263" s="5"/>
      <c r="B1263" s="5"/>
      <c r="C1263" s="5"/>
      <c r="D1263" s="5"/>
      <c r="E1263" s="5"/>
      <c r="F1263" s="5"/>
      <c r="G1263" s="5"/>
      <c r="H1263" s="5"/>
      <c r="I1263" s="5"/>
      <c r="J1263" s="5"/>
      <c r="K1263" s="5"/>
      <c r="L1263" s="5"/>
      <c r="M1263" s="5"/>
      <c r="N1263" s="5"/>
      <c r="O1263" s="5"/>
      <c r="P1263" s="5"/>
      <c r="Q1263" s="5"/>
      <c r="R1263" s="5"/>
      <c r="S1263" s="5"/>
      <c r="T1263" s="5"/>
      <c r="U1263" s="5"/>
      <c r="V1263" s="5"/>
      <c r="W1263" s="5"/>
    </row>
    <row r="1264">
      <c r="A1264" s="5"/>
      <c r="B1264" s="5"/>
      <c r="C1264" s="5"/>
      <c r="D1264" s="5"/>
      <c r="E1264" s="5"/>
      <c r="F1264" s="5"/>
      <c r="G1264" s="5"/>
      <c r="H1264" s="5"/>
      <c r="I1264" s="5"/>
      <c r="J1264" s="5"/>
      <c r="K1264" s="5"/>
      <c r="L1264" s="5"/>
      <c r="M1264" s="5"/>
      <c r="N1264" s="5"/>
      <c r="O1264" s="5"/>
      <c r="P1264" s="5"/>
      <c r="Q1264" s="5"/>
      <c r="R1264" s="5"/>
      <c r="S1264" s="5"/>
      <c r="T1264" s="5"/>
      <c r="U1264" s="5"/>
      <c r="V1264" s="5"/>
      <c r="W1264" s="5"/>
    </row>
    <row r="1265">
      <c r="A1265" s="5"/>
      <c r="B1265" s="5"/>
      <c r="C1265" s="5"/>
      <c r="D1265" s="5"/>
      <c r="E1265" s="5"/>
      <c r="F1265" s="5"/>
      <c r="G1265" s="5"/>
      <c r="H1265" s="5"/>
      <c r="I1265" s="5"/>
      <c r="J1265" s="5"/>
      <c r="K1265" s="5"/>
      <c r="L1265" s="5"/>
      <c r="M1265" s="5"/>
      <c r="N1265" s="5"/>
      <c r="O1265" s="5"/>
      <c r="P1265" s="5"/>
      <c r="Q1265" s="5"/>
      <c r="R1265" s="5"/>
      <c r="S1265" s="5"/>
      <c r="T1265" s="5"/>
      <c r="U1265" s="5"/>
      <c r="V1265" s="5"/>
      <c r="W1265" s="5"/>
    </row>
    <row r="1266">
      <c r="A1266" s="5"/>
      <c r="B1266" s="5"/>
      <c r="C1266" s="5"/>
      <c r="D1266" s="5"/>
      <c r="E1266" s="5"/>
      <c r="F1266" s="5"/>
      <c r="G1266" s="5"/>
      <c r="H1266" s="5"/>
      <c r="I1266" s="5"/>
      <c r="J1266" s="5"/>
      <c r="K1266" s="5"/>
      <c r="L1266" s="5"/>
      <c r="M1266" s="5"/>
      <c r="N1266" s="5"/>
      <c r="O1266" s="5"/>
      <c r="P1266" s="5"/>
      <c r="Q1266" s="5"/>
      <c r="R1266" s="5"/>
      <c r="S1266" s="5"/>
      <c r="T1266" s="5"/>
      <c r="U1266" s="5"/>
      <c r="V1266" s="5"/>
      <c r="W1266" s="5"/>
    </row>
    <row r="1267">
      <c r="A1267" s="5"/>
      <c r="B1267" s="5"/>
      <c r="C1267" s="5"/>
      <c r="D1267" s="5"/>
      <c r="E1267" s="5"/>
      <c r="F1267" s="5"/>
      <c r="G1267" s="5"/>
      <c r="H1267" s="5"/>
      <c r="I1267" s="5"/>
      <c r="J1267" s="5"/>
      <c r="K1267" s="5"/>
      <c r="L1267" s="5"/>
      <c r="M1267" s="5"/>
      <c r="N1267" s="5"/>
      <c r="O1267" s="5"/>
      <c r="P1267" s="5"/>
      <c r="Q1267" s="5"/>
      <c r="R1267" s="5"/>
      <c r="S1267" s="5"/>
      <c r="T1267" s="5"/>
      <c r="U1267" s="5"/>
      <c r="V1267" s="5"/>
      <c r="W1267" s="5"/>
    </row>
    <row r="1268">
      <c r="A1268" s="5"/>
      <c r="B1268" s="5"/>
      <c r="C1268" s="5"/>
      <c r="D1268" s="5"/>
      <c r="E1268" s="5"/>
      <c r="F1268" s="5"/>
      <c r="G1268" s="5"/>
      <c r="H1268" s="5"/>
      <c r="I1268" s="5"/>
      <c r="J1268" s="5"/>
      <c r="K1268" s="5"/>
      <c r="L1268" s="5"/>
      <c r="M1268" s="5"/>
      <c r="N1268" s="5"/>
      <c r="O1268" s="5"/>
      <c r="P1268" s="5"/>
      <c r="Q1268" s="5"/>
      <c r="R1268" s="5"/>
      <c r="S1268" s="5"/>
      <c r="T1268" s="5"/>
      <c r="U1268" s="5"/>
      <c r="V1268" s="5"/>
      <c r="W1268" s="5"/>
    </row>
    <row r="1269">
      <c r="A1269" s="5"/>
      <c r="B1269" s="5"/>
      <c r="C1269" s="5"/>
      <c r="D1269" s="5"/>
      <c r="E1269" s="5"/>
      <c r="F1269" s="5"/>
      <c r="G1269" s="5"/>
      <c r="H1269" s="5"/>
      <c r="I1269" s="5"/>
      <c r="J1269" s="5"/>
      <c r="K1269" s="5"/>
      <c r="L1269" s="5"/>
      <c r="M1269" s="5"/>
      <c r="N1269" s="5"/>
      <c r="O1269" s="5"/>
      <c r="P1269" s="5"/>
      <c r="Q1269" s="5"/>
      <c r="R1269" s="5"/>
      <c r="S1269" s="5"/>
      <c r="T1269" s="5"/>
      <c r="U1269" s="5"/>
      <c r="V1269" s="5"/>
      <c r="W1269" s="5"/>
    </row>
    <row r="1270">
      <c r="A1270" s="5"/>
      <c r="B1270" s="5"/>
      <c r="C1270" s="5"/>
      <c r="D1270" s="5"/>
      <c r="E1270" s="5"/>
      <c r="F1270" s="5"/>
      <c r="G1270" s="5"/>
      <c r="H1270" s="5"/>
      <c r="I1270" s="5"/>
      <c r="J1270" s="5"/>
      <c r="K1270" s="5"/>
      <c r="L1270" s="5"/>
      <c r="M1270" s="5"/>
      <c r="N1270" s="5"/>
      <c r="O1270" s="5"/>
      <c r="P1270" s="5"/>
      <c r="Q1270" s="5"/>
      <c r="R1270" s="5"/>
      <c r="S1270" s="5"/>
      <c r="T1270" s="5"/>
      <c r="U1270" s="5"/>
      <c r="V1270" s="5"/>
      <c r="W1270" s="5"/>
    </row>
    <row r="1271">
      <c r="A1271" s="5"/>
      <c r="B1271" s="5"/>
      <c r="C1271" s="5"/>
      <c r="D1271" s="5"/>
      <c r="E1271" s="5"/>
      <c r="F1271" s="5"/>
      <c r="G1271" s="5"/>
      <c r="H1271" s="5"/>
      <c r="I1271" s="5"/>
      <c r="J1271" s="5"/>
      <c r="K1271" s="5"/>
      <c r="L1271" s="5"/>
      <c r="M1271" s="5"/>
      <c r="N1271" s="5"/>
      <c r="O1271" s="5"/>
      <c r="P1271" s="5"/>
      <c r="Q1271" s="5"/>
      <c r="R1271" s="5"/>
      <c r="S1271" s="5"/>
      <c r="T1271" s="5"/>
      <c r="U1271" s="5"/>
      <c r="V1271" s="5"/>
      <c r="W1271" s="5"/>
    </row>
    <row r="1272">
      <c r="A1272" s="5"/>
      <c r="B1272" s="5"/>
      <c r="C1272" s="5"/>
      <c r="D1272" s="5"/>
      <c r="E1272" s="5"/>
      <c r="F1272" s="5"/>
      <c r="G1272" s="5"/>
      <c r="H1272" s="5"/>
      <c r="I1272" s="5"/>
      <c r="J1272" s="5"/>
      <c r="K1272" s="5"/>
      <c r="L1272" s="5"/>
      <c r="M1272" s="5"/>
      <c r="N1272" s="5"/>
      <c r="O1272" s="5"/>
      <c r="P1272" s="5"/>
      <c r="Q1272" s="5"/>
      <c r="R1272" s="5"/>
      <c r="S1272" s="5"/>
      <c r="T1272" s="5"/>
      <c r="U1272" s="5"/>
      <c r="V1272" s="5"/>
      <c r="W1272" s="5"/>
    </row>
    <row r="1273">
      <c r="A1273" s="5"/>
      <c r="B1273" s="5"/>
      <c r="C1273" s="5"/>
      <c r="D1273" s="5"/>
      <c r="E1273" s="5"/>
      <c r="F1273" s="5"/>
      <c r="G1273" s="5"/>
      <c r="H1273" s="5"/>
      <c r="I1273" s="5"/>
      <c r="J1273" s="5"/>
      <c r="K1273" s="5"/>
      <c r="L1273" s="5"/>
      <c r="M1273" s="5"/>
      <c r="N1273" s="5"/>
      <c r="O1273" s="5"/>
      <c r="P1273" s="5"/>
      <c r="Q1273" s="5"/>
      <c r="R1273" s="5"/>
      <c r="S1273" s="5"/>
      <c r="T1273" s="5"/>
      <c r="U1273" s="5"/>
      <c r="V1273" s="5"/>
      <c r="W1273" s="5"/>
    </row>
    <row r="1274">
      <c r="A1274" s="5"/>
      <c r="B1274" s="5"/>
      <c r="C1274" s="5"/>
      <c r="D1274" s="5"/>
      <c r="E1274" s="5"/>
      <c r="F1274" s="5"/>
      <c r="G1274" s="5"/>
      <c r="H1274" s="5"/>
      <c r="I1274" s="5"/>
      <c r="J1274" s="5"/>
      <c r="K1274" s="5"/>
      <c r="L1274" s="5"/>
      <c r="M1274" s="5"/>
      <c r="N1274" s="5"/>
      <c r="O1274" s="5"/>
      <c r="P1274" s="5"/>
      <c r="Q1274" s="5"/>
      <c r="R1274" s="5"/>
      <c r="S1274" s="5"/>
      <c r="T1274" s="5"/>
      <c r="U1274" s="5"/>
      <c r="V1274" s="5"/>
      <c r="W1274" s="5"/>
    </row>
    <row r="1275">
      <c r="A1275" s="5"/>
      <c r="B1275" s="5"/>
      <c r="C1275" s="5"/>
      <c r="D1275" s="5"/>
      <c r="E1275" s="5"/>
      <c r="F1275" s="5"/>
      <c r="G1275" s="5"/>
      <c r="H1275" s="5"/>
      <c r="I1275" s="5"/>
      <c r="J1275" s="5"/>
      <c r="K1275" s="5"/>
      <c r="L1275" s="5"/>
      <c r="M1275" s="5"/>
      <c r="N1275" s="5"/>
      <c r="O1275" s="5"/>
      <c r="P1275" s="5"/>
      <c r="Q1275" s="5"/>
      <c r="R1275" s="5"/>
      <c r="S1275" s="5"/>
      <c r="T1275" s="5"/>
      <c r="U1275" s="5"/>
      <c r="V1275" s="5"/>
      <c r="W1275" s="5"/>
    </row>
    <row r="1276">
      <c r="A1276" s="5"/>
      <c r="B1276" s="5"/>
      <c r="C1276" s="5"/>
      <c r="D1276" s="5"/>
      <c r="E1276" s="5"/>
      <c r="F1276" s="5"/>
      <c r="G1276" s="5"/>
      <c r="H1276" s="5"/>
      <c r="I1276" s="5"/>
      <c r="J1276" s="5"/>
      <c r="K1276" s="5"/>
      <c r="L1276" s="5"/>
      <c r="M1276" s="5"/>
      <c r="N1276" s="5"/>
      <c r="O1276" s="5"/>
      <c r="P1276" s="5"/>
      <c r="Q1276" s="5"/>
      <c r="R1276" s="5"/>
      <c r="S1276" s="5"/>
      <c r="T1276" s="5"/>
      <c r="U1276" s="5"/>
      <c r="V1276" s="5"/>
      <c r="W1276" s="5"/>
    </row>
    <row r="1277">
      <c r="A1277" s="5"/>
      <c r="B1277" s="5"/>
      <c r="C1277" s="5"/>
      <c r="D1277" s="5"/>
      <c r="E1277" s="5"/>
      <c r="F1277" s="5"/>
      <c r="G1277" s="5"/>
      <c r="H1277" s="5"/>
      <c r="I1277" s="5"/>
      <c r="J1277" s="5"/>
      <c r="K1277" s="5"/>
      <c r="L1277" s="5"/>
      <c r="M1277" s="5"/>
      <c r="N1277" s="5"/>
      <c r="O1277" s="5"/>
      <c r="P1277" s="5"/>
      <c r="Q1277" s="5"/>
      <c r="R1277" s="5"/>
      <c r="S1277" s="5"/>
      <c r="T1277" s="5"/>
      <c r="U1277" s="5"/>
      <c r="V1277" s="5"/>
      <c r="W1277" s="5"/>
    </row>
    <row r="1278">
      <c r="A1278" s="5"/>
      <c r="B1278" s="5"/>
      <c r="C1278" s="5"/>
      <c r="D1278" s="5"/>
      <c r="E1278" s="5"/>
      <c r="F1278" s="5"/>
      <c r="G1278" s="5"/>
      <c r="H1278" s="5"/>
      <c r="I1278" s="5"/>
      <c r="J1278" s="5"/>
      <c r="K1278" s="5"/>
      <c r="L1278" s="5"/>
      <c r="M1278" s="5"/>
      <c r="N1278" s="5"/>
      <c r="O1278" s="5"/>
      <c r="P1278" s="5"/>
      <c r="Q1278" s="5"/>
      <c r="R1278" s="5"/>
      <c r="S1278" s="5"/>
      <c r="T1278" s="5"/>
      <c r="U1278" s="5"/>
      <c r="V1278" s="5"/>
      <c r="W1278" s="5"/>
    </row>
    <row r="1279">
      <c r="A1279" s="5"/>
      <c r="B1279" s="5"/>
      <c r="C1279" s="5"/>
      <c r="D1279" s="5"/>
      <c r="E1279" s="5"/>
      <c r="F1279" s="5"/>
      <c r="G1279" s="5"/>
      <c r="H1279" s="5"/>
      <c r="I1279" s="5"/>
      <c r="J1279" s="5"/>
      <c r="K1279" s="5"/>
      <c r="L1279" s="5"/>
      <c r="M1279" s="5"/>
      <c r="N1279" s="5"/>
      <c r="O1279" s="5"/>
      <c r="P1279" s="5"/>
      <c r="Q1279" s="5"/>
      <c r="R1279" s="5"/>
      <c r="S1279" s="5"/>
      <c r="T1279" s="5"/>
      <c r="U1279" s="5"/>
      <c r="V1279" s="5"/>
      <c r="W1279" s="5"/>
    </row>
    <row r="1280">
      <c r="A1280" s="5"/>
      <c r="B1280" s="5"/>
      <c r="C1280" s="5"/>
      <c r="D1280" s="5"/>
      <c r="E1280" s="5"/>
      <c r="F1280" s="5"/>
      <c r="G1280" s="5"/>
      <c r="H1280" s="5"/>
      <c r="I1280" s="5"/>
      <c r="J1280" s="5"/>
      <c r="K1280" s="5"/>
      <c r="L1280" s="5"/>
      <c r="M1280" s="5"/>
      <c r="N1280" s="5"/>
      <c r="O1280" s="5"/>
      <c r="P1280" s="5"/>
      <c r="Q1280" s="5"/>
      <c r="R1280" s="5"/>
      <c r="S1280" s="5"/>
      <c r="T1280" s="5"/>
      <c r="U1280" s="5"/>
      <c r="V1280" s="5"/>
      <c r="W1280" s="5"/>
    </row>
    <row r="1281">
      <c r="A1281" s="5"/>
      <c r="B1281" s="5"/>
      <c r="C1281" s="5"/>
      <c r="D1281" s="5"/>
      <c r="E1281" s="5"/>
      <c r="F1281" s="5"/>
      <c r="G1281" s="5"/>
      <c r="H1281" s="5"/>
      <c r="I1281" s="5"/>
      <c r="J1281" s="5"/>
      <c r="K1281" s="5"/>
      <c r="L1281" s="5"/>
      <c r="M1281" s="5"/>
      <c r="N1281" s="5"/>
      <c r="O1281" s="5"/>
      <c r="P1281" s="5"/>
      <c r="Q1281" s="5"/>
      <c r="R1281" s="5"/>
      <c r="S1281" s="5"/>
      <c r="T1281" s="5"/>
      <c r="U1281" s="5"/>
      <c r="V1281" s="5"/>
      <c r="W1281" s="5"/>
    </row>
    <row r="1282">
      <c r="A1282" s="5"/>
      <c r="B1282" s="5"/>
      <c r="C1282" s="5"/>
      <c r="D1282" s="5"/>
      <c r="E1282" s="5"/>
      <c r="F1282" s="5"/>
      <c r="G1282" s="5"/>
      <c r="H1282" s="5"/>
      <c r="I1282" s="5"/>
      <c r="J1282" s="5"/>
      <c r="K1282" s="5"/>
      <c r="L1282" s="5"/>
      <c r="M1282" s="5"/>
      <c r="N1282" s="5"/>
      <c r="O1282" s="5"/>
      <c r="P1282" s="5"/>
      <c r="Q1282" s="5"/>
      <c r="R1282" s="5"/>
      <c r="S1282" s="5"/>
      <c r="T1282" s="5"/>
      <c r="U1282" s="5"/>
      <c r="V1282" s="5"/>
      <c r="W1282" s="5"/>
    </row>
    <row r="1283">
      <c r="A1283" s="5"/>
      <c r="B1283" s="5"/>
      <c r="C1283" s="5"/>
      <c r="D1283" s="5"/>
      <c r="E1283" s="5"/>
      <c r="F1283" s="5"/>
      <c r="G1283" s="5"/>
      <c r="H1283" s="5"/>
      <c r="I1283" s="5"/>
      <c r="J1283" s="5"/>
      <c r="K1283" s="5"/>
      <c r="L1283" s="5"/>
      <c r="M1283" s="5"/>
      <c r="N1283" s="5"/>
      <c r="O1283" s="5"/>
      <c r="P1283" s="5"/>
      <c r="Q1283" s="5"/>
      <c r="R1283" s="5"/>
      <c r="S1283" s="5"/>
      <c r="T1283" s="5"/>
      <c r="U1283" s="5"/>
      <c r="V1283" s="5"/>
      <c r="W1283" s="5"/>
    </row>
    <row r="1284">
      <c r="A1284" s="5"/>
      <c r="B1284" s="5"/>
      <c r="C1284" s="5"/>
      <c r="D1284" s="5"/>
      <c r="E1284" s="5"/>
      <c r="F1284" s="5"/>
      <c r="G1284" s="5"/>
      <c r="H1284" s="5"/>
      <c r="I1284" s="5"/>
      <c r="J1284" s="5"/>
      <c r="K1284" s="5"/>
      <c r="L1284" s="5"/>
      <c r="M1284" s="5"/>
      <c r="N1284" s="5"/>
      <c r="O1284" s="5"/>
      <c r="P1284" s="5"/>
      <c r="Q1284" s="5"/>
      <c r="R1284" s="5"/>
      <c r="S1284" s="5"/>
      <c r="T1284" s="5"/>
      <c r="U1284" s="5"/>
      <c r="V1284" s="5"/>
      <c r="W1284" s="5"/>
    </row>
    <row r="1285">
      <c r="A1285" s="5"/>
      <c r="B1285" s="5"/>
      <c r="C1285" s="5"/>
      <c r="D1285" s="5"/>
      <c r="E1285" s="5"/>
      <c r="F1285" s="5"/>
      <c r="G1285" s="5"/>
      <c r="H1285" s="5"/>
      <c r="I1285" s="5"/>
      <c r="J1285" s="5"/>
      <c r="K1285" s="5"/>
      <c r="L1285" s="5"/>
      <c r="M1285" s="5"/>
      <c r="N1285" s="5"/>
      <c r="O1285" s="5"/>
      <c r="P1285" s="5"/>
      <c r="Q1285" s="5"/>
      <c r="R1285" s="5"/>
      <c r="S1285" s="5"/>
      <c r="T1285" s="5"/>
      <c r="U1285" s="5"/>
      <c r="V1285" s="5"/>
      <c r="W1285" s="5"/>
    </row>
    <row r="1286">
      <c r="A1286" s="5"/>
      <c r="B1286" s="5"/>
      <c r="C1286" s="5"/>
      <c r="D1286" s="5"/>
      <c r="E1286" s="5"/>
      <c r="F1286" s="5"/>
      <c r="G1286" s="5"/>
      <c r="H1286" s="5"/>
      <c r="I1286" s="5"/>
      <c r="J1286" s="5"/>
      <c r="K1286" s="5"/>
      <c r="L1286" s="5"/>
      <c r="M1286" s="5"/>
      <c r="N1286" s="5"/>
      <c r="O1286" s="5"/>
      <c r="P1286" s="5"/>
      <c r="Q1286" s="5"/>
      <c r="R1286" s="5"/>
      <c r="S1286" s="5"/>
      <c r="T1286" s="5"/>
      <c r="U1286" s="5"/>
      <c r="V1286" s="5"/>
      <c r="W1286" s="5"/>
    </row>
    <row r="1287">
      <c r="A1287" s="5"/>
      <c r="B1287" s="5"/>
      <c r="C1287" s="5"/>
      <c r="D1287" s="5"/>
      <c r="E1287" s="5"/>
      <c r="F1287" s="5"/>
      <c r="G1287" s="5"/>
      <c r="H1287" s="5"/>
      <c r="I1287" s="5"/>
      <c r="J1287" s="5"/>
      <c r="K1287" s="5"/>
      <c r="L1287" s="5"/>
      <c r="M1287" s="5"/>
      <c r="N1287" s="5"/>
      <c r="O1287" s="5"/>
      <c r="P1287" s="5"/>
      <c r="Q1287" s="5"/>
      <c r="R1287" s="5"/>
      <c r="S1287" s="5"/>
      <c r="T1287" s="5"/>
      <c r="U1287" s="5"/>
      <c r="V1287" s="5"/>
      <c r="W1287" s="5"/>
    </row>
    <row r="1288">
      <c r="A1288" s="5"/>
      <c r="B1288" s="5"/>
      <c r="C1288" s="5"/>
      <c r="D1288" s="5"/>
      <c r="E1288" s="5"/>
      <c r="F1288" s="5"/>
      <c r="G1288" s="5"/>
      <c r="H1288" s="5"/>
      <c r="I1288" s="5"/>
      <c r="J1288" s="5"/>
      <c r="K1288" s="5"/>
      <c r="L1288" s="5"/>
      <c r="M1288" s="5"/>
      <c r="N1288" s="5"/>
      <c r="O1288" s="5"/>
      <c r="P1288" s="5"/>
      <c r="Q1288" s="5"/>
      <c r="R1288" s="5"/>
      <c r="S1288" s="5"/>
      <c r="T1288" s="5"/>
      <c r="U1288" s="5"/>
      <c r="V1288" s="5"/>
      <c r="W1288" s="5"/>
    </row>
    <row r="1289">
      <c r="A1289" s="5"/>
      <c r="B1289" s="5"/>
      <c r="C1289" s="5"/>
      <c r="D1289" s="5"/>
      <c r="E1289" s="5"/>
      <c r="F1289" s="5"/>
      <c r="G1289" s="5"/>
      <c r="H1289" s="5"/>
      <c r="I1289" s="5"/>
      <c r="J1289" s="5"/>
      <c r="K1289" s="5"/>
      <c r="L1289" s="5"/>
      <c r="M1289" s="5"/>
      <c r="N1289" s="5"/>
      <c r="O1289" s="5"/>
      <c r="P1289" s="5"/>
      <c r="Q1289" s="5"/>
      <c r="R1289" s="5"/>
      <c r="S1289" s="5"/>
      <c r="T1289" s="5"/>
      <c r="U1289" s="5"/>
      <c r="V1289" s="5"/>
      <c r="W1289" s="5"/>
    </row>
    <row r="1290">
      <c r="A1290" s="5"/>
      <c r="B1290" s="5"/>
      <c r="C1290" s="5"/>
      <c r="D1290" s="5"/>
      <c r="E1290" s="5"/>
      <c r="F1290" s="5"/>
      <c r="G1290" s="5"/>
      <c r="H1290" s="5"/>
      <c r="I1290" s="5"/>
      <c r="J1290" s="5"/>
      <c r="K1290" s="5"/>
      <c r="L1290" s="5"/>
      <c r="M1290" s="5"/>
      <c r="N1290" s="5"/>
      <c r="O1290" s="5"/>
      <c r="P1290" s="5"/>
      <c r="Q1290" s="5"/>
      <c r="R1290" s="5"/>
      <c r="S1290" s="5"/>
      <c r="T1290" s="5"/>
      <c r="U1290" s="5"/>
      <c r="V1290" s="5"/>
      <c r="W1290" s="5"/>
    </row>
    <row r="1291">
      <c r="A1291" s="5"/>
      <c r="B1291" s="5"/>
      <c r="C1291" s="5"/>
      <c r="D1291" s="5"/>
      <c r="E1291" s="5"/>
      <c r="F1291" s="5"/>
      <c r="G1291" s="5"/>
      <c r="H1291" s="5"/>
      <c r="I1291" s="5"/>
      <c r="J1291" s="5"/>
      <c r="K1291" s="5"/>
      <c r="L1291" s="5"/>
      <c r="M1291" s="5"/>
      <c r="N1291" s="5"/>
      <c r="O1291" s="5"/>
      <c r="P1291" s="5"/>
      <c r="Q1291" s="5"/>
      <c r="R1291" s="5"/>
      <c r="S1291" s="5"/>
      <c r="T1291" s="5"/>
      <c r="U1291" s="5"/>
      <c r="V1291" s="5"/>
      <c r="W1291" s="5"/>
    </row>
    <row r="1292">
      <c r="A1292" s="5"/>
      <c r="B1292" s="5"/>
      <c r="C1292" s="5"/>
      <c r="D1292" s="5"/>
      <c r="E1292" s="5"/>
      <c r="F1292" s="5"/>
      <c r="G1292" s="5"/>
      <c r="H1292" s="5"/>
      <c r="I1292" s="5"/>
      <c r="J1292" s="5"/>
      <c r="K1292" s="5"/>
      <c r="L1292" s="5"/>
      <c r="M1292" s="5"/>
      <c r="N1292" s="5"/>
      <c r="O1292" s="5"/>
      <c r="P1292" s="5"/>
      <c r="Q1292" s="5"/>
      <c r="R1292" s="5"/>
      <c r="S1292" s="5"/>
      <c r="T1292" s="5"/>
      <c r="U1292" s="5"/>
      <c r="V1292" s="5"/>
      <c r="W1292" s="5"/>
    </row>
    <row r="1293">
      <c r="A1293" s="5"/>
      <c r="B1293" s="5"/>
      <c r="C1293" s="5"/>
      <c r="D1293" s="5"/>
      <c r="E1293" s="5"/>
      <c r="F1293" s="5"/>
      <c r="G1293" s="5"/>
      <c r="H1293" s="5"/>
      <c r="I1293" s="5"/>
      <c r="J1293" s="5"/>
      <c r="K1293" s="5"/>
      <c r="L1293" s="5"/>
      <c r="M1293" s="5"/>
      <c r="N1293" s="5"/>
      <c r="O1293" s="5"/>
      <c r="P1293" s="5"/>
      <c r="Q1293" s="5"/>
      <c r="R1293" s="5"/>
      <c r="S1293" s="5"/>
      <c r="T1293" s="5"/>
      <c r="U1293" s="5"/>
      <c r="V1293" s="5"/>
      <c r="W1293" s="5"/>
    </row>
    <row r="1294">
      <c r="A1294" s="5"/>
      <c r="B1294" s="5"/>
      <c r="C1294" s="5"/>
      <c r="D1294" s="5"/>
      <c r="E1294" s="5"/>
      <c r="F1294" s="5"/>
      <c r="G1294" s="5"/>
      <c r="H1294" s="5"/>
      <c r="I1294" s="5"/>
      <c r="J1294" s="5"/>
      <c r="K1294" s="5"/>
      <c r="L1294" s="5"/>
      <c r="M1294" s="5"/>
      <c r="N1294" s="5"/>
      <c r="O1294" s="5"/>
      <c r="P1294" s="5"/>
      <c r="Q1294" s="5"/>
      <c r="R1294" s="5"/>
      <c r="S1294" s="5"/>
      <c r="T1294" s="5"/>
      <c r="U1294" s="5"/>
      <c r="V1294" s="5"/>
      <c r="W1294" s="5"/>
    </row>
    <row r="1295">
      <c r="A1295" s="5"/>
      <c r="B1295" s="5"/>
      <c r="C1295" s="5"/>
      <c r="D1295" s="5"/>
      <c r="E1295" s="5"/>
      <c r="F1295" s="5"/>
      <c r="G1295" s="5"/>
      <c r="H1295" s="5"/>
      <c r="I1295" s="5"/>
      <c r="J1295" s="5"/>
      <c r="K1295" s="5"/>
      <c r="L1295" s="5"/>
      <c r="M1295" s="5"/>
      <c r="N1295" s="5"/>
      <c r="O1295" s="5"/>
      <c r="P1295" s="5"/>
      <c r="Q1295" s="5"/>
      <c r="R1295" s="5"/>
      <c r="S1295" s="5"/>
      <c r="T1295" s="5"/>
      <c r="U1295" s="5"/>
      <c r="V1295" s="5"/>
      <c r="W1295" s="5"/>
    </row>
    <row r="1296">
      <c r="A1296" s="5"/>
      <c r="B1296" s="5"/>
      <c r="C1296" s="5"/>
      <c r="D1296" s="5"/>
      <c r="E1296" s="5"/>
      <c r="F1296" s="5"/>
      <c r="G1296" s="5"/>
      <c r="H1296" s="5"/>
      <c r="I1296" s="5"/>
      <c r="J1296" s="5"/>
      <c r="K1296" s="5"/>
      <c r="L1296" s="5"/>
      <c r="M1296" s="5"/>
      <c r="N1296" s="5"/>
      <c r="O1296" s="5"/>
      <c r="P1296" s="5"/>
      <c r="Q1296" s="5"/>
      <c r="R1296" s="5"/>
      <c r="S1296" s="5"/>
      <c r="T1296" s="5"/>
      <c r="U1296" s="5"/>
      <c r="V1296" s="5"/>
      <c r="W1296" s="5"/>
    </row>
    <row r="1297">
      <c r="A1297" s="5"/>
      <c r="B1297" s="5"/>
      <c r="C1297" s="5"/>
      <c r="D1297" s="5"/>
      <c r="E1297" s="5"/>
      <c r="F1297" s="5"/>
      <c r="G1297" s="5"/>
      <c r="H1297" s="5"/>
      <c r="I1297" s="5"/>
      <c r="J1297" s="5"/>
      <c r="K1297" s="5"/>
      <c r="L1297" s="5"/>
      <c r="M1297" s="5"/>
      <c r="N1297" s="5"/>
      <c r="O1297" s="5"/>
      <c r="P1297" s="5"/>
      <c r="Q1297" s="5"/>
      <c r="R1297" s="5"/>
      <c r="S1297" s="5"/>
      <c r="T1297" s="5"/>
      <c r="U1297" s="5"/>
      <c r="V1297" s="5"/>
      <c r="W1297" s="5"/>
    </row>
    <row r="1298">
      <c r="A1298" s="5"/>
      <c r="B1298" s="5"/>
      <c r="C1298" s="5"/>
      <c r="D1298" s="5"/>
      <c r="E1298" s="5"/>
      <c r="F1298" s="5"/>
      <c r="G1298" s="5"/>
      <c r="H1298" s="5"/>
      <c r="I1298" s="5"/>
      <c r="J1298" s="5"/>
      <c r="K1298" s="5"/>
      <c r="L1298" s="5"/>
      <c r="M1298" s="5"/>
      <c r="N1298" s="5"/>
      <c r="O1298" s="5"/>
      <c r="P1298" s="5"/>
      <c r="Q1298" s="5"/>
      <c r="R1298" s="5"/>
      <c r="S1298" s="5"/>
      <c r="T1298" s="5"/>
      <c r="U1298" s="5"/>
      <c r="V1298" s="5"/>
      <c r="W1298" s="5"/>
    </row>
    <row r="1299">
      <c r="A1299" s="5"/>
      <c r="B1299" s="5"/>
      <c r="C1299" s="5"/>
      <c r="D1299" s="5"/>
      <c r="E1299" s="5"/>
      <c r="F1299" s="5"/>
      <c r="G1299" s="5"/>
      <c r="H1299" s="5"/>
      <c r="I1299" s="5"/>
      <c r="J1299" s="5"/>
      <c r="K1299" s="5"/>
      <c r="L1299" s="5"/>
      <c r="M1299" s="5"/>
      <c r="N1299" s="5"/>
      <c r="O1299" s="5"/>
      <c r="P1299" s="5"/>
      <c r="Q1299" s="5"/>
      <c r="R1299" s="5"/>
      <c r="S1299" s="5"/>
      <c r="T1299" s="5"/>
      <c r="U1299" s="5"/>
      <c r="V1299" s="5"/>
      <c r="W1299" s="5"/>
    </row>
    <row r="1300">
      <c r="A1300" s="5"/>
      <c r="B1300" s="5"/>
      <c r="C1300" s="5"/>
      <c r="D1300" s="5"/>
      <c r="E1300" s="5"/>
      <c r="F1300" s="5"/>
      <c r="G1300" s="5"/>
      <c r="H1300" s="5"/>
      <c r="I1300" s="5"/>
      <c r="J1300" s="5"/>
      <c r="K1300" s="5"/>
      <c r="L1300" s="5"/>
      <c r="M1300" s="5"/>
      <c r="N1300" s="5"/>
      <c r="O1300" s="5"/>
      <c r="P1300" s="5"/>
      <c r="Q1300" s="5"/>
      <c r="R1300" s="5"/>
      <c r="S1300" s="5"/>
      <c r="T1300" s="5"/>
      <c r="U1300" s="5"/>
      <c r="V1300" s="5"/>
      <c r="W1300" s="5"/>
    </row>
    <row r="1301">
      <c r="A1301" s="5"/>
      <c r="B1301" s="5"/>
      <c r="C1301" s="5"/>
      <c r="D1301" s="5"/>
      <c r="E1301" s="5"/>
      <c r="F1301" s="5"/>
      <c r="G1301" s="5"/>
      <c r="H1301" s="5"/>
      <c r="I1301" s="5"/>
      <c r="J1301" s="5"/>
      <c r="K1301" s="5"/>
      <c r="L1301" s="5"/>
      <c r="M1301" s="5"/>
      <c r="N1301" s="5"/>
      <c r="O1301" s="5"/>
      <c r="P1301" s="5"/>
      <c r="Q1301" s="5"/>
      <c r="R1301" s="5"/>
      <c r="S1301" s="5"/>
      <c r="T1301" s="5"/>
      <c r="U1301" s="5"/>
      <c r="V1301" s="5"/>
      <c r="W1301" s="5"/>
    </row>
    <row r="1302">
      <c r="A1302" s="5"/>
      <c r="B1302" s="5"/>
      <c r="C1302" s="5"/>
      <c r="D1302" s="5"/>
      <c r="E1302" s="5"/>
      <c r="F1302" s="5"/>
      <c r="G1302" s="5"/>
      <c r="H1302" s="5"/>
      <c r="I1302" s="5"/>
      <c r="J1302" s="5"/>
      <c r="K1302" s="5"/>
      <c r="L1302" s="5"/>
      <c r="M1302" s="5"/>
      <c r="N1302" s="5"/>
      <c r="O1302" s="5"/>
      <c r="P1302" s="5"/>
      <c r="Q1302" s="5"/>
      <c r="R1302" s="5"/>
      <c r="S1302" s="5"/>
      <c r="T1302" s="5"/>
      <c r="U1302" s="5"/>
      <c r="V1302" s="5"/>
      <c r="W1302" s="5"/>
    </row>
    <row r="1303">
      <c r="A1303" s="5"/>
      <c r="B1303" s="5"/>
      <c r="C1303" s="5"/>
      <c r="D1303" s="5"/>
      <c r="E1303" s="5"/>
      <c r="F1303" s="5"/>
      <c r="G1303" s="5"/>
      <c r="H1303" s="5"/>
      <c r="I1303" s="5"/>
      <c r="J1303" s="5"/>
      <c r="K1303" s="5"/>
      <c r="L1303" s="5"/>
      <c r="M1303" s="5"/>
      <c r="N1303" s="5"/>
      <c r="O1303" s="5"/>
      <c r="P1303" s="5"/>
      <c r="Q1303" s="5"/>
      <c r="R1303" s="5"/>
      <c r="S1303" s="5"/>
      <c r="T1303" s="5"/>
      <c r="U1303" s="5"/>
      <c r="V1303" s="5"/>
      <c r="W1303" s="5"/>
    </row>
    <row r="1304">
      <c r="A1304" s="5"/>
      <c r="B1304" s="5"/>
      <c r="C1304" s="5"/>
      <c r="D1304" s="5"/>
      <c r="E1304" s="5"/>
      <c r="F1304" s="5"/>
      <c r="G1304" s="5"/>
      <c r="H1304" s="5"/>
      <c r="I1304" s="5"/>
      <c r="J1304" s="5"/>
      <c r="K1304" s="5"/>
      <c r="L1304" s="5"/>
      <c r="M1304" s="5"/>
      <c r="N1304" s="5"/>
      <c r="O1304" s="5"/>
      <c r="P1304" s="5"/>
      <c r="Q1304" s="5"/>
      <c r="R1304" s="5"/>
      <c r="S1304" s="5"/>
      <c r="T1304" s="5"/>
      <c r="U1304" s="5"/>
      <c r="V1304" s="5"/>
      <c r="W1304" s="5"/>
    </row>
    <row r="1305">
      <c r="A1305" s="5"/>
      <c r="B1305" s="5"/>
      <c r="C1305" s="5"/>
      <c r="D1305" s="5"/>
      <c r="E1305" s="5"/>
      <c r="F1305" s="5"/>
      <c r="G1305" s="5"/>
      <c r="H1305" s="5"/>
      <c r="I1305" s="5"/>
      <c r="J1305" s="5"/>
      <c r="K1305" s="5"/>
      <c r="L1305" s="5"/>
      <c r="M1305" s="5"/>
      <c r="N1305" s="5"/>
      <c r="O1305" s="5"/>
      <c r="P1305" s="5"/>
      <c r="Q1305" s="5"/>
      <c r="R1305" s="5"/>
      <c r="S1305" s="5"/>
      <c r="T1305" s="5"/>
      <c r="U1305" s="5"/>
      <c r="V1305" s="5"/>
      <c r="W1305" s="5"/>
    </row>
    <row r="1306">
      <c r="A1306" s="5"/>
      <c r="B1306" s="5"/>
      <c r="C1306" s="5"/>
      <c r="D1306" s="5"/>
      <c r="E1306" s="5"/>
      <c r="F1306" s="5"/>
      <c r="G1306" s="5"/>
      <c r="H1306" s="5"/>
      <c r="I1306" s="5"/>
      <c r="J1306" s="5"/>
      <c r="K1306" s="5"/>
      <c r="L1306" s="5"/>
      <c r="M1306" s="5"/>
      <c r="N1306" s="5"/>
      <c r="O1306" s="5"/>
      <c r="P1306" s="5"/>
      <c r="Q1306" s="5"/>
      <c r="R1306" s="5"/>
      <c r="S1306" s="5"/>
      <c r="T1306" s="5"/>
      <c r="U1306" s="5"/>
      <c r="V1306" s="5"/>
      <c r="W1306" s="5"/>
    </row>
    <row r="1307">
      <c r="A1307" s="5"/>
      <c r="B1307" s="5"/>
      <c r="C1307" s="5"/>
      <c r="D1307" s="5"/>
      <c r="E1307" s="5"/>
      <c r="F1307" s="5"/>
      <c r="G1307" s="5"/>
      <c r="H1307" s="5"/>
      <c r="I1307" s="5"/>
      <c r="J1307" s="5"/>
      <c r="K1307" s="5"/>
      <c r="L1307" s="5"/>
      <c r="M1307" s="5"/>
      <c r="N1307" s="5"/>
      <c r="O1307" s="5"/>
      <c r="P1307" s="5"/>
      <c r="Q1307" s="5"/>
      <c r="R1307" s="5"/>
      <c r="S1307" s="5"/>
      <c r="T1307" s="5"/>
      <c r="U1307" s="5"/>
      <c r="V1307" s="5"/>
      <c r="W1307" s="5"/>
    </row>
    <row r="1308">
      <c r="A1308" s="5"/>
      <c r="B1308" s="5"/>
      <c r="C1308" s="5"/>
      <c r="D1308" s="5"/>
      <c r="E1308" s="5"/>
      <c r="F1308" s="5"/>
      <c r="G1308" s="5"/>
      <c r="H1308" s="5"/>
      <c r="I1308" s="5"/>
      <c r="J1308" s="5"/>
      <c r="K1308" s="5"/>
      <c r="L1308" s="5"/>
      <c r="M1308" s="5"/>
      <c r="N1308" s="5"/>
      <c r="O1308" s="5"/>
      <c r="P1308" s="5"/>
      <c r="Q1308" s="5"/>
      <c r="R1308" s="5"/>
      <c r="S1308" s="5"/>
      <c r="T1308" s="5"/>
      <c r="U1308" s="5"/>
      <c r="V1308" s="5"/>
      <c r="W1308" s="5"/>
    </row>
    <row r="1309">
      <c r="A1309" s="5"/>
      <c r="B1309" s="5"/>
      <c r="C1309" s="5"/>
      <c r="D1309" s="5"/>
      <c r="E1309" s="5"/>
      <c r="F1309" s="5"/>
      <c r="G1309" s="5"/>
      <c r="H1309" s="5"/>
      <c r="I1309" s="5"/>
      <c r="J1309" s="5"/>
      <c r="K1309" s="5"/>
      <c r="L1309" s="5"/>
      <c r="M1309" s="5"/>
      <c r="N1309" s="5"/>
      <c r="O1309" s="5"/>
      <c r="P1309" s="5"/>
      <c r="Q1309" s="5"/>
      <c r="R1309" s="5"/>
      <c r="S1309" s="5"/>
      <c r="T1309" s="5"/>
      <c r="U1309" s="5"/>
      <c r="V1309" s="5"/>
      <c r="W1309" s="5"/>
    </row>
    <row r="1310">
      <c r="A1310" s="5"/>
      <c r="B1310" s="5"/>
      <c r="C1310" s="5"/>
      <c r="D1310" s="5"/>
      <c r="E1310" s="5"/>
      <c r="F1310" s="5"/>
      <c r="G1310" s="5"/>
      <c r="H1310" s="5"/>
      <c r="I1310" s="5"/>
      <c r="J1310" s="5"/>
      <c r="K1310" s="5"/>
      <c r="L1310" s="5"/>
      <c r="M1310" s="5"/>
      <c r="N1310" s="5"/>
      <c r="O1310" s="5"/>
      <c r="P1310" s="5"/>
      <c r="Q1310" s="5"/>
      <c r="R1310" s="5"/>
      <c r="S1310" s="5"/>
      <c r="T1310" s="5"/>
      <c r="U1310" s="5"/>
      <c r="V1310" s="5"/>
      <c r="W1310" s="5"/>
    </row>
    <row r="1311">
      <c r="A1311" s="5"/>
      <c r="B1311" s="5"/>
      <c r="C1311" s="5"/>
      <c r="D1311" s="5"/>
      <c r="E1311" s="5"/>
      <c r="F1311" s="5"/>
      <c r="G1311" s="5"/>
      <c r="H1311" s="5"/>
      <c r="I1311" s="5"/>
      <c r="J1311" s="5"/>
      <c r="K1311" s="5"/>
      <c r="L1311" s="5"/>
      <c r="M1311" s="5"/>
      <c r="N1311" s="5"/>
      <c r="O1311" s="5"/>
      <c r="P1311" s="5"/>
      <c r="Q1311" s="5"/>
      <c r="R1311" s="5"/>
      <c r="S1311" s="5"/>
      <c r="T1311" s="5"/>
      <c r="U1311" s="5"/>
      <c r="V1311" s="5"/>
      <c r="W1311" s="5"/>
    </row>
    <row r="1312">
      <c r="A1312" s="5"/>
      <c r="B1312" s="5"/>
      <c r="C1312" s="5"/>
      <c r="D1312" s="5"/>
      <c r="E1312" s="5"/>
      <c r="F1312" s="5"/>
      <c r="G1312" s="5"/>
      <c r="H1312" s="5"/>
      <c r="I1312" s="5"/>
      <c r="J1312" s="5"/>
      <c r="K1312" s="5"/>
      <c r="L1312" s="5"/>
      <c r="M1312" s="5"/>
      <c r="N1312" s="5"/>
      <c r="O1312" s="5"/>
      <c r="P1312" s="5"/>
      <c r="Q1312" s="5"/>
      <c r="R1312" s="5"/>
      <c r="S1312" s="5"/>
      <c r="T1312" s="5"/>
      <c r="U1312" s="5"/>
      <c r="V1312" s="5"/>
      <c r="W1312" s="5"/>
    </row>
    <row r="1313">
      <c r="A1313" s="5"/>
      <c r="B1313" s="5"/>
      <c r="C1313" s="5"/>
      <c r="D1313" s="5"/>
      <c r="E1313" s="5"/>
      <c r="F1313" s="5"/>
      <c r="G1313" s="5"/>
      <c r="H1313" s="5"/>
      <c r="I1313" s="5"/>
      <c r="J1313" s="5"/>
      <c r="K1313" s="5"/>
      <c r="L1313" s="5"/>
      <c r="M1313" s="5"/>
      <c r="N1313" s="5"/>
      <c r="O1313" s="5"/>
      <c r="P1313" s="5"/>
      <c r="Q1313" s="5"/>
      <c r="R1313" s="5"/>
      <c r="S1313" s="5"/>
      <c r="T1313" s="5"/>
      <c r="U1313" s="5"/>
      <c r="V1313" s="5"/>
      <c r="W1313" s="5"/>
    </row>
    <row r="1314">
      <c r="A1314" s="5"/>
      <c r="B1314" s="5"/>
      <c r="C1314" s="5"/>
      <c r="D1314" s="5"/>
      <c r="E1314" s="5"/>
      <c r="F1314" s="5"/>
      <c r="G1314" s="5"/>
      <c r="H1314" s="5"/>
      <c r="I1314" s="5"/>
      <c r="J1314" s="5"/>
      <c r="K1314" s="5"/>
      <c r="L1314" s="5"/>
      <c r="M1314" s="5"/>
      <c r="N1314" s="5"/>
      <c r="O1314" s="5"/>
      <c r="P1314" s="5"/>
      <c r="Q1314" s="5"/>
      <c r="R1314" s="5"/>
      <c r="S1314" s="5"/>
      <c r="T1314" s="5"/>
      <c r="U1314" s="5"/>
      <c r="V1314" s="5"/>
      <c r="W1314" s="5"/>
    </row>
    <row r="1315">
      <c r="A1315" s="5"/>
      <c r="B1315" s="5"/>
      <c r="C1315" s="5"/>
      <c r="D1315" s="5"/>
      <c r="E1315" s="5"/>
      <c r="F1315" s="5"/>
      <c r="G1315" s="5"/>
      <c r="H1315" s="5"/>
      <c r="I1315" s="5"/>
      <c r="J1315" s="5"/>
      <c r="K1315" s="5"/>
      <c r="L1315" s="5"/>
      <c r="M1315" s="5"/>
      <c r="N1315" s="5"/>
      <c r="O1315" s="5"/>
      <c r="P1315" s="5"/>
      <c r="Q1315" s="5"/>
      <c r="R1315" s="5"/>
      <c r="S1315" s="5"/>
      <c r="T1315" s="5"/>
      <c r="U1315" s="5"/>
      <c r="V1315" s="5"/>
      <c r="W1315" s="5"/>
    </row>
    <row r="1316">
      <c r="A1316" s="5"/>
      <c r="B1316" s="5"/>
      <c r="C1316" s="5"/>
      <c r="D1316" s="5"/>
      <c r="E1316" s="5"/>
      <c r="F1316" s="5"/>
      <c r="G1316" s="5"/>
      <c r="H1316" s="5"/>
      <c r="I1316" s="5"/>
      <c r="J1316" s="5"/>
      <c r="K1316" s="5"/>
      <c r="L1316" s="5"/>
      <c r="M1316" s="5"/>
      <c r="N1316" s="5"/>
      <c r="O1316" s="5"/>
      <c r="P1316" s="5"/>
      <c r="Q1316" s="5"/>
      <c r="R1316" s="5"/>
      <c r="S1316" s="5"/>
      <c r="T1316" s="5"/>
      <c r="U1316" s="5"/>
      <c r="V1316" s="5"/>
      <c r="W1316" s="5"/>
    </row>
    <row r="1317">
      <c r="A1317" s="5"/>
      <c r="B1317" s="5"/>
      <c r="C1317" s="5"/>
      <c r="D1317" s="5"/>
      <c r="E1317" s="5"/>
      <c r="F1317" s="5"/>
      <c r="G1317" s="5"/>
      <c r="H1317" s="5"/>
      <c r="I1317" s="5"/>
      <c r="J1317" s="5"/>
      <c r="K1317" s="5"/>
      <c r="L1317" s="5"/>
      <c r="M1317" s="5"/>
      <c r="N1317" s="5"/>
      <c r="O1317" s="5"/>
      <c r="P1317" s="5"/>
      <c r="Q1317" s="5"/>
      <c r="R1317" s="5"/>
      <c r="S1317" s="5"/>
      <c r="T1317" s="5"/>
      <c r="U1317" s="5"/>
      <c r="V1317" s="5"/>
      <c r="W1317" s="5"/>
    </row>
    <row r="1318">
      <c r="A1318" s="5"/>
      <c r="B1318" s="5"/>
      <c r="C1318" s="5"/>
      <c r="D1318" s="5"/>
      <c r="E1318" s="5"/>
      <c r="F1318" s="5"/>
      <c r="G1318" s="5"/>
      <c r="H1318" s="5"/>
      <c r="I1318" s="5"/>
      <c r="J1318" s="5"/>
      <c r="K1318" s="5"/>
      <c r="L1318" s="5"/>
      <c r="M1318" s="5"/>
      <c r="N1318" s="5"/>
      <c r="O1318" s="5"/>
      <c r="P1318" s="5"/>
      <c r="Q1318" s="5"/>
      <c r="R1318" s="5"/>
      <c r="S1318" s="5"/>
      <c r="T1318" s="5"/>
      <c r="U1318" s="5"/>
      <c r="V1318" s="5"/>
      <c r="W1318" s="5"/>
    </row>
    <row r="1319">
      <c r="A1319" s="5"/>
      <c r="B1319" s="5"/>
      <c r="C1319" s="5"/>
      <c r="D1319" s="5"/>
      <c r="E1319" s="5"/>
      <c r="F1319" s="5"/>
      <c r="G1319" s="5"/>
      <c r="H1319" s="5"/>
      <c r="I1319" s="5"/>
      <c r="J1319" s="5"/>
      <c r="K1319" s="5"/>
      <c r="L1319" s="5"/>
      <c r="M1319" s="5"/>
      <c r="N1319" s="5"/>
      <c r="O1319" s="5"/>
      <c r="P1319" s="5"/>
      <c r="Q1319" s="5"/>
      <c r="R1319" s="5"/>
      <c r="S1319" s="5"/>
      <c r="T1319" s="5"/>
      <c r="U1319" s="5"/>
      <c r="V1319" s="5"/>
      <c r="W1319" s="5"/>
    </row>
    <row r="1320">
      <c r="A1320" s="5"/>
      <c r="B1320" s="5"/>
      <c r="C1320" s="5"/>
      <c r="D1320" s="5"/>
      <c r="E1320" s="5"/>
      <c r="F1320" s="5"/>
      <c r="G1320" s="5"/>
      <c r="H1320" s="5"/>
      <c r="I1320" s="5"/>
      <c r="J1320" s="5"/>
      <c r="K1320" s="5"/>
      <c r="L1320" s="5"/>
      <c r="M1320" s="5"/>
      <c r="N1320" s="5"/>
      <c r="O1320" s="5"/>
      <c r="P1320" s="5"/>
      <c r="Q1320" s="5"/>
      <c r="R1320" s="5"/>
      <c r="S1320" s="5"/>
      <c r="T1320" s="5"/>
      <c r="U1320" s="5"/>
      <c r="V1320" s="5"/>
      <c r="W1320" s="5"/>
    </row>
    <row r="1321">
      <c r="A1321" s="5"/>
      <c r="B1321" s="5"/>
      <c r="C1321" s="5"/>
      <c r="D1321" s="5"/>
      <c r="E1321" s="5"/>
      <c r="F1321" s="5"/>
      <c r="G1321" s="5"/>
      <c r="H1321" s="5"/>
      <c r="I1321" s="5"/>
      <c r="J1321" s="5"/>
      <c r="K1321" s="5"/>
      <c r="L1321" s="5"/>
      <c r="M1321" s="5"/>
      <c r="N1321" s="5"/>
      <c r="O1321" s="5"/>
      <c r="P1321" s="5"/>
      <c r="Q1321" s="5"/>
      <c r="R1321" s="5"/>
      <c r="S1321" s="5"/>
      <c r="T1321" s="5"/>
      <c r="U1321" s="5"/>
      <c r="V1321" s="5"/>
      <c r="W1321" s="5"/>
    </row>
    <row r="1322">
      <c r="A1322" s="5"/>
      <c r="B1322" s="5"/>
      <c r="C1322" s="5"/>
      <c r="D1322" s="5"/>
      <c r="E1322" s="5"/>
      <c r="F1322" s="5"/>
      <c r="G1322" s="5"/>
      <c r="H1322" s="5"/>
      <c r="I1322" s="5"/>
      <c r="J1322" s="5"/>
      <c r="K1322" s="5"/>
      <c r="L1322" s="5"/>
      <c r="M1322" s="5"/>
      <c r="N1322" s="5"/>
      <c r="O1322" s="5"/>
      <c r="P1322" s="5"/>
      <c r="Q1322" s="5"/>
      <c r="R1322" s="5"/>
      <c r="S1322" s="5"/>
      <c r="T1322" s="5"/>
      <c r="U1322" s="5"/>
      <c r="V1322" s="5"/>
      <c r="W1322" s="5"/>
    </row>
    <row r="1323">
      <c r="A1323" s="5"/>
      <c r="B1323" s="5"/>
      <c r="C1323" s="5"/>
      <c r="D1323" s="5"/>
      <c r="E1323" s="5"/>
      <c r="F1323" s="5"/>
      <c r="G1323" s="5"/>
      <c r="H1323" s="5"/>
      <c r="I1323" s="5"/>
      <c r="J1323" s="5"/>
      <c r="K1323" s="5"/>
      <c r="L1323" s="5"/>
      <c r="M1323" s="5"/>
      <c r="N1323" s="5"/>
      <c r="O1323" s="5"/>
      <c r="P1323" s="5"/>
      <c r="Q1323" s="5"/>
      <c r="R1323" s="5"/>
      <c r="S1323" s="5"/>
      <c r="T1323" s="5"/>
      <c r="U1323" s="5"/>
      <c r="V1323" s="5"/>
      <c r="W1323" s="5"/>
    </row>
    <row r="1324">
      <c r="A1324" s="5"/>
      <c r="B1324" s="5"/>
      <c r="C1324" s="5"/>
      <c r="D1324" s="5"/>
      <c r="E1324" s="5"/>
      <c r="F1324" s="5"/>
      <c r="G1324" s="5"/>
      <c r="H1324" s="5"/>
      <c r="I1324" s="5"/>
      <c r="J1324" s="5"/>
      <c r="K1324" s="5"/>
      <c r="L1324" s="5"/>
      <c r="M1324" s="5"/>
      <c r="N1324" s="5"/>
      <c r="O1324" s="5"/>
      <c r="P1324" s="5"/>
      <c r="Q1324" s="5"/>
      <c r="R1324" s="5"/>
      <c r="S1324" s="5"/>
      <c r="T1324" s="5"/>
      <c r="U1324" s="5"/>
      <c r="V1324" s="5"/>
      <c r="W1324" s="5"/>
    </row>
    <row r="1325">
      <c r="A1325" s="5"/>
      <c r="B1325" s="5"/>
      <c r="C1325" s="5"/>
      <c r="D1325" s="5"/>
      <c r="E1325" s="5"/>
      <c r="F1325" s="5"/>
      <c r="G1325" s="5"/>
      <c r="H1325" s="5"/>
      <c r="I1325" s="5"/>
      <c r="J1325" s="5"/>
      <c r="K1325" s="5"/>
      <c r="L1325" s="5"/>
      <c r="M1325" s="5"/>
      <c r="N1325" s="5"/>
      <c r="O1325" s="5"/>
      <c r="P1325" s="5"/>
      <c r="Q1325" s="5"/>
      <c r="R1325" s="5"/>
      <c r="S1325" s="5"/>
      <c r="T1325" s="5"/>
      <c r="U1325" s="5"/>
      <c r="V1325" s="5"/>
      <c r="W1325" s="5"/>
    </row>
    <row r="1326">
      <c r="A1326" s="5"/>
      <c r="B1326" s="5"/>
      <c r="C1326" s="5"/>
      <c r="D1326" s="5"/>
      <c r="E1326" s="5"/>
      <c r="F1326" s="5"/>
      <c r="G1326" s="5"/>
      <c r="H1326" s="5"/>
      <c r="I1326" s="5"/>
      <c r="J1326" s="5"/>
      <c r="K1326" s="5"/>
      <c r="L1326" s="5"/>
      <c r="M1326" s="5"/>
      <c r="N1326" s="5"/>
      <c r="O1326" s="5"/>
      <c r="P1326" s="5"/>
      <c r="Q1326" s="5"/>
      <c r="R1326" s="5"/>
      <c r="S1326" s="5"/>
      <c r="T1326" s="5"/>
      <c r="U1326" s="5"/>
      <c r="V1326" s="5"/>
      <c r="W1326" s="5"/>
    </row>
    <row r="1327">
      <c r="A1327" s="5"/>
      <c r="B1327" s="5"/>
      <c r="C1327" s="5"/>
      <c r="D1327" s="5"/>
      <c r="E1327" s="5"/>
      <c r="F1327" s="5"/>
      <c r="G1327" s="5"/>
      <c r="H1327" s="5"/>
      <c r="I1327" s="5"/>
      <c r="J1327" s="5"/>
      <c r="K1327" s="5"/>
      <c r="L1327" s="5"/>
      <c r="M1327" s="5"/>
      <c r="N1327" s="5"/>
      <c r="O1327" s="5"/>
      <c r="P1327" s="5"/>
      <c r="Q1327" s="5"/>
      <c r="R1327" s="5"/>
      <c r="S1327" s="5"/>
      <c r="T1327" s="5"/>
      <c r="U1327" s="5"/>
      <c r="V1327" s="5"/>
      <c r="W1327" s="5"/>
    </row>
    <row r="1328">
      <c r="A1328" s="5"/>
      <c r="B1328" s="5"/>
      <c r="C1328" s="5"/>
      <c r="D1328" s="5"/>
      <c r="E1328" s="5"/>
      <c r="F1328" s="5"/>
      <c r="G1328" s="5"/>
      <c r="H1328" s="5"/>
      <c r="I1328" s="5"/>
      <c r="J1328" s="5"/>
      <c r="K1328" s="5"/>
      <c r="L1328" s="5"/>
      <c r="M1328" s="5"/>
      <c r="N1328" s="5"/>
      <c r="O1328" s="5"/>
      <c r="P1328" s="5"/>
      <c r="Q1328" s="5"/>
      <c r="R1328" s="5"/>
      <c r="S1328" s="5"/>
      <c r="T1328" s="5"/>
      <c r="U1328" s="5"/>
      <c r="V1328" s="5"/>
      <c r="W1328" s="5"/>
    </row>
    <row r="1329">
      <c r="A1329" s="5"/>
      <c r="B1329" s="5"/>
      <c r="C1329" s="5"/>
      <c r="D1329" s="5"/>
      <c r="E1329" s="5"/>
      <c r="F1329" s="5"/>
      <c r="G1329" s="5"/>
      <c r="H1329" s="5"/>
      <c r="I1329" s="5"/>
      <c r="J1329" s="5"/>
      <c r="K1329" s="5"/>
      <c r="L1329" s="5"/>
      <c r="M1329" s="5"/>
      <c r="N1329" s="5"/>
      <c r="O1329" s="5"/>
      <c r="P1329" s="5"/>
      <c r="Q1329" s="5"/>
      <c r="R1329" s="5"/>
      <c r="S1329" s="5"/>
      <c r="T1329" s="5"/>
      <c r="U1329" s="5"/>
      <c r="V1329" s="5"/>
      <c r="W1329" s="5"/>
    </row>
    <row r="1330">
      <c r="A1330" s="5"/>
      <c r="B1330" s="5"/>
      <c r="C1330" s="5"/>
      <c r="D1330" s="5"/>
      <c r="E1330" s="5"/>
      <c r="F1330" s="5"/>
      <c r="G1330" s="5"/>
      <c r="H1330" s="5"/>
      <c r="I1330" s="5"/>
      <c r="J1330" s="5"/>
      <c r="K1330" s="5"/>
      <c r="L1330" s="5"/>
      <c r="M1330" s="5"/>
      <c r="N1330" s="5"/>
      <c r="O1330" s="5"/>
      <c r="P1330" s="5"/>
      <c r="Q1330" s="5"/>
      <c r="R1330" s="5"/>
      <c r="S1330" s="5"/>
      <c r="T1330" s="5"/>
      <c r="U1330" s="5"/>
      <c r="V1330" s="5"/>
      <c r="W1330" s="5"/>
    </row>
    <row r="1331">
      <c r="A1331" s="5"/>
      <c r="B1331" s="5"/>
      <c r="C1331" s="5"/>
      <c r="D1331" s="5"/>
      <c r="E1331" s="5"/>
      <c r="F1331" s="5"/>
      <c r="G1331" s="5"/>
      <c r="H1331" s="5"/>
      <c r="I1331" s="5"/>
      <c r="J1331" s="5"/>
      <c r="K1331" s="5"/>
      <c r="L1331" s="5"/>
      <c r="M1331" s="5"/>
      <c r="N1331" s="5"/>
      <c r="O1331" s="5"/>
      <c r="P1331" s="5"/>
      <c r="Q1331" s="5"/>
      <c r="R1331" s="5"/>
      <c r="S1331" s="5"/>
      <c r="T1331" s="5"/>
      <c r="U1331" s="5"/>
      <c r="V1331" s="5"/>
      <c r="W1331" s="5"/>
    </row>
    <row r="1332">
      <c r="A1332" s="5"/>
      <c r="B1332" s="5"/>
      <c r="C1332" s="5"/>
      <c r="D1332" s="5"/>
      <c r="E1332" s="5"/>
      <c r="F1332" s="5"/>
      <c r="G1332" s="5"/>
      <c r="H1332" s="5"/>
      <c r="I1332" s="5"/>
      <c r="J1332" s="5"/>
      <c r="K1332" s="5"/>
      <c r="L1332" s="5"/>
      <c r="M1332" s="5"/>
      <c r="N1332" s="5"/>
      <c r="O1332" s="5"/>
      <c r="P1332" s="5"/>
      <c r="Q1332" s="5"/>
      <c r="R1332" s="5"/>
      <c r="S1332" s="5"/>
      <c r="T1332" s="5"/>
      <c r="U1332" s="5"/>
      <c r="V1332" s="5"/>
      <c r="W1332" s="5"/>
    </row>
    <row r="1333">
      <c r="A1333" s="5"/>
      <c r="B1333" s="5"/>
      <c r="C1333" s="5"/>
      <c r="D1333" s="5"/>
      <c r="E1333" s="5"/>
      <c r="F1333" s="5"/>
      <c r="G1333" s="5"/>
      <c r="H1333" s="5"/>
      <c r="I1333" s="5"/>
      <c r="J1333" s="5"/>
      <c r="K1333" s="5"/>
      <c r="L1333" s="5"/>
      <c r="M1333" s="5"/>
      <c r="N1333" s="5"/>
      <c r="O1333" s="5"/>
      <c r="P1333" s="5"/>
      <c r="Q1333" s="5"/>
      <c r="R1333" s="5"/>
      <c r="S1333" s="5"/>
      <c r="T1333" s="5"/>
      <c r="U1333" s="5"/>
      <c r="V1333" s="5"/>
      <c r="W1333" s="5"/>
    </row>
    <row r="1334">
      <c r="A1334" s="5"/>
      <c r="B1334" s="5"/>
      <c r="C1334" s="5"/>
      <c r="D1334" s="5"/>
      <c r="E1334" s="5"/>
      <c r="F1334" s="5"/>
      <c r="G1334" s="5"/>
      <c r="H1334" s="5"/>
      <c r="I1334" s="5"/>
      <c r="J1334" s="5"/>
      <c r="K1334" s="5"/>
      <c r="L1334" s="5"/>
      <c r="M1334" s="5"/>
      <c r="N1334" s="5"/>
      <c r="O1334" s="5"/>
      <c r="P1334" s="5"/>
      <c r="Q1334" s="5"/>
      <c r="R1334" s="5"/>
      <c r="S1334" s="5"/>
      <c r="T1334" s="5"/>
      <c r="U1334" s="5"/>
      <c r="V1334" s="5"/>
      <c r="W1334" s="5"/>
    </row>
    <row r="1335">
      <c r="A1335" s="5"/>
      <c r="B1335" s="5"/>
      <c r="C1335" s="5"/>
      <c r="D1335" s="5"/>
      <c r="E1335" s="5"/>
      <c r="F1335" s="5"/>
      <c r="G1335" s="5"/>
      <c r="H1335" s="5"/>
      <c r="I1335" s="5"/>
      <c r="J1335" s="5"/>
      <c r="K1335" s="5"/>
      <c r="L1335" s="5"/>
      <c r="M1335" s="5"/>
      <c r="N1335" s="5"/>
      <c r="O1335" s="5"/>
      <c r="P1335" s="5"/>
      <c r="Q1335" s="5"/>
      <c r="R1335" s="5"/>
      <c r="S1335" s="5"/>
      <c r="T1335" s="5"/>
      <c r="U1335" s="5"/>
      <c r="V1335" s="5"/>
      <c r="W1335" s="5"/>
    </row>
    <row r="1336">
      <c r="A1336" s="5"/>
      <c r="B1336" s="5"/>
      <c r="C1336" s="5"/>
      <c r="D1336" s="5"/>
      <c r="E1336" s="5"/>
      <c r="F1336" s="5"/>
      <c r="G1336" s="5"/>
      <c r="H1336" s="5"/>
      <c r="I1336" s="5"/>
      <c r="J1336" s="5"/>
      <c r="K1336" s="5"/>
      <c r="L1336" s="5"/>
      <c r="M1336" s="5"/>
      <c r="N1336" s="5"/>
      <c r="O1336" s="5"/>
      <c r="P1336" s="5"/>
      <c r="Q1336" s="5"/>
      <c r="R1336" s="5"/>
      <c r="S1336" s="5"/>
      <c r="T1336" s="5"/>
      <c r="U1336" s="5"/>
      <c r="V1336" s="5"/>
      <c r="W1336" s="5"/>
    </row>
    <row r="1337">
      <c r="A1337" s="5"/>
      <c r="B1337" s="5"/>
      <c r="C1337" s="5"/>
      <c r="D1337" s="5"/>
      <c r="E1337" s="5"/>
      <c r="F1337" s="5"/>
      <c r="G1337" s="5"/>
      <c r="H1337" s="5"/>
      <c r="I1337" s="5"/>
      <c r="J1337" s="5"/>
      <c r="K1337" s="5"/>
      <c r="L1337" s="5"/>
      <c r="M1337" s="5"/>
      <c r="N1337" s="5"/>
      <c r="O1337" s="5"/>
      <c r="P1337" s="5"/>
      <c r="Q1337" s="5"/>
      <c r="R1337" s="5"/>
      <c r="S1337" s="5"/>
      <c r="T1337" s="5"/>
      <c r="U1337" s="5"/>
      <c r="V1337" s="5"/>
      <c r="W1337" s="5"/>
    </row>
    <row r="1338">
      <c r="A1338" s="5"/>
      <c r="B1338" s="5"/>
      <c r="C1338" s="5"/>
      <c r="D1338" s="5"/>
      <c r="E1338" s="5"/>
      <c r="F1338" s="5"/>
      <c r="G1338" s="5"/>
      <c r="H1338" s="5"/>
      <c r="I1338" s="5"/>
      <c r="J1338" s="5"/>
      <c r="K1338" s="5"/>
      <c r="L1338" s="5"/>
      <c r="M1338" s="5"/>
      <c r="N1338" s="5"/>
      <c r="O1338" s="5"/>
      <c r="P1338" s="5"/>
      <c r="Q1338" s="5"/>
      <c r="R1338" s="5"/>
      <c r="S1338" s="5"/>
      <c r="T1338" s="5"/>
      <c r="U1338" s="5"/>
      <c r="V1338" s="5"/>
      <c r="W1338" s="5"/>
    </row>
    <row r="1339">
      <c r="A1339" s="5"/>
      <c r="B1339" s="5"/>
      <c r="C1339" s="5"/>
      <c r="D1339" s="5"/>
      <c r="E1339" s="5"/>
      <c r="F1339" s="5"/>
      <c r="G1339" s="5"/>
      <c r="H1339" s="5"/>
      <c r="I1339" s="5"/>
      <c r="J1339" s="5"/>
      <c r="K1339" s="5"/>
      <c r="L1339" s="5"/>
      <c r="M1339" s="5"/>
      <c r="N1339" s="5"/>
      <c r="O1339" s="5"/>
      <c r="P1339" s="5"/>
      <c r="Q1339" s="5"/>
      <c r="R1339" s="5"/>
      <c r="S1339" s="5"/>
      <c r="T1339" s="5"/>
      <c r="U1339" s="5"/>
      <c r="V1339" s="5"/>
      <c r="W1339" s="5"/>
    </row>
    <row r="1340">
      <c r="A1340" s="5"/>
      <c r="B1340" s="5"/>
      <c r="C1340" s="5"/>
      <c r="D1340" s="5"/>
      <c r="E1340" s="5"/>
      <c r="F1340" s="5"/>
      <c r="G1340" s="5"/>
      <c r="H1340" s="5"/>
      <c r="I1340" s="5"/>
      <c r="J1340" s="5"/>
      <c r="K1340" s="5"/>
      <c r="L1340" s="5"/>
      <c r="M1340" s="5"/>
      <c r="N1340" s="5"/>
      <c r="O1340" s="5"/>
      <c r="P1340" s="5"/>
      <c r="Q1340" s="5"/>
      <c r="R1340" s="5"/>
      <c r="S1340" s="5"/>
      <c r="T1340" s="5"/>
      <c r="U1340" s="5"/>
      <c r="V1340" s="5"/>
      <c r="W1340" s="5"/>
    </row>
    <row r="1341">
      <c r="A1341" s="5"/>
      <c r="B1341" s="5"/>
      <c r="C1341" s="5"/>
      <c r="D1341" s="5"/>
      <c r="E1341" s="5"/>
      <c r="F1341" s="5"/>
      <c r="G1341" s="5"/>
      <c r="H1341" s="5"/>
      <c r="I1341" s="5"/>
      <c r="J1341" s="5"/>
      <c r="K1341" s="5"/>
      <c r="L1341" s="5"/>
      <c r="M1341" s="5"/>
      <c r="N1341" s="5"/>
      <c r="O1341" s="5"/>
      <c r="P1341" s="5"/>
      <c r="Q1341" s="5"/>
      <c r="R1341" s="5"/>
      <c r="S1341" s="5"/>
      <c r="T1341" s="5"/>
      <c r="U1341" s="5"/>
      <c r="V1341" s="5"/>
      <c r="W1341" s="5"/>
    </row>
    <row r="1342">
      <c r="A1342" s="5"/>
      <c r="B1342" s="5"/>
      <c r="C1342" s="5"/>
      <c r="D1342" s="5"/>
      <c r="E1342" s="5"/>
      <c r="F1342" s="5"/>
      <c r="G1342" s="5"/>
      <c r="H1342" s="5"/>
      <c r="I1342" s="5"/>
      <c r="J1342" s="5"/>
      <c r="K1342" s="5"/>
      <c r="L1342" s="5"/>
      <c r="M1342" s="5"/>
      <c r="N1342" s="5"/>
      <c r="O1342" s="5"/>
      <c r="P1342" s="5"/>
      <c r="Q1342" s="5"/>
      <c r="R1342" s="5"/>
      <c r="S1342" s="5"/>
      <c r="T1342" s="5"/>
      <c r="U1342" s="5"/>
      <c r="V1342" s="5"/>
      <c r="W1342" s="5"/>
    </row>
    <row r="1343">
      <c r="A1343" s="5"/>
      <c r="B1343" s="5"/>
      <c r="C1343" s="5"/>
      <c r="D1343" s="5"/>
      <c r="E1343" s="5"/>
      <c r="F1343" s="5"/>
      <c r="G1343" s="5"/>
      <c r="H1343" s="5"/>
      <c r="I1343" s="5"/>
      <c r="J1343" s="5"/>
      <c r="K1343" s="5"/>
      <c r="L1343" s="5"/>
      <c r="M1343" s="5"/>
      <c r="N1343" s="5"/>
      <c r="O1343" s="5"/>
      <c r="P1343" s="5"/>
      <c r="Q1343" s="5"/>
      <c r="R1343" s="5"/>
      <c r="S1343" s="5"/>
      <c r="T1343" s="5"/>
      <c r="U1343" s="5"/>
      <c r="V1343" s="5"/>
      <c r="W1343" s="5"/>
    </row>
    <row r="1344">
      <c r="A1344" s="5"/>
      <c r="B1344" s="5"/>
      <c r="C1344" s="5"/>
      <c r="D1344" s="5"/>
      <c r="E1344" s="5"/>
      <c r="F1344" s="5"/>
      <c r="G1344" s="5"/>
      <c r="H1344" s="5"/>
      <c r="I1344" s="5"/>
      <c r="J1344" s="5"/>
      <c r="K1344" s="5"/>
      <c r="L1344" s="5"/>
      <c r="M1344" s="5"/>
      <c r="N1344" s="5"/>
      <c r="O1344" s="5"/>
      <c r="P1344" s="5"/>
      <c r="Q1344" s="5"/>
      <c r="R1344" s="5"/>
      <c r="S1344" s="5"/>
      <c r="T1344" s="5"/>
      <c r="U1344" s="5"/>
      <c r="V1344" s="5"/>
      <c r="W1344" s="5"/>
    </row>
    <row r="1345">
      <c r="A1345" s="5"/>
      <c r="B1345" s="5"/>
      <c r="C1345" s="5"/>
      <c r="D1345" s="5"/>
      <c r="E1345" s="5"/>
      <c r="F1345" s="5"/>
      <c r="G1345" s="5"/>
      <c r="H1345" s="5"/>
      <c r="I1345" s="5"/>
      <c r="J1345" s="5"/>
      <c r="K1345" s="5"/>
      <c r="L1345" s="5"/>
      <c r="M1345" s="5"/>
      <c r="N1345" s="5"/>
      <c r="O1345" s="5"/>
      <c r="P1345" s="5"/>
      <c r="Q1345" s="5"/>
      <c r="R1345" s="5"/>
      <c r="S1345" s="5"/>
      <c r="T1345" s="5"/>
      <c r="U1345" s="5"/>
      <c r="V1345" s="5"/>
      <c r="W1345" s="5"/>
    </row>
    <row r="1346">
      <c r="A1346" s="5"/>
      <c r="B1346" s="5"/>
      <c r="C1346" s="5"/>
      <c r="D1346" s="5"/>
      <c r="E1346" s="5"/>
      <c r="F1346" s="5"/>
      <c r="G1346" s="5"/>
      <c r="H1346" s="5"/>
      <c r="I1346" s="5"/>
      <c r="J1346" s="5"/>
      <c r="K1346" s="5"/>
      <c r="L1346" s="5"/>
      <c r="M1346" s="5"/>
      <c r="N1346" s="5"/>
      <c r="O1346" s="5"/>
      <c r="P1346" s="5"/>
      <c r="Q1346" s="5"/>
      <c r="R1346" s="5"/>
      <c r="S1346" s="5"/>
      <c r="T1346" s="5"/>
      <c r="U1346" s="5"/>
      <c r="V1346" s="5"/>
      <c r="W1346" s="5"/>
    </row>
    <row r="1347">
      <c r="A1347" s="5"/>
      <c r="B1347" s="5"/>
      <c r="C1347" s="5"/>
      <c r="D1347" s="5"/>
      <c r="E1347" s="5"/>
      <c r="F1347" s="5"/>
      <c r="G1347" s="5"/>
      <c r="H1347" s="5"/>
      <c r="I1347" s="5"/>
      <c r="J1347" s="5"/>
      <c r="K1347" s="5"/>
      <c r="L1347" s="5"/>
      <c r="M1347" s="5"/>
      <c r="N1347" s="5"/>
      <c r="O1347" s="5"/>
      <c r="P1347" s="5"/>
      <c r="Q1347" s="5"/>
      <c r="R1347" s="5"/>
      <c r="S1347" s="5"/>
      <c r="T1347" s="5"/>
      <c r="U1347" s="5"/>
      <c r="V1347" s="5"/>
      <c r="W1347" s="5"/>
    </row>
    <row r="1348">
      <c r="A1348" s="5"/>
      <c r="B1348" s="5"/>
      <c r="C1348" s="5"/>
      <c r="D1348" s="5"/>
      <c r="E1348" s="5"/>
      <c r="F1348" s="5"/>
      <c r="G1348" s="5"/>
      <c r="H1348" s="5"/>
      <c r="I1348" s="5"/>
      <c r="J1348" s="5"/>
      <c r="K1348" s="5"/>
      <c r="L1348" s="5"/>
      <c r="M1348" s="5"/>
      <c r="N1348" s="5"/>
      <c r="O1348" s="5"/>
      <c r="P1348" s="5"/>
      <c r="Q1348" s="5"/>
      <c r="R1348" s="5"/>
      <c r="S1348" s="5"/>
      <c r="T1348" s="5"/>
      <c r="U1348" s="5"/>
      <c r="V1348" s="5"/>
      <c r="W1348" s="5"/>
    </row>
    <row r="1349">
      <c r="A1349" s="5"/>
      <c r="B1349" s="5"/>
      <c r="C1349" s="5"/>
      <c r="D1349" s="5"/>
      <c r="E1349" s="5"/>
      <c r="F1349" s="5"/>
      <c r="G1349" s="5"/>
      <c r="H1349" s="5"/>
      <c r="I1349" s="5"/>
      <c r="J1349" s="5"/>
      <c r="K1349" s="5"/>
      <c r="L1349" s="5"/>
      <c r="M1349" s="5"/>
      <c r="N1349" s="5"/>
      <c r="O1349" s="5"/>
      <c r="P1349" s="5"/>
      <c r="Q1349" s="5"/>
      <c r="R1349" s="5"/>
      <c r="S1349" s="5"/>
      <c r="T1349" s="5"/>
      <c r="U1349" s="5"/>
      <c r="V1349" s="5"/>
      <c r="W1349" s="5"/>
    </row>
    <row r="1350">
      <c r="A1350" s="5"/>
      <c r="B1350" s="5"/>
      <c r="C1350" s="5"/>
      <c r="D1350" s="5"/>
      <c r="E1350" s="5"/>
      <c r="F1350" s="5"/>
      <c r="G1350" s="5"/>
      <c r="H1350" s="5"/>
      <c r="I1350" s="5"/>
      <c r="J1350" s="5"/>
      <c r="K1350" s="5"/>
      <c r="L1350" s="5"/>
      <c r="M1350" s="5"/>
      <c r="N1350" s="5"/>
      <c r="O1350" s="5"/>
      <c r="P1350" s="5"/>
      <c r="Q1350" s="5"/>
      <c r="R1350" s="5"/>
      <c r="S1350" s="5"/>
      <c r="T1350" s="5"/>
      <c r="U1350" s="5"/>
      <c r="V1350" s="5"/>
      <c r="W1350" s="5"/>
    </row>
    <row r="1351">
      <c r="A1351" s="5"/>
      <c r="B1351" s="5"/>
      <c r="C1351" s="5"/>
      <c r="D1351" s="5"/>
      <c r="E1351" s="5"/>
      <c r="F1351" s="5"/>
      <c r="G1351" s="5"/>
      <c r="H1351" s="5"/>
      <c r="I1351" s="5"/>
      <c r="J1351" s="5"/>
      <c r="K1351" s="5"/>
      <c r="L1351" s="5"/>
      <c r="M1351" s="5"/>
      <c r="N1351" s="5"/>
      <c r="O1351" s="5"/>
      <c r="P1351" s="5"/>
      <c r="Q1351" s="5"/>
      <c r="R1351" s="5"/>
      <c r="S1351" s="5"/>
      <c r="T1351" s="5"/>
      <c r="U1351" s="5"/>
      <c r="V1351" s="5"/>
      <c r="W1351" s="5"/>
    </row>
    <row r="1352">
      <c r="A1352" s="5"/>
      <c r="B1352" s="5"/>
      <c r="C1352" s="5"/>
      <c r="D1352" s="5"/>
      <c r="E1352" s="5"/>
      <c r="F1352" s="5"/>
      <c r="G1352" s="5"/>
      <c r="H1352" s="5"/>
      <c r="I1352" s="5"/>
      <c r="J1352" s="5"/>
      <c r="K1352" s="5"/>
      <c r="L1352" s="5"/>
      <c r="M1352" s="5"/>
      <c r="N1352" s="5"/>
      <c r="O1352" s="5"/>
      <c r="P1352" s="5"/>
      <c r="Q1352" s="5"/>
      <c r="R1352" s="5"/>
      <c r="S1352" s="5"/>
      <c r="T1352" s="5"/>
      <c r="U1352" s="5"/>
      <c r="V1352" s="5"/>
      <c r="W1352" s="5"/>
    </row>
    <row r="1353">
      <c r="A1353" s="5"/>
      <c r="B1353" s="5"/>
      <c r="C1353" s="5"/>
      <c r="D1353" s="5"/>
      <c r="E1353" s="5"/>
      <c r="F1353" s="5"/>
      <c r="G1353" s="5"/>
      <c r="H1353" s="5"/>
      <c r="I1353" s="5"/>
      <c r="J1353" s="5"/>
      <c r="K1353" s="5"/>
      <c r="L1353" s="5"/>
      <c r="M1353" s="5"/>
      <c r="N1353" s="5"/>
      <c r="O1353" s="5"/>
      <c r="P1353" s="5"/>
      <c r="Q1353" s="5"/>
      <c r="R1353" s="5"/>
      <c r="S1353" s="5"/>
      <c r="T1353" s="5"/>
      <c r="U1353" s="5"/>
      <c r="V1353" s="5"/>
      <c r="W1353" s="5"/>
    </row>
    <row r="1354">
      <c r="A1354" s="5"/>
      <c r="B1354" s="5"/>
      <c r="C1354" s="5"/>
      <c r="D1354" s="5"/>
      <c r="E1354" s="5"/>
      <c r="F1354" s="5"/>
      <c r="G1354" s="5"/>
      <c r="H1354" s="5"/>
      <c r="I1354" s="5"/>
      <c r="J1354" s="5"/>
      <c r="K1354" s="5"/>
      <c r="L1354" s="5"/>
      <c r="M1354" s="5"/>
      <c r="N1354" s="5"/>
      <c r="O1354" s="5"/>
      <c r="P1354" s="5"/>
      <c r="Q1354" s="5"/>
      <c r="R1354" s="5"/>
      <c r="S1354" s="5"/>
      <c r="T1354" s="5"/>
      <c r="U1354" s="5"/>
      <c r="V1354" s="5"/>
      <c r="W1354" s="5"/>
    </row>
    <row r="1355">
      <c r="A1355" s="5"/>
      <c r="B1355" s="5"/>
      <c r="C1355" s="5"/>
      <c r="D1355" s="5"/>
      <c r="E1355" s="5"/>
      <c r="F1355" s="5"/>
      <c r="G1355" s="5"/>
      <c r="H1355" s="5"/>
      <c r="I1355" s="5"/>
      <c r="J1355" s="5"/>
      <c r="K1355" s="5"/>
      <c r="L1355" s="5"/>
      <c r="M1355" s="5"/>
      <c r="N1355" s="5"/>
      <c r="O1355" s="5"/>
      <c r="P1355" s="5"/>
      <c r="Q1355" s="5"/>
      <c r="R1355" s="5"/>
      <c r="S1355" s="5"/>
      <c r="T1355" s="5"/>
      <c r="U1355" s="5"/>
      <c r="V1355" s="5"/>
      <c r="W1355" s="5"/>
    </row>
    <row r="1356">
      <c r="A1356" s="5"/>
      <c r="B1356" s="5"/>
      <c r="C1356" s="5"/>
      <c r="D1356" s="5"/>
      <c r="E1356" s="5"/>
      <c r="F1356" s="5"/>
      <c r="G1356" s="5"/>
      <c r="H1356" s="5"/>
      <c r="I1356" s="5"/>
      <c r="J1356" s="5"/>
      <c r="K1356" s="5"/>
      <c r="L1356" s="5"/>
      <c r="M1356" s="5"/>
      <c r="N1356" s="5"/>
      <c r="O1356" s="5"/>
      <c r="P1356" s="5"/>
      <c r="Q1356" s="5"/>
      <c r="R1356" s="5"/>
      <c r="S1356" s="5"/>
      <c r="T1356" s="5"/>
      <c r="U1356" s="5"/>
      <c r="V1356" s="5"/>
      <c r="W1356" s="5"/>
    </row>
    <row r="1357">
      <c r="A1357" s="5"/>
      <c r="B1357" s="5"/>
      <c r="C1357" s="5"/>
      <c r="D1357" s="5"/>
      <c r="E1357" s="5"/>
      <c r="F1357" s="5"/>
      <c r="G1357" s="5"/>
      <c r="H1357" s="5"/>
      <c r="I1357" s="5"/>
      <c r="J1357" s="5"/>
      <c r="K1357" s="5"/>
      <c r="L1357" s="5"/>
      <c r="M1357" s="5"/>
      <c r="N1357" s="5"/>
      <c r="O1357" s="5"/>
      <c r="P1357" s="5"/>
      <c r="Q1357" s="5"/>
      <c r="R1357" s="5"/>
      <c r="S1357" s="5"/>
      <c r="T1357" s="5"/>
      <c r="U1357" s="5"/>
      <c r="V1357" s="5"/>
      <c r="W1357" s="5"/>
    </row>
    <row r="1358">
      <c r="A1358" s="5"/>
      <c r="B1358" s="5"/>
      <c r="C1358" s="5"/>
      <c r="D1358" s="5"/>
      <c r="E1358" s="5"/>
      <c r="F1358" s="5"/>
      <c r="G1358" s="5"/>
      <c r="H1358" s="5"/>
      <c r="I1358" s="5"/>
      <c r="J1358" s="5"/>
      <c r="K1358" s="5"/>
      <c r="L1358" s="5"/>
      <c r="M1358" s="5"/>
      <c r="N1358" s="5"/>
      <c r="O1358" s="5"/>
      <c r="P1358" s="5"/>
      <c r="Q1358" s="5"/>
      <c r="R1358" s="5"/>
      <c r="S1358" s="5"/>
      <c r="T1358" s="5"/>
      <c r="U1358" s="5"/>
      <c r="V1358" s="5"/>
      <c r="W1358" s="5"/>
    </row>
    <row r="1359">
      <c r="A1359" s="5"/>
      <c r="B1359" s="5"/>
      <c r="C1359" s="5"/>
      <c r="D1359" s="5"/>
      <c r="E1359" s="5"/>
      <c r="F1359" s="5"/>
      <c r="G1359" s="5"/>
      <c r="H1359" s="5"/>
      <c r="I1359" s="5"/>
      <c r="J1359" s="5"/>
      <c r="K1359" s="5"/>
      <c r="L1359" s="5"/>
      <c r="M1359" s="5"/>
      <c r="N1359" s="5"/>
      <c r="O1359" s="5"/>
      <c r="P1359" s="5"/>
      <c r="Q1359" s="5"/>
      <c r="R1359" s="5"/>
      <c r="S1359" s="5"/>
      <c r="T1359" s="5"/>
      <c r="U1359" s="5"/>
      <c r="V1359" s="5"/>
      <c r="W1359" s="5"/>
    </row>
    <row r="1360">
      <c r="A1360" s="5"/>
      <c r="B1360" s="5"/>
      <c r="C1360" s="5"/>
      <c r="D1360" s="5"/>
      <c r="E1360" s="5"/>
      <c r="F1360" s="5"/>
      <c r="G1360" s="5"/>
      <c r="H1360" s="5"/>
      <c r="I1360" s="5"/>
      <c r="J1360" s="5"/>
      <c r="K1360" s="5"/>
      <c r="L1360" s="5"/>
      <c r="M1360" s="5"/>
      <c r="N1360" s="5"/>
      <c r="O1360" s="5"/>
      <c r="P1360" s="5"/>
      <c r="Q1360" s="5"/>
      <c r="R1360" s="5"/>
      <c r="S1360" s="5"/>
      <c r="T1360" s="5"/>
      <c r="U1360" s="5"/>
      <c r="V1360" s="5"/>
      <c r="W1360" s="5"/>
    </row>
    <row r="1361">
      <c r="A1361" s="5"/>
      <c r="B1361" s="5"/>
      <c r="C1361" s="5"/>
      <c r="D1361" s="5"/>
      <c r="E1361" s="5"/>
      <c r="F1361" s="5"/>
      <c r="G1361" s="5"/>
      <c r="H1361" s="5"/>
      <c r="I1361" s="5"/>
      <c r="J1361" s="5"/>
      <c r="K1361" s="5"/>
      <c r="L1361" s="5"/>
      <c r="M1361" s="5"/>
      <c r="N1361" s="5"/>
      <c r="O1361" s="5"/>
      <c r="P1361" s="5"/>
      <c r="Q1361" s="5"/>
      <c r="R1361" s="5"/>
      <c r="S1361" s="5"/>
      <c r="T1361" s="5"/>
      <c r="U1361" s="5"/>
      <c r="V1361" s="5"/>
      <c r="W1361" s="5"/>
    </row>
    <row r="1362">
      <c r="A1362" s="5"/>
      <c r="B1362" s="5"/>
      <c r="C1362" s="5"/>
      <c r="D1362" s="5"/>
      <c r="E1362" s="5"/>
      <c r="F1362" s="5"/>
      <c r="G1362" s="5"/>
      <c r="H1362" s="5"/>
      <c r="I1362" s="5"/>
      <c r="J1362" s="5"/>
      <c r="K1362" s="5"/>
      <c r="L1362" s="5"/>
      <c r="M1362" s="5"/>
      <c r="N1362" s="5"/>
      <c r="O1362" s="5"/>
      <c r="P1362" s="5"/>
      <c r="Q1362" s="5"/>
      <c r="R1362" s="5"/>
      <c r="S1362" s="5"/>
      <c r="T1362" s="5"/>
      <c r="U1362" s="5"/>
      <c r="V1362" s="5"/>
      <c r="W1362" s="5"/>
    </row>
    <row r="1363">
      <c r="A1363" s="5"/>
      <c r="B1363" s="5"/>
      <c r="C1363" s="5"/>
      <c r="D1363" s="5"/>
      <c r="E1363" s="5"/>
      <c r="F1363" s="5"/>
      <c r="G1363" s="5"/>
      <c r="H1363" s="5"/>
      <c r="I1363" s="5"/>
      <c r="J1363" s="5"/>
      <c r="K1363" s="5"/>
      <c r="L1363" s="5"/>
      <c r="M1363" s="5"/>
      <c r="N1363" s="5"/>
      <c r="O1363" s="5"/>
      <c r="P1363" s="5"/>
      <c r="Q1363" s="5"/>
      <c r="R1363" s="5"/>
      <c r="S1363" s="5"/>
      <c r="T1363" s="5"/>
      <c r="U1363" s="5"/>
      <c r="V1363" s="5"/>
      <c r="W1363" s="5"/>
    </row>
    <row r="1364">
      <c r="A1364" s="5"/>
      <c r="B1364" s="5"/>
      <c r="C1364" s="5"/>
      <c r="D1364" s="5"/>
      <c r="E1364" s="5"/>
      <c r="F1364" s="5"/>
      <c r="G1364" s="5"/>
      <c r="H1364" s="5"/>
      <c r="I1364" s="5"/>
      <c r="J1364" s="5"/>
      <c r="K1364" s="5"/>
      <c r="L1364" s="5"/>
      <c r="M1364" s="5"/>
      <c r="N1364" s="5"/>
      <c r="O1364" s="5"/>
      <c r="P1364" s="5"/>
      <c r="Q1364" s="5"/>
      <c r="R1364" s="5"/>
      <c r="S1364" s="5"/>
      <c r="T1364" s="5"/>
      <c r="U1364" s="5"/>
      <c r="V1364" s="5"/>
      <c r="W1364" s="5"/>
    </row>
    <row r="1365">
      <c r="A1365" s="5"/>
      <c r="B1365" s="5"/>
      <c r="C1365" s="5"/>
      <c r="D1365" s="5"/>
      <c r="E1365" s="5"/>
      <c r="F1365" s="5"/>
      <c r="G1365" s="5"/>
      <c r="H1365" s="5"/>
      <c r="I1365" s="5"/>
      <c r="J1365" s="5"/>
      <c r="K1365" s="5"/>
      <c r="L1365" s="5"/>
      <c r="M1365" s="5"/>
      <c r="N1365" s="5"/>
      <c r="O1365" s="5"/>
      <c r="P1365" s="5"/>
      <c r="Q1365" s="5"/>
      <c r="R1365" s="5"/>
      <c r="S1365" s="5"/>
      <c r="T1365" s="5"/>
      <c r="U1365" s="5"/>
      <c r="V1365" s="5"/>
      <c r="W1365" s="5"/>
    </row>
    <row r="1366">
      <c r="A1366" s="5"/>
      <c r="B1366" s="5"/>
      <c r="C1366" s="5"/>
      <c r="D1366" s="5"/>
      <c r="E1366" s="5"/>
      <c r="F1366" s="5"/>
      <c r="G1366" s="5"/>
      <c r="H1366" s="5"/>
      <c r="I1366" s="5"/>
      <c r="J1366" s="5"/>
      <c r="K1366" s="5"/>
      <c r="L1366" s="5"/>
      <c r="M1366" s="5"/>
      <c r="N1366" s="5"/>
      <c r="O1366" s="5"/>
      <c r="P1366" s="5"/>
      <c r="Q1366" s="5"/>
      <c r="R1366" s="5"/>
      <c r="S1366" s="5"/>
      <c r="T1366" s="5"/>
      <c r="U1366" s="5"/>
      <c r="V1366" s="5"/>
      <c r="W1366" s="5"/>
    </row>
    <row r="1367">
      <c r="A1367" s="5"/>
      <c r="B1367" s="5"/>
      <c r="C1367" s="5"/>
      <c r="D1367" s="5"/>
      <c r="E1367" s="5"/>
      <c r="F1367" s="5"/>
      <c r="G1367" s="5"/>
      <c r="H1367" s="5"/>
      <c r="I1367" s="5"/>
      <c r="J1367" s="5"/>
      <c r="K1367" s="5"/>
      <c r="L1367" s="5"/>
      <c r="M1367" s="5"/>
      <c r="N1367" s="5"/>
      <c r="O1367" s="5"/>
      <c r="P1367" s="5"/>
      <c r="Q1367" s="5"/>
      <c r="R1367" s="5"/>
      <c r="S1367" s="5"/>
      <c r="T1367" s="5"/>
      <c r="U1367" s="5"/>
      <c r="V1367" s="5"/>
      <c r="W1367" s="5"/>
    </row>
    <row r="1368">
      <c r="A1368" s="5"/>
      <c r="B1368" s="5"/>
      <c r="C1368" s="5"/>
      <c r="D1368" s="5"/>
      <c r="E1368" s="5"/>
      <c r="F1368" s="5"/>
      <c r="G1368" s="5"/>
      <c r="H1368" s="5"/>
      <c r="I1368" s="5"/>
      <c r="J1368" s="5"/>
      <c r="K1368" s="5"/>
      <c r="L1368" s="5"/>
      <c r="M1368" s="5"/>
      <c r="N1368" s="5"/>
      <c r="O1368" s="5"/>
      <c r="P1368" s="5"/>
      <c r="Q1368" s="5"/>
      <c r="R1368" s="5"/>
      <c r="S1368" s="5"/>
      <c r="T1368" s="5"/>
      <c r="U1368" s="5"/>
      <c r="V1368" s="5"/>
      <c r="W1368" s="5"/>
    </row>
    <row r="1369">
      <c r="A1369" s="5"/>
      <c r="B1369" s="5"/>
      <c r="C1369" s="5"/>
      <c r="D1369" s="5"/>
      <c r="E1369" s="5"/>
      <c r="F1369" s="5"/>
      <c r="G1369" s="5"/>
      <c r="H1369" s="5"/>
      <c r="I1369" s="5"/>
      <c r="J1369" s="5"/>
      <c r="K1369" s="5"/>
      <c r="L1369" s="5"/>
      <c r="M1369" s="5"/>
      <c r="N1369" s="5"/>
      <c r="O1369" s="5"/>
      <c r="P1369" s="5"/>
      <c r="Q1369" s="5"/>
      <c r="R1369" s="5"/>
      <c r="S1369" s="5"/>
      <c r="T1369" s="5"/>
      <c r="U1369" s="5"/>
      <c r="V1369" s="5"/>
      <c r="W1369" s="5"/>
    </row>
    <row r="1370">
      <c r="A1370" s="5"/>
      <c r="B1370" s="5"/>
      <c r="C1370" s="5"/>
      <c r="D1370" s="5"/>
      <c r="E1370" s="5"/>
      <c r="F1370" s="5"/>
      <c r="G1370" s="5"/>
      <c r="H1370" s="5"/>
      <c r="I1370" s="5"/>
      <c r="J1370" s="5"/>
      <c r="K1370" s="5"/>
      <c r="L1370" s="5"/>
      <c r="M1370" s="5"/>
      <c r="N1370" s="5"/>
      <c r="O1370" s="5"/>
      <c r="P1370" s="5"/>
      <c r="Q1370" s="5"/>
      <c r="R1370" s="5"/>
      <c r="S1370" s="5"/>
      <c r="T1370" s="5"/>
      <c r="U1370" s="5"/>
      <c r="V1370" s="5"/>
      <c r="W1370" s="5"/>
    </row>
    <row r="1371">
      <c r="A1371" s="5"/>
      <c r="B1371" s="5"/>
      <c r="C1371" s="5"/>
      <c r="D1371" s="5"/>
      <c r="E1371" s="5"/>
      <c r="F1371" s="5"/>
      <c r="G1371" s="5"/>
      <c r="H1371" s="5"/>
      <c r="I1371" s="5"/>
      <c r="J1371" s="5"/>
      <c r="K1371" s="5"/>
      <c r="L1371" s="5"/>
      <c r="M1371" s="5"/>
      <c r="N1371" s="5"/>
      <c r="O1371" s="5"/>
      <c r="P1371" s="5"/>
      <c r="Q1371" s="5"/>
      <c r="R1371" s="5"/>
      <c r="S1371" s="5"/>
      <c r="T1371" s="5"/>
      <c r="U1371" s="5"/>
      <c r="V1371" s="5"/>
      <c r="W1371" s="5"/>
    </row>
    <row r="1372">
      <c r="A1372" s="5"/>
      <c r="B1372" s="5"/>
      <c r="C1372" s="5"/>
      <c r="D1372" s="5"/>
      <c r="E1372" s="5"/>
      <c r="F1372" s="5"/>
      <c r="G1372" s="5"/>
      <c r="H1372" s="5"/>
      <c r="I1372" s="5"/>
      <c r="J1372" s="5"/>
      <c r="K1372" s="5"/>
      <c r="L1372" s="5"/>
      <c r="M1372" s="5"/>
      <c r="N1372" s="5"/>
      <c r="O1372" s="5"/>
      <c r="P1372" s="5"/>
      <c r="Q1372" s="5"/>
      <c r="R1372" s="5"/>
      <c r="S1372" s="5"/>
      <c r="T1372" s="5"/>
      <c r="U1372" s="5"/>
      <c r="V1372" s="5"/>
      <c r="W1372" s="5"/>
    </row>
    <row r="1373">
      <c r="A1373" s="5"/>
      <c r="B1373" s="5"/>
      <c r="C1373" s="5"/>
      <c r="D1373" s="5"/>
      <c r="E1373" s="5"/>
      <c r="F1373" s="5"/>
      <c r="G1373" s="5"/>
      <c r="H1373" s="5"/>
      <c r="I1373" s="5"/>
      <c r="J1373" s="5"/>
      <c r="K1373" s="5"/>
      <c r="L1373" s="5"/>
      <c r="M1373" s="5"/>
      <c r="N1373" s="5"/>
      <c r="O1373" s="5"/>
      <c r="P1373" s="5"/>
      <c r="Q1373" s="5"/>
      <c r="R1373" s="5"/>
      <c r="S1373" s="5"/>
      <c r="T1373" s="5"/>
      <c r="U1373" s="5"/>
      <c r="V1373" s="5"/>
      <c r="W1373" s="5"/>
    </row>
    <row r="1374">
      <c r="A1374" s="5"/>
      <c r="B1374" s="5"/>
      <c r="C1374" s="5"/>
      <c r="D1374" s="5"/>
      <c r="E1374" s="5"/>
      <c r="F1374" s="5"/>
      <c r="G1374" s="5"/>
      <c r="H1374" s="5"/>
      <c r="I1374" s="5"/>
      <c r="J1374" s="5"/>
      <c r="K1374" s="5"/>
      <c r="L1374" s="5"/>
      <c r="M1374" s="5"/>
      <c r="N1374" s="5"/>
      <c r="O1374" s="5"/>
      <c r="P1374" s="5"/>
      <c r="Q1374" s="5"/>
      <c r="R1374" s="5"/>
      <c r="S1374" s="5"/>
      <c r="T1374" s="5"/>
      <c r="U1374" s="5"/>
      <c r="V1374" s="5"/>
      <c r="W1374" s="5"/>
    </row>
    <row r="1375">
      <c r="A1375" s="5"/>
      <c r="B1375" s="5"/>
      <c r="C1375" s="5"/>
      <c r="D1375" s="5"/>
      <c r="E1375" s="5"/>
      <c r="F1375" s="5"/>
      <c r="G1375" s="5"/>
      <c r="H1375" s="5"/>
      <c r="I1375" s="5"/>
      <c r="J1375" s="5"/>
      <c r="K1375" s="5"/>
      <c r="L1375" s="5"/>
      <c r="M1375" s="5"/>
      <c r="N1375" s="5"/>
      <c r="O1375" s="5"/>
      <c r="P1375" s="5"/>
      <c r="Q1375" s="5"/>
      <c r="R1375" s="5"/>
      <c r="S1375" s="5"/>
      <c r="T1375" s="5"/>
      <c r="U1375" s="5"/>
      <c r="V1375" s="5"/>
      <c r="W1375" s="5"/>
    </row>
    <row r="1376">
      <c r="A1376" s="5"/>
      <c r="B1376" s="5"/>
      <c r="C1376" s="5"/>
      <c r="D1376" s="5"/>
      <c r="E1376" s="5"/>
      <c r="F1376" s="5"/>
      <c r="G1376" s="5"/>
      <c r="H1376" s="5"/>
      <c r="I1376" s="5"/>
      <c r="J1376" s="5"/>
      <c r="K1376" s="5"/>
      <c r="L1376" s="5"/>
      <c r="M1376" s="5"/>
      <c r="N1376" s="5"/>
      <c r="O1376" s="5"/>
      <c r="P1376" s="5"/>
      <c r="Q1376" s="5"/>
      <c r="R1376" s="5"/>
      <c r="S1376" s="5"/>
      <c r="T1376" s="5"/>
      <c r="U1376" s="5"/>
      <c r="V1376" s="5"/>
      <c r="W1376" s="5"/>
    </row>
    <row r="1377">
      <c r="A1377" s="5"/>
      <c r="B1377" s="5"/>
      <c r="C1377" s="5"/>
      <c r="D1377" s="5"/>
      <c r="E1377" s="5"/>
      <c r="F1377" s="5"/>
      <c r="G1377" s="5"/>
      <c r="H1377" s="5"/>
      <c r="I1377" s="5"/>
      <c r="J1377" s="5"/>
      <c r="K1377" s="5"/>
      <c r="L1377" s="5"/>
      <c r="M1377" s="5"/>
      <c r="N1377" s="5"/>
      <c r="O1377" s="5"/>
      <c r="P1377" s="5"/>
      <c r="Q1377" s="5"/>
      <c r="R1377" s="5"/>
      <c r="S1377" s="5"/>
      <c r="T1377" s="5"/>
      <c r="U1377" s="5"/>
      <c r="V1377" s="5"/>
      <c r="W1377" s="5"/>
    </row>
    <row r="1378">
      <c r="A1378" s="5"/>
      <c r="B1378" s="5"/>
      <c r="C1378" s="5"/>
      <c r="D1378" s="5"/>
      <c r="E1378" s="5"/>
      <c r="F1378" s="5"/>
      <c r="G1378" s="5"/>
      <c r="H1378" s="5"/>
      <c r="I1378" s="5"/>
      <c r="J1378" s="5"/>
      <c r="K1378" s="5"/>
      <c r="L1378" s="5"/>
      <c r="M1378" s="5"/>
      <c r="N1378" s="5"/>
      <c r="O1378" s="5"/>
      <c r="P1378" s="5"/>
      <c r="Q1378" s="5"/>
      <c r="R1378" s="5"/>
      <c r="S1378" s="5"/>
      <c r="T1378" s="5"/>
      <c r="U1378" s="5"/>
      <c r="V1378" s="5"/>
      <c r="W1378" s="5"/>
    </row>
    <row r="1379">
      <c r="A1379" s="5"/>
      <c r="B1379" s="5"/>
      <c r="C1379" s="5"/>
      <c r="D1379" s="5"/>
      <c r="E1379" s="5"/>
      <c r="F1379" s="5"/>
      <c r="G1379" s="5"/>
      <c r="H1379" s="5"/>
      <c r="I1379" s="5"/>
      <c r="J1379" s="5"/>
      <c r="K1379" s="5"/>
      <c r="L1379" s="5"/>
      <c r="M1379" s="5"/>
      <c r="N1379" s="5"/>
      <c r="O1379" s="5"/>
      <c r="P1379" s="5"/>
      <c r="Q1379" s="5"/>
      <c r="R1379" s="5"/>
      <c r="S1379" s="5"/>
      <c r="T1379" s="5"/>
      <c r="U1379" s="5"/>
      <c r="V1379" s="5"/>
      <c r="W1379" s="5"/>
    </row>
    <row r="1380">
      <c r="A1380" s="5"/>
      <c r="B1380" s="5"/>
      <c r="C1380" s="5"/>
      <c r="D1380" s="5"/>
      <c r="E1380" s="5"/>
      <c r="F1380" s="5"/>
      <c r="G1380" s="5"/>
      <c r="H1380" s="5"/>
      <c r="I1380" s="5"/>
      <c r="J1380" s="5"/>
      <c r="K1380" s="5"/>
      <c r="L1380" s="5"/>
      <c r="M1380" s="5"/>
      <c r="N1380" s="5"/>
      <c r="O1380" s="5"/>
      <c r="P1380" s="5"/>
      <c r="Q1380" s="5"/>
      <c r="R1380" s="5"/>
      <c r="S1380" s="5"/>
      <c r="T1380" s="5"/>
      <c r="U1380" s="5"/>
      <c r="V1380" s="5"/>
      <c r="W1380" s="5"/>
    </row>
    <row r="1381">
      <c r="A1381" s="5"/>
      <c r="B1381" s="5"/>
      <c r="C1381" s="5"/>
      <c r="D1381" s="5"/>
      <c r="E1381" s="5"/>
      <c r="F1381" s="5"/>
      <c r="G1381" s="5"/>
      <c r="H1381" s="5"/>
      <c r="I1381" s="5"/>
      <c r="J1381" s="5"/>
      <c r="K1381" s="5"/>
      <c r="L1381" s="5"/>
      <c r="M1381" s="5"/>
      <c r="N1381" s="5"/>
      <c r="O1381" s="5"/>
      <c r="P1381" s="5"/>
      <c r="Q1381" s="5"/>
      <c r="R1381" s="5"/>
      <c r="S1381" s="5"/>
      <c r="T1381" s="5"/>
      <c r="U1381" s="5"/>
      <c r="V1381" s="5"/>
      <c r="W1381" s="5"/>
    </row>
    <row r="1382">
      <c r="A1382" s="5"/>
      <c r="B1382" s="5"/>
      <c r="C1382" s="5"/>
      <c r="D1382" s="5"/>
      <c r="E1382" s="5"/>
      <c r="F1382" s="5"/>
      <c r="G1382" s="5"/>
      <c r="H1382" s="5"/>
      <c r="I1382" s="5"/>
      <c r="J1382" s="5"/>
      <c r="K1382" s="5"/>
      <c r="L1382" s="5"/>
      <c r="M1382" s="5"/>
      <c r="N1382" s="5"/>
      <c r="O1382" s="5"/>
      <c r="P1382" s="5"/>
      <c r="Q1382" s="5"/>
      <c r="R1382" s="5"/>
      <c r="S1382" s="5"/>
      <c r="T1382" s="5"/>
      <c r="U1382" s="5"/>
      <c r="V1382" s="5"/>
      <c r="W1382" s="5"/>
    </row>
    <row r="1383">
      <c r="A1383" s="5"/>
      <c r="B1383" s="5"/>
      <c r="C1383" s="5"/>
      <c r="D1383" s="5"/>
      <c r="E1383" s="5"/>
      <c r="F1383" s="5"/>
      <c r="G1383" s="5"/>
      <c r="H1383" s="5"/>
      <c r="I1383" s="5"/>
      <c r="J1383" s="5"/>
      <c r="K1383" s="5"/>
      <c r="L1383" s="5"/>
      <c r="M1383" s="5"/>
      <c r="N1383" s="5"/>
      <c r="O1383" s="5"/>
      <c r="P1383" s="5"/>
      <c r="Q1383" s="5"/>
      <c r="R1383" s="5"/>
      <c r="S1383" s="5"/>
      <c r="T1383" s="5"/>
      <c r="U1383" s="5"/>
      <c r="V1383" s="5"/>
      <c r="W1383" s="5"/>
    </row>
    <row r="1384">
      <c r="A1384" s="5"/>
      <c r="B1384" s="5"/>
      <c r="C1384" s="5"/>
      <c r="D1384" s="5"/>
      <c r="E1384" s="5"/>
      <c r="F1384" s="5"/>
      <c r="G1384" s="5"/>
      <c r="H1384" s="5"/>
      <c r="I1384" s="5"/>
      <c r="J1384" s="5"/>
      <c r="K1384" s="5"/>
      <c r="L1384" s="5"/>
      <c r="M1384" s="5"/>
      <c r="N1384" s="5"/>
      <c r="O1384" s="5"/>
      <c r="P1384" s="5"/>
      <c r="Q1384" s="5"/>
      <c r="R1384" s="5"/>
      <c r="S1384" s="5"/>
      <c r="T1384" s="5"/>
      <c r="U1384" s="5"/>
      <c r="V1384" s="5"/>
      <c r="W1384" s="5"/>
    </row>
    <row r="1385">
      <c r="A1385" s="5"/>
      <c r="B1385" s="5"/>
      <c r="C1385" s="5"/>
      <c r="D1385" s="5"/>
      <c r="E1385" s="5"/>
      <c r="F1385" s="5"/>
      <c r="G1385" s="5"/>
      <c r="H1385" s="5"/>
      <c r="I1385" s="5"/>
      <c r="J1385" s="5"/>
      <c r="K1385" s="5"/>
      <c r="L1385" s="5"/>
      <c r="M1385" s="5"/>
      <c r="N1385" s="5"/>
      <c r="O1385" s="5"/>
      <c r="P1385" s="5"/>
      <c r="Q1385" s="5"/>
      <c r="R1385" s="5"/>
      <c r="S1385" s="5"/>
      <c r="T1385" s="5"/>
      <c r="U1385" s="5"/>
      <c r="V1385" s="5"/>
      <c r="W1385" s="5"/>
    </row>
    <row r="1386">
      <c r="A1386" s="5"/>
      <c r="B1386" s="5"/>
      <c r="C1386" s="5"/>
      <c r="D1386" s="5"/>
      <c r="E1386" s="5"/>
      <c r="F1386" s="5"/>
      <c r="G1386" s="5"/>
      <c r="H1386" s="5"/>
      <c r="I1386" s="5"/>
      <c r="J1386" s="5"/>
      <c r="K1386" s="5"/>
      <c r="L1386" s="5"/>
      <c r="M1386" s="5"/>
      <c r="N1386" s="5"/>
      <c r="O1386" s="5"/>
      <c r="P1386" s="5"/>
      <c r="Q1386" s="5"/>
      <c r="R1386" s="5"/>
      <c r="S1386" s="5"/>
      <c r="T1386" s="5"/>
      <c r="U1386" s="5"/>
      <c r="V1386" s="5"/>
      <c r="W1386" s="5"/>
    </row>
    <row r="1387">
      <c r="A1387" s="5"/>
      <c r="B1387" s="5"/>
      <c r="C1387" s="5"/>
      <c r="D1387" s="5"/>
      <c r="E1387" s="5"/>
      <c r="F1387" s="5"/>
      <c r="G1387" s="5"/>
      <c r="H1387" s="5"/>
      <c r="I1387" s="5"/>
      <c r="J1387" s="5"/>
      <c r="K1387" s="5"/>
      <c r="L1387" s="5"/>
      <c r="M1387" s="5"/>
      <c r="N1387" s="5"/>
      <c r="O1387" s="5"/>
      <c r="P1387" s="5"/>
      <c r="Q1387" s="5"/>
      <c r="R1387" s="5"/>
      <c r="S1387" s="5"/>
      <c r="T1387" s="5"/>
      <c r="U1387" s="5"/>
      <c r="V1387" s="5"/>
      <c r="W1387" s="5"/>
    </row>
    <row r="1388">
      <c r="A1388" s="5"/>
      <c r="B1388" s="5"/>
      <c r="C1388" s="5"/>
      <c r="D1388" s="5"/>
      <c r="E1388" s="5"/>
      <c r="F1388" s="5"/>
      <c r="G1388" s="5"/>
      <c r="H1388" s="5"/>
      <c r="I1388" s="5"/>
      <c r="J1388" s="5"/>
      <c r="K1388" s="5"/>
      <c r="L1388" s="5"/>
      <c r="M1388" s="5"/>
      <c r="N1388" s="5"/>
      <c r="O1388" s="5"/>
      <c r="P1388" s="5"/>
      <c r="Q1388" s="5"/>
      <c r="R1388" s="5"/>
      <c r="S1388" s="5"/>
      <c r="T1388" s="5"/>
      <c r="U1388" s="5"/>
      <c r="V1388" s="5"/>
      <c r="W1388" s="5"/>
    </row>
    <row r="1389">
      <c r="A1389" s="5"/>
      <c r="B1389" s="5"/>
      <c r="C1389" s="5"/>
      <c r="D1389" s="5"/>
      <c r="E1389" s="5"/>
      <c r="F1389" s="5"/>
      <c r="G1389" s="5"/>
      <c r="H1389" s="5"/>
      <c r="I1389" s="5"/>
      <c r="J1389" s="5"/>
      <c r="K1389" s="5"/>
      <c r="L1389" s="5"/>
      <c r="M1389" s="5"/>
      <c r="N1389" s="5"/>
      <c r="O1389" s="5"/>
      <c r="P1389" s="5"/>
      <c r="Q1389" s="5"/>
      <c r="R1389" s="5"/>
      <c r="S1389" s="5"/>
      <c r="T1389" s="5"/>
      <c r="U1389" s="5"/>
      <c r="V1389" s="5"/>
      <c r="W1389" s="5"/>
    </row>
    <row r="1390">
      <c r="A1390" s="5"/>
      <c r="B1390" s="5"/>
      <c r="C1390" s="5"/>
      <c r="D1390" s="5"/>
      <c r="E1390" s="5"/>
      <c r="F1390" s="5"/>
      <c r="G1390" s="5"/>
      <c r="H1390" s="5"/>
      <c r="I1390" s="5"/>
      <c r="J1390" s="5"/>
      <c r="K1390" s="5"/>
      <c r="L1390" s="5"/>
      <c r="M1390" s="5"/>
      <c r="N1390" s="5"/>
      <c r="O1390" s="5"/>
      <c r="P1390" s="5"/>
      <c r="Q1390" s="5"/>
      <c r="R1390" s="5"/>
      <c r="S1390" s="5"/>
      <c r="T1390" s="5"/>
      <c r="U1390" s="5"/>
      <c r="V1390" s="5"/>
      <c r="W1390" s="5"/>
    </row>
    <row r="1391">
      <c r="A1391" s="5"/>
      <c r="B1391" s="5"/>
      <c r="C1391" s="5"/>
      <c r="D1391" s="5"/>
      <c r="E1391" s="5"/>
      <c r="F1391" s="5"/>
      <c r="G1391" s="5"/>
      <c r="H1391" s="5"/>
      <c r="I1391" s="5"/>
      <c r="J1391" s="5"/>
      <c r="K1391" s="5"/>
      <c r="L1391" s="5"/>
      <c r="M1391" s="5"/>
      <c r="N1391" s="5"/>
      <c r="O1391" s="5"/>
      <c r="P1391" s="5"/>
      <c r="Q1391" s="5"/>
      <c r="R1391" s="5"/>
      <c r="S1391" s="5"/>
      <c r="T1391" s="5"/>
      <c r="U1391" s="5"/>
      <c r="V1391" s="5"/>
      <c r="W1391" s="5"/>
    </row>
    <row r="1392">
      <c r="A1392" s="5"/>
      <c r="B1392" s="5"/>
      <c r="C1392" s="5"/>
      <c r="D1392" s="5"/>
      <c r="E1392" s="5"/>
      <c r="F1392" s="5"/>
      <c r="G1392" s="5"/>
      <c r="H1392" s="5"/>
      <c r="I1392" s="5"/>
      <c r="J1392" s="5"/>
      <c r="K1392" s="5"/>
      <c r="L1392" s="5"/>
      <c r="M1392" s="5"/>
      <c r="N1392" s="5"/>
      <c r="O1392" s="5"/>
      <c r="P1392" s="5"/>
      <c r="Q1392" s="5"/>
      <c r="R1392" s="5"/>
      <c r="S1392" s="5"/>
      <c r="T1392" s="5"/>
      <c r="U1392" s="5"/>
      <c r="V1392" s="5"/>
      <c r="W1392" s="5"/>
    </row>
    <row r="1393">
      <c r="A1393" s="5"/>
      <c r="B1393" s="5"/>
      <c r="C1393" s="5"/>
      <c r="D1393" s="5"/>
      <c r="E1393" s="5"/>
      <c r="F1393" s="5"/>
      <c r="G1393" s="5"/>
      <c r="H1393" s="5"/>
      <c r="I1393" s="5"/>
      <c r="J1393" s="5"/>
      <c r="K1393" s="5"/>
      <c r="L1393" s="5"/>
      <c r="M1393" s="5"/>
      <c r="N1393" s="5"/>
      <c r="O1393" s="5"/>
      <c r="P1393" s="5"/>
      <c r="Q1393" s="5"/>
      <c r="R1393" s="5"/>
      <c r="S1393" s="5"/>
      <c r="T1393" s="5"/>
      <c r="U1393" s="5"/>
      <c r="V1393" s="5"/>
      <c r="W1393" s="5"/>
    </row>
    <row r="1394">
      <c r="A1394" s="5"/>
      <c r="B1394" s="5"/>
      <c r="C1394" s="5"/>
      <c r="D1394" s="5"/>
      <c r="E1394" s="5"/>
      <c r="F1394" s="5"/>
      <c r="G1394" s="5"/>
      <c r="H1394" s="5"/>
      <c r="I1394" s="5"/>
      <c r="J1394" s="5"/>
      <c r="K1394" s="5"/>
      <c r="L1394" s="5"/>
      <c r="M1394" s="5"/>
      <c r="N1394" s="5"/>
      <c r="O1394" s="5"/>
      <c r="P1394" s="5"/>
      <c r="Q1394" s="5"/>
      <c r="R1394" s="5"/>
      <c r="S1394" s="5"/>
      <c r="T1394" s="5"/>
      <c r="U1394" s="5"/>
      <c r="V1394" s="5"/>
      <c r="W1394" s="5"/>
    </row>
    <row r="1395">
      <c r="A1395" s="5"/>
      <c r="B1395" s="5"/>
      <c r="C1395" s="5"/>
      <c r="D1395" s="5"/>
      <c r="E1395" s="5"/>
      <c r="F1395" s="5"/>
      <c r="G1395" s="5"/>
      <c r="H1395" s="5"/>
      <c r="I1395" s="5"/>
      <c r="J1395" s="5"/>
      <c r="K1395" s="5"/>
      <c r="L1395" s="5"/>
      <c r="M1395" s="5"/>
      <c r="N1395" s="5"/>
      <c r="O1395" s="5"/>
      <c r="P1395" s="5"/>
      <c r="Q1395" s="5"/>
      <c r="R1395" s="5"/>
      <c r="S1395" s="5"/>
      <c r="T1395" s="5"/>
      <c r="U1395" s="5"/>
      <c r="V1395" s="5"/>
      <c r="W1395" s="5"/>
    </row>
    <row r="1396">
      <c r="A1396" s="5"/>
      <c r="B1396" s="5"/>
      <c r="C1396" s="5"/>
      <c r="D1396" s="5"/>
      <c r="E1396" s="5"/>
      <c r="F1396" s="5"/>
      <c r="G1396" s="5"/>
      <c r="H1396" s="5"/>
      <c r="I1396" s="5"/>
      <c r="J1396" s="5"/>
      <c r="K1396" s="5"/>
      <c r="L1396" s="5"/>
      <c r="M1396" s="5"/>
      <c r="N1396" s="5"/>
      <c r="O1396" s="5"/>
      <c r="P1396" s="5"/>
      <c r="Q1396" s="5"/>
      <c r="R1396" s="5"/>
      <c r="S1396" s="5"/>
      <c r="T1396" s="5"/>
      <c r="U1396" s="5"/>
      <c r="V1396" s="5"/>
      <c r="W1396" s="5"/>
    </row>
    <row r="1397">
      <c r="A1397" s="5"/>
      <c r="B1397" s="5"/>
      <c r="C1397" s="5"/>
      <c r="D1397" s="5"/>
      <c r="E1397" s="5"/>
      <c r="F1397" s="5"/>
      <c r="G1397" s="5"/>
      <c r="H1397" s="5"/>
      <c r="I1397" s="5"/>
      <c r="J1397" s="5"/>
      <c r="K1397" s="5"/>
      <c r="L1397" s="5"/>
      <c r="M1397" s="5"/>
      <c r="N1397" s="5"/>
      <c r="O1397" s="5"/>
      <c r="P1397" s="5"/>
      <c r="Q1397" s="5"/>
      <c r="R1397" s="5"/>
      <c r="S1397" s="5"/>
      <c r="T1397" s="5"/>
      <c r="U1397" s="5"/>
      <c r="V1397" s="5"/>
      <c r="W1397" s="5"/>
    </row>
    <row r="1398">
      <c r="A1398" s="5"/>
      <c r="B1398" s="5"/>
      <c r="C1398" s="5"/>
      <c r="D1398" s="5"/>
      <c r="E1398" s="5"/>
      <c r="F1398" s="5"/>
      <c r="G1398" s="5"/>
      <c r="H1398" s="5"/>
      <c r="I1398" s="5"/>
      <c r="J1398" s="5"/>
      <c r="K1398" s="5"/>
      <c r="L1398" s="5"/>
      <c r="M1398" s="5"/>
      <c r="N1398" s="5"/>
      <c r="O1398" s="5"/>
      <c r="P1398" s="5"/>
      <c r="Q1398" s="5"/>
      <c r="R1398" s="5"/>
      <c r="S1398" s="5"/>
      <c r="T1398" s="5"/>
      <c r="U1398" s="5"/>
      <c r="V1398" s="5"/>
      <c r="W1398" s="5"/>
    </row>
    <row r="1399">
      <c r="A1399" s="5"/>
      <c r="B1399" s="5"/>
      <c r="C1399" s="5"/>
      <c r="D1399" s="5"/>
      <c r="E1399" s="5"/>
      <c r="F1399" s="5"/>
      <c r="G1399" s="5"/>
      <c r="H1399" s="5"/>
      <c r="I1399" s="5"/>
      <c r="J1399" s="5"/>
      <c r="K1399" s="5"/>
      <c r="L1399" s="5"/>
      <c r="M1399" s="5"/>
      <c r="N1399" s="5"/>
      <c r="O1399" s="5"/>
      <c r="P1399" s="5"/>
      <c r="Q1399" s="5"/>
      <c r="R1399" s="5"/>
      <c r="S1399" s="5"/>
      <c r="T1399" s="5"/>
      <c r="U1399" s="5"/>
      <c r="V1399" s="5"/>
      <c r="W1399" s="5"/>
    </row>
    <row r="1400">
      <c r="A1400" s="5"/>
      <c r="B1400" s="5"/>
      <c r="C1400" s="5"/>
      <c r="D1400" s="5"/>
      <c r="E1400" s="5"/>
      <c r="F1400" s="5"/>
      <c r="G1400" s="5"/>
      <c r="H1400" s="5"/>
      <c r="I1400" s="5"/>
      <c r="J1400" s="5"/>
      <c r="K1400" s="5"/>
      <c r="L1400" s="5"/>
      <c r="M1400" s="5"/>
      <c r="N1400" s="5"/>
      <c r="O1400" s="5"/>
      <c r="P1400" s="5"/>
      <c r="Q1400" s="5"/>
      <c r="R1400" s="5"/>
      <c r="S1400" s="5"/>
      <c r="T1400" s="5"/>
      <c r="U1400" s="5"/>
      <c r="V1400" s="5"/>
      <c r="W1400" s="5"/>
    </row>
    <row r="1401">
      <c r="A1401" s="5"/>
      <c r="B1401" s="5"/>
      <c r="C1401" s="5"/>
      <c r="D1401" s="5"/>
      <c r="E1401" s="5"/>
      <c r="F1401" s="5"/>
      <c r="G1401" s="5"/>
      <c r="H1401" s="5"/>
      <c r="I1401" s="5"/>
      <c r="J1401" s="5"/>
      <c r="K1401" s="5"/>
      <c r="L1401" s="5"/>
      <c r="M1401" s="5"/>
      <c r="N1401" s="5"/>
      <c r="O1401" s="5"/>
      <c r="P1401" s="5"/>
      <c r="Q1401" s="5"/>
      <c r="R1401" s="5"/>
      <c r="S1401" s="5"/>
      <c r="T1401" s="5"/>
      <c r="U1401" s="5"/>
      <c r="V1401" s="5"/>
      <c r="W1401" s="5"/>
    </row>
    <row r="1402">
      <c r="A1402" s="5"/>
      <c r="B1402" s="5"/>
      <c r="C1402" s="5"/>
      <c r="D1402" s="5"/>
      <c r="E1402" s="5"/>
      <c r="F1402" s="5"/>
      <c r="G1402" s="5"/>
      <c r="H1402" s="5"/>
      <c r="I1402" s="5"/>
      <c r="J1402" s="5"/>
      <c r="K1402" s="5"/>
      <c r="L1402" s="5"/>
      <c r="M1402" s="5"/>
      <c r="N1402" s="5"/>
      <c r="O1402" s="5"/>
      <c r="P1402" s="5"/>
      <c r="Q1402" s="5"/>
      <c r="R1402" s="5"/>
      <c r="S1402" s="5"/>
      <c r="T1402" s="5"/>
      <c r="U1402" s="5"/>
      <c r="V1402" s="5"/>
      <c r="W1402" s="5"/>
    </row>
    <row r="1403">
      <c r="A1403" s="5"/>
      <c r="B1403" s="5"/>
      <c r="C1403" s="5"/>
      <c r="D1403" s="5"/>
      <c r="E1403" s="5"/>
      <c r="F1403" s="5"/>
      <c r="G1403" s="5"/>
      <c r="H1403" s="5"/>
      <c r="I1403" s="5"/>
      <c r="J1403" s="5"/>
      <c r="K1403" s="5"/>
      <c r="L1403" s="5"/>
      <c r="M1403" s="5"/>
      <c r="N1403" s="5"/>
      <c r="O1403" s="5"/>
      <c r="P1403" s="5"/>
      <c r="Q1403" s="5"/>
      <c r="R1403" s="5"/>
      <c r="S1403" s="5"/>
      <c r="T1403" s="5"/>
      <c r="U1403" s="5"/>
      <c r="V1403" s="5"/>
      <c r="W1403" s="5"/>
    </row>
    <row r="1404">
      <c r="A1404" s="5"/>
      <c r="B1404" s="5"/>
      <c r="C1404" s="5"/>
      <c r="D1404" s="5"/>
      <c r="E1404" s="5"/>
      <c r="F1404" s="5"/>
      <c r="G1404" s="5"/>
      <c r="H1404" s="5"/>
      <c r="I1404" s="5"/>
      <c r="J1404" s="5"/>
      <c r="K1404" s="5"/>
      <c r="L1404" s="5"/>
      <c r="M1404" s="5"/>
      <c r="N1404" s="5"/>
      <c r="O1404" s="5"/>
      <c r="P1404" s="5"/>
      <c r="Q1404" s="5"/>
      <c r="R1404" s="5"/>
      <c r="S1404" s="5"/>
      <c r="T1404" s="5"/>
      <c r="U1404" s="5"/>
      <c r="V1404" s="5"/>
      <c r="W1404" s="5"/>
    </row>
    <row r="1405">
      <c r="A1405" s="5"/>
      <c r="B1405" s="5"/>
      <c r="C1405" s="5"/>
      <c r="D1405" s="5"/>
      <c r="E1405" s="5"/>
      <c r="F1405" s="5"/>
      <c r="G1405" s="5"/>
      <c r="H1405" s="5"/>
      <c r="I1405" s="5"/>
      <c r="J1405" s="5"/>
      <c r="K1405" s="5"/>
      <c r="L1405" s="5"/>
      <c r="M1405" s="5"/>
      <c r="N1405" s="5"/>
      <c r="O1405" s="5"/>
      <c r="P1405" s="5"/>
      <c r="Q1405" s="5"/>
      <c r="R1405" s="5"/>
      <c r="S1405" s="5"/>
      <c r="T1405" s="5"/>
      <c r="U1405" s="5"/>
      <c r="V1405" s="5"/>
      <c r="W1405" s="5"/>
    </row>
    <row r="1406">
      <c r="A1406" s="5"/>
      <c r="B1406" s="5"/>
      <c r="C1406" s="5"/>
      <c r="D1406" s="5"/>
      <c r="E1406" s="5"/>
      <c r="F1406" s="5"/>
      <c r="G1406" s="5"/>
      <c r="H1406" s="5"/>
      <c r="I1406" s="5"/>
      <c r="J1406" s="5"/>
      <c r="K1406" s="5"/>
      <c r="L1406" s="5"/>
      <c r="M1406" s="5"/>
      <c r="N1406" s="5"/>
      <c r="O1406" s="5"/>
      <c r="P1406" s="5"/>
      <c r="Q1406" s="5"/>
      <c r="R1406" s="5"/>
      <c r="S1406" s="5"/>
      <c r="T1406" s="5"/>
      <c r="U1406" s="5"/>
      <c r="V1406" s="5"/>
      <c r="W1406" s="5"/>
    </row>
    <row r="1407">
      <c r="A1407" s="5"/>
      <c r="B1407" s="5"/>
      <c r="C1407" s="5"/>
      <c r="D1407" s="5"/>
      <c r="E1407" s="5"/>
      <c r="F1407" s="5"/>
      <c r="G1407" s="5"/>
      <c r="H1407" s="5"/>
      <c r="I1407" s="5"/>
      <c r="J1407" s="5"/>
      <c r="K1407" s="5"/>
      <c r="L1407" s="5"/>
      <c r="M1407" s="5"/>
      <c r="N1407" s="5"/>
      <c r="O1407" s="5"/>
      <c r="P1407" s="5"/>
      <c r="Q1407" s="5"/>
      <c r="R1407" s="5"/>
      <c r="S1407" s="5"/>
      <c r="T1407" s="5"/>
      <c r="U1407" s="5"/>
      <c r="V1407" s="5"/>
      <c r="W1407" s="5"/>
    </row>
    <row r="1408">
      <c r="A1408" s="5"/>
      <c r="B1408" s="5"/>
      <c r="C1408" s="5"/>
      <c r="D1408" s="5"/>
      <c r="E1408" s="5"/>
      <c r="F1408" s="5"/>
      <c r="G1408" s="5"/>
      <c r="H1408" s="5"/>
      <c r="I1408" s="5"/>
      <c r="J1408" s="5"/>
      <c r="K1408" s="5"/>
      <c r="L1408" s="5"/>
      <c r="M1408" s="5"/>
      <c r="N1408" s="5"/>
      <c r="O1408" s="5"/>
      <c r="P1408" s="5"/>
      <c r="Q1408" s="5"/>
      <c r="R1408" s="5"/>
      <c r="S1408" s="5"/>
      <c r="T1408" s="5"/>
      <c r="U1408" s="5"/>
      <c r="V1408" s="5"/>
      <c r="W1408" s="5"/>
    </row>
    <row r="1409">
      <c r="A1409" s="5"/>
      <c r="B1409" s="5"/>
      <c r="C1409" s="5"/>
      <c r="D1409" s="5"/>
      <c r="E1409" s="5"/>
      <c r="F1409" s="5"/>
      <c r="G1409" s="5"/>
      <c r="H1409" s="5"/>
      <c r="I1409" s="5"/>
      <c r="J1409" s="5"/>
      <c r="K1409" s="5"/>
      <c r="L1409" s="5"/>
      <c r="M1409" s="5"/>
      <c r="N1409" s="5"/>
      <c r="O1409" s="5"/>
      <c r="P1409" s="5"/>
      <c r="Q1409" s="5"/>
      <c r="R1409" s="5"/>
      <c r="S1409" s="5"/>
      <c r="T1409" s="5"/>
      <c r="U1409" s="5"/>
      <c r="V1409" s="5"/>
      <c r="W1409" s="5"/>
    </row>
    <row r="1410">
      <c r="A1410" s="5"/>
      <c r="B1410" s="5"/>
      <c r="C1410" s="5"/>
      <c r="D1410" s="5"/>
      <c r="E1410" s="5"/>
      <c r="F1410" s="5"/>
      <c r="G1410" s="5"/>
      <c r="H1410" s="5"/>
      <c r="I1410" s="5"/>
      <c r="J1410" s="5"/>
      <c r="K1410" s="5"/>
      <c r="L1410" s="5"/>
      <c r="M1410" s="5"/>
      <c r="N1410" s="5"/>
      <c r="O1410" s="5"/>
      <c r="P1410" s="5"/>
      <c r="Q1410" s="5"/>
      <c r="R1410" s="5"/>
      <c r="S1410" s="5"/>
      <c r="T1410" s="5"/>
      <c r="U1410" s="5"/>
      <c r="V1410" s="5"/>
      <c r="W1410" s="5"/>
    </row>
    <row r="1411">
      <c r="A1411" s="5"/>
      <c r="B1411" s="5"/>
      <c r="C1411" s="5"/>
      <c r="D1411" s="5"/>
      <c r="E1411" s="5"/>
      <c r="F1411" s="5"/>
      <c r="G1411" s="5"/>
      <c r="H1411" s="5"/>
      <c r="I1411" s="5"/>
      <c r="J1411" s="5"/>
      <c r="K1411" s="5"/>
      <c r="L1411" s="5"/>
      <c r="M1411" s="5"/>
      <c r="N1411" s="5"/>
      <c r="O1411" s="5"/>
      <c r="P1411" s="5"/>
      <c r="Q1411" s="5"/>
      <c r="R1411" s="5"/>
      <c r="S1411" s="5"/>
      <c r="T1411" s="5"/>
      <c r="U1411" s="5"/>
      <c r="V1411" s="5"/>
      <c r="W1411" s="5"/>
    </row>
    <row r="1412">
      <c r="A1412" s="5"/>
      <c r="B1412" s="5"/>
      <c r="C1412" s="5"/>
      <c r="D1412" s="5"/>
      <c r="E1412" s="5"/>
      <c r="F1412" s="5"/>
      <c r="G1412" s="5"/>
      <c r="H1412" s="5"/>
      <c r="I1412" s="5"/>
      <c r="J1412" s="5"/>
      <c r="K1412" s="5"/>
      <c r="L1412" s="5"/>
      <c r="M1412" s="5"/>
      <c r="N1412" s="5"/>
      <c r="O1412" s="5"/>
      <c r="P1412" s="5"/>
      <c r="Q1412" s="5"/>
      <c r="R1412" s="5"/>
      <c r="S1412" s="5"/>
      <c r="T1412" s="5"/>
      <c r="U1412" s="5"/>
      <c r="V1412" s="5"/>
      <c r="W1412" s="5"/>
    </row>
    <row r="1413">
      <c r="A1413" s="5"/>
      <c r="B1413" s="5"/>
      <c r="C1413" s="5"/>
      <c r="D1413" s="5"/>
      <c r="E1413" s="5"/>
      <c r="F1413" s="5"/>
      <c r="G1413" s="5"/>
      <c r="H1413" s="5"/>
      <c r="I1413" s="5"/>
      <c r="J1413" s="5"/>
      <c r="K1413" s="5"/>
      <c r="L1413" s="5"/>
      <c r="M1413" s="5"/>
      <c r="N1413" s="5"/>
      <c r="O1413" s="5"/>
      <c r="P1413" s="5"/>
      <c r="Q1413" s="5"/>
      <c r="R1413" s="5"/>
      <c r="S1413" s="5"/>
      <c r="T1413" s="5"/>
      <c r="U1413" s="5"/>
      <c r="V1413" s="5"/>
      <c r="W1413" s="5"/>
    </row>
    <row r="1414">
      <c r="A1414" s="5"/>
      <c r="B1414" s="5"/>
      <c r="C1414" s="5"/>
      <c r="D1414" s="5"/>
      <c r="E1414" s="5"/>
      <c r="F1414" s="5"/>
      <c r="G1414" s="5"/>
      <c r="H1414" s="5"/>
      <c r="I1414" s="5"/>
      <c r="J1414" s="5"/>
      <c r="K1414" s="5"/>
      <c r="L1414" s="5"/>
      <c r="M1414" s="5"/>
      <c r="N1414" s="5"/>
      <c r="O1414" s="5"/>
      <c r="P1414" s="5"/>
      <c r="Q1414" s="5"/>
      <c r="R1414" s="5"/>
      <c r="S1414" s="5"/>
      <c r="T1414" s="5"/>
      <c r="U1414" s="5"/>
      <c r="V1414" s="5"/>
      <c r="W1414" s="5"/>
    </row>
    <row r="1415">
      <c r="A1415" s="5"/>
      <c r="B1415" s="5"/>
      <c r="C1415" s="5"/>
      <c r="D1415" s="5"/>
      <c r="E1415" s="5"/>
      <c r="F1415" s="5"/>
      <c r="G1415" s="5"/>
      <c r="H1415" s="5"/>
      <c r="I1415" s="5"/>
      <c r="J1415" s="5"/>
      <c r="K1415" s="5"/>
      <c r="L1415" s="5"/>
      <c r="M1415" s="5"/>
      <c r="N1415" s="5"/>
      <c r="O1415" s="5"/>
      <c r="P1415" s="5"/>
      <c r="Q1415" s="5"/>
      <c r="R1415" s="5"/>
      <c r="S1415" s="5"/>
      <c r="T1415" s="5"/>
      <c r="U1415" s="5"/>
      <c r="V1415" s="5"/>
      <c r="W1415" s="5"/>
    </row>
    <row r="1416">
      <c r="A1416" s="5"/>
      <c r="B1416" s="5"/>
      <c r="C1416" s="5"/>
      <c r="D1416" s="5"/>
      <c r="E1416" s="5"/>
      <c r="F1416" s="5"/>
      <c r="G1416" s="5"/>
      <c r="H1416" s="5"/>
      <c r="I1416" s="5"/>
      <c r="J1416" s="5"/>
      <c r="K1416" s="5"/>
      <c r="L1416" s="5"/>
      <c r="M1416" s="5"/>
      <c r="N1416" s="5"/>
      <c r="O1416" s="5"/>
      <c r="P1416" s="5"/>
      <c r="Q1416" s="5"/>
      <c r="R1416" s="5"/>
      <c r="S1416" s="5"/>
      <c r="T1416" s="5"/>
      <c r="U1416" s="5"/>
      <c r="V1416" s="5"/>
      <c r="W1416" s="5"/>
    </row>
    <row r="1417">
      <c r="A1417" s="5"/>
      <c r="B1417" s="5"/>
      <c r="C1417" s="5"/>
      <c r="D1417" s="5"/>
      <c r="E1417" s="5"/>
      <c r="F1417" s="5"/>
      <c r="G1417" s="5"/>
      <c r="H1417" s="5"/>
      <c r="I1417" s="5"/>
      <c r="J1417" s="5"/>
      <c r="K1417" s="5"/>
      <c r="L1417" s="5"/>
      <c r="M1417" s="5"/>
      <c r="N1417" s="5"/>
      <c r="O1417" s="5"/>
      <c r="P1417" s="5"/>
      <c r="Q1417" s="5"/>
      <c r="R1417" s="5"/>
      <c r="S1417" s="5"/>
      <c r="T1417" s="5"/>
      <c r="U1417" s="5"/>
      <c r="V1417" s="5"/>
      <c r="W1417" s="5"/>
    </row>
    <row r="1418">
      <c r="A1418" s="5"/>
      <c r="B1418" s="5"/>
      <c r="C1418" s="5"/>
      <c r="D1418" s="5"/>
      <c r="E1418" s="5"/>
      <c r="F1418" s="5"/>
      <c r="G1418" s="5"/>
      <c r="H1418" s="5"/>
      <c r="I1418" s="5"/>
      <c r="J1418" s="5"/>
      <c r="K1418" s="5"/>
      <c r="L1418" s="5"/>
      <c r="M1418" s="5"/>
      <c r="N1418" s="5"/>
      <c r="O1418" s="5"/>
      <c r="P1418" s="5"/>
      <c r="Q1418" s="5"/>
      <c r="R1418" s="5"/>
      <c r="S1418" s="5"/>
      <c r="T1418" s="5"/>
      <c r="U1418" s="5"/>
      <c r="V1418" s="5"/>
      <c r="W1418" s="5"/>
    </row>
    <row r="1419">
      <c r="A1419" s="5"/>
      <c r="B1419" s="5"/>
      <c r="C1419" s="5"/>
      <c r="D1419" s="5"/>
      <c r="E1419" s="5"/>
      <c r="F1419" s="5"/>
      <c r="G1419" s="5"/>
      <c r="H1419" s="5"/>
      <c r="I1419" s="5"/>
      <c r="J1419" s="5"/>
      <c r="K1419" s="5"/>
      <c r="L1419" s="5"/>
      <c r="M1419" s="5"/>
      <c r="N1419" s="5"/>
      <c r="O1419" s="5"/>
      <c r="P1419" s="5"/>
      <c r="Q1419" s="5"/>
      <c r="R1419" s="5"/>
      <c r="S1419" s="5"/>
      <c r="T1419" s="5"/>
      <c r="U1419" s="5"/>
      <c r="V1419" s="5"/>
      <c r="W1419" s="5"/>
    </row>
    <row r="1420">
      <c r="A1420" s="5"/>
      <c r="B1420" s="5"/>
      <c r="C1420" s="5"/>
      <c r="D1420" s="5"/>
      <c r="E1420" s="5"/>
      <c r="F1420" s="5"/>
      <c r="G1420" s="5"/>
      <c r="H1420" s="5"/>
      <c r="I1420" s="5"/>
      <c r="J1420" s="5"/>
      <c r="K1420" s="5"/>
      <c r="L1420" s="5"/>
      <c r="M1420" s="5"/>
      <c r="N1420" s="5"/>
      <c r="O1420" s="5"/>
      <c r="P1420" s="5"/>
      <c r="Q1420" s="5"/>
      <c r="R1420" s="5"/>
      <c r="S1420" s="5"/>
      <c r="T1420" s="5"/>
      <c r="U1420" s="5"/>
      <c r="V1420" s="5"/>
      <c r="W1420" s="5"/>
    </row>
    <row r="1421">
      <c r="A1421" s="5"/>
      <c r="B1421" s="5"/>
      <c r="C1421" s="5"/>
      <c r="D1421" s="5"/>
      <c r="E1421" s="5"/>
      <c r="F1421" s="5"/>
      <c r="G1421" s="5"/>
      <c r="H1421" s="5"/>
      <c r="I1421" s="5"/>
      <c r="J1421" s="5"/>
      <c r="K1421" s="5"/>
      <c r="L1421" s="5"/>
      <c r="M1421" s="5"/>
      <c r="N1421" s="5"/>
      <c r="O1421" s="5"/>
      <c r="P1421" s="5"/>
      <c r="Q1421" s="5"/>
      <c r="R1421" s="5"/>
      <c r="S1421" s="5"/>
      <c r="T1421" s="5"/>
      <c r="U1421" s="5"/>
      <c r="V1421" s="5"/>
      <c r="W1421" s="5"/>
    </row>
    <row r="1422">
      <c r="A1422" s="5"/>
      <c r="B1422" s="5"/>
      <c r="C1422" s="5"/>
      <c r="D1422" s="5"/>
      <c r="E1422" s="5"/>
      <c r="F1422" s="5"/>
      <c r="G1422" s="5"/>
      <c r="H1422" s="5"/>
      <c r="I1422" s="5"/>
      <c r="J1422" s="5"/>
      <c r="K1422" s="5"/>
      <c r="L1422" s="5"/>
      <c r="M1422" s="5"/>
      <c r="N1422" s="5"/>
      <c r="O1422" s="5"/>
      <c r="P1422" s="5"/>
      <c r="Q1422" s="5"/>
      <c r="R1422" s="5"/>
      <c r="S1422" s="5"/>
      <c r="T1422" s="5"/>
      <c r="U1422" s="5"/>
      <c r="V1422" s="5"/>
      <c r="W1422" s="5"/>
    </row>
    <row r="1423">
      <c r="A1423" s="5"/>
      <c r="B1423" s="5"/>
      <c r="C1423" s="5"/>
      <c r="D1423" s="5"/>
      <c r="E1423" s="5"/>
      <c r="F1423" s="5"/>
      <c r="G1423" s="5"/>
      <c r="H1423" s="5"/>
      <c r="I1423" s="5"/>
      <c r="J1423" s="5"/>
      <c r="K1423" s="5"/>
      <c r="L1423" s="5"/>
      <c r="M1423" s="5"/>
      <c r="N1423" s="5"/>
      <c r="O1423" s="5"/>
      <c r="P1423" s="5"/>
      <c r="Q1423" s="5"/>
      <c r="R1423" s="5"/>
      <c r="S1423" s="5"/>
      <c r="T1423" s="5"/>
      <c r="U1423" s="5"/>
      <c r="V1423" s="5"/>
      <c r="W1423" s="5"/>
    </row>
    <row r="1424">
      <c r="A1424" s="5"/>
      <c r="B1424" s="5"/>
      <c r="C1424" s="5"/>
      <c r="D1424" s="5"/>
      <c r="E1424" s="5"/>
      <c r="F1424" s="5"/>
      <c r="G1424" s="5"/>
      <c r="H1424" s="5"/>
      <c r="I1424" s="5"/>
      <c r="J1424" s="5"/>
      <c r="K1424" s="5"/>
      <c r="L1424" s="5"/>
      <c r="M1424" s="5"/>
      <c r="N1424" s="5"/>
      <c r="O1424" s="5"/>
      <c r="P1424" s="5"/>
      <c r="Q1424" s="5"/>
      <c r="R1424" s="5"/>
      <c r="S1424" s="5"/>
      <c r="T1424" s="5"/>
      <c r="U1424" s="5"/>
      <c r="V1424" s="5"/>
      <c r="W1424" s="5"/>
    </row>
    <row r="1425">
      <c r="A1425" s="5"/>
      <c r="B1425" s="5"/>
      <c r="C1425" s="5"/>
      <c r="D1425" s="5"/>
      <c r="E1425" s="5"/>
      <c r="F1425" s="5"/>
      <c r="G1425" s="5"/>
      <c r="H1425" s="5"/>
      <c r="I1425" s="5"/>
      <c r="J1425" s="5"/>
      <c r="K1425" s="5"/>
      <c r="L1425" s="5"/>
      <c r="M1425" s="5"/>
      <c r="N1425" s="5"/>
      <c r="O1425" s="5"/>
      <c r="P1425" s="5"/>
      <c r="Q1425" s="5"/>
      <c r="R1425" s="5"/>
      <c r="S1425" s="5"/>
      <c r="T1425" s="5"/>
      <c r="U1425" s="5"/>
      <c r="V1425" s="5"/>
      <c r="W1425" s="5"/>
    </row>
    <row r="1426">
      <c r="A1426" s="5"/>
      <c r="B1426" s="5"/>
      <c r="C1426" s="5"/>
      <c r="D1426" s="5"/>
      <c r="E1426" s="5"/>
      <c r="F1426" s="5"/>
      <c r="G1426" s="5"/>
      <c r="H1426" s="5"/>
      <c r="I1426" s="5"/>
      <c r="J1426" s="5"/>
      <c r="K1426" s="5"/>
      <c r="L1426" s="5"/>
      <c r="M1426" s="5"/>
      <c r="N1426" s="5"/>
      <c r="O1426" s="5"/>
      <c r="P1426" s="5"/>
      <c r="Q1426" s="5"/>
      <c r="R1426" s="5"/>
      <c r="S1426" s="5"/>
      <c r="T1426" s="5"/>
      <c r="U1426" s="5"/>
      <c r="V1426" s="5"/>
      <c r="W1426" s="5"/>
    </row>
    <row r="1427">
      <c r="A1427" s="5"/>
      <c r="B1427" s="5"/>
      <c r="C1427" s="5"/>
      <c r="D1427" s="5"/>
      <c r="E1427" s="5"/>
      <c r="F1427" s="5"/>
      <c r="G1427" s="5"/>
      <c r="H1427" s="5"/>
      <c r="I1427" s="5"/>
      <c r="J1427" s="5"/>
      <c r="K1427" s="5"/>
      <c r="L1427" s="5"/>
      <c r="M1427" s="5"/>
      <c r="N1427" s="5"/>
      <c r="O1427" s="5"/>
      <c r="P1427" s="5"/>
      <c r="Q1427" s="5"/>
      <c r="R1427" s="5"/>
      <c r="S1427" s="5"/>
      <c r="T1427" s="5"/>
      <c r="U1427" s="5"/>
      <c r="V1427" s="5"/>
      <c r="W1427" s="5"/>
    </row>
    <row r="1428">
      <c r="A1428" s="5"/>
      <c r="B1428" s="5"/>
      <c r="C1428" s="5"/>
      <c r="D1428" s="5"/>
      <c r="E1428" s="5"/>
      <c r="F1428" s="5"/>
      <c r="G1428" s="5"/>
      <c r="H1428" s="5"/>
      <c r="I1428" s="5"/>
      <c r="J1428" s="5"/>
      <c r="K1428" s="5"/>
      <c r="L1428" s="5"/>
      <c r="M1428" s="5"/>
      <c r="N1428" s="5"/>
      <c r="O1428" s="5"/>
      <c r="P1428" s="5"/>
      <c r="Q1428" s="5"/>
      <c r="R1428" s="5"/>
      <c r="S1428" s="5"/>
      <c r="T1428" s="5"/>
      <c r="U1428" s="5"/>
      <c r="V1428" s="5"/>
      <c r="W1428" s="5"/>
    </row>
    <row r="1429">
      <c r="A1429" s="5"/>
      <c r="B1429" s="5"/>
      <c r="C1429" s="5"/>
      <c r="D1429" s="5"/>
      <c r="E1429" s="5"/>
      <c r="F1429" s="5"/>
      <c r="G1429" s="5"/>
      <c r="H1429" s="5"/>
      <c r="I1429" s="5"/>
      <c r="J1429" s="5"/>
      <c r="K1429" s="5"/>
      <c r="L1429" s="5"/>
      <c r="M1429" s="5"/>
      <c r="N1429" s="5"/>
      <c r="O1429" s="5"/>
      <c r="P1429" s="5"/>
      <c r="Q1429" s="5"/>
      <c r="R1429" s="5"/>
      <c r="S1429" s="5"/>
      <c r="T1429" s="5"/>
      <c r="U1429" s="5"/>
      <c r="V1429" s="5"/>
      <c r="W1429" s="5"/>
    </row>
    <row r="1430">
      <c r="A1430" s="5"/>
      <c r="B1430" s="5"/>
      <c r="C1430" s="5"/>
      <c r="D1430" s="5"/>
      <c r="E1430" s="5"/>
      <c r="F1430" s="5"/>
      <c r="G1430" s="5"/>
      <c r="H1430" s="5"/>
      <c r="I1430" s="5"/>
      <c r="J1430" s="5"/>
      <c r="K1430" s="5"/>
      <c r="L1430" s="5"/>
      <c r="M1430" s="5"/>
      <c r="N1430" s="5"/>
      <c r="O1430" s="5"/>
      <c r="P1430" s="5"/>
      <c r="Q1430" s="5"/>
      <c r="R1430" s="5"/>
      <c r="S1430" s="5"/>
      <c r="T1430" s="5"/>
      <c r="U1430" s="5"/>
      <c r="V1430" s="5"/>
      <c r="W1430" s="5"/>
    </row>
    <row r="1431">
      <c r="A1431" s="5"/>
      <c r="B1431" s="5"/>
      <c r="C1431" s="5"/>
      <c r="D1431" s="5"/>
      <c r="E1431" s="5"/>
      <c r="F1431" s="5"/>
      <c r="G1431" s="5"/>
      <c r="H1431" s="5"/>
      <c r="I1431" s="5"/>
      <c r="J1431" s="5"/>
      <c r="K1431" s="5"/>
      <c r="L1431" s="5"/>
      <c r="M1431" s="5"/>
      <c r="N1431" s="5"/>
      <c r="O1431" s="5"/>
      <c r="P1431" s="5"/>
      <c r="Q1431" s="5"/>
      <c r="R1431" s="5"/>
      <c r="S1431" s="5"/>
      <c r="T1431" s="5"/>
      <c r="U1431" s="5"/>
      <c r="V1431" s="5"/>
      <c r="W1431" s="5"/>
    </row>
    <row r="1432">
      <c r="A1432" s="5"/>
      <c r="B1432" s="5"/>
      <c r="C1432" s="5"/>
      <c r="D1432" s="5"/>
      <c r="E1432" s="5"/>
      <c r="F1432" s="5"/>
      <c r="G1432" s="5"/>
      <c r="H1432" s="5"/>
      <c r="I1432" s="5"/>
      <c r="J1432" s="5"/>
      <c r="K1432" s="5"/>
      <c r="L1432" s="5"/>
      <c r="M1432" s="5"/>
      <c r="N1432" s="5"/>
      <c r="O1432" s="5"/>
      <c r="P1432" s="5"/>
      <c r="Q1432" s="5"/>
      <c r="R1432" s="5"/>
      <c r="S1432" s="5"/>
      <c r="T1432" s="5"/>
      <c r="U1432" s="5"/>
      <c r="V1432" s="5"/>
      <c r="W1432" s="5"/>
    </row>
    <row r="1433">
      <c r="A1433" s="5"/>
      <c r="B1433" s="5"/>
      <c r="C1433" s="5"/>
      <c r="D1433" s="5"/>
      <c r="E1433" s="5"/>
      <c r="F1433" s="5"/>
      <c r="G1433" s="5"/>
      <c r="H1433" s="5"/>
      <c r="I1433" s="5"/>
      <c r="J1433" s="5"/>
      <c r="K1433" s="5"/>
      <c r="L1433" s="5"/>
      <c r="M1433" s="5"/>
      <c r="N1433" s="5"/>
      <c r="O1433" s="5"/>
      <c r="P1433" s="5"/>
      <c r="Q1433" s="5"/>
      <c r="R1433" s="5"/>
      <c r="S1433" s="5"/>
      <c r="T1433" s="5"/>
      <c r="U1433" s="5"/>
      <c r="V1433" s="5"/>
      <c r="W1433" s="5"/>
    </row>
    <row r="1434">
      <c r="A1434" s="5"/>
      <c r="B1434" s="5"/>
      <c r="C1434" s="5"/>
      <c r="D1434" s="5"/>
      <c r="E1434" s="5"/>
      <c r="F1434" s="5"/>
      <c r="G1434" s="5"/>
      <c r="H1434" s="5"/>
      <c r="I1434" s="5"/>
      <c r="J1434" s="5"/>
      <c r="K1434" s="5"/>
      <c r="L1434" s="5"/>
      <c r="M1434" s="5"/>
      <c r="N1434" s="5"/>
      <c r="O1434" s="5"/>
      <c r="P1434" s="5"/>
      <c r="Q1434" s="5"/>
      <c r="R1434" s="5"/>
      <c r="S1434" s="5"/>
      <c r="T1434" s="5"/>
      <c r="U1434" s="5"/>
      <c r="V1434" s="5"/>
      <c r="W1434" s="5"/>
    </row>
    <row r="1435">
      <c r="A1435" s="5"/>
      <c r="B1435" s="5"/>
      <c r="C1435" s="5"/>
      <c r="D1435" s="5"/>
      <c r="E1435" s="5"/>
      <c r="F1435" s="5"/>
      <c r="G1435" s="5"/>
      <c r="H1435" s="5"/>
      <c r="I1435" s="5"/>
      <c r="J1435" s="5"/>
      <c r="K1435" s="5"/>
      <c r="L1435" s="5"/>
      <c r="M1435" s="5"/>
      <c r="N1435" s="5"/>
      <c r="O1435" s="5"/>
      <c r="P1435" s="5"/>
      <c r="Q1435" s="5"/>
      <c r="R1435" s="5"/>
      <c r="S1435" s="5"/>
      <c r="T1435" s="5"/>
      <c r="U1435" s="5"/>
      <c r="V1435" s="5"/>
      <c r="W1435" s="5"/>
    </row>
    <row r="1436">
      <c r="A1436" s="5"/>
      <c r="B1436" s="5"/>
      <c r="C1436" s="5"/>
      <c r="D1436" s="5"/>
      <c r="E1436" s="5"/>
      <c r="F1436" s="5"/>
      <c r="G1436" s="5"/>
      <c r="H1436" s="5"/>
      <c r="I1436" s="5"/>
      <c r="J1436" s="5"/>
      <c r="K1436" s="5"/>
      <c r="L1436" s="5"/>
      <c r="M1436" s="5"/>
      <c r="N1436" s="5"/>
      <c r="O1436" s="5"/>
      <c r="P1436" s="5"/>
      <c r="Q1436" s="5"/>
      <c r="R1436" s="5"/>
      <c r="S1436" s="5"/>
      <c r="T1436" s="5"/>
      <c r="U1436" s="5"/>
      <c r="V1436" s="5"/>
      <c r="W1436" s="5"/>
    </row>
    <row r="1437">
      <c r="A1437" s="5"/>
      <c r="B1437" s="5"/>
      <c r="C1437" s="5"/>
      <c r="D1437" s="5"/>
      <c r="E1437" s="5"/>
      <c r="F1437" s="5"/>
      <c r="G1437" s="5"/>
      <c r="H1437" s="5"/>
      <c r="I1437" s="5"/>
      <c r="J1437" s="5"/>
      <c r="K1437" s="5"/>
      <c r="L1437" s="5"/>
      <c r="M1437" s="5"/>
      <c r="N1437" s="5"/>
      <c r="O1437" s="5"/>
      <c r="P1437" s="5"/>
      <c r="Q1437" s="5"/>
      <c r="R1437" s="5"/>
      <c r="S1437" s="5"/>
      <c r="T1437" s="5"/>
      <c r="U1437" s="5"/>
      <c r="V1437" s="5"/>
      <c r="W1437" s="5"/>
    </row>
    <row r="1438">
      <c r="A1438" s="5"/>
      <c r="B1438" s="5"/>
      <c r="C1438" s="5"/>
      <c r="D1438" s="5"/>
      <c r="E1438" s="5"/>
      <c r="F1438" s="5"/>
      <c r="G1438" s="5"/>
      <c r="H1438" s="5"/>
      <c r="I1438" s="5"/>
      <c r="J1438" s="5"/>
      <c r="K1438" s="5"/>
      <c r="L1438" s="5"/>
      <c r="M1438" s="5"/>
      <c r="N1438" s="5"/>
      <c r="O1438" s="5"/>
      <c r="P1438" s="5"/>
      <c r="Q1438" s="5"/>
      <c r="R1438" s="5"/>
      <c r="S1438" s="5"/>
      <c r="T1438" s="5"/>
      <c r="U1438" s="5"/>
      <c r="V1438" s="5"/>
      <c r="W1438" s="5"/>
    </row>
    <row r="1439">
      <c r="A1439" s="5"/>
      <c r="B1439" s="5"/>
      <c r="C1439" s="5"/>
      <c r="D1439" s="5"/>
      <c r="E1439" s="5"/>
      <c r="F1439" s="5"/>
      <c r="G1439" s="5"/>
      <c r="H1439" s="5"/>
      <c r="I1439" s="5"/>
      <c r="J1439" s="5"/>
      <c r="K1439" s="5"/>
      <c r="L1439" s="5"/>
      <c r="M1439" s="5"/>
      <c r="N1439" s="5"/>
      <c r="O1439" s="5"/>
      <c r="P1439" s="5"/>
      <c r="Q1439" s="5"/>
      <c r="R1439" s="5"/>
      <c r="S1439" s="5"/>
      <c r="T1439" s="5"/>
      <c r="U1439" s="5"/>
      <c r="V1439" s="5"/>
      <c r="W1439" s="5"/>
    </row>
    <row r="1440">
      <c r="A1440" s="5"/>
      <c r="B1440" s="5"/>
      <c r="C1440" s="5"/>
      <c r="D1440" s="5"/>
      <c r="E1440" s="5"/>
      <c r="F1440" s="5"/>
      <c r="G1440" s="5"/>
      <c r="H1440" s="5"/>
      <c r="I1440" s="5"/>
      <c r="J1440" s="5"/>
      <c r="K1440" s="5"/>
      <c r="L1440" s="5"/>
      <c r="M1440" s="5"/>
      <c r="N1440" s="5"/>
      <c r="O1440" s="5"/>
      <c r="P1440" s="5"/>
      <c r="Q1440" s="5"/>
      <c r="R1440" s="5"/>
      <c r="S1440" s="5"/>
      <c r="T1440" s="5"/>
      <c r="U1440" s="5"/>
      <c r="V1440" s="5"/>
      <c r="W1440" s="5"/>
    </row>
    <row r="1441">
      <c r="A1441" s="5"/>
      <c r="B1441" s="5"/>
      <c r="C1441" s="5"/>
      <c r="D1441" s="5"/>
      <c r="E1441" s="5"/>
      <c r="F1441" s="5"/>
      <c r="G1441" s="5"/>
      <c r="H1441" s="5"/>
      <c r="I1441" s="5"/>
      <c r="J1441" s="5"/>
      <c r="K1441" s="5"/>
      <c r="L1441" s="5"/>
      <c r="M1441" s="5"/>
      <c r="N1441" s="5"/>
      <c r="O1441" s="5"/>
      <c r="P1441" s="5"/>
      <c r="Q1441" s="5"/>
      <c r="R1441" s="5"/>
      <c r="S1441" s="5"/>
      <c r="T1441" s="5"/>
      <c r="U1441" s="5"/>
      <c r="V1441" s="5"/>
      <c r="W1441" s="5"/>
    </row>
    <row r="1442">
      <c r="A1442" s="5"/>
      <c r="B1442" s="5"/>
      <c r="C1442" s="5"/>
      <c r="D1442" s="5"/>
      <c r="E1442" s="5"/>
      <c r="F1442" s="5"/>
      <c r="G1442" s="5"/>
      <c r="H1442" s="5"/>
      <c r="I1442" s="5"/>
      <c r="J1442" s="5"/>
      <c r="K1442" s="5"/>
      <c r="L1442" s="5"/>
      <c r="M1442" s="5"/>
      <c r="N1442" s="5"/>
      <c r="O1442" s="5"/>
      <c r="P1442" s="5"/>
      <c r="Q1442" s="5"/>
      <c r="R1442" s="5"/>
      <c r="S1442" s="5"/>
      <c r="T1442" s="5"/>
      <c r="U1442" s="5"/>
      <c r="V1442" s="5"/>
      <c r="W1442" s="5"/>
    </row>
    <row r="1443">
      <c r="A1443" s="5"/>
      <c r="B1443" s="5"/>
      <c r="C1443" s="5"/>
      <c r="D1443" s="5"/>
      <c r="E1443" s="5"/>
      <c r="F1443" s="5"/>
      <c r="G1443" s="5"/>
      <c r="H1443" s="5"/>
      <c r="I1443" s="5"/>
      <c r="J1443" s="5"/>
      <c r="K1443" s="5"/>
      <c r="L1443" s="5"/>
      <c r="M1443" s="5"/>
      <c r="N1443" s="5"/>
      <c r="O1443" s="5"/>
      <c r="P1443" s="5"/>
      <c r="Q1443" s="5"/>
      <c r="R1443" s="5"/>
      <c r="S1443" s="5"/>
      <c r="T1443" s="5"/>
      <c r="U1443" s="5"/>
      <c r="V1443" s="5"/>
      <c r="W1443" s="5"/>
    </row>
    <row r="1444">
      <c r="A1444" s="5"/>
      <c r="B1444" s="5"/>
      <c r="C1444" s="5"/>
      <c r="D1444" s="5"/>
      <c r="E1444" s="5"/>
      <c r="F1444" s="5"/>
      <c r="G1444" s="5"/>
      <c r="H1444" s="5"/>
      <c r="I1444" s="5"/>
      <c r="J1444" s="5"/>
      <c r="K1444" s="5"/>
      <c r="L1444" s="5"/>
      <c r="M1444" s="5"/>
      <c r="N1444" s="5"/>
      <c r="O1444" s="5"/>
      <c r="P1444" s="5"/>
      <c r="Q1444" s="5"/>
      <c r="R1444" s="5"/>
      <c r="S1444" s="5"/>
      <c r="T1444" s="5"/>
      <c r="U1444" s="5"/>
      <c r="V1444" s="5"/>
      <c r="W1444" s="5"/>
    </row>
    <row r="1445">
      <c r="A1445" s="5"/>
      <c r="B1445" s="5"/>
      <c r="C1445" s="5"/>
      <c r="D1445" s="5"/>
      <c r="E1445" s="5"/>
      <c r="F1445" s="5"/>
      <c r="G1445" s="5"/>
      <c r="H1445" s="5"/>
      <c r="I1445" s="5"/>
      <c r="J1445" s="5"/>
      <c r="K1445" s="5"/>
      <c r="L1445" s="5"/>
      <c r="M1445" s="5"/>
      <c r="N1445" s="5"/>
      <c r="O1445" s="5"/>
      <c r="P1445" s="5"/>
      <c r="Q1445" s="5"/>
      <c r="R1445" s="5"/>
      <c r="S1445" s="5"/>
      <c r="T1445" s="5"/>
      <c r="U1445" s="5"/>
      <c r="V1445" s="5"/>
      <c r="W1445" s="5"/>
    </row>
    <row r="1446">
      <c r="A1446" s="5"/>
      <c r="B1446" s="5"/>
      <c r="C1446" s="5"/>
      <c r="D1446" s="5"/>
      <c r="E1446" s="5"/>
      <c r="F1446" s="5"/>
      <c r="G1446" s="5"/>
      <c r="H1446" s="5"/>
      <c r="I1446" s="5"/>
      <c r="J1446" s="5"/>
      <c r="K1446" s="5"/>
      <c r="L1446" s="5"/>
      <c r="M1446" s="5"/>
      <c r="N1446" s="5"/>
      <c r="O1446" s="5"/>
      <c r="P1446" s="5"/>
      <c r="Q1446" s="5"/>
      <c r="R1446" s="5"/>
      <c r="S1446" s="5"/>
      <c r="T1446" s="5"/>
      <c r="U1446" s="5"/>
      <c r="V1446" s="5"/>
      <c r="W1446" s="5"/>
    </row>
    <row r="1447">
      <c r="A1447" s="5"/>
      <c r="B1447" s="5"/>
      <c r="C1447" s="5"/>
      <c r="D1447" s="5"/>
      <c r="E1447" s="5"/>
      <c r="F1447" s="5"/>
      <c r="G1447" s="5"/>
      <c r="H1447" s="5"/>
      <c r="I1447" s="5"/>
      <c r="J1447" s="5"/>
      <c r="K1447" s="5"/>
      <c r="L1447" s="5"/>
      <c r="M1447" s="5"/>
      <c r="N1447" s="5"/>
      <c r="O1447" s="5"/>
      <c r="P1447" s="5"/>
      <c r="Q1447" s="5"/>
      <c r="R1447" s="5"/>
      <c r="S1447" s="5"/>
      <c r="T1447" s="5"/>
      <c r="U1447" s="5"/>
      <c r="V1447" s="5"/>
      <c r="W1447" s="5"/>
    </row>
    <row r="1448">
      <c r="A1448" s="5"/>
      <c r="B1448" s="5"/>
      <c r="C1448" s="5"/>
      <c r="D1448" s="5"/>
      <c r="E1448" s="5"/>
      <c r="F1448" s="5"/>
      <c r="G1448" s="5"/>
      <c r="H1448" s="5"/>
      <c r="I1448" s="5"/>
      <c r="J1448" s="5"/>
      <c r="K1448" s="5"/>
      <c r="L1448" s="5"/>
      <c r="M1448" s="5"/>
      <c r="N1448" s="5"/>
      <c r="O1448" s="5"/>
      <c r="P1448" s="5"/>
      <c r="Q1448" s="5"/>
      <c r="R1448" s="5"/>
      <c r="S1448" s="5"/>
      <c r="T1448" s="5"/>
      <c r="U1448" s="5"/>
      <c r="V1448" s="5"/>
      <c r="W1448" s="5"/>
    </row>
    <row r="1449">
      <c r="A1449" s="5"/>
      <c r="B1449" s="5"/>
      <c r="C1449" s="5"/>
      <c r="D1449" s="5"/>
      <c r="E1449" s="5"/>
      <c r="F1449" s="5"/>
      <c r="G1449" s="5"/>
      <c r="H1449" s="5"/>
      <c r="I1449" s="5"/>
      <c r="J1449" s="5"/>
      <c r="K1449" s="5"/>
      <c r="L1449" s="5"/>
      <c r="M1449" s="5"/>
      <c r="N1449" s="5"/>
      <c r="O1449" s="5"/>
      <c r="P1449" s="5"/>
      <c r="Q1449" s="5"/>
      <c r="R1449" s="5"/>
      <c r="S1449" s="5"/>
      <c r="T1449" s="5"/>
      <c r="U1449" s="5"/>
      <c r="V1449" s="5"/>
      <c r="W1449" s="5"/>
    </row>
    <row r="1450">
      <c r="A1450" s="5"/>
      <c r="B1450" s="5"/>
      <c r="C1450" s="5"/>
      <c r="D1450" s="5"/>
      <c r="E1450" s="5"/>
      <c r="F1450" s="5"/>
      <c r="G1450" s="5"/>
      <c r="H1450" s="5"/>
      <c r="I1450" s="5"/>
      <c r="J1450" s="5"/>
      <c r="K1450" s="5"/>
      <c r="L1450" s="5"/>
      <c r="M1450" s="5"/>
      <c r="N1450" s="5"/>
      <c r="O1450" s="5"/>
      <c r="P1450" s="5"/>
      <c r="Q1450" s="5"/>
      <c r="R1450" s="5"/>
      <c r="S1450" s="5"/>
      <c r="T1450" s="5"/>
      <c r="U1450" s="5"/>
      <c r="V1450" s="5"/>
      <c r="W1450" s="5"/>
    </row>
    <row r="1451">
      <c r="A1451" s="5"/>
      <c r="B1451" s="5"/>
      <c r="C1451" s="5"/>
      <c r="D1451" s="5"/>
      <c r="E1451" s="5"/>
      <c r="F1451" s="5"/>
      <c r="G1451" s="5"/>
      <c r="H1451" s="5"/>
      <c r="I1451" s="5"/>
      <c r="J1451" s="5"/>
      <c r="K1451" s="5"/>
      <c r="L1451" s="5"/>
      <c r="M1451" s="5"/>
      <c r="N1451" s="5"/>
      <c r="O1451" s="5"/>
      <c r="P1451" s="5"/>
      <c r="Q1451" s="5"/>
      <c r="R1451" s="5"/>
      <c r="S1451" s="5"/>
      <c r="T1451" s="5"/>
      <c r="U1451" s="5"/>
      <c r="V1451" s="5"/>
      <c r="W1451" s="5"/>
    </row>
    <row r="1452">
      <c r="A1452" s="5"/>
      <c r="B1452" s="5"/>
      <c r="C1452" s="5"/>
      <c r="D1452" s="5"/>
      <c r="E1452" s="5"/>
      <c r="F1452" s="5"/>
      <c r="G1452" s="5"/>
      <c r="H1452" s="5"/>
      <c r="I1452" s="5"/>
      <c r="J1452" s="5"/>
      <c r="K1452" s="5"/>
      <c r="L1452" s="5"/>
      <c r="M1452" s="5"/>
      <c r="N1452" s="5"/>
      <c r="O1452" s="5"/>
      <c r="P1452" s="5"/>
      <c r="Q1452" s="5"/>
      <c r="R1452" s="5"/>
      <c r="S1452" s="5"/>
      <c r="T1452" s="5"/>
      <c r="U1452" s="5"/>
      <c r="V1452" s="5"/>
      <c r="W1452" s="5"/>
    </row>
    <row r="1453">
      <c r="A1453" s="5"/>
      <c r="B1453" s="5"/>
      <c r="C1453" s="5"/>
      <c r="D1453" s="5"/>
      <c r="E1453" s="5"/>
      <c r="F1453" s="5"/>
      <c r="G1453" s="5"/>
      <c r="H1453" s="5"/>
      <c r="I1453" s="5"/>
      <c r="J1453" s="5"/>
      <c r="K1453" s="5"/>
      <c r="L1453" s="5"/>
      <c r="M1453" s="5"/>
      <c r="N1453" s="5"/>
      <c r="O1453" s="5"/>
      <c r="P1453" s="5"/>
      <c r="Q1453" s="5"/>
      <c r="R1453" s="5"/>
      <c r="S1453" s="5"/>
      <c r="T1453" s="5"/>
      <c r="U1453" s="5"/>
      <c r="V1453" s="5"/>
      <c r="W1453" s="5"/>
    </row>
    <row r="1454">
      <c r="A1454" s="5"/>
      <c r="B1454" s="5"/>
      <c r="C1454" s="5"/>
      <c r="D1454" s="5"/>
      <c r="E1454" s="5"/>
      <c r="F1454" s="5"/>
      <c r="G1454" s="5"/>
      <c r="H1454" s="5"/>
      <c r="I1454" s="5"/>
      <c r="J1454" s="5"/>
      <c r="K1454" s="5"/>
      <c r="L1454" s="5"/>
      <c r="M1454" s="5"/>
      <c r="N1454" s="5"/>
      <c r="O1454" s="5"/>
      <c r="P1454" s="5"/>
      <c r="Q1454" s="5"/>
      <c r="R1454" s="5"/>
      <c r="S1454" s="5"/>
      <c r="T1454" s="5"/>
      <c r="U1454" s="5"/>
      <c r="V1454" s="5"/>
      <c r="W1454" s="5"/>
    </row>
    <row r="1455">
      <c r="A1455" s="5"/>
      <c r="B1455" s="5"/>
      <c r="C1455" s="5"/>
      <c r="D1455" s="5"/>
      <c r="E1455" s="5"/>
      <c r="F1455" s="5"/>
      <c r="G1455" s="5"/>
      <c r="H1455" s="5"/>
      <c r="I1455" s="5"/>
      <c r="J1455" s="5"/>
      <c r="K1455" s="5"/>
      <c r="L1455" s="5"/>
      <c r="M1455" s="5"/>
      <c r="N1455" s="5"/>
      <c r="O1455" s="5"/>
      <c r="P1455" s="5"/>
      <c r="Q1455" s="5"/>
      <c r="R1455" s="5"/>
      <c r="S1455" s="5"/>
      <c r="T1455" s="5"/>
      <c r="U1455" s="5"/>
      <c r="V1455" s="5"/>
      <c r="W1455" s="5"/>
    </row>
    <row r="1456">
      <c r="A1456" s="5"/>
      <c r="B1456" s="5"/>
      <c r="C1456" s="5"/>
      <c r="D1456" s="5"/>
      <c r="E1456" s="5"/>
      <c r="F1456" s="5"/>
      <c r="G1456" s="5"/>
      <c r="H1456" s="5"/>
      <c r="I1456" s="5"/>
      <c r="J1456" s="5"/>
      <c r="K1456" s="5"/>
      <c r="L1456" s="5"/>
      <c r="M1456" s="5"/>
      <c r="N1456" s="5"/>
      <c r="O1456" s="5"/>
      <c r="P1456" s="5"/>
      <c r="Q1456" s="5"/>
      <c r="R1456" s="5"/>
      <c r="S1456" s="5"/>
      <c r="T1456" s="5"/>
      <c r="U1456" s="5"/>
      <c r="V1456" s="5"/>
      <c r="W1456" s="5"/>
    </row>
    <row r="1457">
      <c r="A1457" s="5"/>
      <c r="B1457" s="5"/>
      <c r="C1457" s="5"/>
      <c r="D1457" s="5"/>
      <c r="E1457" s="5"/>
      <c r="F1457" s="5"/>
      <c r="G1457" s="5"/>
      <c r="H1457" s="5"/>
      <c r="I1457" s="5"/>
      <c r="J1457" s="5"/>
      <c r="K1457" s="5"/>
      <c r="L1457" s="5"/>
      <c r="M1457" s="5"/>
      <c r="N1457" s="5"/>
      <c r="O1457" s="5"/>
      <c r="P1457" s="5"/>
      <c r="Q1457" s="5"/>
      <c r="R1457" s="5"/>
      <c r="S1457" s="5"/>
      <c r="T1457" s="5"/>
      <c r="U1457" s="5"/>
      <c r="V1457" s="5"/>
      <c r="W1457" s="5"/>
    </row>
    <row r="1458">
      <c r="A1458" s="5"/>
      <c r="B1458" s="5"/>
      <c r="C1458" s="5"/>
      <c r="D1458" s="5"/>
      <c r="E1458" s="5"/>
      <c r="F1458" s="5"/>
      <c r="G1458" s="5"/>
      <c r="H1458" s="5"/>
      <c r="I1458" s="5"/>
      <c r="J1458" s="5"/>
      <c r="K1458" s="5"/>
      <c r="L1458" s="5"/>
      <c r="M1458" s="5"/>
      <c r="N1458" s="5"/>
      <c r="O1458" s="5"/>
      <c r="P1458" s="5"/>
      <c r="Q1458" s="5"/>
      <c r="R1458" s="5"/>
      <c r="S1458" s="5"/>
      <c r="T1458" s="5"/>
      <c r="U1458" s="5"/>
      <c r="V1458" s="5"/>
      <c r="W1458" s="5"/>
    </row>
    <row r="1459">
      <c r="A1459" s="5"/>
      <c r="B1459" s="5"/>
      <c r="C1459" s="5"/>
      <c r="D1459" s="5"/>
      <c r="E1459" s="5"/>
      <c r="F1459" s="5"/>
      <c r="G1459" s="5"/>
      <c r="H1459" s="5"/>
      <c r="I1459" s="5"/>
      <c r="J1459" s="5"/>
      <c r="K1459" s="5"/>
      <c r="L1459" s="5"/>
      <c r="M1459" s="5"/>
      <c r="N1459" s="5"/>
      <c r="O1459" s="5"/>
      <c r="P1459" s="5"/>
      <c r="Q1459" s="5"/>
      <c r="R1459" s="5"/>
      <c r="S1459" s="5"/>
      <c r="T1459" s="5"/>
      <c r="U1459" s="5"/>
      <c r="V1459" s="5"/>
      <c r="W1459" s="5"/>
    </row>
    <row r="1460">
      <c r="A1460" s="5"/>
      <c r="B1460" s="5"/>
      <c r="C1460" s="5"/>
      <c r="D1460" s="5"/>
      <c r="E1460" s="5"/>
      <c r="F1460" s="5"/>
      <c r="G1460" s="5"/>
      <c r="H1460" s="5"/>
      <c r="I1460" s="5"/>
      <c r="J1460" s="5"/>
      <c r="K1460" s="5"/>
      <c r="L1460" s="5"/>
      <c r="M1460" s="5"/>
      <c r="N1460" s="5"/>
      <c r="O1460" s="5"/>
      <c r="P1460" s="5"/>
      <c r="Q1460" s="5"/>
      <c r="R1460" s="5"/>
      <c r="S1460" s="5"/>
      <c r="T1460" s="5"/>
      <c r="U1460" s="5"/>
      <c r="V1460" s="5"/>
      <c r="W1460" s="5"/>
    </row>
    <row r="1461">
      <c r="A1461" s="5"/>
      <c r="B1461" s="5"/>
      <c r="C1461" s="5"/>
      <c r="D1461" s="5"/>
      <c r="E1461" s="5"/>
      <c r="F1461" s="5"/>
      <c r="G1461" s="5"/>
      <c r="H1461" s="5"/>
      <c r="I1461" s="5"/>
      <c r="J1461" s="5"/>
      <c r="K1461" s="5"/>
      <c r="L1461" s="5"/>
      <c r="M1461" s="5"/>
      <c r="N1461" s="5"/>
      <c r="O1461" s="5"/>
      <c r="P1461" s="5"/>
      <c r="Q1461" s="5"/>
      <c r="R1461" s="5"/>
      <c r="S1461" s="5"/>
      <c r="T1461" s="5"/>
      <c r="U1461" s="5"/>
      <c r="V1461" s="5"/>
      <c r="W1461" s="5"/>
    </row>
    <row r="1462">
      <c r="A1462" s="5"/>
      <c r="B1462" s="5"/>
      <c r="C1462" s="5"/>
      <c r="D1462" s="5"/>
      <c r="E1462" s="5"/>
      <c r="F1462" s="5"/>
      <c r="G1462" s="5"/>
      <c r="H1462" s="5"/>
      <c r="I1462" s="5"/>
      <c r="J1462" s="5"/>
      <c r="K1462" s="5"/>
      <c r="L1462" s="5"/>
      <c r="M1462" s="5"/>
      <c r="N1462" s="5"/>
      <c r="O1462" s="5"/>
      <c r="P1462" s="5"/>
      <c r="Q1462" s="5"/>
      <c r="R1462" s="5"/>
      <c r="S1462" s="5"/>
      <c r="T1462" s="5"/>
      <c r="U1462" s="5"/>
      <c r="V1462" s="5"/>
      <c r="W1462" s="5"/>
    </row>
    <row r="1463">
      <c r="A1463" s="5"/>
      <c r="B1463" s="5"/>
      <c r="C1463" s="5"/>
      <c r="D1463" s="5"/>
      <c r="E1463" s="5"/>
      <c r="F1463" s="5"/>
      <c r="G1463" s="5"/>
      <c r="H1463" s="5"/>
      <c r="I1463" s="5"/>
      <c r="J1463" s="5"/>
      <c r="K1463" s="5"/>
      <c r="L1463" s="5"/>
      <c r="M1463" s="5"/>
      <c r="N1463" s="5"/>
      <c r="O1463" s="5"/>
      <c r="P1463" s="5"/>
      <c r="Q1463" s="5"/>
      <c r="R1463" s="5"/>
      <c r="S1463" s="5"/>
      <c r="T1463" s="5"/>
      <c r="U1463" s="5"/>
      <c r="V1463" s="5"/>
      <c r="W1463" s="5"/>
    </row>
    <row r="1464">
      <c r="A1464" s="5"/>
      <c r="B1464" s="5"/>
      <c r="C1464" s="5"/>
      <c r="D1464" s="5"/>
      <c r="E1464" s="5"/>
      <c r="F1464" s="5"/>
      <c r="G1464" s="5"/>
      <c r="H1464" s="5"/>
      <c r="I1464" s="5"/>
      <c r="J1464" s="5"/>
      <c r="K1464" s="5"/>
      <c r="L1464" s="5"/>
      <c r="M1464" s="5"/>
      <c r="N1464" s="5"/>
      <c r="O1464" s="5"/>
      <c r="P1464" s="5"/>
      <c r="Q1464" s="5"/>
      <c r="R1464" s="5"/>
      <c r="S1464" s="5"/>
      <c r="T1464" s="5"/>
      <c r="U1464" s="5"/>
      <c r="V1464" s="5"/>
      <c r="W1464" s="5"/>
    </row>
    <row r="1465">
      <c r="A1465" s="5"/>
      <c r="B1465" s="5"/>
      <c r="C1465" s="5"/>
      <c r="D1465" s="5"/>
      <c r="E1465" s="5"/>
      <c r="F1465" s="5"/>
      <c r="G1465" s="5"/>
      <c r="H1465" s="5"/>
      <c r="I1465" s="5"/>
      <c r="J1465" s="5"/>
      <c r="K1465" s="5"/>
      <c r="L1465" s="5"/>
      <c r="M1465" s="5"/>
      <c r="N1465" s="5"/>
      <c r="O1465" s="5"/>
      <c r="P1465" s="5"/>
      <c r="Q1465" s="5"/>
      <c r="R1465" s="5"/>
      <c r="S1465" s="5"/>
      <c r="T1465" s="5"/>
      <c r="U1465" s="5"/>
      <c r="V1465" s="5"/>
      <c r="W1465" s="5"/>
    </row>
    <row r="1466">
      <c r="A1466" s="5"/>
      <c r="B1466" s="5"/>
      <c r="C1466" s="5"/>
      <c r="D1466" s="5"/>
      <c r="E1466" s="5"/>
      <c r="F1466" s="5"/>
      <c r="G1466" s="5"/>
      <c r="H1466" s="5"/>
      <c r="I1466" s="5"/>
      <c r="J1466" s="5"/>
      <c r="K1466" s="5"/>
      <c r="L1466" s="5"/>
      <c r="M1466" s="5"/>
      <c r="N1466" s="5"/>
      <c r="O1466" s="5"/>
      <c r="P1466" s="5"/>
      <c r="Q1466" s="5"/>
      <c r="R1466" s="5"/>
      <c r="S1466" s="5"/>
      <c r="T1466" s="5"/>
      <c r="U1466" s="5"/>
      <c r="V1466" s="5"/>
      <c r="W1466" s="5"/>
    </row>
    <row r="1467">
      <c r="A1467" s="5"/>
      <c r="B1467" s="5"/>
      <c r="C1467" s="5"/>
      <c r="D1467" s="5"/>
      <c r="E1467" s="5"/>
      <c r="F1467" s="5"/>
      <c r="G1467" s="5"/>
      <c r="H1467" s="5"/>
      <c r="I1467" s="5"/>
      <c r="J1467" s="5"/>
      <c r="K1467" s="5"/>
      <c r="L1467" s="5"/>
      <c r="M1467" s="5"/>
      <c r="N1467" s="5"/>
      <c r="O1467" s="5"/>
      <c r="P1467" s="5"/>
      <c r="Q1467" s="5"/>
      <c r="R1467" s="5"/>
      <c r="S1467" s="5"/>
      <c r="T1467" s="5"/>
      <c r="U1467" s="5"/>
      <c r="V1467" s="5"/>
      <c r="W1467" s="5"/>
    </row>
    <row r="1468">
      <c r="A1468" s="5"/>
      <c r="B1468" s="5"/>
      <c r="C1468" s="5"/>
      <c r="D1468" s="5"/>
      <c r="E1468" s="5"/>
      <c r="F1468" s="5"/>
      <c r="G1468" s="5"/>
      <c r="H1468" s="5"/>
      <c r="I1468" s="5"/>
      <c r="J1468" s="5"/>
      <c r="K1468" s="5"/>
      <c r="L1468" s="5"/>
      <c r="M1468" s="5"/>
      <c r="N1468" s="5"/>
      <c r="O1468" s="5"/>
      <c r="P1468" s="5"/>
      <c r="Q1468" s="5"/>
      <c r="R1468" s="5"/>
      <c r="S1468" s="5"/>
      <c r="T1468" s="5"/>
      <c r="U1468" s="5"/>
      <c r="V1468" s="5"/>
      <c r="W1468" s="5"/>
    </row>
    <row r="1469">
      <c r="A1469" s="5"/>
      <c r="B1469" s="5"/>
      <c r="C1469" s="5"/>
      <c r="D1469" s="5"/>
      <c r="E1469" s="5"/>
      <c r="F1469" s="5"/>
      <c r="G1469" s="5"/>
      <c r="H1469" s="5"/>
      <c r="I1469" s="5"/>
      <c r="J1469" s="5"/>
      <c r="K1469" s="5"/>
      <c r="L1469" s="5"/>
      <c r="M1469" s="5"/>
      <c r="N1469" s="5"/>
      <c r="O1469" s="5"/>
      <c r="P1469" s="5"/>
      <c r="Q1469" s="5"/>
      <c r="R1469" s="5"/>
      <c r="S1469" s="5"/>
      <c r="T1469" s="5"/>
      <c r="U1469" s="5"/>
      <c r="V1469" s="5"/>
      <c r="W1469" s="5"/>
    </row>
    <row r="1470">
      <c r="A1470" s="5"/>
      <c r="B1470" s="5"/>
      <c r="C1470" s="5"/>
      <c r="D1470" s="5"/>
      <c r="E1470" s="5"/>
      <c r="F1470" s="5"/>
      <c r="G1470" s="5"/>
      <c r="H1470" s="5"/>
      <c r="I1470" s="5"/>
      <c r="J1470" s="5"/>
      <c r="K1470" s="5"/>
      <c r="L1470" s="5"/>
      <c r="M1470" s="5"/>
      <c r="N1470" s="5"/>
      <c r="O1470" s="5"/>
      <c r="P1470" s="5"/>
      <c r="Q1470" s="5"/>
      <c r="R1470" s="5"/>
      <c r="S1470" s="5"/>
      <c r="T1470" s="5"/>
      <c r="U1470" s="5"/>
      <c r="V1470" s="5"/>
      <c r="W1470" s="5"/>
    </row>
    <row r="1471">
      <c r="A1471" s="5"/>
      <c r="B1471" s="5"/>
      <c r="C1471" s="5"/>
      <c r="D1471" s="5"/>
      <c r="E1471" s="5"/>
      <c r="F1471" s="5"/>
      <c r="G1471" s="5"/>
      <c r="H1471" s="5"/>
      <c r="I1471" s="5"/>
      <c r="J1471" s="5"/>
      <c r="K1471" s="5"/>
      <c r="L1471" s="5"/>
      <c r="M1471" s="5"/>
      <c r="N1471" s="5"/>
      <c r="O1471" s="5"/>
      <c r="P1471" s="5"/>
      <c r="Q1471" s="5"/>
      <c r="R1471" s="5"/>
      <c r="S1471" s="5"/>
      <c r="T1471" s="5"/>
      <c r="U1471" s="5"/>
      <c r="V1471" s="5"/>
      <c r="W1471" s="5"/>
    </row>
    <row r="1472">
      <c r="A1472" s="5"/>
      <c r="B1472" s="5"/>
      <c r="C1472" s="5"/>
      <c r="D1472" s="5"/>
      <c r="E1472" s="5"/>
      <c r="F1472" s="5"/>
      <c r="G1472" s="5"/>
      <c r="H1472" s="5"/>
      <c r="I1472" s="5"/>
      <c r="J1472" s="5"/>
      <c r="K1472" s="5"/>
      <c r="L1472" s="5"/>
      <c r="M1472" s="5"/>
      <c r="N1472" s="5"/>
      <c r="O1472" s="5"/>
      <c r="P1472" s="5"/>
      <c r="Q1472" s="5"/>
      <c r="R1472" s="5"/>
      <c r="S1472" s="5"/>
      <c r="T1472" s="5"/>
      <c r="U1472" s="5"/>
      <c r="V1472" s="5"/>
      <c r="W1472" s="5"/>
    </row>
    <row r="1473">
      <c r="A1473" s="5"/>
      <c r="B1473" s="5"/>
      <c r="C1473" s="5"/>
      <c r="D1473" s="5"/>
      <c r="E1473" s="5"/>
      <c r="F1473" s="5"/>
      <c r="G1473" s="5"/>
      <c r="H1473" s="5"/>
      <c r="I1473" s="5"/>
      <c r="J1473" s="5"/>
      <c r="K1473" s="5"/>
      <c r="L1473" s="5"/>
      <c r="M1473" s="5"/>
      <c r="N1473" s="5"/>
      <c r="O1473" s="5"/>
      <c r="P1473" s="5"/>
      <c r="Q1473" s="5"/>
      <c r="R1473" s="5"/>
      <c r="S1473" s="5"/>
      <c r="T1473" s="5"/>
      <c r="U1473" s="5"/>
      <c r="V1473" s="5"/>
      <c r="W1473" s="5"/>
    </row>
    <row r="1474">
      <c r="A1474" s="5"/>
      <c r="B1474" s="5"/>
      <c r="C1474" s="5"/>
      <c r="D1474" s="5"/>
      <c r="E1474" s="5"/>
      <c r="F1474" s="5"/>
      <c r="G1474" s="5"/>
      <c r="H1474" s="5"/>
      <c r="I1474" s="5"/>
      <c r="J1474" s="5"/>
      <c r="K1474" s="5"/>
      <c r="L1474" s="5"/>
      <c r="M1474" s="5"/>
      <c r="N1474" s="5"/>
      <c r="O1474" s="5"/>
      <c r="P1474" s="5"/>
      <c r="Q1474" s="5"/>
      <c r="R1474" s="5"/>
      <c r="S1474" s="5"/>
      <c r="T1474" s="5"/>
      <c r="U1474" s="5"/>
      <c r="V1474" s="5"/>
      <c r="W1474" s="5"/>
    </row>
    <row r="1475">
      <c r="A1475" s="5"/>
      <c r="B1475" s="5"/>
      <c r="C1475" s="5"/>
      <c r="D1475" s="5"/>
      <c r="E1475" s="5"/>
      <c r="F1475" s="5"/>
      <c r="G1475" s="5"/>
      <c r="H1475" s="5"/>
      <c r="I1475" s="5"/>
      <c r="J1475" s="5"/>
      <c r="K1475" s="5"/>
      <c r="L1475" s="5"/>
      <c r="M1475" s="5"/>
      <c r="N1475" s="5"/>
      <c r="O1475" s="5"/>
      <c r="P1475" s="5"/>
      <c r="Q1475" s="5"/>
      <c r="R1475" s="5"/>
      <c r="S1475" s="5"/>
      <c r="T1475" s="5"/>
      <c r="U1475" s="5"/>
      <c r="V1475" s="5"/>
      <c r="W1475" s="5"/>
    </row>
    <row r="1476">
      <c r="A1476" s="5"/>
      <c r="B1476" s="5"/>
      <c r="C1476" s="5"/>
      <c r="D1476" s="5"/>
      <c r="E1476" s="5"/>
      <c r="F1476" s="5"/>
      <c r="G1476" s="5"/>
      <c r="H1476" s="5"/>
      <c r="I1476" s="5"/>
      <c r="J1476" s="5"/>
      <c r="K1476" s="5"/>
      <c r="L1476" s="5"/>
      <c r="M1476" s="5"/>
      <c r="N1476" s="5"/>
      <c r="O1476" s="5"/>
      <c r="P1476" s="5"/>
      <c r="Q1476" s="5"/>
      <c r="R1476" s="5"/>
      <c r="S1476" s="5"/>
      <c r="T1476" s="5"/>
      <c r="U1476" s="5"/>
      <c r="V1476" s="5"/>
      <c r="W1476" s="5"/>
    </row>
    <row r="1477">
      <c r="A1477" s="5"/>
      <c r="B1477" s="5"/>
      <c r="C1477" s="5"/>
      <c r="D1477" s="5"/>
      <c r="E1477" s="5"/>
      <c r="F1477" s="5"/>
      <c r="G1477" s="5"/>
      <c r="H1477" s="5"/>
      <c r="I1477" s="5"/>
      <c r="J1477" s="5"/>
      <c r="K1477" s="5"/>
      <c r="L1477" s="5"/>
      <c r="M1477" s="5"/>
      <c r="N1477" s="5"/>
      <c r="O1477" s="5"/>
      <c r="P1477" s="5"/>
      <c r="Q1477" s="5"/>
      <c r="R1477" s="5"/>
      <c r="S1477" s="5"/>
      <c r="T1477" s="5"/>
      <c r="U1477" s="5"/>
      <c r="V1477" s="5"/>
      <c r="W1477" s="5"/>
    </row>
    <row r="1478">
      <c r="A1478" s="5"/>
      <c r="B1478" s="5"/>
      <c r="C1478" s="5"/>
      <c r="D1478" s="5"/>
      <c r="E1478" s="5"/>
      <c r="F1478" s="5"/>
      <c r="G1478" s="5"/>
      <c r="H1478" s="5"/>
      <c r="I1478" s="5"/>
      <c r="J1478" s="5"/>
      <c r="K1478" s="5"/>
      <c r="L1478" s="5"/>
      <c r="M1478" s="5"/>
      <c r="N1478" s="5"/>
      <c r="O1478" s="5"/>
      <c r="P1478" s="5"/>
      <c r="Q1478" s="5"/>
      <c r="R1478" s="5"/>
      <c r="S1478" s="5"/>
      <c r="T1478" s="5"/>
      <c r="U1478" s="5"/>
      <c r="V1478" s="5"/>
      <c r="W1478" s="5"/>
    </row>
    <row r="1479">
      <c r="A1479" s="5"/>
      <c r="B1479" s="5"/>
      <c r="C1479" s="5"/>
      <c r="D1479" s="5"/>
      <c r="E1479" s="5"/>
      <c r="F1479" s="5"/>
      <c r="G1479" s="5"/>
      <c r="H1479" s="5"/>
      <c r="I1479" s="5"/>
      <c r="J1479" s="5"/>
      <c r="K1479" s="5"/>
      <c r="L1479" s="5"/>
      <c r="M1479" s="5"/>
      <c r="N1479" s="5"/>
      <c r="O1479" s="5"/>
      <c r="P1479" s="5"/>
      <c r="Q1479" s="5"/>
      <c r="R1479" s="5"/>
      <c r="S1479" s="5"/>
      <c r="T1479" s="5"/>
      <c r="U1479" s="5"/>
      <c r="V1479" s="5"/>
      <c r="W1479" s="5"/>
    </row>
    <row r="1480">
      <c r="A1480" s="5"/>
      <c r="B1480" s="5"/>
      <c r="C1480" s="5"/>
      <c r="D1480" s="5"/>
      <c r="E1480" s="5"/>
      <c r="F1480" s="5"/>
      <c r="G1480" s="5"/>
      <c r="H1480" s="5"/>
      <c r="I1480" s="5"/>
      <c r="J1480" s="5"/>
      <c r="K1480" s="5"/>
      <c r="L1480" s="5"/>
      <c r="M1480" s="5"/>
      <c r="N1480" s="5"/>
      <c r="O1480" s="5"/>
      <c r="P1480" s="5"/>
      <c r="Q1480" s="5"/>
      <c r="R1480" s="5"/>
      <c r="S1480" s="5"/>
      <c r="T1480" s="5"/>
      <c r="U1480" s="5"/>
      <c r="V1480" s="5"/>
      <c r="W1480" s="5"/>
    </row>
    <row r="1481">
      <c r="A1481" s="5"/>
      <c r="B1481" s="5"/>
      <c r="C1481" s="5"/>
      <c r="D1481" s="5"/>
      <c r="E1481" s="5"/>
      <c r="F1481" s="5"/>
      <c r="G1481" s="5"/>
      <c r="H1481" s="5"/>
      <c r="I1481" s="5"/>
      <c r="J1481" s="5"/>
      <c r="K1481" s="5"/>
      <c r="L1481" s="5"/>
      <c r="M1481" s="5"/>
      <c r="N1481" s="5"/>
      <c r="O1481" s="5"/>
      <c r="P1481" s="5"/>
      <c r="Q1481" s="5"/>
      <c r="R1481" s="5"/>
      <c r="S1481" s="5"/>
      <c r="T1481" s="5"/>
      <c r="U1481" s="5"/>
      <c r="V1481" s="5"/>
      <c r="W1481" s="5"/>
    </row>
    <row r="1482">
      <c r="A1482" s="5"/>
      <c r="B1482" s="5"/>
      <c r="C1482" s="5"/>
      <c r="D1482" s="5"/>
      <c r="E1482" s="5"/>
      <c r="F1482" s="5"/>
      <c r="G1482" s="5"/>
      <c r="H1482" s="5"/>
      <c r="I1482" s="5"/>
      <c r="J1482" s="5"/>
      <c r="K1482" s="5"/>
      <c r="L1482" s="5"/>
      <c r="M1482" s="5"/>
      <c r="N1482" s="5"/>
      <c r="O1482" s="5"/>
      <c r="P1482" s="5"/>
      <c r="Q1482" s="5"/>
      <c r="R1482" s="5"/>
      <c r="S1482" s="5"/>
      <c r="T1482" s="5"/>
      <c r="U1482" s="5"/>
      <c r="V1482" s="5"/>
      <c r="W1482" s="5"/>
    </row>
    <row r="1483">
      <c r="A1483" s="5"/>
      <c r="B1483" s="5"/>
      <c r="C1483" s="5"/>
      <c r="D1483" s="5"/>
      <c r="E1483" s="5"/>
      <c r="F1483" s="5"/>
      <c r="G1483" s="5"/>
      <c r="H1483" s="5"/>
      <c r="I1483" s="5"/>
      <c r="J1483" s="5"/>
      <c r="K1483" s="5"/>
      <c r="L1483" s="5"/>
      <c r="M1483" s="5"/>
      <c r="N1483" s="5"/>
      <c r="O1483" s="5"/>
      <c r="P1483" s="5"/>
      <c r="Q1483" s="5"/>
      <c r="R1483" s="5"/>
      <c r="S1483" s="5"/>
      <c r="T1483" s="5"/>
      <c r="U1483" s="5"/>
      <c r="V1483" s="5"/>
      <c r="W1483" s="5"/>
    </row>
    <row r="1484">
      <c r="A1484" s="5"/>
      <c r="B1484" s="5"/>
      <c r="C1484" s="5"/>
      <c r="D1484" s="5"/>
      <c r="E1484" s="5"/>
      <c r="F1484" s="5"/>
      <c r="G1484" s="5"/>
      <c r="H1484" s="5"/>
      <c r="I1484" s="5"/>
      <c r="J1484" s="5"/>
      <c r="K1484" s="5"/>
      <c r="L1484" s="5"/>
      <c r="M1484" s="5"/>
      <c r="N1484" s="5"/>
      <c r="O1484" s="5"/>
      <c r="P1484" s="5"/>
      <c r="Q1484" s="5"/>
      <c r="R1484" s="5"/>
      <c r="S1484" s="5"/>
      <c r="T1484" s="5"/>
      <c r="U1484" s="5"/>
      <c r="V1484" s="5"/>
      <c r="W1484" s="5"/>
    </row>
    <row r="1485">
      <c r="A1485" s="5"/>
      <c r="B1485" s="5"/>
      <c r="C1485" s="5"/>
      <c r="D1485" s="5"/>
      <c r="E1485" s="5"/>
      <c r="F1485" s="5"/>
      <c r="G1485" s="5"/>
      <c r="H1485" s="5"/>
      <c r="I1485" s="5"/>
      <c r="J1485" s="5"/>
      <c r="K1485" s="5"/>
      <c r="L1485" s="5"/>
      <c r="M1485" s="5"/>
      <c r="N1485" s="5"/>
      <c r="O1485" s="5"/>
      <c r="P1485" s="5"/>
      <c r="Q1485" s="5"/>
      <c r="R1485" s="5"/>
      <c r="S1485" s="5"/>
      <c r="T1485" s="5"/>
      <c r="U1485" s="5"/>
      <c r="V1485" s="5"/>
      <c r="W1485" s="5"/>
    </row>
    <row r="1486">
      <c r="A1486" s="5"/>
      <c r="B1486" s="5"/>
      <c r="C1486" s="5"/>
      <c r="D1486" s="5"/>
      <c r="E1486" s="5"/>
      <c r="F1486" s="5"/>
      <c r="G1486" s="5"/>
      <c r="H1486" s="5"/>
      <c r="I1486" s="5"/>
      <c r="J1486" s="5"/>
      <c r="K1486" s="5"/>
      <c r="L1486" s="5"/>
      <c r="M1486" s="5"/>
      <c r="N1486" s="5"/>
      <c r="O1486" s="5"/>
      <c r="P1486" s="5"/>
      <c r="Q1486" s="5"/>
      <c r="R1486" s="5"/>
      <c r="S1486" s="5"/>
      <c r="T1486" s="5"/>
      <c r="U1486" s="5"/>
      <c r="V1486" s="5"/>
      <c r="W1486" s="5"/>
    </row>
    <row r="1487">
      <c r="A1487" s="5"/>
      <c r="B1487" s="5"/>
      <c r="C1487" s="5"/>
      <c r="D1487" s="5"/>
      <c r="E1487" s="5"/>
      <c r="F1487" s="5"/>
      <c r="G1487" s="5"/>
      <c r="H1487" s="5"/>
      <c r="I1487" s="5"/>
      <c r="J1487" s="5"/>
      <c r="K1487" s="5"/>
      <c r="L1487" s="5"/>
      <c r="M1487" s="5"/>
      <c r="N1487" s="5"/>
      <c r="O1487" s="5"/>
      <c r="P1487" s="5"/>
      <c r="Q1487" s="5"/>
      <c r="R1487" s="5"/>
      <c r="S1487" s="5"/>
      <c r="T1487" s="5"/>
      <c r="U1487" s="5"/>
      <c r="V1487" s="5"/>
      <c r="W1487" s="5"/>
    </row>
    <row r="1488">
      <c r="A1488" s="5"/>
      <c r="B1488" s="5"/>
      <c r="C1488" s="5"/>
      <c r="D1488" s="5"/>
      <c r="E1488" s="5"/>
      <c r="F1488" s="5"/>
      <c r="G1488" s="5"/>
      <c r="H1488" s="5"/>
      <c r="I1488" s="5"/>
      <c r="J1488" s="5"/>
      <c r="K1488" s="5"/>
      <c r="L1488" s="5"/>
      <c r="M1488" s="5"/>
      <c r="N1488" s="5"/>
      <c r="O1488" s="5"/>
      <c r="P1488" s="5"/>
      <c r="Q1488" s="5"/>
      <c r="R1488" s="5"/>
      <c r="S1488" s="5"/>
      <c r="T1488" s="5"/>
      <c r="U1488" s="5"/>
      <c r="V1488" s="5"/>
      <c r="W1488" s="5"/>
    </row>
    <row r="1489">
      <c r="A1489" s="5"/>
      <c r="B1489" s="5"/>
      <c r="C1489" s="5"/>
      <c r="D1489" s="5"/>
      <c r="E1489" s="5"/>
      <c r="F1489" s="5"/>
      <c r="G1489" s="5"/>
      <c r="H1489" s="5"/>
      <c r="I1489" s="5"/>
      <c r="J1489" s="5"/>
      <c r="K1489" s="5"/>
      <c r="L1489" s="5"/>
      <c r="M1489" s="5"/>
      <c r="N1489" s="5"/>
      <c r="O1489" s="5"/>
      <c r="P1489" s="5"/>
      <c r="Q1489" s="5"/>
      <c r="R1489" s="5"/>
      <c r="S1489" s="5"/>
      <c r="T1489" s="5"/>
      <c r="U1489" s="5"/>
      <c r="V1489" s="5"/>
      <c r="W1489" s="5"/>
    </row>
    <row r="1490">
      <c r="A1490" s="5"/>
      <c r="B1490" s="5"/>
      <c r="C1490" s="5"/>
      <c r="D1490" s="5"/>
      <c r="E1490" s="5"/>
      <c r="F1490" s="5"/>
      <c r="G1490" s="5"/>
      <c r="H1490" s="5"/>
      <c r="I1490" s="5"/>
      <c r="J1490" s="5"/>
      <c r="K1490" s="5"/>
      <c r="L1490" s="5"/>
      <c r="M1490" s="5"/>
      <c r="N1490" s="5"/>
      <c r="O1490" s="5"/>
      <c r="P1490" s="5"/>
      <c r="Q1490" s="5"/>
      <c r="R1490" s="5"/>
      <c r="S1490" s="5"/>
      <c r="T1490" s="5"/>
      <c r="U1490" s="5"/>
      <c r="V1490" s="5"/>
      <c r="W1490" s="5"/>
    </row>
    <row r="1491">
      <c r="A1491" s="5"/>
      <c r="B1491" s="5"/>
      <c r="C1491" s="5"/>
      <c r="D1491" s="5"/>
      <c r="E1491" s="5"/>
      <c r="F1491" s="5"/>
      <c r="G1491" s="5"/>
      <c r="H1491" s="5"/>
      <c r="I1491" s="5"/>
      <c r="J1491" s="5"/>
      <c r="K1491" s="5"/>
      <c r="L1491" s="5"/>
      <c r="M1491" s="5"/>
      <c r="N1491" s="5"/>
      <c r="O1491" s="5"/>
      <c r="P1491" s="5"/>
      <c r="Q1491" s="5"/>
      <c r="R1491" s="5"/>
      <c r="S1491" s="5"/>
      <c r="T1491" s="5"/>
      <c r="U1491" s="5"/>
      <c r="V1491" s="5"/>
      <c r="W1491" s="5"/>
    </row>
    <row r="1492">
      <c r="A1492" s="5"/>
      <c r="B1492" s="5"/>
      <c r="C1492" s="5"/>
      <c r="D1492" s="5"/>
      <c r="E1492" s="5"/>
      <c r="F1492" s="5"/>
      <c r="G1492" s="5"/>
      <c r="H1492" s="5"/>
      <c r="I1492" s="5"/>
      <c r="J1492" s="5"/>
      <c r="K1492" s="5"/>
      <c r="L1492" s="5"/>
      <c r="M1492" s="5"/>
      <c r="N1492" s="5"/>
      <c r="O1492" s="5"/>
      <c r="P1492" s="5"/>
      <c r="Q1492" s="5"/>
      <c r="R1492" s="5"/>
      <c r="S1492" s="5"/>
      <c r="T1492" s="5"/>
      <c r="U1492" s="5"/>
      <c r="V1492" s="5"/>
      <c r="W1492" s="5"/>
    </row>
    <row r="1493">
      <c r="A1493" s="5"/>
      <c r="B1493" s="5"/>
      <c r="C1493" s="5"/>
      <c r="D1493" s="5"/>
      <c r="E1493" s="5"/>
      <c r="F1493" s="5"/>
      <c r="G1493" s="5"/>
      <c r="H1493" s="5"/>
      <c r="I1493" s="5"/>
      <c r="J1493" s="5"/>
      <c r="K1493" s="5"/>
      <c r="L1493" s="5"/>
      <c r="M1493" s="5"/>
      <c r="N1493" s="5"/>
      <c r="O1493" s="5"/>
      <c r="P1493" s="5"/>
      <c r="Q1493" s="5"/>
      <c r="R1493" s="5"/>
      <c r="S1493" s="5"/>
      <c r="T1493" s="5"/>
      <c r="U1493" s="5"/>
      <c r="V1493" s="5"/>
      <c r="W1493" s="5"/>
    </row>
    <row r="1494">
      <c r="A1494" s="5"/>
      <c r="B1494" s="5"/>
      <c r="C1494" s="5"/>
      <c r="D1494" s="5"/>
      <c r="E1494" s="5"/>
      <c r="F1494" s="5"/>
      <c r="G1494" s="5"/>
      <c r="H1494" s="5"/>
      <c r="I1494" s="5"/>
      <c r="J1494" s="5"/>
      <c r="K1494" s="5"/>
      <c r="L1494" s="5"/>
      <c r="M1494" s="5"/>
      <c r="N1494" s="5"/>
      <c r="O1494" s="5"/>
      <c r="P1494" s="5"/>
      <c r="Q1494" s="5"/>
      <c r="R1494" s="5"/>
      <c r="S1494" s="5"/>
      <c r="T1494" s="5"/>
      <c r="U1494" s="5"/>
      <c r="V1494" s="5"/>
      <c r="W1494" s="5"/>
    </row>
    <row r="1495">
      <c r="A1495" s="5"/>
      <c r="B1495" s="5"/>
      <c r="C1495" s="5"/>
      <c r="D1495" s="5"/>
      <c r="E1495" s="5"/>
      <c r="F1495" s="5"/>
      <c r="G1495" s="5"/>
      <c r="H1495" s="5"/>
      <c r="I1495" s="5"/>
      <c r="J1495" s="5"/>
      <c r="K1495" s="5"/>
      <c r="L1495" s="5"/>
      <c r="M1495" s="5"/>
      <c r="N1495" s="5"/>
      <c r="O1495" s="5"/>
      <c r="P1495" s="5"/>
      <c r="Q1495" s="5"/>
      <c r="R1495" s="5"/>
      <c r="S1495" s="5"/>
      <c r="T1495" s="5"/>
      <c r="U1495" s="5"/>
      <c r="V1495" s="5"/>
      <c r="W1495" s="5"/>
    </row>
    <row r="1496">
      <c r="A1496" s="5"/>
      <c r="B1496" s="5"/>
      <c r="C1496" s="5"/>
      <c r="D1496" s="5"/>
      <c r="E1496" s="5"/>
      <c r="F1496" s="5"/>
      <c r="G1496" s="5"/>
      <c r="H1496" s="5"/>
      <c r="I1496" s="5"/>
      <c r="J1496" s="5"/>
      <c r="K1496" s="5"/>
      <c r="L1496" s="5"/>
      <c r="M1496" s="5"/>
      <c r="N1496" s="5"/>
      <c r="O1496" s="5"/>
      <c r="P1496" s="5"/>
      <c r="Q1496" s="5"/>
      <c r="R1496" s="5"/>
      <c r="S1496" s="5"/>
      <c r="T1496" s="5"/>
      <c r="U1496" s="5"/>
      <c r="V1496" s="5"/>
      <c r="W1496" s="5"/>
    </row>
    <row r="1497">
      <c r="A1497" s="5"/>
      <c r="B1497" s="5"/>
      <c r="C1497" s="5"/>
      <c r="D1497" s="5"/>
      <c r="E1497" s="5"/>
      <c r="F1497" s="5"/>
      <c r="G1497" s="5"/>
      <c r="H1497" s="5"/>
      <c r="I1497" s="5"/>
      <c r="J1497" s="5"/>
      <c r="K1497" s="5"/>
      <c r="L1497" s="5"/>
      <c r="M1497" s="5"/>
      <c r="N1497" s="5"/>
      <c r="O1497" s="5"/>
      <c r="P1497" s="5"/>
      <c r="Q1497" s="5"/>
      <c r="R1497" s="5"/>
      <c r="S1497" s="5"/>
      <c r="T1497" s="5"/>
      <c r="U1497" s="5"/>
      <c r="V1497" s="5"/>
      <c r="W1497" s="5"/>
    </row>
    <row r="1498">
      <c r="A1498" s="5"/>
      <c r="B1498" s="5"/>
      <c r="C1498" s="5"/>
      <c r="D1498" s="5"/>
      <c r="E1498" s="5"/>
      <c r="F1498" s="5"/>
      <c r="G1498" s="5"/>
      <c r="H1498" s="5"/>
      <c r="I1498" s="5"/>
      <c r="J1498" s="5"/>
      <c r="K1498" s="5"/>
      <c r="L1498" s="5"/>
      <c r="M1498" s="5"/>
      <c r="N1498" s="5"/>
      <c r="O1498" s="5"/>
      <c r="P1498" s="5"/>
      <c r="Q1498" s="5"/>
      <c r="R1498" s="5"/>
      <c r="S1498" s="5"/>
      <c r="T1498" s="5"/>
      <c r="U1498" s="5"/>
      <c r="V1498" s="5"/>
      <c r="W1498" s="5"/>
    </row>
    <row r="1499">
      <c r="A1499" s="5"/>
      <c r="B1499" s="5"/>
      <c r="C1499" s="5"/>
      <c r="D1499" s="5"/>
      <c r="E1499" s="5"/>
      <c r="F1499" s="5"/>
      <c r="G1499" s="5"/>
      <c r="H1499" s="5"/>
      <c r="I1499" s="5"/>
      <c r="J1499" s="5"/>
      <c r="K1499" s="5"/>
      <c r="L1499" s="5"/>
      <c r="M1499" s="5"/>
      <c r="N1499" s="5"/>
      <c r="O1499" s="5"/>
      <c r="P1499" s="5"/>
      <c r="Q1499" s="5"/>
      <c r="R1499" s="5"/>
      <c r="S1499" s="5"/>
      <c r="T1499" s="5"/>
      <c r="U1499" s="5"/>
      <c r="V1499" s="5"/>
      <c r="W1499" s="5"/>
    </row>
    <row r="1500">
      <c r="A1500" s="5"/>
      <c r="B1500" s="5"/>
      <c r="C1500" s="5"/>
      <c r="D1500" s="5"/>
      <c r="E1500" s="5"/>
      <c r="F1500" s="5"/>
      <c r="G1500" s="5"/>
      <c r="H1500" s="5"/>
      <c r="I1500" s="5"/>
      <c r="J1500" s="5"/>
      <c r="K1500" s="5"/>
      <c r="L1500" s="5"/>
      <c r="M1500" s="5"/>
      <c r="N1500" s="5"/>
      <c r="O1500" s="5"/>
      <c r="P1500" s="5"/>
      <c r="Q1500" s="5"/>
      <c r="R1500" s="5"/>
      <c r="S1500" s="5"/>
      <c r="T1500" s="5"/>
      <c r="U1500" s="5"/>
      <c r="V1500" s="5"/>
      <c r="W1500" s="5"/>
    </row>
    <row r="1501">
      <c r="A1501" s="5"/>
      <c r="B1501" s="5"/>
      <c r="C1501" s="5"/>
      <c r="D1501" s="5"/>
      <c r="E1501" s="5"/>
      <c r="F1501" s="5"/>
      <c r="G1501" s="5"/>
      <c r="H1501" s="5"/>
      <c r="I1501" s="5"/>
      <c r="J1501" s="5"/>
      <c r="K1501" s="5"/>
      <c r="L1501" s="5"/>
      <c r="M1501" s="5"/>
      <c r="N1501" s="5"/>
      <c r="O1501" s="5"/>
      <c r="P1501" s="5"/>
      <c r="Q1501" s="5"/>
      <c r="R1501" s="5"/>
      <c r="S1501" s="5"/>
      <c r="T1501" s="5"/>
      <c r="U1501" s="5"/>
      <c r="V1501" s="5"/>
      <c r="W1501" s="5"/>
    </row>
    <row r="1502">
      <c r="A1502" s="5"/>
      <c r="B1502" s="5"/>
      <c r="C1502" s="5"/>
      <c r="D1502" s="5"/>
      <c r="E1502" s="5"/>
      <c r="F1502" s="5"/>
      <c r="G1502" s="5"/>
      <c r="H1502" s="5"/>
      <c r="I1502" s="5"/>
      <c r="J1502" s="5"/>
      <c r="K1502" s="5"/>
      <c r="L1502" s="5"/>
      <c r="M1502" s="5"/>
      <c r="N1502" s="5"/>
      <c r="O1502" s="5"/>
      <c r="P1502" s="5"/>
      <c r="Q1502" s="5"/>
      <c r="R1502" s="5"/>
      <c r="S1502" s="5"/>
      <c r="T1502" s="5"/>
      <c r="U1502" s="5"/>
      <c r="V1502" s="5"/>
      <c r="W1502" s="5"/>
    </row>
    <row r="1503">
      <c r="A1503" s="5"/>
      <c r="B1503" s="5"/>
      <c r="C1503" s="5"/>
      <c r="D1503" s="5"/>
      <c r="E1503" s="5"/>
      <c r="F1503" s="5"/>
      <c r="G1503" s="5"/>
      <c r="H1503" s="5"/>
      <c r="I1503" s="5"/>
      <c r="J1503" s="5"/>
      <c r="K1503" s="5"/>
      <c r="L1503" s="5"/>
      <c r="M1503" s="5"/>
      <c r="N1503" s="5"/>
      <c r="O1503" s="5"/>
      <c r="P1503" s="5"/>
      <c r="Q1503" s="5"/>
      <c r="R1503" s="5"/>
      <c r="S1503" s="5"/>
      <c r="T1503" s="5"/>
      <c r="U1503" s="5"/>
      <c r="V1503" s="5"/>
      <c r="W1503" s="5"/>
    </row>
    <row r="1504">
      <c r="A1504" s="5"/>
      <c r="B1504" s="5"/>
      <c r="C1504" s="5"/>
      <c r="D1504" s="5"/>
      <c r="E1504" s="5"/>
      <c r="F1504" s="5"/>
      <c r="G1504" s="5"/>
      <c r="H1504" s="5"/>
      <c r="I1504" s="5"/>
      <c r="J1504" s="5"/>
      <c r="K1504" s="5"/>
      <c r="L1504" s="5"/>
      <c r="M1504" s="5"/>
      <c r="N1504" s="5"/>
      <c r="O1504" s="5"/>
      <c r="P1504" s="5"/>
      <c r="Q1504" s="5"/>
      <c r="R1504" s="5"/>
      <c r="S1504" s="5"/>
      <c r="T1504" s="5"/>
      <c r="U1504" s="5"/>
      <c r="V1504" s="5"/>
      <c r="W1504" s="5"/>
    </row>
    <row r="1505">
      <c r="A1505" s="5"/>
      <c r="B1505" s="5"/>
      <c r="C1505" s="5"/>
      <c r="D1505" s="5"/>
      <c r="E1505" s="5"/>
      <c r="F1505" s="5"/>
      <c r="G1505" s="5"/>
      <c r="H1505" s="5"/>
      <c r="I1505" s="5"/>
      <c r="J1505" s="5"/>
      <c r="K1505" s="5"/>
      <c r="L1505" s="5"/>
      <c r="M1505" s="5"/>
      <c r="N1505" s="5"/>
      <c r="O1505" s="5"/>
      <c r="P1505" s="5"/>
      <c r="Q1505" s="5"/>
      <c r="R1505" s="5"/>
      <c r="S1505" s="5"/>
      <c r="T1505" s="5"/>
      <c r="U1505" s="5"/>
      <c r="V1505" s="5"/>
      <c r="W1505" s="5"/>
    </row>
    <row r="1506">
      <c r="A1506" s="5"/>
      <c r="B1506" s="5"/>
      <c r="C1506" s="5"/>
      <c r="D1506" s="5"/>
      <c r="E1506" s="5"/>
      <c r="F1506" s="5"/>
      <c r="G1506" s="5"/>
      <c r="H1506" s="5"/>
      <c r="I1506" s="5"/>
      <c r="J1506" s="5"/>
      <c r="K1506" s="5"/>
      <c r="L1506" s="5"/>
      <c r="M1506" s="5"/>
      <c r="N1506" s="5"/>
      <c r="O1506" s="5"/>
      <c r="P1506" s="5"/>
      <c r="Q1506" s="5"/>
      <c r="R1506" s="5"/>
      <c r="S1506" s="5"/>
      <c r="T1506" s="5"/>
      <c r="U1506" s="5"/>
      <c r="V1506" s="5"/>
      <c r="W1506" s="5"/>
    </row>
    <row r="1507">
      <c r="A1507" s="5"/>
      <c r="B1507" s="5"/>
      <c r="C1507" s="5"/>
      <c r="D1507" s="5"/>
      <c r="E1507" s="5"/>
      <c r="F1507" s="5"/>
      <c r="G1507" s="5"/>
      <c r="H1507" s="5"/>
      <c r="I1507" s="5"/>
      <c r="J1507" s="5"/>
      <c r="K1507" s="5"/>
      <c r="L1507" s="5"/>
      <c r="M1507" s="5"/>
      <c r="N1507" s="5"/>
      <c r="O1507" s="5"/>
      <c r="P1507" s="5"/>
      <c r="Q1507" s="5"/>
      <c r="R1507" s="5"/>
      <c r="S1507" s="5"/>
      <c r="T1507" s="5"/>
      <c r="U1507" s="5"/>
      <c r="V1507" s="5"/>
      <c r="W1507" s="5"/>
    </row>
    <row r="1508">
      <c r="A1508" s="5"/>
      <c r="B1508" s="5"/>
      <c r="C1508" s="5"/>
      <c r="D1508" s="5"/>
      <c r="E1508" s="5"/>
      <c r="F1508" s="5"/>
      <c r="G1508" s="5"/>
      <c r="H1508" s="5"/>
      <c r="I1508" s="5"/>
      <c r="J1508" s="5"/>
      <c r="K1508" s="5"/>
      <c r="L1508" s="5"/>
      <c r="M1508" s="5"/>
      <c r="N1508" s="5"/>
      <c r="O1508" s="5"/>
      <c r="P1508" s="5"/>
      <c r="Q1508" s="5"/>
      <c r="R1508" s="5"/>
      <c r="S1508" s="5"/>
      <c r="T1508" s="5"/>
      <c r="U1508" s="5"/>
      <c r="V1508" s="5"/>
      <c r="W1508" s="5"/>
    </row>
    <row r="1509">
      <c r="A1509" s="5"/>
      <c r="B1509" s="5"/>
      <c r="C1509" s="5"/>
      <c r="D1509" s="5"/>
      <c r="E1509" s="5"/>
      <c r="F1509" s="5"/>
      <c r="G1509" s="5"/>
      <c r="H1509" s="5"/>
      <c r="I1509" s="5"/>
      <c r="J1509" s="5"/>
      <c r="K1509" s="5"/>
      <c r="L1509" s="5"/>
      <c r="M1509" s="5"/>
      <c r="N1509" s="5"/>
      <c r="O1509" s="5"/>
      <c r="P1509" s="5"/>
      <c r="Q1509" s="5"/>
      <c r="R1509" s="5"/>
      <c r="S1509" s="5"/>
      <c r="T1509" s="5"/>
      <c r="U1509" s="5"/>
      <c r="V1509" s="5"/>
      <c r="W1509" s="5"/>
    </row>
    <row r="1510">
      <c r="A1510" s="5"/>
      <c r="B1510" s="5"/>
      <c r="C1510" s="5"/>
      <c r="D1510" s="5"/>
      <c r="E1510" s="5"/>
      <c r="F1510" s="5"/>
      <c r="G1510" s="5"/>
      <c r="H1510" s="5"/>
      <c r="I1510" s="5"/>
      <c r="J1510" s="5"/>
      <c r="K1510" s="5"/>
      <c r="L1510" s="5"/>
      <c r="M1510" s="5"/>
      <c r="N1510" s="5"/>
      <c r="O1510" s="5"/>
      <c r="P1510" s="5"/>
      <c r="Q1510" s="5"/>
      <c r="R1510" s="5"/>
      <c r="S1510" s="5"/>
      <c r="T1510" s="5"/>
      <c r="U1510" s="5"/>
      <c r="V1510" s="5"/>
      <c r="W1510" s="5"/>
    </row>
    <row r="1511">
      <c r="A1511" s="5"/>
      <c r="B1511" s="5"/>
      <c r="C1511" s="5"/>
      <c r="D1511" s="5"/>
      <c r="E1511" s="5"/>
      <c r="F1511" s="5"/>
      <c r="G1511" s="5"/>
      <c r="H1511" s="5"/>
      <c r="I1511" s="5"/>
      <c r="J1511" s="5"/>
      <c r="K1511" s="5"/>
      <c r="L1511" s="5"/>
      <c r="M1511" s="5"/>
      <c r="N1511" s="5"/>
      <c r="O1511" s="5"/>
      <c r="P1511" s="5"/>
      <c r="Q1511" s="5"/>
      <c r="R1511" s="5"/>
      <c r="S1511" s="5"/>
      <c r="T1511" s="5"/>
      <c r="U1511" s="5"/>
      <c r="V1511" s="5"/>
      <c r="W1511" s="5"/>
    </row>
    <row r="1512">
      <c r="A1512" s="5"/>
      <c r="B1512" s="5"/>
      <c r="C1512" s="5"/>
      <c r="D1512" s="5"/>
      <c r="E1512" s="5"/>
      <c r="F1512" s="5"/>
      <c r="G1512" s="5"/>
      <c r="H1512" s="5"/>
      <c r="I1512" s="5"/>
      <c r="J1512" s="5"/>
      <c r="K1512" s="5"/>
      <c r="L1512" s="5"/>
      <c r="M1512" s="5"/>
      <c r="N1512" s="5"/>
      <c r="O1512" s="5"/>
      <c r="P1512" s="5"/>
      <c r="Q1512" s="5"/>
      <c r="R1512" s="5"/>
      <c r="S1512" s="5"/>
      <c r="T1512" s="5"/>
      <c r="U1512" s="5"/>
      <c r="V1512" s="5"/>
      <c r="W1512" s="5"/>
    </row>
    <row r="1513">
      <c r="A1513" s="5"/>
      <c r="B1513" s="5"/>
      <c r="C1513" s="5"/>
      <c r="D1513" s="5"/>
      <c r="E1513" s="5"/>
      <c r="F1513" s="5"/>
      <c r="G1513" s="5"/>
      <c r="H1513" s="5"/>
      <c r="I1513" s="5"/>
      <c r="J1513" s="5"/>
      <c r="K1513" s="5"/>
      <c r="L1513" s="5"/>
      <c r="M1513" s="5"/>
      <c r="N1513" s="5"/>
      <c r="O1513" s="5"/>
      <c r="P1513" s="5"/>
      <c r="Q1513" s="5"/>
      <c r="R1513" s="5"/>
      <c r="S1513" s="5"/>
      <c r="T1513" s="5"/>
      <c r="U1513" s="5"/>
      <c r="V1513" s="5"/>
      <c r="W1513" s="5"/>
    </row>
    <row r="1514">
      <c r="A1514" s="5"/>
      <c r="B1514" s="5"/>
      <c r="C1514" s="5"/>
      <c r="D1514" s="5"/>
      <c r="E1514" s="5"/>
      <c r="F1514" s="5"/>
      <c r="G1514" s="5"/>
      <c r="H1514" s="5"/>
      <c r="I1514" s="5"/>
      <c r="J1514" s="5"/>
      <c r="K1514" s="5"/>
      <c r="L1514" s="5"/>
      <c r="M1514" s="5"/>
      <c r="N1514" s="5"/>
      <c r="O1514" s="5"/>
      <c r="P1514" s="5"/>
      <c r="Q1514" s="5"/>
      <c r="R1514" s="5"/>
      <c r="S1514" s="5"/>
      <c r="T1514" s="5"/>
      <c r="U1514" s="5"/>
      <c r="V1514" s="5"/>
      <c r="W1514" s="5"/>
    </row>
    <row r="1515">
      <c r="A1515" s="5"/>
      <c r="B1515" s="5"/>
      <c r="C1515" s="5"/>
      <c r="D1515" s="5"/>
      <c r="E1515" s="5"/>
      <c r="F1515" s="5"/>
      <c r="G1515" s="5"/>
      <c r="H1515" s="5"/>
      <c r="I1515" s="5"/>
      <c r="J1515" s="5"/>
      <c r="K1515" s="5"/>
      <c r="L1515" s="5"/>
      <c r="M1515" s="5"/>
      <c r="N1515" s="5"/>
      <c r="O1515" s="5"/>
      <c r="P1515" s="5"/>
      <c r="Q1515" s="5"/>
      <c r="R1515" s="5"/>
      <c r="S1515" s="5"/>
      <c r="T1515" s="5"/>
      <c r="U1515" s="5"/>
      <c r="V1515" s="5"/>
      <c r="W1515" s="5"/>
    </row>
    <row r="1516">
      <c r="A1516" s="5"/>
      <c r="B1516" s="5"/>
      <c r="C1516" s="5"/>
      <c r="D1516" s="5"/>
      <c r="E1516" s="5"/>
      <c r="F1516" s="5"/>
      <c r="G1516" s="5"/>
      <c r="H1516" s="5"/>
      <c r="I1516" s="5"/>
      <c r="J1516" s="5"/>
      <c r="K1516" s="5"/>
      <c r="L1516" s="5"/>
      <c r="M1516" s="5"/>
      <c r="N1516" s="5"/>
      <c r="O1516" s="5"/>
      <c r="P1516" s="5"/>
      <c r="Q1516" s="5"/>
      <c r="R1516" s="5"/>
      <c r="S1516" s="5"/>
      <c r="T1516" s="5"/>
      <c r="U1516" s="5"/>
      <c r="V1516" s="5"/>
      <c r="W1516" s="5"/>
    </row>
    <row r="1517">
      <c r="A1517" s="5"/>
      <c r="B1517" s="5"/>
      <c r="C1517" s="5"/>
      <c r="D1517" s="5"/>
      <c r="E1517" s="5"/>
      <c r="F1517" s="5"/>
      <c r="G1517" s="5"/>
      <c r="H1517" s="5"/>
      <c r="I1517" s="5"/>
      <c r="J1517" s="5"/>
      <c r="K1517" s="5"/>
      <c r="L1517" s="5"/>
      <c r="M1517" s="5"/>
      <c r="N1517" s="5"/>
      <c r="O1517" s="5"/>
      <c r="P1517" s="5"/>
      <c r="Q1517" s="5"/>
      <c r="R1517" s="5"/>
      <c r="S1517" s="5"/>
      <c r="T1517" s="5"/>
      <c r="U1517" s="5"/>
      <c r="V1517" s="5"/>
      <c r="W1517" s="5"/>
    </row>
    <row r="1518">
      <c r="A1518" s="5"/>
      <c r="B1518" s="5"/>
      <c r="C1518" s="5"/>
      <c r="D1518" s="5"/>
      <c r="E1518" s="5"/>
      <c r="F1518" s="5"/>
      <c r="G1518" s="5"/>
      <c r="H1518" s="5"/>
      <c r="I1518" s="5"/>
      <c r="J1518" s="5"/>
      <c r="K1518" s="5"/>
      <c r="L1518" s="5"/>
      <c r="M1518" s="5"/>
      <c r="N1518" s="5"/>
      <c r="O1518" s="5"/>
      <c r="P1518" s="5"/>
      <c r="Q1518" s="5"/>
      <c r="R1518" s="5"/>
      <c r="S1518" s="5"/>
      <c r="T1518" s="5"/>
      <c r="U1518" s="5"/>
      <c r="V1518" s="5"/>
      <c r="W1518" s="5"/>
    </row>
    <row r="1519">
      <c r="A1519" s="5"/>
      <c r="B1519" s="5"/>
      <c r="C1519" s="5"/>
      <c r="D1519" s="5"/>
      <c r="E1519" s="5"/>
      <c r="F1519" s="5"/>
      <c r="G1519" s="5"/>
      <c r="H1519" s="5"/>
      <c r="I1519" s="5"/>
      <c r="J1519" s="5"/>
      <c r="K1519" s="5"/>
      <c r="L1519" s="5"/>
      <c r="M1519" s="5"/>
      <c r="N1519" s="5"/>
      <c r="O1519" s="5"/>
      <c r="P1519" s="5"/>
      <c r="Q1519" s="5"/>
      <c r="R1519" s="5"/>
      <c r="S1519" s="5"/>
      <c r="T1519" s="5"/>
      <c r="U1519" s="5"/>
      <c r="V1519" s="5"/>
      <c r="W1519" s="5"/>
    </row>
    <row r="1520">
      <c r="A1520" s="5"/>
      <c r="B1520" s="5"/>
      <c r="C1520" s="5"/>
      <c r="D1520" s="5"/>
      <c r="E1520" s="5"/>
      <c r="F1520" s="5"/>
      <c r="G1520" s="5"/>
      <c r="H1520" s="5"/>
      <c r="I1520" s="5"/>
      <c r="J1520" s="5"/>
      <c r="K1520" s="5"/>
      <c r="L1520" s="5"/>
      <c r="M1520" s="5"/>
      <c r="N1520" s="5"/>
      <c r="O1520" s="5"/>
      <c r="P1520" s="5"/>
      <c r="Q1520" s="5"/>
      <c r="R1520" s="5"/>
      <c r="S1520" s="5"/>
      <c r="T1520" s="5"/>
      <c r="U1520" s="5"/>
      <c r="V1520" s="5"/>
      <c r="W1520" s="5"/>
    </row>
    <row r="1521">
      <c r="A1521" s="5"/>
      <c r="B1521" s="5"/>
      <c r="C1521" s="5"/>
      <c r="D1521" s="5"/>
      <c r="E1521" s="5"/>
      <c r="F1521" s="5"/>
      <c r="G1521" s="5"/>
      <c r="H1521" s="5"/>
      <c r="I1521" s="5"/>
      <c r="J1521" s="5"/>
      <c r="K1521" s="5"/>
      <c r="L1521" s="5"/>
      <c r="M1521" s="5"/>
      <c r="N1521" s="5"/>
      <c r="O1521" s="5"/>
      <c r="P1521" s="5"/>
      <c r="Q1521" s="5"/>
      <c r="R1521" s="5"/>
      <c r="S1521" s="5"/>
      <c r="T1521" s="5"/>
      <c r="U1521" s="5"/>
      <c r="V1521" s="5"/>
      <c r="W1521" s="5"/>
    </row>
    <row r="1522">
      <c r="A1522" s="5"/>
      <c r="B1522" s="5"/>
      <c r="C1522" s="5"/>
      <c r="D1522" s="5"/>
      <c r="E1522" s="5"/>
      <c r="F1522" s="5"/>
      <c r="G1522" s="5"/>
      <c r="H1522" s="5"/>
      <c r="I1522" s="5"/>
      <c r="J1522" s="5"/>
      <c r="K1522" s="5"/>
      <c r="L1522" s="5"/>
      <c r="M1522" s="5"/>
      <c r="N1522" s="5"/>
      <c r="O1522" s="5"/>
      <c r="P1522" s="5"/>
      <c r="Q1522" s="5"/>
      <c r="R1522" s="5"/>
      <c r="S1522" s="5"/>
      <c r="T1522" s="5"/>
      <c r="U1522" s="5"/>
      <c r="V1522" s="5"/>
      <c r="W1522" s="5"/>
    </row>
    <row r="1523">
      <c r="A1523" s="5"/>
      <c r="B1523" s="5"/>
      <c r="C1523" s="5"/>
      <c r="D1523" s="5"/>
      <c r="E1523" s="5"/>
      <c r="F1523" s="5"/>
      <c r="G1523" s="5"/>
      <c r="H1523" s="5"/>
      <c r="I1523" s="5"/>
      <c r="J1523" s="5"/>
      <c r="K1523" s="5"/>
      <c r="L1523" s="5"/>
      <c r="M1523" s="5"/>
      <c r="N1523" s="5"/>
      <c r="O1523" s="5"/>
      <c r="P1523" s="5"/>
      <c r="Q1523" s="5"/>
      <c r="R1523" s="5"/>
      <c r="S1523" s="5"/>
      <c r="T1523" s="5"/>
      <c r="U1523" s="5"/>
      <c r="V1523" s="5"/>
      <c r="W1523" s="5"/>
    </row>
    <row r="1524">
      <c r="A1524" s="5"/>
      <c r="B1524" s="5"/>
      <c r="C1524" s="5"/>
      <c r="D1524" s="5"/>
      <c r="E1524" s="5"/>
      <c r="F1524" s="5"/>
      <c r="G1524" s="5"/>
      <c r="H1524" s="5"/>
      <c r="I1524" s="5"/>
      <c r="J1524" s="5"/>
      <c r="K1524" s="5"/>
      <c r="L1524" s="5"/>
      <c r="M1524" s="5"/>
      <c r="N1524" s="5"/>
      <c r="O1524" s="5"/>
      <c r="P1524" s="5"/>
      <c r="Q1524" s="5"/>
      <c r="R1524" s="5"/>
      <c r="S1524" s="5"/>
      <c r="T1524" s="5"/>
      <c r="U1524" s="5"/>
      <c r="V1524" s="5"/>
      <c r="W1524" s="5"/>
    </row>
    <row r="1525">
      <c r="A1525" s="5"/>
      <c r="B1525" s="5"/>
      <c r="C1525" s="5"/>
      <c r="D1525" s="5"/>
      <c r="E1525" s="5"/>
      <c r="F1525" s="5"/>
      <c r="G1525" s="5"/>
      <c r="H1525" s="5"/>
      <c r="I1525" s="5"/>
      <c r="J1525" s="5"/>
      <c r="K1525" s="5"/>
      <c r="L1525" s="5"/>
      <c r="M1525" s="5"/>
      <c r="N1525" s="5"/>
      <c r="O1525" s="5"/>
      <c r="P1525" s="5"/>
      <c r="Q1525" s="5"/>
      <c r="R1525" s="5"/>
      <c r="S1525" s="5"/>
      <c r="T1525" s="5"/>
      <c r="U1525" s="5"/>
      <c r="V1525" s="5"/>
      <c r="W1525" s="5"/>
    </row>
    <row r="1526">
      <c r="A1526" s="5"/>
      <c r="B1526" s="5"/>
      <c r="C1526" s="5"/>
      <c r="D1526" s="5"/>
      <c r="E1526" s="5"/>
      <c r="F1526" s="5"/>
      <c r="G1526" s="5"/>
      <c r="H1526" s="5"/>
      <c r="I1526" s="5"/>
      <c r="J1526" s="5"/>
      <c r="K1526" s="5"/>
      <c r="L1526" s="5"/>
      <c r="M1526" s="5"/>
      <c r="N1526" s="5"/>
      <c r="O1526" s="5"/>
      <c r="P1526" s="5"/>
      <c r="Q1526" s="5"/>
      <c r="R1526" s="5"/>
      <c r="S1526" s="5"/>
      <c r="T1526" s="5"/>
      <c r="U1526" s="5"/>
      <c r="V1526" s="5"/>
      <c r="W1526" s="5"/>
    </row>
    <row r="1527">
      <c r="A1527" s="5"/>
      <c r="B1527" s="5"/>
      <c r="C1527" s="5"/>
      <c r="D1527" s="5"/>
      <c r="E1527" s="5"/>
      <c r="F1527" s="5"/>
      <c r="G1527" s="5"/>
      <c r="H1527" s="5"/>
      <c r="I1527" s="5"/>
      <c r="J1527" s="5"/>
      <c r="K1527" s="5"/>
      <c r="L1527" s="5"/>
      <c r="M1527" s="5"/>
      <c r="N1527" s="5"/>
      <c r="O1527" s="5"/>
      <c r="P1527" s="5"/>
      <c r="Q1527" s="5"/>
      <c r="R1527" s="5"/>
      <c r="S1527" s="5"/>
      <c r="T1527" s="5"/>
      <c r="U1527" s="5"/>
      <c r="V1527" s="5"/>
      <c r="W1527" s="5"/>
    </row>
    <row r="1528">
      <c r="A1528" s="5"/>
      <c r="B1528" s="5"/>
      <c r="C1528" s="5"/>
      <c r="D1528" s="5"/>
      <c r="E1528" s="5"/>
      <c r="F1528" s="5"/>
      <c r="G1528" s="5"/>
      <c r="H1528" s="5"/>
      <c r="I1528" s="5"/>
      <c r="J1528" s="5"/>
      <c r="K1528" s="5"/>
      <c r="L1528" s="5"/>
      <c r="M1528" s="5"/>
      <c r="N1528" s="5"/>
      <c r="O1528" s="5"/>
      <c r="P1528" s="5"/>
      <c r="Q1528" s="5"/>
      <c r="R1528" s="5"/>
      <c r="S1528" s="5"/>
      <c r="T1528" s="5"/>
      <c r="U1528" s="5"/>
      <c r="V1528" s="5"/>
      <c r="W1528" s="5"/>
    </row>
    <row r="1529">
      <c r="A1529" s="5"/>
      <c r="B1529" s="5"/>
      <c r="C1529" s="5"/>
      <c r="D1529" s="5"/>
      <c r="E1529" s="5"/>
      <c r="F1529" s="5"/>
      <c r="G1529" s="5"/>
      <c r="H1529" s="5"/>
      <c r="I1529" s="5"/>
      <c r="J1529" s="5"/>
      <c r="K1529" s="5"/>
      <c r="L1529" s="5"/>
      <c r="M1529" s="5"/>
      <c r="N1529" s="5"/>
      <c r="O1529" s="5"/>
      <c r="P1529" s="5"/>
      <c r="Q1529" s="5"/>
      <c r="R1529" s="5"/>
      <c r="S1529" s="5"/>
      <c r="T1529" s="5"/>
      <c r="U1529" s="5"/>
      <c r="V1529" s="5"/>
      <c r="W1529" s="5"/>
    </row>
    <row r="1530">
      <c r="A1530" s="5"/>
      <c r="B1530" s="5"/>
      <c r="C1530" s="5"/>
      <c r="D1530" s="5"/>
      <c r="E1530" s="5"/>
      <c r="F1530" s="5"/>
      <c r="G1530" s="5"/>
      <c r="H1530" s="5"/>
      <c r="I1530" s="5"/>
      <c r="J1530" s="5"/>
      <c r="K1530" s="5"/>
      <c r="L1530" s="5"/>
      <c r="M1530" s="5"/>
      <c r="N1530" s="5"/>
      <c r="O1530" s="5"/>
      <c r="P1530" s="5"/>
      <c r="Q1530" s="5"/>
      <c r="R1530" s="5"/>
      <c r="S1530" s="5"/>
      <c r="T1530" s="5"/>
      <c r="U1530" s="5"/>
      <c r="V1530" s="5"/>
      <c r="W1530" s="5"/>
    </row>
    <row r="1531">
      <c r="A1531" s="5"/>
      <c r="B1531" s="5"/>
      <c r="C1531" s="5"/>
      <c r="D1531" s="5"/>
      <c r="E1531" s="5"/>
      <c r="F1531" s="5"/>
      <c r="G1531" s="5"/>
      <c r="H1531" s="5"/>
      <c r="I1531" s="5"/>
      <c r="J1531" s="5"/>
      <c r="K1531" s="5"/>
      <c r="L1531" s="5"/>
      <c r="M1531" s="5"/>
      <c r="N1531" s="5"/>
      <c r="O1531" s="5"/>
      <c r="P1531" s="5"/>
      <c r="Q1531" s="5"/>
      <c r="R1531" s="5"/>
      <c r="S1531" s="5"/>
      <c r="T1531" s="5"/>
      <c r="U1531" s="5"/>
      <c r="V1531" s="5"/>
      <c r="W1531" s="5"/>
    </row>
    <row r="1532">
      <c r="A1532" s="5"/>
      <c r="B1532" s="5"/>
      <c r="C1532" s="5"/>
      <c r="D1532" s="5"/>
      <c r="E1532" s="5"/>
      <c r="F1532" s="5"/>
      <c r="G1532" s="5"/>
      <c r="H1532" s="5"/>
      <c r="I1532" s="5"/>
      <c r="J1532" s="5"/>
      <c r="K1532" s="5"/>
      <c r="L1532" s="5"/>
      <c r="M1532" s="5"/>
      <c r="N1532" s="5"/>
      <c r="O1532" s="5"/>
      <c r="P1532" s="5"/>
      <c r="Q1532" s="5"/>
      <c r="R1532" s="5"/>
      <c r="S1532" s="5"/>
      <c r="T1532" s="5"/>
      <c r="U1532" s="5"/>
      <c r="V1532" s="5"/>
      <c r="W1532" s="5"/>
    </row>
    <row r="1533">
      <c r="A1533" s="5"/>
      <c r="B1533" s="5"/>
      <c r="C1533" s="5"/>
      <c r="D1533" s="5"/>
      <c r="E1533" s="5"/>
      <c r="F1533" s="5"/>
      <c r="G1533" s="5"/>
      <c r="H1533" s="5"/>
      <c r="I1533" s="5"/>
      <c r="J1533" s="5"/>
      <c r="K1533" s="5"/>
      <c r="L1533" s="5"/>
      <c r="M1533" s="5"/>
      <c r="N1533" s="5"/>
      <c r="O1533" s="5"/>
      <c r="P1533" s="5"/>
      <c r="Q1533" s="5"/>
      <c r="R1533" s="5"/>
      <c r="S1533" s="5"/>
      <c r="T1533" s="5"/>
      <c r="U1533" s="5"/>
      <c r="V1533" s="5"/>
      <c r="W1533" s="5"/>
    </row>
    <row r="1534">
      <c r="A1534" s="5"/>
      <c r="B1534" s="5"/>
      <c r="C1534" s="5"/>
      <c r="D1534" s="5"/>
      <c r="E1534" s="5"/>
      <c r="F1534" s="5"/>
      <c r="G1534" s="5"/>
      <c r="H1534" s="5"/>
      <c r="I1534" s="5"/>
      <c r="J1534" s="5"/>
      <c r="K1534" s="5"/>
      <c r="L1534" s="5"/>
      <c r="M1534" s="5"/>
      <c r="N1534" s="5"/>
      <c r="O1534" s="5"/>
      <c r="P1534" s="5"/>
      <c r="Q1534" s="5"/>
      <c r="R1534" s="5"/>
      <c r="S1534" s="5"/>
      <c r="T1534" s="5"/>
      <c r="U1534" s="5"/>
      <c r="V1534" s="5"/>
      <c r="W1534" s="5"/>
    </row>
    <row r="1535">
      <c r="A1535" s="5"/>
      <c r="B1535" s="5"/>
      <c r="C1535" s="5"/>
      <c r="D1535" s="5"/>
      <c r="E1535" s="5"/>
      <c r="F1535" s="5"/>
      <c r="G1535" s="5"/>
      <c r="H1535" s="5"/>
      <c r="I1535" s="5"/>
      <c r="J1535" s="5"/>
      <c r="K1535" s="5"/>
      <c r="L1535" s="5"/>
      <c r="M1535" s="5"/>
      <c r="N1535" s="5"/>
      <c r="O1535" s="5"/>
      <c r="P1535" s="5"/>
      <c r="Q1535" s="5"/>
      <c r="R1535" s="5"/>
      <c r="S1535" s="5"/>
      <c r="T1535" s="5"/>
      <c r="U1535" s="5"/>
      <c r="V1535" s="5"/>
      <c r="W1535" s="5"/>
    </row>
    <row r="1536">
      <c r="A1536" s="5"/>
      <c r="B1536" s="5"/>
      <c r="C1536" s="5"/>
      <c r="D1536" s="5"/>
      <c r="E1536" s="5"/>
      <c r="F1536" s="5"/>
      <c r="G1536" s="5"/>
      <c r="H1536" s="5"/>
      <c r="I1536" s="5"/>
      <c r="J1536" s="5"/>
      <c r="K1536" s="5"/>
      <c r="L1536" s="5"/>
      <c r="M1536" s="5"/>
      <c r="N1536" s="5"/>
      <c r="O1536" s="5"/>
      <c r="P1536" s="5"/>
      <c r="Q1536" s="5"/>
      <c r="R1536" s="5"/>
      <c r="S1536" s="5"/>
      <c r="T1536" s="5"/>
      <c r="U1536" s="5"/>
      <c r="V1536" s="5"/>
      <c r="W1536" s="5"/>
    </row>
    <row r="1537">
      <c r="A1537" s="5"/>
      <c r="B1537" s="5"/>
      <c r="C1537" s="5"/>
      <c r="D1537" s="5"/>
      <c r="E1537" s="5"/>
      <c r="F1537" s="5"/>
      <c r="G1537" s="5"/>
      <c r="H1537" s="5"/>
      <c r="I1537" s="5"/>
      <c r="J1537" s="5"/>
      <c r="K1537" s="5"/>
      <c r="L1537" s="5"/>
      <c r="M1537" s="5"/>
      <c r="N1537" s="5"/>
      <c r="O1537" s="5"/>
      <c r="P1537" s="5"/>
      <c r="Q1537" s="5"/>
      <c r="R1537" s="5"/>
      <c r="S1537" s="5"/>
      <c r="T1537" s="5"/>
      <c r="U1537" s="5"/>
      <c r="V1537" s="5"/>
      <c r="W1537" s="5"/>
    </row>
    <row r="1538">
      <c r="A1538" s="5"/>
      <c r="B1538" s="5"/>
      <c r="C1538" s="5"/>
      <c r="D1538" s="5"/>
      <c r="E1538" s="5"/>
      <c r="F1538" s="5"/>
      <c r="G1538" s="5"/>
      <c r="H1538" s="5"/>
      <c r="I1538" s="5"/>
      <c r="J1538" s="5"/>
      <c r="K1538" s="5"/>
      <c r="L1538" s="5"/>
      <c r="M1538" s="5"/>
      <c r="N1538" s="5"/>
      <c r="O1538" s="5"/>
      <c r="P1538" s="5"/>
      <c r="Q1538" s="5"/>
      <c r="R1538" s="5"/>
      <c r="S1538" s="5"/>
      <c r="T1538" s="5"/>
      <c r="U1538" s="5"/>
      <c r="V1538" s="5"/>
      <c r="W1538" s="5"/>
    </row>
    <row r="1539">
      <c r="A1539" s="5"/>
      <c r="B1539" s="5"/>
      <c r="C1539" s="5"/>
      <c r="D1539" s="5"/>
      <c r="E1539" s="5"/>
      <c r="F1539" s="5"/>
      <c r="G1539" s="5"/>
      <c r="H1539" s="5"/>
      <c r="I1539" s="5"/>
      <c r="J1539" s="5"/>
      <c r="K1539" s="5"/>
      <c r="L1539" s="5"/>
      <c r="M1539" s="5"/>
      <c r="N1539" s="5"/>
      <c r="O1539" s="5"/>
      <c r="P1539" s="5"/>
      <c r="Q1539" s="5"/>
      <c r="R1539" s="5"/>
      <c r="S1539" s="5"/>
      <c r="T1539" s="5"/>
      <c r="U1539" s="5"/>
      <c r="V1539" s="5"/>
      <c r="W1539" s="5"/>
    </row>
    <row r="1540">
      <c r="A1540" s="5"/>
      <c r="B1540" s="5"/>
      <c r="C1540" s="5"/>
      <c r="D1540" s="5"/>
      <c r="E1540" s="5"/>
      <c r="F1540" s="5"/>
      <c r="G1540" s="5"/>
      <c r="H1540" s="5"/>
      <c r="I1540" s="5"/>
      <c r="J1540" s="5"/>
      <c r="K1540" s="5"/>
      <c r="L1540" s="5"/>
      <c r="M1540" s="5"/>
      <c r="N1540" s="5"/>
      <c r="O1540" s="5"/>
      <c r="P1540" s="5"/>
      <c r="Q1540" s="5"/>
      <c r="R1540" s="5"/>
      <c r="S1540" s="5"/>
      <c r="T1540" s="5"/>
      <c r="U1540" s="5"/>
      <c r="V1540" s="5"/>
      <c r="W1540" s="5"/>
    </row>
    <row r="1541">
      <c r="A1541" s="5"/>
      <c r="B1541" s="5"/>
      <c r="C1541" s="5"/>
      <c r="D1541" s="5"/>
      <c r="E1541" s="5"/>
      <c r="F1541" s="5"/>
      <c r="G1541" s="5"/>
      <c r="H1541" s="5"/>
      <c r="I1541" s="5"/>
      <c r="J1541" s="5"/>
      <c r="K1541" s="5"/>
      <c r="L1541" s="5"/>
      <c r="M1541" s="5"/>
      <c r="N1541" s="5"/>
      <c r="O1541" s="5"/>
      <c r="P1541" s="5"/>
      <c r="Q1541" s="5"/>
      <c r="R1541" s="5"/>
      <c r="S1541" s="5"/>
      <c r="T1541" s="5"/>
      <c r="U1541" s="5"/>
      <c r="V1541" s="5"/>
      <c r="W1541" s="5"/>
    </row>
    <row r="1542">
      <c r="A1542" s="5"/>
      <c r="B1542" s="5"/>
      <c r="C1542" s="5"/>
      <c r="D1542" s="5"/>
      <c r="E1542" s="5"/>
      <c r="F1542" s="5"/>
      <c r="G1542" s="5"/>
      <c r="H1542" s="5"/>
      <c r="I1542" s="5"/>
      <c r="J1542" s="5"/>
      <c r="K1542" s="5"/>
      <c r="L1542" s="5"/>
      <c r="M1542" s="5"/>
      <c r="N1542" s="5"/>
      <c r="O1542" s="5"/>
      <c r="P1542" s="5"/>
      <c r="Q1542" s="5"/>
      <c r="R1542" s="5"/>
      <c r="S1542" s="5"/>
      <c r="T1542" s="5"/>
      <c r="U1542" s="5"/>
      <c r="V1542" s="5"/>
      <c r="W1542" s="5"/>
    </row>
    <row r="1543">
      <c r="A1543" s="5"/>
      <c r="B1543" s="5"/>
      <c r="C1543" s="5"/>
      <c r="D1543" s="5"/>
      <c r="E1543" s="5"/>
      <c r="F1543" s="5"/>
      <c r="G1543" s="5"/>
      <c r="H1543" s="5"/>
      <c r="I1543" s="5"/>
      <c r="J1543" s="5"/>
      <c r="K1543" s="5"/>
      <c r="L1543" s="5"/>
      <c r="M1543" s="5"/>
      <c r="N1543" s="5"/>
      <c r="O1543" s="5"/>
      <c r="P1543" s="5"/>
      <c r="Q1543" s="5"/>
      <c r="R1543" s="5"/>
      <c r="S1543" s="5"/>
      <c r="T1543" s="5"/>
      <c r="U1543" s="5"/>
      <c r="V1543" s="5"/>
      <c r="W1543" s="5"/>
    </row>
    <row r="1544">
      <c r="A1544" s="5"/>
      <c r="B1544" s="5"/>
      <c r="C1544" s="5"/>
      <c r="D1544" s="5"/>
      <c r="E1544" s="5"/>
      <c r="F1544" s="5"/>
      <c r="G1544" s="5"/>
      <c r="H1544" s="5"/>
      <c r="I1544" s="5"/>
      <c r="J1544" s="5"/>
      <c r="K1544" s="5"/>
      <c r="L1544" s="5"/>
      <c r="M1544" s="5"/>
      <c r="N1544" s="5"/>
      <c r="O1544" s="5"/>
      <c r="P1544" s="5"/>
      <c r="Q1544" s="5"/>
      <c r="R1544" s="5"/>
      <c r="S1544" s="5"/>
      <c r="T1544" s="5"/>
      <c r="U1544" s="5"/>
      <c r="V1544" s="5"/>
      <c r="W1544" s="5"/>
    </row>
    <row r="1545">
      <c r="A1545" s="5"/>
      <c r="B1545" s="5"/>
      <c r="C1545" s="5"/>
      <c r="D1545" s="5"/>
      <c r="E1545" s="5"/>
      <c r="F1545" s="5"/>
      <c r="G1545" s="5"/>
      <c r="H1545" s="5"/>
      <c r="I1545" s="5"/>
      <c r="J1545" s="5"/>
      <c r="K1545" s="5"/>
      <c r="L1545" s="5"/>
      <c r="M1545" s="5"/>
      <c r="N1545" s="5"/>
      <c r="O1545" s="5"/>
      <c r="P1545" s="5"/>
      <c r="Q1545" s="5"/>
      <c r="R1545" s="5"/>
      <c r="S1545" s="5"/>
      <c r="T1545" s="5"/>
      <c r="U1545" s="5"/>
      <c r="V1545" s="5"/>
      <c r="W1545" s="5"/>
    </row>
    <row r="1546">
      <c r="A1546" s="5"/>
      <c r="B1546" s="5"/>
      <c r="C1546" s="5"/>
      <c r="D1546" s="5"/>
      <c r="E1546" s="5"/>
      <c r="F1546" s="5"/>
      <c r="G1546" s="5"/>
      <c r="H1546" s="5"/>
      <c r="I1546" s="5"/>
      <c r="J1546" s="5"/>
      <c r="K1546" s="5"/>
      <c r="L1546" s="5"/>
      <c r="M1546" s="5"/>
      <c r="N1546" s="5"/>
      <c r="O1546" s="5"/>
      <c r="P1546" s="5"/>
      <c r="Q1546" s="5"/>
      <c r="R1546" s="5"/>
      <c r="S1546" s="5"/>
      <c r="T1546" s="5"/>
      <c r="U1546" s="5"/>
      <c r="V1546" s="5"/>
      <c r="W1546" s="5"/>
    </row>
    <row r="1547">
      <c r="A1547" s="5"/>
      <c r="B1547" s="5"/>
      <c r="C1547" s="5"/>
      <c r="D1547" s="5"/>
      <c r="E1547" s="5"/>
      <c r="F1547" s="5"/>
      <c r="G1547" s="5"/>
      <c r="H1547" s="5"/>
      <c r="I1547" s="5"/>
      <c r="J1547" s="5"/>
      <c r="K1547" s="5"/>
      <c r="L1547" s="5"/>
      <c r="M1547" s="5"/>
      <c r="N1547" s="5"/>
      <c r="O1547" s="5"/>
      <c r="P1547" s="5"/>
      <c r="Q1547" s="5"/>
      <c r="R1547" s="5"/>
      <c r="S1547" s="5"/>
      <c r="T1547" s="5"/>
      <c r="U1547" s="5"/>
      <c r="V1547" s="5"/>
      <c r="W1547" s="5"/>
    </row>
    <row r="1548">
      <c r="A1548" s="5"/>
      <c r="B1548" s="5"/>
      <c r="C1548" s="5"/>
      <c r="D1548" s="5"/>
      <c r="E1548" s="5"/>
      <c r="F1548" s="5"/>
      <c r="G1548" s="5"/>
      <c r="H1548" s="5"/>
      <c r="I1548" s="5"/>
      <c r="J1548" s="5"/>
      <c r="K1548" s="5"/>
      <c r="L1548" s="5"/>
      <c r="M1548" s="5"/>
      <c r="N1548" s="5"/>
      <c r="O1548" s="5"/>
      <c r="P1548" s="5"/>
      <c r="Q1548" s="5"/>
      <c r="R1548" s="5"/>
      <c r="S1548" s="5"/>
      <c r="T1548" s="5"/>
      <c r="U1548" s="5"/>
      <c r="V1548" s="5"/>
      <c r="W1548" s="5"/>
    </row>
    <row r="1549">
      <c r="A1549" s="5"/>
      <c r="B1549" s="5"/>
      <c r="C1549" s="5"/>
      <c r="D1549" s="5"/>
      <c r="E1549" s="5"/>
      <c r="F1549" s="5"/>
      <c r="G1549" s="5"/>
      <c r="H1549" s="5"/>
      <c r="I1549" s="5"/>
      <c r="J1549" s="5"/>
      <c r="K1549" s="5"/>
      <c r="L1549" s="5"/>
      <c r="M1549" s="5"/>
      <c r="N1549" s="5"/>
      <c r="O1549" s="5"/>
      <c r="P1549" s="5"/>
      <c r="Q1549" s="5"/>
      <c r="R1549" s="5"/>
      <c r="S1549" s="5"/>
      <c r="T1549" s="5"/>
      <c r="U1549" s="5"/>
      <c r="V1549" s="5"/>
      <c r="W1549" s="5"/>
    </row>
    <row r="1550">
      <c r="A1550" s="5"/>
      <c r="B1550" s="5"/>
      <c r="C1550" s="5"/>
      <c r="D1550" s="5"/>
      <c r="E1550" s="5"/>
      <c r="F1550" s="5"/>
      <c r="G1550" s="5"/>
      <c r="H1550" s="5"/>
      <c r="I1550" s="5"/>
      <c r="J1550" s="5"/>
      <c r="K1550" s="5"/>
      <c r="L1550" s="5"/>
      <c r="M1550" s="5"/>
      <c r="N1550" s="5"/>
      <c r="O1550" s="5"/>
      <c r="P1550" s="5"/>
      <c r="Q1550" s="5"/>
      <c r="R1550" s="5"/>
      <c r="S1550" s="5"/>
      <c r="T1550" s="5"/>
      <c r="U1550" s="5"/>
      <c r="V1550" s="5"/>
      <c r="W1550" s="5"/>
    </row>
    <row r="1551">
      <c r="A1551" s="5"/>
      <c r="B1551" s="5"/>
      <c r="C1551" s="5"/>
      <c r="D1551" s="5"/>
      <c r="E1551" s="5"/>
      <c r="F1551" s="5"/>
      <c r="G1551" s="5"/>
      <c r="H1551" s="5"/>
      <c r="I1551" s="5"/>
      <c r="J1551" s="5"/>
      <c r="K1551" s="5"/>
      <c r="L1551" s="5"/>
      <c r="M1551" s="5"/>
      <c r="N1551" s="5"/>
      <c r="O1551" s="5"/>
      <c r="P1551" s="5"/>
      <c r="Q1551" s="5"/>
      <c r="R1551" s="5"/>
      <c r="S1551" s="5"/>
      <c r="T1551" s="5"/>
      <c r="U1551" s="5"/>
      <c r="V1551" s="5"/>
      <c r="W1551" s="5"/>
    </row>
    <row r="1552">
      <c r="A1552" s="5"/>
      <c r="B1552" s="5"/>
      <c r="C1552" s="5"/>
      <c r="D1552" s="5"/>
      <c r="E1552" s="5"/>
      <c r="F1552" s="5"/>
      <c r="G1552" s="5"/>
      <c r="H1552" s="5"/>
      <c r="I1552" s="5"/>
      <c r="J1552" s="5"/>
      <c r="K1552" s="5"/>
      <c r="L1552" s="5"/>
      <c r="M1552" s="5"/>
      <c r="N1552" s="5"/>
      <c r="O1552" s="5"/>
      <c r="P1552" s="5"/>
      <c r="Q1552" s="5"/>
      <c r="R1552" s="5"/>
      <c r="S1552" s="5"/>
      <c r="T1552" s="5"/>
      <c r="U1552" s="5"/>
      <c r="V1552" s="5"/>
      <c r="W1552" s="5"/>
    </row>
    <row r="1553">
      <c r="A1553" s="5"/>
      <c r="B1553" s="5"/>
      <c r="C1553" s="5"/>
      <c r="D1553" s="5"/>
      <c r="E1553" s="5"/>
      <c r="F1553" s="5"/>
      <c r="G1553" s="5"/>
      <c r="H1553" s="5"/>
      <c r="I1553" s="5"/>
      <c r="J1553" s="5"/>
      <c r="K1553" s="5"/>
      <c r="L1553" s="5"/>
      <c r="M1553" s="5"/>
      <c r="N1553" s="5"/>
      <c r="O1553" s="5"/>
      <c r="P1553" s="5"/>
      <c r="Q1553" s="5"/>
      <c r="R1553" s="5"/>
      <c r="S1553" s="5"/>
      <c r="T1553" s="5"/>
      <c r="U1553" s="5"/>
      <c r="V1553" s="5"/>
      <c r="W1553" s="5"/>
    </row>
    <row r="1554">
      <c r="A1554" s="5"/>
      <c r="B1554" s="5"/>
      <c r="C1554" s="5"/>
      <c r="D1554" s="5"/>
      <c r="E1554" s="5"/>
      <c r="F1554" s="5"/>
      <c r="G1554" s="5"/>
      <c r="H1554" s="5"/>
      <c r="I1554" s="5"/>
      <c r="J1554" s="5"/>
      <c r="K1554" s="5"/>
      <c r="L1554" s="5"/>
      <c r="M1554" s="5"/>
      <c r="N1554" s="5"/>
      <c r="O1554" s="5"/>
      <c r="P1554" s="5"/>
      <c r="Q1554" s="5"/>
      <c r="R1554" s="5"/>
      <c r="S1554" s="5"/>
      <c r="T1554" s="5"/>
      <c r="U1554" s="5"/>
      <c r="V1554" s="5"/>
      <c r="W1554" s="5"/>
    </row>
    <row r="1555">
      <c r="A1555" s="5"/>
      <c r="B1555" s="5"/>
      <c r="C1555" s="5"/>
      <c r="D1555" s="5"/>
      <c r="E1555" s="5"/>
      <c r="F1555" s="5"/>
      <c r="G1555" s="5"/>
      <c r="H1555" s="5"/>
      <c r="I1555" s="5"/>
      <c r="J1555" s="5"/>
      <c r="K1555" s="5"/>
      <c r="L1555" s="5"/>
      <c r="M1555" s="5"/>
      <c r="N1555" s="5"/>
      <c r="O1555" s="5"/>
      <c r="P1555" s="5"/>
      <c r="Q1555" s="5"/>
      <c r="R1555" s="5"/>
      <c r="S1555" s="5"/>
      <c r="T1555" s="5"/>
      <c r="U1555" s="5"/>
      <c r="V1555" s="5"/>
      <c r="W1555" s="5"/>
    </row>
    <row r="1556">
      <c r="A1556" s="5"/>
      <c r="B1556" s="5"/>
      <c r="C1556" s="5"/>
      <c r="D1556" s="5"/>
      <c r="E1556" s="5"/>
      <c r="F1556" s="5"/>
      <c r="G1556" s="5"/>
      <c r="H1556" s="5"/>
      <c r="I1556" s="5"/>
      <c r="J1556" s="5"/>
      <c r="K1556" s="5"/>
      <c r="L1556" s="5"/>
      <c r="M1556" s="5"/>
      <c r="N1556" s="5"/>
      <c r="O1556" s="5"/>
      <c r="P1556" s="5"/>
      <c r="Q1556" s="5"/>
      <c r="R1556" s="5"/>
      <c r="S1556" s="5"/>
      <c r="T1556" s="5"/>
      <c r="U1556" s="5"/>
      <c r="V1556" s="5"/>
      <c r="W1556" s="5"/>
    </row>
    <row r="1557">
      <c r="A1557" s="5"/>
      <c r="B1557" s="5"/>
      <c r="C1557" s="5"/>
      <c r="D1557" s="5"/>
      <c r="E1557" s="5"/>
      <c r="F1557" s="5"/>
      <c r="G1557" s="5"/>
      <c r="H1557" s="5"/>
      <c r="I1557" s="5"/>
      <c r="J1557" s="5"/>
      <c r="K1557" s="5"/>
      <c r="L1557" s="5"/>
      <c r="M1557" s="5"/>
      <c r="N1557" s="5"/>
      <c r="O1557" s="5"/>
      <c r="P1557" s="5"/>
      <c r="Q1557" s="5"/>
      <c r="R1557" s="5"/>
      <c r="S1557" s="5"/>
      <c r="T1557" s="5"/>
      <c r="U1557" s="5"/>
      <c r="V1557" s="5"/>
      <c r="W1557" s="5"/>
    </row>
    <row r="1558">
      <c r="A1558" s="5"/>
      <c r="B1558" s="5"/>
      <c r="C1558" s="5"/>
      <c r="D1558" s="5"/>
      <c r="E1558" s="5"/>
      <c r="F1558" s="5"/>
      <c r="G1558" s="5"/>
      <c r="H1558" s="5"/>
      <c r="I1558" s="5"/>
      <c r="J1558" s="5"/>
      <c r="K1558" s="5"/>
      <c r="L1558" s="5"/>
      <c r="M1558" s="5"/>
      <c r="N1558" s="5"/>
      <c r="O1558" s="5"/>
      <c r="P1558" s="5"/>
      <c r="Q1558" s="5"/>
      <c r="R1558" s="5"/>
      <c r="S1558" s="5"/>
      <c r="T1558" s="5"/>
      <c r="U1558" s="5"/>
      <c r="V1558" s="5"/>
      <c r="W1558" s="5"/>
    </row>
    <row r="1559">
      <c r="A1559" s="5"/>
      <c r="B1559" s="5"/>
      <c r="C1559" s="5"/>
      <c r="D1559" s="5"/>
      <c r="E1559" s="5"/>
      <c r="F1559" s="5"/>
      <c r="G1559" s="5"/>
      <c r="H1559" s="5"/>
      <c r="I1559" s="5"/>
      <c r="J1559" s="5"/>
      <c r="K1559" s="5"/>
      <c r="L1559" s="5"/>
      <c r="M1559" s="5"/>
      <c r="N1559" s="5"/>
      <c r="O1559" s="5"/>
      <c r="P1559" s="5"/>
      <c r="Q1559" s="5"/>
      <c r="R1559" s="5"/>
      <c r="S1559" s="5"/>
      <c r="T1559" s="5"/>
      <c r="U1559" s="5"/>
      <c r="V1559" s="5"/>
      <c r="W1559" s="5"/>
    </row>
    <row r="1560">
      <c r="A1560" s="5"/>
      <c r="B1560" s="5"/>
      <c r="C1560" s="5"/>
      <c r="D1560" s="5"/>
      <c r="E1560" s="5"/>
      <c r="F1560" s="5"/>
      <c r="G1560" s="5"/>
      <c r="H1560" s="5"/>
      <c r="I1560" s="5"/>
      <c r="J1560" s="5"/>
      <c r="K1560" s="5"/>
      <c r="L1560" s="5"/>
      <c r="M1560" s="5"/>
      <c r="N1560" s="5"/>
      <c r="O1560" s="5"/>
      <c r="P1560" s="5"/>
      <c r="Q1560" s="5"/>
      <c r="R1560" s="5"/>
      <c r="S1560" s="5"/>
      <c r="T1560" s="5"/>
      <c r="U1560" s="5"/>
      <c r="V1560" s="5"/>
      <c r="W1560" s="5"/>
    </row>
    <row r="1561">
      <c r="A1561" s="5"/>
      <c r="B1561" s="5"/>
      <c r="C1561" s="5"/>
      <c r="D1561" s="5"/>
      <c r="E1561" s="5"/>
      <c r="F1561" s="5"/>
      <c r="G1561" s="5"/>
      <c r="H1561" s="5"/>
      <c r="I1561" s="5"/>
      <c r="J1561" s="5"/>
      <c r="K1561" s="5"/>
      <c r="L1561" s="5"/>
      <c r="M1561" s="5"/>
      <c r="N1561" s="5"/>
      <c r="O1561" s="5"/>
      <c r="P1561" s="5"/>
      <c r="Q1561" s="5"/>
      <c r="R1561" s="5"/>
      <c r="S1561" s="5"/>
      <c r="T1561" s="5"/>
      <c r="U1561" s="5"/>
      <c r="V1561" s="5"/>
      <c r="W1561" s="5"/>
    </row>
    <row r="1562">
      <c r="A1562" s="5"/>
      <c r="B1562" s="5"/>
      <c r="C1562" s="5"/>
      <c r="D1562" s="5"/>
      <c r="E1562" s="5"/>
      <c r="F1562" s="5"/>
      <c r="G1562" s="5"/>
      <c r="H1562" s="5"/>
      <c r="I1562" s="5"/>
      <c r="J1562" s="5"/>
      <c r="K1562" s="5"/>
      <c r="L1562" s="5"/>
      <c r="M1562" s="5"/>
      <c r="N1562" s="5"/>
      <c r="O1562" s="5"/>
      <c r="P1562" s="5"/>
      <c r="Q1562" s="5"/>
      <c r="R1562" s="5"/>
      <c r="S1562" s="5"/>
      <c r="T1562" s="5"/>
      <c r="U1562" s="5"/>
      <c r="V1562" s="5"/>
      <c r="W1562" s="5"/>
    </row>
    <row r="1563">
      <c r="A1563" s="5"/>
      <c r="B1563" s="5"/>
      <c r="C1563" s="5"/>
      <c r="D1563" s="5"/>
      <c r="E1563" s="5"/>
      <c r="F1563" s="5"/>
      <c r="G1563" s="5"/>
      <c r="H1563" s="5"/>
      <c r="I1563" s="5"/>
      <c r="J1563" s="5"/>
      <c r="K1563" s="5"/>
      <c r="L1563" s="5"/>
      <c r="M1563" s="5"/>
      <c r="N1563" s="5"/>
      <c r="O1563" s="5"/>
      <c r="P1563" s="5"/>
      <c r="Q1563" s="5"/>
      <c r="R1563" s="5"/>
      <c r="S1563" s="5"/>
      <c r="T1563" s="5"/>
      <c r="U1563" s="5"/>
      <c r="V1563" s="5"/>
      <c r="W1563" s="5"/>
    </row>
    <row r="1564">
      <c r="A1564" s="5"/>
      <c r="B1564" s="5"/>
      <c r="C1564" s="5"/>
      <c r="D1564" s="5"/>
      <c r="E1564" s="5"/>
      <c r="F1564" s="5"/>
      <c r="G1564" s="5"/>
      <c r="H1564" s="5"/>
      <c r="I1564" s="5"/>
      <c r="J1564" s="5"/>
      <c r="K1564" s="5"/>
      <c r="L1564" s="5"/>
      <c r="M1564" s="5"/>
      <c r="N1564" s="5"/>
      <c r="O1564" s="5"/>
      <c r="P1564" s="5"/>
      <c r="Q1564" s="5"/>
      <c r="R1564" s="5"/>
      <c r="S1564" s="5"/>
      <c r="T1564" s="5"/>
      <c r="U1564" s="5"/>
      <c r="V1564" s="5"/>
      <c r="W1564" s="5"/>
    </row>
    <row r="1565">
      <c r="A1565" s="5"/>
      <c r="B1565" s="5"/>
      <c r="C1565" s="5"/>
      <c r="D1565" s="5"/>
      <c r="E1565" s="5"/>
      <c r="F1565" s="5"/>
      <c r="G1565" s="5"/>
      <c r="H1565" s="5"/>
      <c r="I1565" s="5"/>
      <c r="J1565" s="5"/>
      <c r="K1565" s="5"/>
      <c r="L1565" s="5"/>
      <c r="M1565" s="5"/>
      <c r="N1565" s="5"/>
      <c r="O1565" s="5"/>
      <c r="P1565" s="5"/>
      <c r="Q1565" s="5"/>
      <c r="R1565" s="5"/>
      <c r="S1565" s="5"/>
      <c r="T1565" s="5"/>
      <c r="U1565" s="5"/>
      <c r="V1565" s="5"/>
      <c r="W1565" s="5"/>
    </row>
    <row r="1566">
      <c r="A1566" s="5"/>
      <c r="B1566" s="5"/>
      <c r="C1566" s="5"/>
      <c r="D1566" s="5"/>
      <c r="E1566" s="5"/>
      <c r="F1566" s="5"/>
      <c r="G1566" s="5"/>
      <c r="H1566" s="5"/>
      <c r="I1566" s="5"/>
      <c r="J1566" s="5"/>
      <c r="K1566" s="5"/>
      <c r="L1566" s="5"/>
      <c r="M1566" s="5"/>
      <c r="N1566" s="5"/>
      <c r="O1566" s="5"/>
      <c r="P1566" s="5"/>
      <c r="Q1566" s="5"/>
      <c r="R1566" s="5"/>
      <c r="S1566" s="5"/>
      <c r="T1566" s="5"/>
      <c r="U1566" s="5"/>
      <c r="V1566" s="5"/>
      <c r="W1566" s="5"/>
    </row>
    <row r="1567">
      <c r="A1567" s="5"/>
      <c r="B1567" s="5"/>
      <c r="C1567" s="5"/>
      <c r="D1567" s="5"/>
      <c r="E1567" s="5"/>
      <c r="F1567" s="5"/>
      <c r="G1567" s="5"/>
      <c r="H1567" s="5"/>
      <c r="I1567" s="5"/>
      <c r="J1567" s="5"/>
      <c r="K1567" s="5"/>
      <c r="L1567" s="5"/>
      <c r="M1567" s="5"/>
      <c r="N1567" s="5"/>
      <c r="O1567" s="5"/>
      <c r="P1567" s="5"/>
      <c r="Q1567" s="5"/>
      <c r="R1567" s="5"/>
      <c r="S1567" s="5"/>
      <c r="T1567" s="5"/>
      <c r="U1567" s="5"/>
      <c r="V1567" s="5"/>
      <c r="W1567" s="5"/>
    </row>
    <row r="1568">
      <c r="A1568" s="5"/>
      <c r="B1568" s="5"/>
      <c r="C1568" s="5"/>
      <c r="D1568" s="5"/>
      <c r="E1568" s="5"/>
      <c r="F1568" s="5"/>
      <c r="G1568" s="5"/>
      <c r="H1568" s="5"/>
      <c r="I1568" s="5"/>
      <c r="J1568" s="5"/>
      <c r="K1568" s="5"/>
      <c r="L1568" s="5"/>
      <c r="M1568" s="5"/>
      <c r="N1568" s="5"/>
      <c r="O1568" s="5"/>
      <c r="P1568" s="5"/>
      <c r="Q1568" s="5"/>
      <c r="R1568" s="5"/>
      <c r="S1568" s="5"/>
      <c r="T1568" s="5"/>
      <c r="U1568" s="5"/>
      <c r="V1568" s="5"/>
      <c r="W1568" s="5"/>
    </row>
    <row r="1569">
      <c r="A1569" s="5"/>
      <c r="B1569" s="5"/>
      <c r="C1569" s="5"/>
      <c r="D1569" s="5"/>
      <c r="E1569" s="5"/>
      <c r="F1569" s="5"/>
      <c r="G1569" s="5"/>
      <c r="H1569" s="5"/>
      <c r="I1569" s="5"/>
      <c r="J1569" s="5"/>
      <c r="K1569" s="5"/>
      <c r="L1569" s="5"/>
      <c r="M1569" s="5"/>
      <c r="N1569" s="5"/>
      <c r="O1569" s="5"/>
      <c r="P1569" s="5"/>
      <c r="Q1569" s="5"/>
      <c r="R1569" s="5"/>
      <c r="S1569" s="5"/>
      <c r="T1569" s="5"/>
      <c r="U1569" s="5"/>
      <c r="V1569" s="5"/>
      <c r="W1569" s="5"/>
    </row>
    <row r="1570">
      <c r="A1570" s="5"/>
      <c r="B1570" s="5"/>
      <c r="C1570" s="5"/>
      <c r="D1570" s="5"/>
      <c r="E1570" s="5"/>
      <c r="F1570" s="5"/>
      <c r="G1570" s="5"/>
      <c r="H1570" s="5"/>
      <c r="I1570" s="5"/>
      <c r="J1570" s="5"/>
      <c r="K1570" s="5"/>
      <c r="L1570" s="5"/>
      <c r="M1570" s="5"/>
      <c r="N1570" s="5"/>
      <c r="O1570" s="5"/>
      <c r="P1570" s="5"/>
      <c r="Q1570" s="5"/>
      <c r="R1570" s="5"/>
      <c r="S1570" s="5"/>
      <c r="T1570" s="5"/>
      <c r="U1570" s="5"/>
      <c r="V1570" s="5"/>
      <c r="W1570" s="5"/>
    </row>
    <row r="1571">
      <c r="A1571" s="5"/>
      <c r="B1571" s="5"/>
      <c r="C1571" s="5"/>
      <c r="D1571" s="5"/>
      <c r="E1571" s="5"/>
      <c r="F1571" s="5"/>
      <c r="G1571" s="5"/>
      <c r="H1571" s="5"/>
      <c r="I1571" s="5"/>
      <c r="J1571" s="5"/>
      <c r="K1571" s="5"/>
      <c r="L1571" s="5"/>
      <c r="M1571" s="5"/>
      <c r="N1571" s="5"/>
      <c r="O1571" s="5"/>
      <c r="P1571" s="5"/>
      <c r="Q1571" s="5"/>
      <c r="R1571" s="5"/>
      <c r="S1571" s="5"/>
      <c r="T1571" s="5"/>
      <c r="U1571" s="5"/>
      <c r="V1571" s="5"/>
      <c r="W1571" s="5"/>
    </row>
    <row r="1572">
      <c r="A1572" s="5"/>
      <c r="B1572" s="5"/>
      <c r="C1572" s="5"/>
      <c r="D1572" s="5"/>
      <c r="E1572" s="5"/>
      <c r="F1572" s="5"/>
      <c r="G1572" s="5"/>
      <c r="H1572" s="5"/>
      <c r="I1572" s="5"/>
      <c r="J1572" s="5"/>
      <c r="K1572" s="5"/>
      <c r="L1572" s="5"/>
      <c r="M1572" s="5"/>
      <c r="N1572" s="5"/>
      <c r="O1572" s="5"/>
      <c r="P1572" s="5"/>
      <c r="Q1572" s="5"/>
      <c r="R1572" s="5"/>
      <c r="S1572" s="5"/>
      <c r="T1572" s="5"/>
      <c r="U1572" s="5"/>
      <c r="V1572" s="5"/>
      <c r="W1572" s="5"/>
    </row>
    <row r="1573">
      <c r="A1573" s="5"/>
      <c r="B1573" s="5"/>
      <c r="C1573" s="5"/>
      <c r="D1573" s="5"/>
      <c r="E1573" s="5"/>
      <c r="F1573" s="5"/>
      <c r="G1573" s="5"/>
      <c r="H1573" s="5"/>
      <c r="I1573" s="5"/>
      <c r="J1573" s="5"/>
      <c r="K1573" s="5"/>
      <c r="L1573" s="5"/>
      <c r="M1573" s="5"/>
      <c r="N1573" s="5"/>
      <c r="O1573" s="5"/>
      <c r="P1573" s="5"/>
      <c r="Q1573" s="5"/>
      <c r="R1573" s="5"/>
      <c r="S1573" s="5"/>
      <c r="T1573" s="5"/>
      <c r="U1573" s="5"/>
      <c r="V1573" s="5"/>
      <c r="W1573" s="5"/>
    </row>
    <row r="1574">
      <c r="A1574" s="5"/>
      <c r="B1574" s="5"/>
      <c r="C1574" s="5"/>
      <c r="D1574" s="5"/>
      <c r="E1574" s="5"/>
      <c r="F1574" s="5"/>
      <c r="G1574" s="5"/>
      <c r="H1574" s="5"/>
      <c r="I1574" s="5"/>
      <c r="J1574" s="5"/>
      <c r="K1574" s="5"/>
      <c r="L1574" s="5"/>
      <c r="M1574" s="5"/>
      <c r="N1574" s="5"/>
      <c r="O1574" s="5"/>
      <c r="P1574" s="5"/>
      <c r="Q1574" s="5"/>
      <c r="R1574" s="5"/>
      <c r="S1574" s="5"/>
      <c r="T1574" s="5"/>
      <c r="U1574" s="5"/>
      <c r="V1574" s="5"/>
      <c r="W1574" s="5"/>
    </row>
    <row r="1575">
      <c r="A1575" s="5"/>
      <c r="B1575" s="5"/>
      <c r="C1575" s="5"/>
      <c r="D1575" s="5"/>
      <c r="E1575" s="5"/>
      <c r="F1575" s="5"/>
      <c r="G1575" s="5"/>
      <c r="H1575" s="5"/>
      <c r="I1575" s="5"/>
      <c r="J1575" s="5"/>
      <c r="K1575" s="5"/>
      <c r="L1575" s="5"/>
      <c r="M1575" s="5"/>
      <c r="N1575" s="5"/>
      <c r="O1575" s="5"/>
      <c r="P1575" s="5"/>
      <c r="Q1575" s="5"/>
      <c r="R1575" s="5"/>
      <c r="S1575" s="5"/>
      <c r="T1575" s="5"/>
      <c r="U1575" s="5"/>
      <c r="V1575" s="5"/>
      <c r="W1575" s="5"/>
    </row>
    <row r="1576">
      <c r="A1576" s="5"/>
      <c r="B1576" s="5"/>
      <c r="C1576" s="5"/>
      <c r="D1576" s="5"/>
      <c r="E1576" s="5"/>
      <c r="F1576" s="5"/>
      <c r="G1576" s="5"/>
      <c r="H1576" s="5"/>
      <c r="I1576" s="5"/>
      <c r="J1576" s="5"/>
      <c r="K1576" s="5"/>
      <c r="L1576" s="5"/>
      <c r="M1576" s="5"/>
      <c r="N1576" s="5"/>
      <c r="O1576" s="5"/>
      <c r="P1576" s="5"/>
      <c r="Q1576" s="5"/>
      <c r="R1576" s="5"/>
      <c r="S1576" s="5"/>
      <c r="T1576" s="5"/>
      <c r="U1576" s="5"/>
      <c r="V1576" s="5"/>
      <c r="W1576" s="5"/>
    </row>
    <row r="1577">
      <c r="A1577" s="5"/>
      <c r="B1577" s="5"/>
      <c r="C1577" s="5"/>
      <c r="D1577" s="5"/>
      <c r="E1577" s="5"/>
      <c r="F1577" s="5"/>
      <c r="G1577" s="5"/>
      <c r="H1577" s="5"/>
      <c r="I1577" s="5"/>
      <c r="J1577" s="5"/>
      <c r="K1577" s="5"/>
      <c r="L1577" s="5"/>
      <c r="M1577" s="5"/>
      <c r="N1577" s="5"/>
      <c r="O1577" s="5"/>
      <c r="P1577" s="5"/>
      <c r="Q1577" s="5"/>
      <c r="R1577" s="5"/>
      <c r="S1577" s="5"/>
      <c r="T1577" s="5"/>
      <c r="U1577" s="5"/>
      <c r="V1577" s="5"/>
      <c r="W1577" s="5"/>
    </row>
    <row r="1578">
      <c r="A1578" s="5"/>
      <c r="B1578" s="5"/>
      <c r="C1578" s="5"/>
      <c r="D1578" s="5"/>
      <c r="E1578" s="5"/>
      <c r="F1578" s="5"/>
      <c r="G1578" s="5"/>
      <c r="H1578" s="5"/>
      <c r="I1578" s="5"/>
      <c r="J1578" s="5"/>
      <c r="K1578" s="5"/>
      <c r="L1578" s="5"/>
      <c r="M1578" s="5"/>
      <c r="N1578" s="5"/>
      <c r="O1578" s="5"/>
      <c r="P1578" s="5"/>
      <c r="Q1578" s="5"/>
      <c r="R1578" s="5"/>
      <c r="S1578" s="5"/>
      <c r="T1578" s="5"/>
      <c r="U1578" s="5"/>
      <c r="V1578" s="5"/>
      <c r="W1578" s="5"/>
    </row>
    <row r="1579">
      <c r="A1579" s="5"/>
      <c r="B1579" s="5"/>
      <c r="C1579" s="5"/>
      <c r="D1579" s="5"/>
      <c r="E1579" s="5"/>
      <c r="F1579" s="5"/>
      <c r="G1579" s="5"/>
      <c r="H1579" s="5"/>
      <c r="I1579" s="5"/>
      <c r="J1579" s="5"/>
      <c r="K1579" s="5"/>
      <c r="L1579" s="5"/>
      <c r="M1579" s="5"/>
      <c r="N1579" s="5"/>
      <c r="O1579" s="5"/>
      <c r="P1579" s="5"/>
      <c r="Q1579" s="5"/>
      <c r="R1579" s="5"/>
      <c r="S1579" s="5"/>
      <c r="T1579" s="5"/>
      <c r="U1579" s="5"/>
      <c r="V1579" s="5"/>
      <c r="W1579" s="5"/>
    </row>
    <row r="1580">
      <c r="A1580" s="5"/>
      <c r="B1580" s="5"/>
      <c r="C1580" s="5"/>
      <c r="D1580" s="5"/>
      <c r="E1580" s="5"/>
      <c r="F1580" s="5"/>
      <c r="G1580" s="5"/>
      <c r="H1580" s="5"/>
      <c r="I1580" s="5"/>
      <c r="J1580" s="5"/>
      <c r="K1580" s="5"/>
      <c r="L1580" s="5"/>
      <c r="M1580" s="5"/>
      <c r="N1580" s="5"/>
      <c r="O1580" s="5"/>
      <c r="P1580" s="5"/>
      <c r="Q1580" s="5"/>
      <c r="R1580" s="5"/>
      <c r="S1580" s="5"/>
      <c r="T1580" s="5"/>
      <c r="U1580" s="5"/>
      <c r="V1580" s="5"/>
      <c r="W1580" s="5"/>
    </row>
    <row r="1581">
      <c r="A1581" s="5"/>
      <c r="B1581" s="5"/>
      <c r="C1581" s="5"/>
      <c r="D1581" s="5"/>
      <c r="E1581" s="5"/>
      <c r="F1581" s="5"/>
      <c r="G1581" s="5"/>
      <c r="H1581" s="5"/>
      <c r="I1581" s="5"/>
      <c r="J1581" s="5"/>
      <c r="K1581" s="5"/>
      <c r="L1581" s="5"/>
      <c r="M1581" s="5"/>
      <c r="N1581" s="5"/>
      <c r="O1581" s="5"/>
      <c r="P1581" s="5"/>
      <c r="Q1581" s="5"/>
      <c r="R1581" s="5"/>
      <c r="S1581" s="5"/>
      <c r="T1581" s="5"/>
      <c r="U1581" s="5"/>
      <c r="V1581" s="5"/>
      <c r="W1581" s="5"/>
    </row>
    <row r="1582">
      <c r="A1582" s="5"/>
      <c r="B1582" s="5"/>
      <c r="C1582" s="5"/>
      <c r="D1582" s="5"/>
      <c r="E1582" s="5"/>
      <c r="F1582" s="5"/>
      <c r="G1582" s="5"/>
      <c r="H1582" s="5"/>
      <c r="I1582" s="5"/>
      <c r="J1582" s="5"/>
      <c r="K1582" s="5"/>
      <c r="L1582" s="5"/>
      <c r="M1582" s="5"/>
      <c r="N1582" s="5"/>
      <c r="O1582" s="5"/>
      <c r="P1582" s="5"/>
      <c r="Q1582" s="5"/>
      <c r="R1582" s="5"/>
      <c r="S1582" s="5"/>
      <c r="T1582" s="5"/>
      <c r="U1582" s="5"/>
      <c r="V1582" s="5"/>
      <c r="W1582" s="5"/>
    </row>
    <row r="1583">
      <c r="A1583" s="5"/>
      <c r="B1583" s="5"/>
      <c r="C1583" s="5"/>
      <c r="D1583" s="5"/>
      <c r="E1583" s="5"/>
      <c r="F1583" s="5"/>
      <c r="G1583" s="5"/>
      <c r="H1583" s="5"/>
      <c r="I1583" s="5"/>
      <c r="J1583" s="5"/>
      <c r="K1583" s="5"/>
      <c r="L1583" s="5"/>
      <c r="M1583" s="5"/>
      <c r="N1583" s="5"/>
      <c r="O1583" s="5"/>
      <c r="P1583" s="5"/>
      <c r="Q1583" s="5"/>
      <c r="R1583" s="5"/>
      <c r="S1583" s="5"/>
      <c r="T1583" s="5"/>
      <c r="U1583" s="5"/>
      <c r="V1583" s="5"/>
      <c r="W1583" s="5"/>
    </row>
    <row r="1584">
      <c r="A1584" s="5"/>
      <c r="B1584" s="5"/>
      <c r="C1584" s="5"/>
      <c r="D1584" s="5"/>
      <c r="E1584" s="5"/>
      <c r="F1584" s="5"/>
      <c r="G1584" s="5"/>
      <c r="H1584" s="5"/>
      <c r="I1584" s="5"/>
      <c r="J1584" s="5"/>
      <c r="K1584" s="5"/>
      <c r="L1584" s="5"/>
      <c r="M1584" s="5"/>
      <c r="N1584" s="5"/>
      <c r="O1584" s="5"/>
      <c r="P1584" s="5"/>
      <c r="Q1584" s="5"/>
      <c r="R1584" s="5"/>
      <c r="S1584" s="5"/>
      <c r="T1584" s="5"/>
      <c r="U1584" s="5"/>
      <c r="V1584" s="5"/>
      <c r="W1584" s="5"/>
    </row>
    <row r="1585">
      <c r="A1585" s="5"/>
      <c r="B1585" s="5"/>
      <c r="C1585" s="5"/>
      <c r="D1585" s="5"/>
      <c r="E1585" s="5"/>
      <c r="F1585" s="5"/>
      <c r="G1585" s="5"/>
      <c r="H1585" s="5"/>
      <c r="I1585" s="5"/>
      <c r="J1585" s="5"/>
      <c r="K1585" s="5"/>
      <c r="L1585" s="5"/>
      <c r="M1585" s="5"/>
      <c r="N1585" s="5"/>
      <c r="O1585" s="5"/>
      <c r="P1585" s="5"/>
      <c r="Q1585" s="5"/>
      <c r="R1585" s="5"/>
      <c r="S1585" s="5"/>
      <c r="T1585" s="5"/>
      <c r="U1585" s="5"/>
      <c r="V1585" s="5"/>
      <c r="W1585" s="5"/>
    </row>
    <row r="1586">
      <c r="A1586" s="5"/>
      <c r="B1586" s="5"/>
      <c r="C1586" s="5"/>
      <c r="D1586" s="5"/>
      <c r="E1586" s="5"/>
      <c r="F1586" s="5"/>
      <c r="G1586" s="5"/>
      <c r="H1586" s="5"/>
      <c r="I1586" s="5"/>
      <c r="J1586" s="5"/>
      <c r="K1586" s="5"/>
      <c r="L1586" s="5"/>
      <c r="M1586" s="5"/>
      <c r="N1586" s="5"/>
      <c r="O1586" s="5"/>
      <c r="P1586" s="5"/>
      <c r="Q1586" s="5"/>
      <c r="R1586" s="5"/>
      <c r="S1586" s="5"/>
      <c r="T1586" s="5"/>
      <c r="U1586" s="5"/>
      <c r="V1586" s="5"/>
      <c r="W1586" s="5"/>
    </row>
    <row r="1587">
      <c r="A1587" s="5"/>
      <c r="B1587" s="5"/>
      <c r="C1587" s="5"/>
      <c r="D1587" s="5"/>
      <c r="E1587" s="5"/>
      <c r="F1587" s="5"/>
      <c r="G1587" s="5"/>
      <c r="H1587" s="5"/>
      <c r="I1587" s="5"/>
      <c r="J1587" s="5"/>
      <c r="K1587" s="5"/>
      <c r="L1587" s="5"/>
      <c r="M1587" s="5"/>
      <c r="N1587" s="5"/>
      <c r="O1587" s="5"/>
      <c r="P1587" s="5"/>
      <c r="Q1587" s="5"/>
      <c r="R1587" s="5"/>
      <c r="S1587" s="5"/>
      <c r="T1587" s="5"/>
      <c r="U1587" s="5"/>
      <c r="V1587" s="5"/>
      <c r="W1587" s="5"/>
    </row>
    <row r="1588">
      <c r="A1588" s="5"/>
      <c r="B1588" s="5"/>
      <c r="C1588" s="5"/>
      <c r="D1588" s="5"/>
      <c r="E1588" s="5"/>
      <c r="F1588" s="5"/>
      <c r="G1588" s="5"/>
      <c r="H1588" s="5"/>
      <c r="I1588" s="5"/>
      <c r="J1588" s="5"/>
      <c r="K1588" s="5"/>
      <c r="L1588" s="5"/>
      <c r="M1588" s="5"/>
      <c r="N1588" s="5"/>
      <c r="O1588" s="5"/>
      <c r="P1588" s="5"/>
      <c r="Q1588" s="5"/>
      <c r="R1588" s="5"/>
      <c r="S1588" s="5"/>
      <c r="T1588" s="5"/>
      <c r="U1588" s="5"/>
      <c r="V1588" s="5"/>
      <c r="W1588" s="5"/>
    </row>
    <row r="1589">
      <c r="A1589" s="5"/>
      <c r="B1589" s="5"/>
      <c r="C1589" s="5"/>
      <c r="D1589" s="5"/>
      <c r="E1589" s="5"/>
      <c r="F1589" s="5"/>
      <c r="G1589" s="5"/>
      <c r="H1589" s="5"/>
      <c r="I1589" s="5"/>
      <c r="J1589" s="5"/>
      <c r="K1589" s="5"/>
      <c r="L1589" s="5"/>
      <c r="M1589" s="5"/>
      <c r="N1589" s="5"/>
      <c r="O1589" s="5"/>
      <c r="P1589" s="5"/>
      <c r="Q1589" s="5"/>
      <c r="R1589" s="5"/>
      <c r="S1589" s="5"/>
      <c r="T1589" s="5"/>
      <c r="U1589" s="5"/>
      <c r="V1589" s="5"/>
      <c r="W1589" s="5"/>
    </row>
    <row r="1590">
      <c r="A1590" s="5"/>
      <c r="B1590" s="5"/>
      <c r="C1590" s="5"/>
      <c r="D1590" s="5"/>
      <c r="E1590" s="5"/>
      <c r="F1590" s="5"/>
      <c r="G1590" s="5"/>
      <c r="H1590" s="5"/>
      <c r="I1590" s="5"/>
      <c r="J1590" s="5"/>
      <c r="K1590" s="5"/>
      <c r="L1590" s="5"/>
      <c r="M1590" s="5"/>
      <c r="N1590" s="5"/>
      <c r="O1590" s="5"/>
      <c r="P1590" s="5"/>
      <c r="Q1590" s="5"/>
      <c r="R1590" s="5"/>
      <c r="S1590" s="5"/>
      <c r="T1590" s="5"/>
      <c r="U1590" s="5"/>
      <c r="V1590" s="5"/>
      <c r="W1590" s="5"/>
    </row>
    <row r="1591">
      <c r="A1591" s="5"/>
      <c r="B1591" s="5"/>
      <c r="C1591" s="5"/>
      <c r="D1591" s="5"/>
      <c r="E1591" s="5"/>
      <c r="F1591" s="5"/>
      <c r="G1591" s="5"/>
      <c r="H1591" s="5"/>
      <c r="I1591" s="5"/>
      <c r="J1591" s="5"/>
      <c r="K1591" s="5"/>
      <c r="L1591" s="5"/>
      <c r="M1591" s="5"/>
      <c r="N1591" s="5"/>
      <c r="O1591" s="5"/>
      <c r="P1591" s="5"/>
      <c r="Q1591" s="5"/>
      <c r="R1591" s="5"/>
      <c r="S1591" s="5"/>
      <c r="T1591" s="5"/>
      <c r="U1591" s="5"/>
      <c r="V1591" s="5"/>
      <c r="W1591" s="5"/>
    </row>
    <row r="1592">
      <c r="A1592" s="5"/>
      <c r="B1592" s="5"/>
      <c r="C1592" s="5"/>
      <c r="D1592" s="5"/>
      <c r="E1592" s="5"/>
      <c r="F1592" s="5"/>
      <c r="G1592" s="5"/>
      <c r="H1592" s="5"/>
      <c r="I1592" s="5"/>
      <c r="J1592" s="5"/>
      <c r="K1592" s="5"/>
      <c r="L1592" s="5"/>
      <c r="M1592" s="5"/>
      <c r="N1592" s="5"/>
      <c r="O1592" s="5"/>
      <c r="P1592" s="5"/>
      <c r="Q1592" s="5"/>
      <c r="R1592" s="5"/>
      <c r="S1592" s="5"/>
      <c r="T1592" s="5"/>
      <c r="U1592" s="5"/>
      <c r="V1592" s="5"/>
      <c r="W1592" s="5"/>
    </row>
    <row r="1593">
      <c r="A1593" s="5"/>
      <c r="B1593" s="5"/>
      <c r="C1593" s="5"/>
      <c r="D1593" s="5"/>
      <c r="E1593" s="5"/>
      <c r="F1593" s="5"/>
      <c r="G1593" s="5"/>
      <c r="H1593" s="5"/>
      <c r="I1593" s="5"/>
      <c r="J1593" s="5"/>
      <c r="K1593" s="5"/>
      <c r="L1593" s="5"/>
      <c r="M1593" s="5"/>
      <c r="N1593" s="5"/>
      <c r="O1593" s="5"/>
      <c r="P1593" s="5"/>
      <c r="Q1593" s="5"/>
      <c r="R1593" s="5"/>
      <c r="S1593" s="5"/>
      <c r="T1593" s="5"/>
      <c r="U1593" s="5"/>
      <c r="V1593" s="5"/>
      <c r="W1593" s="5"/>
    </row>
    <row r="1594">
      <c r="A1594" s="5"/>
      <c r="B1594" s="5"/>
      <c r="C1594" s="5"/>
      <c r="D1594" s="5"/>
      <c r="E1594" s="5"/>
      <c r="F1594" s="5"/>
      <c r="G1594" s="5"/>
      <c r="H1594" s="5"/>
      <c r="I1594" s="5"/>
      <c r="J1594" s="5"/>
      <c r="K1594" s="5"/>
      <c r="L1594" s="5"/>
      <c r="M1594" s="5"/>
      <c r="N1594" s="5"/>
      <c r="O1594" s="5"/>
      <c r="P1594" s="5"/>
      <c r="Q1594" s="5"/>
      <c r="R1594" s="5"/>
      <c r="S1594" s="5"/>
      <c r="T1594" s="5"/>
      <c r="U1594" s="5"/>
      <c r="V1594" s="5"/>
      <c r="W1594" s="5"/>
    </row>
    <row r="1595">
      <c r="A1595" s="5"/>
      <c r="B1595" s="5"/>
      <c r="C1595" s="5"/>
      <c r="D1595" s="5"/>
      <c r="E1595" s="5"/>
      <c r="F1595" s="5"/>
      <c r="G1595" s="5"/>
      <c r="H1595" s="5"/>
      <c r="I1595" s="5"/>
      <c r="J1595" s="5"/>
      <c r="K1595" s="5"/>
      <c r="L1595" s="5"/>
      <c r="M1595" s="5"/>
      <c r="N1595" s="5"/>
      <c r="O1595" s="5"/>
      <c r="P1595" s="5"/>
      <c r="Q1595" s="5"/>
      <c r="R1595" s="5"/>
      <c r="S1595" s="5"/>
      <c r="T1595" s="5"/>
      <c r="U1595" s="5"/>
      <c r="V1595" s="5"/>
      <c r="W1595" s="5"/>
    </row>
    <row r="1596">
      <c r="A1596" s="5"/>
      <c r="B1596" s="5"/>
      <c r="C1596" s="5"/>
      <c r="D1596" s="5"/>
      <c r="E1596" s="5"/>
      <c r="F1596" s="5"/>
      <c r="G1596" s="5"/>
      <c r="H1596" s="5"/>
      <c r="I1596" s="5"/>
      <c r="J1596" s="5"/>
      <c r="K1596" s="5"/>
      <c r="L1596" s="5"/>
      <c r="M1596" s="5"/>
      <c r="N1596" s="5"/>
      <c r="O1596" s="5"/>
      <c r="P1596" s="5"/>
      <c r="Q1596" s="5"/>
      <c r="R1596" s="5"/>
      <c r="S1596" s="5"/>
      <c r="T1596" s="5"/>
      <c r="U1596" s="5"/>
      <c r="V1596" s="5"/>
      <c r="W1596" s="5"/>
    </row>
    <row r="1597">
      <c r="A1597" s="5"/>
      <c r="B1597" s="5"/>
      <c r="C1597" s="5"/>
      <c r="D1597" s="5"/>
      <c r="E1597" s="5"/>
      <c r="F1597" s="5"/>
      <c r="G1597" s="5"/>
      <c r="H1597" s="5"/>
      <c r="I1597" s="5"/>
      <c r="J1597" s="5"/>
      <c r="K1597" s="5"/>
      <c r="L1597" s="5"/>
      <c r="M1597" s="5"/>
      <c r="N1597" s="5"/>
      <c r="O1597" s="5"/>
      <c r="P1597" s="5"/>
      <c r="Q1597" s="5"/>
      <c r="R1597" s="5"/>
      <c r="S1597" s="5"/>
      <c r="T1597" s="5"/>
      <c r="U1597" s="5"/>
      <c r="V1597" s="5"/>
      <c r="W1597" s="5"/>
    </row>
    <row r="1598">
      <c r="A1598" s="5"/>
      <c r="B1598" s="5"/>
      <c r="C1598" s="5"/>
      <c r="D1598" s="5"/>
      <c r="E1598" s="5"/>
      <c r="F1598" s="5"/>
      <c r="G1598" s="5"/>
      <c r="H1598" s="5"/>
      <c r="I1598" s="5"/>
      <c r="J1598" s="5"/>
      <c r="K1598" s="5"/>
      <c r="L1598" s="5"/>
      <c r="M1598" s="5"/>
      <c r="N1598" s="5"/>
      <c r="O1598" s="5"/>
      <c r="P1598" s="5"/>
      <c r="Q1598" s="5"/>
      <c r="R1598" s="5"/>
      <c r="S1598" s="5"/>
      <c r="T1598" s="5"/>
      <c r="U1598" s="5"/>
      <c r="V1598" s="5"/>
      <c r="W1598" s="5"/>
    </row>
    <row r="1599">
      <c r="A1599" s="5"/>
      <c r="B1599" s="5"/>
      <c r="C1599" s="5"/>
      <c r="D1599" s="5"/>
      <c r="E1599" s="5"/>
      <c r="F1599" s="5"/>
      <c r="G1599" s="5"/>
      <c r="H1599" s="5"/>
      <c r="I1599" s="5"/>
      <c r="J1599" s="5"/>
      <c r="K1599" s="5"/>
      <c r="L1599" s="5"/>
      <c r="M1599" s="5"/>
      <c r="N1599" s="5"/>
      <c r="O1599" s="5"/>
      <c r="P1599" s="5"/>
      <c r="Q1599" s="5"/>
      <c r="R1599" s="5"/>
      <c r="S1599" s="5"/>
      <c r="T1599" s="5"/>
      <c r="U1599" s="5"/>
      <c r="V1599" s="5"/>
      <c r="W1599" s="5"/>
    </row>
    <row r="1600">
      <c r="A1600" s="5"/>
      <c r="B1600" s="5"/>
      <c r="C1600" s="5"/>
      <c r="D1600" s="5"/>
      <c r="E1600" s="5"/>
      <c r="F1600" s="5"/>
      <c r="G1600" s="5"/>
      <c r="H1600" s="5"/>
      <c r="I1600" s="5"/>
      <c r="J1600" s="5"/>
      <c r="K1600" s="5"/>
      <c r="L1600" s="5"/>
      <c r="M1600" s="5"/>
      <c r="N1600" s="5"/>
      <c r="O1600" s="5"/>
      <c r="P1600" s="5"/>
      <c r="Q1600" s="5"/>
      <c r="R1600" s="5"/>
      <c r="S1600" s="5"/>
      <c r="T1600" s="5"/>
      <c r="U1600" s="5"/>
      <c r="V1600" s="5"/>
      <c r="W1600" s="5"/>
    </row>
    <row r="1601">
      <c r="A1601" s="5"/>
      <c r="B1601" s="5"/>
      <c r="C1601" s="5"/>
      <c r="D1601" s="5"/>
      <c r="E1601" s="5"/>
      <c r="F1601" s="5"/>
      <c r="G1601" s="5"/>
      <c r="H1601" s="5"/>
      <c r="I1601" s="5"/>
      <c r="J1601" s="5"/>
      <c r="K1601" s="5"/>
      <c r="L1601" s="5"/>
      <c r="M1601" s="5"/>
      <c r="N1601" s="5"/>
      <c r="O1601" s="5"/>
      <c r="P1601" s="5"/>
      <c r="Q1601" s="5"/>
      <c r="R1601" s="5"/>
      <c r="S1601" s="5"/>
      <c r="T1601" s="5"/>
      <c r="U1601" s="5"/>
      <c r="V1601" s="5"/>
      <c r="W1601" s="5"/>
    </row>
    <row r="1602">
      <c r="A1602" s="5"/>
      <c r="B1602" s="5"/>
      <c r="C1602" s="5"/>
      <c r="D1602" s="5"/>
      <c r="E1602" s="5"/>
      <c r="F1602" s="5"/>
      <c r="G1602" s="5"/>
      <c r="H1602" s="5"/>
      <c r="I1602" s="5"/>
      <c r="J1602" s="5"/>
      <c r="K1602" s="5"/>
      <c r="L1602" s="5"/>
      <c r="M1602" s="5"/>
      <c r="N1602" s="5"/>
      <c r="O1602" s="5"/>
      <c r="P1602" s="5"/>
      <c r="Q1602" s="5"/>
      <c r="R1602" s="5"/>
      <c r="S1602" s="5"/>
      <c r="T1602" s="5"/>
      <c r="U1602" s="5"/>
      <c r="V1602" s="5"/>
      <c r="W1602" s="5"/>
    </row>
    <row r="1603">
      <c r="A1603" s="5"/>
      <c r="B1603" s="5"/>
      <c r="C1603" s="5"/>
      <c r="D1603" s="5"/>
      <c r="E1603" s="5"/>
      <c r="F1603" s="5"/>
      <c r="G1603" s="5"/>
      <c r="H1603" s="5"/>
      <c r="I1603" s="5"/>
      <c r="J1603" s="5"/>
      <c r="K1603" s="5"/>
      <c r="L1603" s="5"/>
      <c r="M1603" s="5"/>
      <c r="N1603" s="5"/>
      <c r="O1603" s="5"/>
      <c r="P1603" s="5"/>
      <c r="Q1603" s="5"/>
      <c r="R1603" s="5"/>
      <c r="S1603" s="5"/>
      <c r="T1603" s="5"/>
      <c r="U1603" s="5"/>
      <c r="V1603" s="5"/>
      <c r="W1603" s="5"/>
    </row>
    <row r="1604">
      <c r="A1604" s="5"/>
      <c r="B1604" s="5"/>
      <c r="C1604" s="5"/>
      <c r="D1604" s="5"/>
      <c r="E1604" s="5"/>
      <c r="F1604" s="5"/>
      <c r="G1604" s="5"/>
      <c r="H1604" s="5"/>
      <c r="I1604" s="5"/>
      <c r="J1604" s="5"/>
      <c r="K1604" s="5"/>
      <c r="L1604" s="5"/>
      <c r="M1604" s="5"/>
      <c r="N1604" s="5"/>
      <c r="O1604" s="5"/>
      <c r="P1604" s="5"/>
      <c r="Q1604" s="5"/>
      <c r="R1604" s="5"/>
      <c r="S1604" s="5"/>
      <c r="T1604" s="5"/>
      <c r="U1604" s="5"/>
      <c r="V1604" s="5"/>
      <c r="W1604" s="5"/>
    </row>
    <row r="1605">
      <c r="A1605" s="5"/>
      <c r="B1605" s="5"/>
      <c r="C1605" s="5"/>
      <c r="D1605" s="5"/>
      <c r="E1605" s="5"/>
      <c r="F1605" s="5"/>
      <c r="G1605" s="5"/>
      <c r="H1605" s="5"/>
      <c r="I1605" s="5"/>
      <c r="J1605" s="5"/>
      <c r="K1605" s="5"/>
      <c r="L1605" s="5"/>
      <c r="M1605" s="5"/>
      <c r="N1605" s="5"/>
      <c r="O1605" s="5"/>
      <c r="P1605" s="5"/>
      <c r="Q1605" s="5"/>
      <c r="R1605" s="5"/>
      <c r="S1605" s="5"/>
      <c r="T1605" s="5"/>
      <c r="U1605" s="5"/>
      <c r="V1605" s="5"/>
      <c r="W1605" s="5"/>
    </row>
    <row r="1606">
      <c r="A1606" s="5"/>
      <c r="B1606" s="5"/>
      <c r="C1606" s="5"/>
      <c r="D1606" s="5"/>
      <c r="E1606" s="5"/>
      <c r="F1606" s="5"/>
      <c r="G1606" s="5"/>
      <c r="H1606" s="5"/>
      <c r="I1606" s="5"/>
      <c r="J1606" s="5"/>
      <c r="K1606" s="5"/>
      <c r="L1606" s="5"/>
      <c r="M1606" s="5"/>
      <c r="N1606" s="5"/>
      <c r="O1606" s="5"/>
      <c r="P1606" s="5"/>
      <c r="Q1606" s="5"/>
      <c r="R1606" s="5"/>
      <c r="S1606" s="5"/>
      <c r="T1606" s="5"/>
      <c r="U1606" s="5"/>
      <c r="V1606" s="5"/>
      <c r="W1606" s="5"/>
    </row>
    <row r="1607">
      <c r="A1607" s="5"/>
      <c r="B1607" s="5"/>
      <c r="C1607" s="5"/>
      <c r="D1607" s="5"/>
      <c r="E1607" s="5"/>
      <c r="F1607" s="5"/>
      <c r="G1607" s="5"/>
      <c r="H1607" s="5"/>
      <c r="I1607" s="5"/>
      <c r="J1607" s="5"/>
      <c r="K1607" s="5"/>
      <c r="L1607" s="5"/>
      <c r="M1607" s="5"/>
      <c r="N1607" s="5"/>
      <c r="O1607" s="5"/>
      <c r="P1607" s="5"/>
      <c r="Q1607" s="5"/>
      <c r="R1607" s="5"/>
      <c r="S1607" s="5"/>
      <c r="T1607" s="5"/>
      <c r="U1607" s="5"/>
      <c r="V1607" s="5"/>
      <c r="W1607" s="5"/>
    </row>
    <row r="1608">
      <c r="A1608" s="5"/>
      <c r="B1608" s="5"/>
      <c r="C1608" s="5"/>
      <c r="D1608" s="5"/>
      <c r="E1608" s="5"/>
      <c r="F1608" s="5"/>
      <c r="G1608" s="5"/>
      <c r="H1608" s="5"/>
      <c r="I1608" s="5"/>
      <c r="J1608" s="5"/>
      <c r="K1608" s="5"/>
      <c r="L1608" s="5"/>
      <c r="M1608" s="5"/>
      <c r="N1608" s="5"/>
      <c r="O1608" s="5"/>
      <c r="P1608" s="5"/>
      <c r="Q1608" s="5"/>
      <c r="R1608" s="5"/>
      <c r="S1608" s="5"/>
      <c r="T1608" s="5"/>
      <c r="U1608" s="5"/>
      <c r="V1608" s="5"/>
      <c r="W1608" s="5"/>
    </row>
    <row r="1609">
      <c r="A1609" s="5"/>
      <c r="B1609" s="5"/>
      <c r="C1609" s="5"/>
      <c r="D1609" s="5"/>
      <c r="E1609" s="5"/>
      <c r="F1609" s="5"/>
      <c r="G1609" s="5"/>
      <c r="H1609" s="5"/>
      <c r="I1609" s="5"/>
      <c r="J1609" s="5"/>
      <c r="K1609" s="5"/>
      <c r="L1609" s="5"/>
      <c r="M1609" s="5"/>
      <c r="N1609" s="5"/>
      <c r="O1609" s="5"/>
      <c r="P1609" s="5"/>
      <c r="Q1609" s="5"/>
      <c r="R1609" s="5"/>
      <c r="S1609" s="5"/>
      <c r="T1609" s="5"/>
      <c r="U1609" s="5"/>
      <c r="V1609" s="5"/>
      <c r="W1609" s="5"/>
    </row>
    <row r="1610">
      <c r="A1610" s="5"/>
      <c r="B1610" s="5"/>
      <c r="C1610" s="5"/>
      <c r="D1610" s="5"/>
      <c r="E1610" s="5"/>
      <c r="F1610" s="5"/>
      <c r="G1610" s="5"/>
      <c r="H1610" s="5"/>
      <c r="I1610" s="5"/>
      <c r="J1610" s="5"/>
      <c r="K1610" s="5"/>
      <c r="L1610" s="5"/>
      <c r="M1610" s="5"/>
      <c r="N1610" s="5"/>
      <c r="O1610" s="5"/>
      <c r="P1610" s="5"/>
      <c r="Q1610" s="5"/>
      <c r="R1610" s="5"/>
      <c r="S1610" s="5"/>
      <c r="T1610" s="5"/>
      <c r="U1610" s="5"/>
      <c r="V1610" s="5"/>
      <c r="W1610" s="5"/>
    </row>
    <row r="1611">
      <c r="A1611" s="5"/>
      <c r="B1611" s="5"/>
      <c r="C1611" s="5"/>
      <c r="D1611" s="5"/>
      <c r="E1611" s="5"/>
      <c r="F1611" s="5"/>
      <c r="G1611" s="5"/>
      <c r="H1611" s="5"/>
      <c r="I1611" s="5"/>
      <c r="J1611" s="5"/>
      <c r="K1611" s="5"/>
      <c r="L1611" s="5"/>
      <c r="M1611" s="5"/>
      <c r="N1611" s="5"/>
      <c r="O1611" s="5"/>
      <c r="P1611" s="5"/>
      <c r="Q1611" s="5"/>
      <c r="R1611" s="5"/>
      <c r="S1611" s="5"/>
      <c r="T1611" s="5"/>
      <c r="U1611" s="5"/>
      <c r="V1611" s="5"/>
      <c r="W1611" s="5"/>
    </row>
    <row r="1612">
      <c r="A1612" s="5"/>
      <c r="B1612" s="5"/>
      <c r="C1612" s="5"/>
      <c r="D1612" s="5"/>
      <c r="E1612" s="5"/>
      <c r="F1612" s="5"/>
      <c r="G1612" s="5"/>
      <c r="H1612" s="5"/>
      <c r="I1612" s="5"/>
      <c r="J1612" s="5"/>
      <c r="K1612" s="5"/>
      <c r="L1612" s="5"/>
      <c r="M1612" s="5"/>
      <c r="N1612" s="5"/>
      <c r="O1612" s="5"/>
      <c r="P1612" s="5"/>
      <c r="Q1612" s="5"/>
      <c r="R1612" s="5"/>
      <c r="S1612" s="5"/>
      <c r="T1612" s="5"/>
      <c r="U1612" s="5"/>
      <c r="V1612" s="5"/>
      <c r="W1612" s="5"/>
    </row>
    <row r="1613">
      <c r="A1613" s="5"/>
      <c r="B1613" s="5"/>
      <c r="C1613" s="5"/>
      <c r="D1613" s="5"/>
      <c r="E1613" s="5"/>
      <c r="F1613" s="5"/>
      <c r="G1613" s="5"/>
      <c r="H1613" s="5"/>
      <c r="I1613" s="5"/>
      <c r="J1613" s="5"/>
      <c r="K1613" s="5"/>
      <c r="L1613" s="5"/>
      <c r="M1613" s="5"/>
      <c r="N1613" s="5"/>
      <c r="O1613" s="5"/>
      <c r="P1613" s="5"/>
      <c r="Q1613" s="5"/>
      <c r="R1613" s="5"/>
      <c r="S1613" s="5"/>
      <c r="T1613" s="5"/>
      <c r="U1613" s="5"/>
      <c r="V1613" s="5"/>
      <c r="W1613" s="5"/>
    </row>
    <row r="1614">
      <c r="A1614" s="5"/>
      <c r="B1614" s="5"/>
      <c r="C1614" s="5"/>
      <c r="D1614" s="5"/>
      <c r="E1614" s="5"/>
      <c r="F1614" s="5"/>
      <c r="G1614" s="5"/>
      <c r="H1614" s="5"/>
      <c r="I1614" s="5"/>
      <c r="J1614" s="5"/>
      <c r="K1614" s="5"/>
      <c r="L1614" s="5"/>
      <c r="M1614" s="5"/>
      <c r="N1614" s="5"/>
      <c r="O1614" s="5"/>
      <c r="P1614" s="5"/>
      <c r="Q1614" s="5"/>
      <c r="R1614" s="5"/>
      <c r="S1614" s="5"/>
      <c r="T1614" s="5"/>
      <c r="U1614" s="5"/>
      <c r="V1614" s="5"/>
      <c r="W1614" s="5"/>
    </row>
    <row r="1615">
      <c r="A1615" s="5"/>
      <c r="B1615" s="5"/>
      <c r="C1615" s="5"/>
      <c r="D1615" s="5"/>
      <c r="E1615" s="5"/>
      <c r="F1615" s="5"/>
      <c r="G1615" s="5"/>
      <c r="H1615" s="5"/>
      <c r="I1615" s="5"/>
      <c r="J1615" s="5"/>
      <c r="K1615" s="5"/>
      <c r="L1615" s="5"/>
      <c r="M1615" s="5"/>
      <c r="N1615" s="5"/>
      <c r="O1615" s="5"/>
      <c r="P1615" s="5"/>
      <c r="Q1615" s="5"/>
      <c r="R1615" s="5"/>
      <c r="S1615" s="5"/>
      <c r="T1615" s="5"/>
      <c r="U1615" s="5"/>
      <c r="V1615" s="5"/>
      <c r="W1615" s="5"/>
    </row>
    <row r="1616">
      <c r="A1616" s="5"/>
      <c r="B1616" s="5"/>
      <c r="C1616" s="5"/>
      <c r="D1616" s="5"/>
      <c r="E1616" s="5"/>
      <c r="F1616" s="5"/>
      <c r="G1616" s="5"/>
      <c r="H1616" s="5"/>
      <c r="I1616" s="5"/>
      <c r="J1616" s="5"/>
      <c r="K1616" s="5"/>
      <c r="L1616" s="5"/>
      <c r="M1616" s="5"/>
      <c r="N1616" s="5"/>
      <c r="O1616" s="5"/>
      <c r="P1616" s="5"/>
      <c r="Q1616" s="5"/>
      <c r="R1616" s="5"/>
      <c r="S1616" s="5"/>
      <c r="T1616" s="5"/>
      <c r="U1616" s="5"/>
      <c r="V1616" s="5"/>
      <c r="W1616" s="5"/>
    </row>
    <row r="1617">
      <c r="A1617" s="5"/>
      <c r="B1617" s="5"/>
      <c r="C1617" s="5"/>
      <c r="D1617" s="5"/>
      <c r="E1617" s="5"/>
      <c r="F1617" s="5"/>
      <c r="G1617" s="5"/>
      <c r="H1617" s="5"/>
      <c r="I1617" s="5"/>
      <c r="J1617" s="5"/>
      <c r="K1617" s="5"/>
      <c r="L1617" s="5"/>
      <c r="M1617" s="5"/>
      <c r="N1617" s="5"/>
      <c r="O1617" s="5"/>
      <c r="P1617" s="5"/>
      <c r="Q1617" s="5"/>
      <c r="R1617" s="5"/>
      <c r="S1617" s="5"/>
      <c r="T1617" s="5"/>
      <c r="U1617" s="5"/>
      <c r="V1617" s="5"/>
      <c r="W1617" s="5"/>
    </row>
    <row r="1618">
      <c r="A1618" s="5"/>
      <c r="B1618" s="5"/>
      <c r="C1618" s="5"/>
      <c r="D1618" s="5"/>
      <c r="E1618" s="5"/>
      <c r="F1618" s="5"/>
      <c r="G1618" s="5"/>
      <c r="H1618" s="5"/>
      <c r="I1618" s="5"/>
      <c r="J1618" s="5"/>
      <c r="K1618" s="5"/>
      <c r="L1618" s="5"/>
      <c r="M1618" s="5"/>
      <c r="N1618" s="5"/>
      <c r="O1618" s="5"/>
      <c r="P1618" s="5"/>
      <c r="Q1618" s="5"/>
      <c r="R1618" s="5"/>
      <c r="S1618" s="5"/>
      <c r="T1618" s="5"/>
      <c r="U1618" s="5"/>
      <c r="V1618" s="5"/>
      <c r="W1618" s="5"/>
    </row>
    <row r="1619">
      <c r="A1619" s="5"/>
      <c r="B1619" s="5"/>
      <c r="C1619" s="5"/>
      <c r="D1619" s="5"/>
      <c r="E1619" s="5"/>
      <c r="F1619" s="5"/>
      <c r="G1619" s="5"/>
      <c r="H1619" s="5"/>
      <c r="I1619" s="5"/>
      <c r="J1619" s="5"/>
      <c r="K1619" s="5"/>
      <c r="L1619" s="5"/>
      <c r="M1619" s="5"/>
      <c r="N1619" s="5"/>
      <c r="O1619" s="5"/>
      <c r="P1619" s="5"/>
      <c r="Q1619" s="5"/>
      <c r="R1619" s="5"/>
      <c r="S1619" s="5"/>
      <c r="T1619" s="5"/>
      <c r="U1619" s="5"/>
      <c r="V1619" s="5"/>
      <c r="W1619" s="5"/>
    </row>
    <row r="1620">
      <c r="A1620" s="5"/>
      <c r="B1620" s="5"/>
      <c r="C1620" s="5"/>
      <c r="D1620" s="5"/>
      <c r="E1620" s="5"/>
      <c r="F1620" s="5"/>
      <c r="G1620" s="5"/>
      <c r="H1620" s="5"/>
      <c r="I1620" s="5"/>
      <c r="J1620" s="5"/>
      <c r="K1620" s="5"/>
      <c r="L1620" s="5"/>
      <c r="M1620" s="5"/>
      <c r="N1620" s="5"/>
      <c r="O1620" s="5"/>
      <c r="P1620" s="5"/>
      <c r="Q1620" s="5"/>
      <c r="R1620" s="5"/>
      <c r="S1620" s="5"/>
      <c r="T1620" s="5"/>
      <c r="U1620" s="5"/>
      <c r="V1620" s="5"/>
      <c r="W1620" s="5"/>
    </row>
    <row r="1621">
      <c r="A1621" s="5"/>
      <c r="B1621" s="5"/>
      <c r="C1621" s="5"/>
      <c r="D1621" s="5"/>
      <c r="E1621" s="5"/>
      <c r="F1621" s="5"/>
      <c r="G1621" s="5"/>
      <c r="H1621" s="5"/>
      <c r="I1621" s="5"/>
      <c r="J1621" s="5"/>
      <c r="K1621" s="5"/>
      <c r="L1621" s="5"/>
      <c r="M1621" s="5"/>
      <c r="N1621" s="5"/>
      <c r="O1621" s="5"/>
      <c r="P1621" s="5"/>
      <c r="Q1621" s="5"/>
      <c r="R1621" s="5"/>
      <c r="S1621" s="5"/>
      <c r="T1621" s="5"/>
      <c r="U1621" s="5"/>
      <c r="V1621" s="5"/>
      <c r="W1621" s="5"/>
    </row>
    <row r="1622">
      <c r="A1622" s="5"/>
      <c r="B1622" s="5"/>
      <c r="C1622" s="5"/>
      <c r="D1622" s="5"/>
      <c r="E1622" s="5"/>
      <c r="F1622" s="5"/>
      <c r="G1622" s="5"/>
      <c r="H1622" s="5"/>
      <c r="I1622" s="5"/>
      <c r="J1622" s="5"/>
      <c r="K1622" s="5"/>
      <c r="L1622" s="5"/>
      <c r="M1622" s="5"/>
      <c r="N1622" s="5"/>
      <c r="O1622" s="5"/>
      <c r="P1622" s="5"/>
      <c r="Q1622" s="5"/>
      <c r="R1622" s="5"/>
      <c r="S1622" s="5"/>
      <c r="T1622" s="5"/>
      <c r="U1622" s="5"/>
      <c r="V1622" s="5"/>
      <c r="W1622" s="5"/>
    </row>
    <row r="1623">
      <c r="A1623" s="5"/>
      <c r="B1623" s="5"/>
      <c r="C1623" s="5"/>
      <c r="D1623" s="5"/>
      <c r="E1623" s="5"/>
      <c r="F1623" s="5"/>
      <c r="G1623" s="5"/>
      <c r="H1623" s="5"/>
      <c r="I1623" s="5"/>
      <c r="J1623" s="5"/>
      <c r="K1623" s="5"/>
      <c r="L1623" s="5"/>
      <c r="M1623" s="5"/>
      <c r="N1623" s="5"/>
      <c r="O1623" s="5"/>
      <c r="P1623" s="5"/>
      <c r="Q1623" s="5"/>
      <c r="R1623" s="5"/>
      <c r="S1623" s="5"/>
      <c r="T1623" s="5"/>
      <c r="U1623" s="5"/>
      <c r="V1623" s="5"/>
      <c r="W1623" s="5"/>
    </row>
    <row r="1624">
      <c r="A1624" s="5"/>
      <c r="B1624" s="5"/>
      <c r="C1624" s="5"/>
      <c r="D1624" s="5"/>
      <c r="E1624" s="5"/>
      <c r="F1624" s="5"/>
      <c r="G1624" s="5"/>
      <c r="H1624" s="5"/>
      <c r="I1624" s="5"/>
      <c r="J1624" s="5"/>
      <c r="K1624" s="5"/>
      <c r="L1624" s="5"/>
      <c r="M1624" s="5"/>
      <c r="N1624" s="5"/>
      <c r="O1624" s="5"/>
      <c r="P1624" s="5"/>
      <c r="Q1624" s="5"/>
      <c r="R1624" s="5"/>
      <c r="S1624" s="5"/>
      <c r="T1624" s="5"/>
      <c r="U1624" s="5"/>
      <c r="V1624" s="5"/>
      <c r="W1624" s="5"/>
    </row>
    <row r="1625">
      <c r="A1625" s="5"/>
      <c r="B1625" s="5"/>
      <c r="C1625" s="5"/>
      <c r="D1625" s="5"/>
      <c r="E1625" s="5"/>
      <c r="F1625" s="5"/>
      <c r="G1625" s="5"/>
      <c r="H1625" s="5"/>
      <c r="I1625" s="5"/>
      <c r="J1625" s="5"/>
      <c r="K1625" s="5"/>
      <c r="L1625" s="5"/>
      <c r="M1625" s="5"/>
      <c r="N1625" s="5"/>
      <c r="O1625" s="5"/>
      <c r="P1625" s="5"/>
      <c r="Q1625" s="5"/>
      <c r="R1625" s="5"/>
      <c r="S1625" s="5"/>
      <c r="T1625" s="5"/>
      <c r="U1625" s="5"/>
      <c r="V1625" s="5"/>
      <c r="W1625" s="5"/>
    </row>
    <row r="1626">
      <c r="A1626" s="5"/>
      <c r="B1626" s="5"/>
      <c r="C1626" s="5"/>
      <c r="D1626" s="5"/>
      <c r="E1626" s="5"/>
      <c r="F1626" s="5"/>
      <c r="G1626" s="5"/>
      <c r="H1626" s="5"/>
      <c r="I1626" s="5"/>
      <c r="J1626" s="5"/>
      <c r="K1626" s="5"/>
      <c r="L1626" s="5"/>
      <c r="M1626" s="5"/>
      <c r="N1626" s="5"/>
      <c r="O1626" s="5"/>
      <c r="P1626" s="5"/>
      <c r="Q1626" s="5"/>
      <c r="R1626" s="5"/>
      <c r="S1626" s="5"/>
      <c r="T1626" s="5"/>
      <c r="U1626" s="5"/>
      <c r="V1626" s="5"/>
      <c r="W1626" s="5"/>
    </row>
    <row r="1627">
      <c r="A1627" s="5"/>
      <c r="B1627" s="5"/>
      <c r="C1627" s="5"/>
      <c r="D1627" s="5"/>
      <c r="E1627" s="5"/>
      <c r="F1627" s="5"/>
      <c r="G1627" s="5"/>
      <c r="H1627" s="5"/>
      <c r="I1627" s="5"/>
      <c r="J1627" s="5"/>
      <c r="K1627" s="5"/>
      <c r="L1627" s="5"/>
      <c r="M1627" s="5"/>
      <c r="N1627" s="5"/>
      <c r="O1627" s="5"/>
      <c r="P1627" s="5"/>
      <c r="Q1627" s="5"/>
      <c r="R1627" s="5"/>
      <c r="S1627" s="5"/>
      <c r="T1627" s="5"/>
      <c r="U1627" s="5"/>
      <c r="V1627" s="5"/>
      <c r="W1627" s="5"/>
    </row>
    <row r="1628">
      <c r="A1628" s="5"/>
      <c r="B1628" s="5"/>
      <c r="C1628" s="5"/>
      <c r="D1628" s="5"/>
      <c r="E1628" s="5"/>
      <c r="F1628" s="5"/>
      <c r="G1628" s="5"/>
      <c r="H1628" s="5"/>
      <c r="I1628" s="5"/>
      <c r="J1628" s="5"/>
      <c r="K1628" s="5"/>
      <c r="L1628" s="5"/>
      <c r="M1628" s="5"/>
      <c r="N1628" s="5"/>
      <c r="O1628" s="5"/>
      <c r="P1628" s="5"/>
      <c r="Q1628" s="5"/>
      <c r="R1628" s="5"/>
      <c r="S1628" s="5"/>
      <c r="T1628" s="5"/>
      <c r="U1628" s="5"/>
      <c r="V1628" s="5"/>
      <c r="W1628" s="5"/>
    </row>
    <row r="1629">
      <c r="A1629" s="5"/>
      <c r="B1629" s="5"/>
      <c r="C1629" s="5"/>
      <c r="D1629" s="5"/>
      <c r="E1629" s="5"/>
      <c r="F1629" s="5"/>
      <c r="G1629" s="5"/>
      <c r="H1629" s="5"/>
      <c r="I1629" s="5"/>
      <c r="J1629" s="5"/>
      <c r="K1629" s="5"/>
      <c r="L1629" s="5"/>
      <c r="M1629" s="5"/>
      <c r="N1629" s="5"/>
      <c r="O1629" s="5"/>
      <c r="P1629" s="5"/>
      <c r="Q1629" s="5"/>
      <c r="R1629" s="5"/>
      <c r="S1629" s="5"/>
      <c r="T1629" s="5"/>
      <c r="U1629" s="5"/>
      <c r="V1629" s="5"/>
      <c r="W1629" s="5"/>
    </row>
    <row r="1630">
      <c r="A1630" s="5"/>
      <c r="B1630" s="5"/>
      <c r="C1630" s="5"/>
      <c r="D1630" s="5"/>
      <c r="E1630" s="5"/>
      <c r="F1630" s="5"/>
      <c r="G1630" s="5"/>
      <c r="H1630" s="5"/>
      <c r="I1630" s="5"/>
      <c r="J1630" s="5"/>
      <c r="K1630" s="5"/>
      <c r="L1630" s="5"/>
      <c r="M1630" s="5"/>
      <c r="N1630" s="5"/>
      <c r="O1630" s="5"/>
      <c r="P1630" s="5"/>
      <c r="Q1630" s="5"/>
      <c r="R1630" s="5"/>
      <c r="S1630" s="5"/>
      <c r="T1630" s="5"/>
      <c r="U1630" s="5"/>
      <c r="V1630" s="5"/>
      <c r="W1630" s="5"/>
    </row>
    <row r="1631">
      <c r="A1631" s="5"/>
      <c r="B1631" s="5"/>
      <c r="C1631" s="5"/>
      <c r="D1631" s="5"/>
      <c r="E1631" s="5"/>
      <c r="F1631" s="5"/>
      <c r="G1631" s="5"/>
      <c r="H1631" s="5"/>
      <c r="I1631" s="5"/>
      <c r="J1631" s="5"/>
      <c r="K1631" s="5"/>
      <c r="L1631" s="5"/>
      <c r="M1631" s="5"/>
      <c r="N1631" s="5"/>
      <c r="O1631" s="5"/>
      <c r="P1631" s="5"/>
      <c r="Q1631" s="5"/>
      <c r="R1631" s="5"/>
      <c r="S1631" s="5"/>
      <c r="T1631" s="5"/>
      <c r="U1631" s="5"/>
      <c r="V1631" s="5"/>
      <c r="W1631" s="5"/>
    </row>
    <row r="1632">
      <c r="A1632" s="5"/>
      <c r="B1632" s="5"/>
      <c r="C1632" s="5"/>
      <c r="D1632" s="5"/>
      <c r="E1632" s="5"/>
      <c r="F1632" s="5"/>
      <c r="G1632" s="5"/>
      <c r="H1632" s="5"/>
      <c r="I1632" s="5"/>
      <c r="J1632" s="5"/>
      <c r="K1632" s="5"/>
      <c r="L1632" s="5"/>
      <c r="M1632" s="5"/>
      <c r="N1632" s="5"/>
      <c r="O1632" s="5"/>
      <c r="P1632" s="5"/>
      <c r="Q1632" s="5"/>
      <c r="R1632" s="5"/>
      <c r="S1632" s="5"/>
      <c r="T1632" s="5"/>
      <c r="U1632" s="5"/>
      <c r="V1632" s="5"/>
      <c r="W1632" s="5"/>
    </row>
    <row r="1633">
      <c r="A1633" s="5"/>
      <c r="B1633" s="5"/>
      <c r="C1633" s="5"/>
      <c r="D1633" s="5"/>
      <c r="E1633" s="5"/>
      <c r="F1633" s="5"/>
      <c r="G1633" s="5"/>
      <c r="H1633" s="5"/>
      <c r="I1633" s="5"/>
      <c r="J1633" s="5"/>
      <c r="K1633" s="5"/>
      <c r="L1633" s="5"/>
      <c r="M1633" s="5"/>
      <c r="N1633" s="5"/>
      <c r="O1633" s="5"/>
      <c r="P1633" s="5"/>
      <c r="Q1633" s="5"/>
      <c r="R1633" s="5"/>
      <c r="S1633" s="5"/>
      <c r="T1633" s="5"/>
      <c r="U1633" s="5"/>
      <c r="V1633" s="5"/>
      <c r="W1633" s="5"/>
    </row>
    <row r="1634">
      <c r="A1634" s="5"/>
      <c r="B1634" s="5"/>
      <c r="C1634" s="5"/>
      <c r="D1634" s="5"/>
      <c r="E1634" s="5"/>
      <c r="F1634" s="5"/>
      <c r="G1634" s="5"/>
      <c r="H1634" s="5"/>
      <c r="I1634" s="5"/>
      <c r="J1634" s="5"/>
      <c r="K1634" s="5"/>
      <c r="L1634" s="5"/>
      <c r="M1634" s="5"/>
      <c r="N1634" s="5"/>
      <c r="O1634" s="5"/>
      <c r="P1634" s="5"/>
      <c r="Q1634" s="5"/>
      <c r="R1634" s="5"/>
      <c r="S1634" s="5"/>
      <c r="T1634" s="5"/>
      <c r="U1634" s="5"/>
      <c r="V1634" s="5"/>
      <c r="W1634" s="5"/>
    </row>
    <row r="1635">
      <c r="A1635" s="5"/>
      <c r="B1635" s="5"/>
      <c r="C1635" s="5"/>
      <c r="D1635" s="5"/>
      <c r="E1635" s="5"/>
      <c r="F1635" s="5"/>
      <c r="G1635" s="5"/>
      <c r="H1635" s="5"/>
      <c r="I1635" s="5"/>
      <c r="J1635" s="5"/>
      <c r="K1635" s="5"/>
      <c r="L1635" s="5"/>
      <c r="M1635" s="5"/>
      <c r="N1635" s="5"/>
      <c r="O1635" s="5"/>
      <c r="P1635" s="5"/>
      <c r="Q1635" s="5"/>
      <c r="R1635" s="5"/>
      <c r="S1635" s="5"/>
      <c r="T1635" s="5"/>
      <c r="U1635" s="5"/>
      <c r="V1635" s="5"/>
      <c r="W1635" s="5"/>
    </row>
    <row r="1636">
      <c r="A1636" s="5"/>
      <c r="B1636" s="5"/>
      <c r="C1636" s="5"/>
      <c r="D1636" s="5"/>
      <c r="E1636" s="5"/>
      <c r="F1636" s="5"/>
      <c r="G1636" s="5"/>
      <c r="H1636" s="5"/>
      <c r="I1636" s="5"/>
      <c r="J1636" s="5"/>
      <c r="K1636" s="5"/>
      <c r="L1636" s="5"/>
      <c r="M1636" s="5"/>
      <c r="N1636" s="5"/>
      <c r="O1636" s="5"/>
      <c r="P1636" s="5"/>
      <c r="Q1636" s="5"/>
      <c r="R1636" s="5"/>
      <c r="S1636" s="5"/>
      <c r="T1636" s="5"/>
      <c r="U1636" s="5"/>
      <c r="V1636" s="5"/>
      <c r="W1636" s="5"/>
    </row>
    <row r="1637">
      <c r="A1637" s="5"/>
      <c r="B1637" s="5"/>
      <c r="C1637" s="5"/>
      <c r="D1637" s="5"/>
      <c r="E1637" s="5"/>
      <c r="F1637" s="5"/>
      <c r="G1637" s="5"/>
      <c r="H1637" s="5"/>
      <c r="I1637" s="5"/>
      <c r="J1637" s="5"/>
      <c r="K1637" s="5"/>
      <c r="L1637" s="5"/>
      <c r="M1637" s="5"/>
      <c r="N1637" s="5"/>
      <c r="O1637" s="5"/>
      <c r="P1637" s="5"/>
      <c r="Q1637" s="5"/>
      <c r="R1637" s="5"/>
      <c r="S1637" s="5"/>
      <c r="T1637" s="5"/>
      <c r="U1637" s="5"/>
      <c r="V1637" s="5"/>
      <c r="W1637" s="5"/>
    </row>
    <row r="1638">
      <c r="A1638" s="5"/>
      <c r="B1638" s="5"/>
      <c r="C1638" s="5"/>
      <c r="D1638" s="5"/>
      <c r="E1638" s="5"/>
      <c r="F1638" s="5"/>
      <c r="G1638" s="5"/>
      <c r="H1638" s="5"/>
      <c r="I1638" s="5"/>
      <c r="J1638" s="5"/>
      <c r="K1638" s="5"/>
      <c r="L1638" s="5"/>
      <c r="M1638" s="5"/>
      <c r="N1638" s="5"/>
      <c r="O1638" s="5"/>
      <c r="P1638" s="5"/>
      <c r="Q1638" s="5"/>
      <c r="R1638" s="5"/>
      <c r="S1638" s="5"/>
      <c r="T1638" s="5"/>
      <c r="U1638" s="5"/>
      <c r="V1638" s="5"/>
      <c r="W1638" s="5"/>
    </row>
    <row r="1639">
      <c r="A1639" s="5"/>
      <c r="B1639" s="5"/>
      <c r="C1639" s="5"/>
      <c r="D1639" s="5"/>
      <c r="E1639" s="5"/>
      <c r="F1639" s="5"/>
      <c r="G1639" s="5"/>
      <c r="H1639" s="5"/>
      <c r="I1639" s="5"/>
      <c r="J1639" s="5"/>
      <c r="K1639" s="5"/>
      <c r="L1639" s="5"/>
      <c r="M1639" s="5"/>
      <c r="N1639" s="5"/>
      <c r="O1639" s="5"/>
      <c r="P1639" s="5"/>
      <c r="Q1639" s="5"/>
      <c r="R1639" s="5"/>
      <c r="S1639" s="5"/>
      <c r="T1639" s="5"/>
      <c r="U1639" s="5"/>
      <c r="V1639" s="5"/>
      <c r="W1639" s="5"/>
    </row>
    <row r="1640">
      <c r="A1640" s="5"/>
      <c r="B1640" s="5"/>
      <c r="C1640" s="5"/>
      <c r="D1640" s="5"/>
      <c r="E1640" s="5"/>
      <c r="F1640" s="5"/>
      <c r="G1640" s="5"/>
      <c r="H1640" s="5"/>
      <c r="I1640" s="5"/>
      <c r="J1640" s="5"/>
      <c r="K1640" s="5"/>
      <c r="L1640" s="5"/>
      <c r="M1640" s="5"/>
      <c r="N1640" s="5"/>
      <c r="O1640" s="5"/>
      <c r="P1640" s="5"/>
      <c r="Q1640" s="5"/>
      <c r="R1640" s="5"/>
      <c r="S1640" s="5"/>
      <c r="T1640" s="5"/>
      <c r="U1640" s="5"/>
      <c r="V1640" s="5"/>
      <c r="W1640" s="5"/>
    </row>
    <row r="1641">
      <c r="A1641" s="5"/>
      <c r="B1641" s="5"/>
      <c r="C1641" s="5"/>
      <c r="D1641" s="5"/>
      <c r="E1641" s="5"/>
      <c r="F1641" s="5"/>
      <c r="G1641" s="5"/>
      <c r="H1641" s="5"/>
      <c r="I1641" s="5"/>
      <c r="J1641" s="5"/>
      <c r="K1641" s="5"/>
      <c r="L1641" s="5"/>
      <c r="M1641" s="5"/>
      <c r="N1641" s="5"/>
      <c r="O1641" s="5"/>
      <c r="P1641" s="5"/>
      <c r="Q1641" s="5"/>
      <c r="R1641" s="5"/>
      <c r="S1641" s="5"/>
      <c r="T1641" s="5"/>
      <c r="U1641" s="5"/>
      <c r="V1641" s="5"/>
      <c r="W1641" s="5"/>
    </row>
    <row r="1642">
      <c r="A1642" s="5"/>
      <c r="B1642" s="5"/>
      <c r="C1642" s="5"/>
      <c r="D1642" s="5"/>
      <c r="E1642" s="5"/>
      <c r="F1642" s="5"/>
      <c r="G1642" s="5"/>
      <c r="H1642" s="5"/>
      <c r="I1642" s="5"/>
      <c r="J1642" s="5"/>
      <c r="K1642" s="5"/>
      <c r="L1642" s="5"/>
      <c r="M1642" s="5"/>
      <c r="N1642" s="5"/>
      <c r="O1642" s="5"/>
      <c r="P1642" s="5"/>
      <c r="Q1642" s="5"/>
      <c r="R1642" s="5"/>
      <c r="S1642" s="5"/>
      <c r="T1642" s="5"/>
      <c r="U1642" s="5"/>
      <c r="V1642" s="5"/>
      <c r="W1642" s="5"/>
    </row>
    <row r="1643">
      <c r="A1643" s="5"/>
      <c r="B1643" s="5"/>
      <c r="C1643" s="5"/>
      <c r="D1643" s="5"/>
      <c r="E1643" s="5"/>
      <c r="F1643" s="5"/>
      <c r="G1643" s="5"/>
      <c r="H1643" s="5"/>
      <c r="I1643" s="5"/>
      <c r="J1643" s="5"/>
      <c r="K1643" s="5"/>
      <c r="L1643" s="5"/>
      <c r="M1643" s="5"/>
      <c r="N1643" s="5"/>
      <c r="O1643" s="5"/>
      <c r="P1643" s="5"/>
      <c r="Q1643" s="5"/>
      <c r="R1643" s="5"/>
      <c r="S1643" s="5"/>
      <c r="T1643" s="5"/>
      <c r="U1643" s="5"/>
      <c r="V1643" s="5"/>
      <c r="W1643" s="5"/>
    </row>
    <row r="1644">
      <c r="A1644" s="5"/>
      <c r="B1644" s="5"/>
      <c r="C1644" s="5"/>
      <c r="D1644" s="5"/>
      <c r="E1644" s="5"/>
      <c r="F1644" s="5"/>
      <c r="G1644" s="5"/>
      <c r="H1644" s="5"/>
      <c r="I1644" s="5"/>
      <c r="J1644" s="5"/>
      <c r="K1644" s="5"/>
      <c r="L1644" s="5"/>
      <c r="M1644" s="5"/>
      <c r="N1644" s="5"/>
      <c r="O1644" s="5"/>
      <c r="P1644" s="5"/>
      <c r="Q1644" s="5"/>
      <c r="R1644" s="5"/>
      <c r="S1644" s="5"/>
      <c r="T1644" s="5"/>
      <c r="U1644" s="5"/>
      <c r="V1644" s="5"/>
      <c r="W1644" s="5"/>
    </row>
    <row r="1645">
      <c r="A1645" s="5"/>
      <c r="B1645" s="5"/>
      <c r="C1645" s="5"/>
      <c r="D1645" s="5"/>
      <c r="E1645" s="5"/>
      <c r="F1645" s="5"/>
      <c r="G1645" s="5"/>
      <c r="H1645" s="5"/>
      <c r="I1645" s="5"/>
      <c r="J1645" s="5"/>
      <c r="K1645" s="5"/>
      <c r="L1645" s="5"/>
      <c r="M1645" s="5"/>
      <c r="N1645" s="5"/>
      <c r="O1645" s="5"/>
      <c r="P1645" s="5"/>
      <c r="Q1645" s="5"/>
      <c r="R1645" s="5"/>
      <c r="S1645" s="5"/>
      <c r="T1645" s="5"/>
      <c r="U1645" s="5"/>
      <c r="V1645" s="5"/>
      <c r="W1645" s="5"/>
    </row>
    <row r="1646">
      <c r="A1646" s="5"/>
      <c r="B1646" s="5"/>
      <c r="C1646" s="5"/>
      <c r="D1646" s="5"/>
      <c r="E1646" s="5"/>
      <c r="F1646" s="5"/>
      <c r="G1646" s="5"/>
      <c r="H1646" s="5"/>
      <c r="I1646" s="5"/>
      <c r="J1646" s="5"/>
      <c r="K1646" s="5"/>
      <c r="L1646" s="5"/>
      <c r="M1646" s="5"/>
      <c r="N1646" s="5"/>
      <c r="O1646" s="5"/>
      <c r="P1646" s="5"/>
      <c r="Q1646" s="5"/>
      <c r="R1646" s="5"/>
      <c r="S1646" s="5"/>
      <c r="T1646" s="5"/>
      <c r="U1646" s="5"/>
      <c r="V1646" s="5"/>
      <c r="W1646" s="5"/>
    </row>
    <row r="1647">
      <c r="A1647" s="5"/>
      <c r="B1647" s="5"/>
      <c r="C1647" s="5"/>
      <c r="D1647" s="5"/>
      <c r="E1647" s="5"/>
      <c r="F1647" s="5"/>
      <c r="G1647" s="5"/>
      <c r="H1647" s="5"/>
      <c r="I1647" s="5"/>
      <c r="J1647" s="5"/>
      <c r="K1647" s="5"/>
      <c r="L1647" s="5"/>
      <c r="M1647" s="5"/>
      <c r="N1647" s="5"/>
      <c r="O1647" s="5"/>
      <c r="P1647" s="5"/>
      <c r="Q1647" s="5"/>
      <c r="R1647" s="5"/>
      <c r="S1647" s="5"/>
      <c r="T1647" s="5"/>
      <c r="U1647" s="5"/>
      <c r="V1647" s="5"/>
      <c r="W1647" s="5"/>
    </row>
    <row r="1648">
      <c r="A1648" s="5"/>
      <c r="B1648" s="5"/>
      <c r="C1648" s="5"/>
      <c r="D1648" s="5"/>
      <c r="E1648" s="5"/>
      <c r="F1648" s="5"/>
      <c r="G1648" s="5"/>
      <c r="H1648" s="5"/>
      <c r="I1648" s="5"/>
      <c r="J1648" s="5"/>
      <c r="K1648" s="5"/>
      <c r="L1648" s="5"/>
      <c r="M1648" s="5"/>
      <c r="N1648" s="5"/>
      <c r="O1648" s="5"/>
      <c r="P1648" s="5"/>
      <c r="Q1648" s="5"/>
      <c r="R1648" s="5"/>
      <c r="S1648" s="5"/>
      <c r="T1648" s="5"/>
      <c r="U1648" s="5"/>
      <c r="V1648" s="5"/>
      <c r="W1648" s="5"/>
    </row>
    <row r="1649">
      <c r="A1649" s="5"/>
      <c r="B1649" s="5"/>
      <c r="C1649" s="5"/>
      <c r="D1649" s="5"/>
      <c r="E1649" s="5"/>
      <c r="F1649" s="5"/>
      <c r="G1649" s="5"/>
      <c r="H1649" s="5"/>
      <c r="I1649" s="5"/>
      <c r="J1649" s="5"/>
      <c r="K1649" s="5"/>
      <c r="L1649" s="5"/>
      <c r="M1649" s="5"/>
      <c r="N1649" s="5"/>
      <c r="O1649" s="5"/>
      <c r="P1649" s="5"/>
      <c r="Q1649" s="5"/>
      <c r="R1649" s="5"/>
      <c r="S1649" s="5"/>
      <c r="T1649" s="5"/>
      <c r="U1649" s="5"/>
      <c r="V1649" s="5"/>
      <c r="W1649" s="5"/>
    </row>
    <row r="1650">
      <c r="A1650" s="5"/>
      <c r="B1650" s="5"/>
      <c r="C1650" s="5"/>
      <c r="D1650" s="5"/>
      <c r="E1650" s="5"/>
      <c r="F1650" s="5"/>
      <c r="G1650" s="5"/>
      <c r="H1650" s="5"/>
      <c r="I1650" s="5"/>
      <c r="J1650" s="5"/>
      <c r="K1650" s="5"/>
      <c r="L1650" s="5"/>
      <c r="M1650" s="5"/>
      <c r="N1650" s="5"/>
      <c r="O1650" s="5"/>
      <c r="P1650" s="5"/>
      <c r="Q1650" s="5"/>
      <c r="R1650" s="5"/>
      <c r="S1650" s="5"/>
      <c r="T1650" s="5"/>
      <c r="U1650" s="5"/>
      <c r="V1650" s="5"/>
      <c r="W1650" s="5"/>
    </row>
    <row r="1651">
      <c r="A1651" s="5"/>
      <c r="B1651" s="5"/>
      <c r="C1651" s="5"/>
      <c r="D1651" s="5"/>
      <c r="E1651" s="5"/>
      <c r="F1651" s="5"/>
      <c r="G1651" s="5"/>
      <c r="H1651" s="5"/>
      <c r="I1651" s="5"/>
      <c r="J1651" s="5"/>
      <c r="K1651" s="5"/>
      <c r="L1651" s="5"/>
      <c r="M1651" s="5"/>
      <c r="N1651" s="5"/>
      <c r="O1651" s="5"/>
      <c r="P1651" s="5"/>
      <c r="Q1651" s="5"/>
      <c r="R1651" s="5"/>
      <c r="S1651" s="5"/>
      <c r="T1651" s="5"/>
      <c r="U1651" s="5"/>
      <c r="V1651" s="5"/>
      <c r="W1651" s="5"/>
    </row>
    <row r="1652">
      <c r="A1652" s="5"/>
      <c r="B1652" s="5"/>
      <c r="C1652" s="5"/>
      <c r="D1652" s="5"/>
      <c r="E1652" s="5"/>
      <c r="F1652" s="5"/>
      <c r="G1652" s="5"/>
      <c r="H1652" s="5"/>
      <c r="I1652" s="5"/>
      <c r="J1652" s="5"/>
      <c r="K1652" s="5"/>
      <c r="L1652" s="5"/>
      <c r="M1652" s="5"/>
      <c r="N1652" s="5"/>
      <c r="O1652" s="5"/>
      <c r="P1652" s="5"/>
      <c r="Q1652" s="5"/>
      <c r="R1652" s="5"/>
      <c r="S1652" s="5"/>
      <c r="T1652" s="5"/>
      <c r="U1652" s="5"/>
      <c r="V1652" s="5"/>
      <c r="W1652" s="5"/>
    </row>
    <row r="1653">
      <c r="A1653" s="5"/>
      <c r="B1653" s="5"/>
      <c r="C1653" s="5"/>
      <c r="D1653" s="5"/>
      <c r="E1653" s="5"/>
      <c r="F1653" s="5"/>
      <c r="G1653" s="5"/>
      <c r="H1653" s="5"/>
      <c r="I1653" s="5"/>
      <c r="J1653" s="5"/>
      <c r="K1653" s="5"/>
      <c r="L1653" s="5"/>
      <c r="M1653" s="5"/>
      <c r="N1653" s="5"/>
      <c r="O1653" s="5"/>
      <c r="P1653" s="5"/>
      <c r="Q1653" s="5"/>
      <c r="R1653" s="5"/>
      <c r="S1653" s="5"/>
      <c r="T1653" s="5"/>
      <c r="U1653" s="5"/>
      <c r="V1653" s="5"/>
      <c r="W1653" s="5"/>
    </row>
    <row r="1654">
      <c r="A1654" s="5"/>
      <c r="B1654" s="5"/>
      <c r="C1654" s="5"/>
      <c r="D1654" s="5"/>
      <c r="E1654" s="5"/>
      <c r="F1654" s="5"/>
      <c r="G1654" s="5"/>
      <c r="H1654" s="5"/>
      <c r="I1654" s="5"/>
      <c r="J1654" s="5"/>
      <c r="K1654" s="5"/>
      <c r="L1654" s="5"/>
      <c r="M1654" s="5"/>
      <c r="N1654" s="5"/>
      <c r="O1654" s="5"/>
      <c r="P1654" s="5"/>
      <c r="Q1654" s="5"/>
      <c r="R1654" s="5"/>
      <c r="S1654" s="5"/>
      <c r="T1654" s="5"/>
      <c r="U1654" s="5"/>
      <c r="V1654" s="5"/>
      <c r="W1654" s="5"/>
    </row>
    <row r="1655">
      <c r="A1655" s="5"/>
      <c r="B1655" s="5"/>
      <c r="C1655" s="5"/>
      <c r="D1655" s="5"/>
      <c r="E1655" s="5"/>
      <c r="F1655" s="5"/>
      <c r="G1655" s="5"/>
      <c r="H1655" s="5"/>
      <c r="I1655" s="5"/>
      <c r="J1655" s="5"/>
      <c r="K1655" s="5"/>
      <c r="L1655" s="5"/>
      <c r="M1655" s="5"/>
      <c r="N1655" s="5"/>
      <c r="O1655" s="5"/>
      <c r="P1655" s="5"/>
      <c r="Q1655" s="5"/>
      <c r="R1655" s="5"/>
      <c r="S1655" s="5"/>
      <c r="T1655" s="5"/>
      <c r="U1655" s="5"/>
      <c r="V1655" s="5"/>
      <c r="W1655" s="5"/>
    </row>
    <row r="1656">
      <c r="A1656" s="5"/>
      <c r="B1656" s="5"/>
      <c r="C1656" s="5"/>
      <c r="D1656" s="5"/>
      <c r="E1656" s="5"/>
      <c r="F1656" s="5"/>
      <c r="G1656" s="5"/>
      <c r="H1656" s="5"/>
      <c r="I1656" s="5"/>
      <c r="J1656" s="5"/>
      <c r="K1656" s="5"/>
      <c r="L1656" s="5"/>
      <c r="M1656" s="5"/>
      <c r="N1656" s="5"/>
      <c r="O1656" s="5"/>
      <c r="P1656" s="5"/>
      <c r="Q1656" s="5"/>
      <c r="R1656" s="5"/>
      <c r="S1656" s="5"/>
      <c r="T1656" s="5"/>
      <c r="U1656" s="5"/>
      <c r="V1656" s="5"/>
      <c r="W1656" s="5"/>
    </row>
    <row r="1657">
      <c r="A1657" s="5"/>
      <c r="B1657" s="5"/>
      <c r="C1657" s="5"/>
      <c r="D1657" s="5"/>
      <c r="E1657" s="5"/>
      <c r="F1657" s="5"/>
      <c r="G1657" s="5"/>
      <c r="H1657" s="5"/>
      <c r="I1657" s="5"/>
      <c r="J1657" s="5"/>
      <c r="K1657" s="5"/>
      <c r="L1657" s="5"/>
      <c r="M1657" s="5"/>
      <c r="N1657" s="5"/>
      <c r="O1657" s="5"/>
      <c r="P1657" s="5"/>
      <c r="Q1657" s="5"/>
      <c r="R1657" s="5"/>
      <c r="S1657" s="5"/>
      <c r="T1657" s="5"/>
      <c r="U1657" s="5"/>
      <c r="V1657" s="5"/>
      <c r="W1657" s="5"/>
    </row>
    <row r="1658">
      <c r="A1658" s="5"/>
      <c r="B1658" s="5"/>
      <c r="C1658" s="5"/>
      <c r="D1658" s="5"/>
      <c r="E1658" s="5"/>
      <c r="F1658" s="5"/>
      <c r="G1658" s="5"/>
      <c r="H1658" s="5"/>
      <c r="I1658" s="5"/>
      <c r="J1658" s="5"/>
      <c r="K1658" s="5"/>
      <c r="L1658" s="5"/>
      <c r="M1658" s="5"/>
      <c r="N1658" s="5"/>
      <c r="O1658" s="5"/>
      <c r="P1658" s="5"/>
      <c r="Q1658" s="5"/>
      <c r="R1658" s="5"/>
      <c r="S1658" s="5"/>
      <c r="T1658" s="5"/>
      <c r="U1658" s="5"/>
      <c r="V1658" s="5"/>
      <c r="W1658" s="5"/>
    </row>
    <row r="1659">
      <c r="A1659" s="5"/>
      <c r="B1659" s="5"/>
      <c r="C1659" s="5"/>
      <c r="D1659" s="5"/>
      <c r="E1659" s="5"/>
      <c r="F1659" s="5"/>
      <c r="G1659" s="5"/>
      <c r="H1659" s="5"/>
      <c r="I1659" s="5"/>
      <c r="J1659" s="5"/>
      <c r="K1659" s="5"/>
      <c r="L1659" s="5"/>
      <c r="M1659" s="5"/>
      <c r="N1659" s="5"/>
      <c r="O1659" s="5"/>
      <c r="P1659" s="5"/>
      <c r="Q1659" s="5"/>
      <c r="R1659" s="5"/>
      <c r="S1659" s="5"/>
      <c r="T1659" s="5"/>
      <c r="U1659" s="5"/>
      <c r="V1659" s="5"/>
      <c r="W1659" s="5"/>
    </row>
    <row r="1660">
      <c r="A1660" s="5"/>
      <c r="B1660" s="5"/>
      <c r="C1660" s="5"/>
      <c r="D1660" s="5"/>
      <c r="E1660" s="5"/>
      <c r="F1660" s="5"/>
      <c r="G1660" s="5"/>
      <c r="H1660" s="5"/>
      <c r="I1660" s="5"/>
      <c r="J1660" s="5"/>
      <c r="K1660" s="5"/>
      <c r="L1660" s="5"/>
      <c r="M1660" s="5"/>
      <c r="N1660" s="5"/>
      <c r="O1660" s="5"/>
      <c r="P1660" s="5"/>
      <c r="Q1660" s="5"/>
      <c r="R1660" s="5"/>
      <c r="S1660" s="5"/>
      <c r="T1660" s="5"/>
      <c r="U1660" s="5"/>
      <c r="V1660" s="5"/>
      <c r="W1660" s="5"/>
    </row>
    <row r="1661">
      <c r="A1661" s="5"/>
      <c r="B1661" s="5"/>
      <c r="C1661" s="5"/>
      <c r="D1661" s="5"/>
      <c r="E1661" s="5"/>
      <c r="F1661" s="5"/>
      <c r="G1661" s="5"/>
      <c r="H1661" s="5"/>
      <c r="I1661" s="5"/>
      <c r="J1661" s="5"/>
      <c r="K1661" s="5"/>
      <c r="L1661" s="5"/>
      <c r="M1661" s="5"/>
      <c r="N1661" s="5"/>
      <c r="O1661" s="5"/>
      <c r="P1661" s="5"/>
      <c r="Q1661" s="5"/>
      <c r="R1661" s="5"/>
      <c r="S1661" s="5"/>
      <c r="T1661" s="5"/>
      <c r="U1661" s="5"/>
      <c r="V1661" s="5"/>
      <c r="W1661" s="5"/>
    </row>
    <row r="1662">
      <c r="A1662" s="5"/>
      <c r="B1662" s="5"/>
      <c r="C1662" s="5"/>
      <c r="D1662" s="5"/>
      <c r="E1662" s="5"/>
      <c r="F1662" s="5"/>
      <c r="G1662" s="5"/>
      <c r="H1662" s="5"/>
      <c r="I1662" s="5"/>
      <c r="J1662" s="5"/>
      <c r="K1662" s="5"/>
      <c r="L1662" s="5"/>
      <c r="M1662" s="5"/>
      <c r="N1662" s="5"/>
      <c r="O1662" s="5"/>
      <c r="P1662" s="5"/>
      <c r="Q1662" s="5"/>
      <c r="R1662" s="5"/>
      <c r="S1662" s="5"/>
      <c r="T1662" s="5"/>
      <c r="U1662" s="5"/>
      <c r="V1662" s="5"/>
      <c r="W1662" s="5"/>
    </row>
    <row r="1663">
      <c r="A1663" s="5"/>
      <c r="B1663" s="5"/>
      <c r="C1663" s="5"/>
      <c r="D1663" s="5"/>
      <c r="E1663" s="5"/>
      <c r="F1663" s="5"/>
      <c r="G1663" s="5"/>
      <c r="H1663" s="5"/>
      <c r="I1663" s="5"/>
      <c r="J1663" s="5"/>
      <c r="K1663" s="5"/>
      <c r="L1663" s="5"/>
      <c r="M1663" s="5"/>
      <c r="N1663" s="5"/>
      <c r="O1663" s="5"/>
      <c r="P1663" s="5"/>
      <c r="Q1663" s="5"/>
      <c r="R1663" s="5"/>
      <c r="S1663" s="5"/>
      <c r="T1663" s="5"/>
      <c r="U1663" s="5"/>
      <c r="V1663" s="5"/>
      <c r="W1663" s="5"/>
    </row>
    <row r="1664">
      <c r="A1664" s="5"/>
      <c r="B1664" s="5"/>
      <c r="C1664" s="5"/>
      <c r="D1664" s="5"/>
      <c r="E1664" s="5"/>
      <c r="F1664" s="5"/>
      <c r="G1664" s="5"/>
      <c r="H1664" s="5"/>
      <c r="I1664" s="5"/>
      <c r="J1664" s="5"/>
      <c r="K1664" s="5"/>
      <c r="L1664" s="5"/>
      <c r="M1664" s="5"/>
      <c r="N1664" s="5"/>
      <c r="O1664" s="5"/>
      <c r="P1664" s="5"/>
      <c r="Q1664" s="5"/>
      <c r="R1664" s="5"/>
      <c r="S1664" s="5"/>
      <c r="T1664" s="5"/>
      <c r="U1664" s="5"/>
      <c r="V1664" s="5"/>
      <c r="W1664" s="5"/>
    </row>
    <row r="1665">
      <c r="A1665" s="5"/>
      <c r="B1665" s="5"/>
      <c r="C1665" s="5"/>
      <c r="D1665" s="5"/>
      <c r="E1665" s="5"/>
      <c r="F1665" s="5"/>
      <c r="G1665" s="5"/>
      <c r="H1665" s="5"/>
      <c r="I1665" s="5"/>
      <c r="J1665" s="5"/>
      <c r="K1665" s="5"/>
      <c r="L1665" s="5"/>
      <c r="M1665" s="5"/>
      <c r="N1665" s="5"/>
      <c r="O1665" s="5"/>
      <c r="P1665" s="5"/>
      <c r="Q1665" s="5"/>
      <c r="R1665" s="5"/>
      <c r="S1665" s="5"/>
      <c r="T1665" s="5"/>
      <c r="U1665" s="5"/>
      <c r="V1665" s="5"/>
      <c r="W1665" s="5"/>
    </row>
    <row r="1666">
      <c r="A1666" s="5"/>
      <c r="B1666" s="5"/>
      <c r="C1666" s="5"/>
      <c r="D1666" s="5"/>
      <c r="E1666" s="5"/>
      <c r="F1666" s="5"/>
      <c r="G1666" s="5"/>
      <c r="H1666" s="5"/>
      <c r="I1666" s="5"/>
      <c r="J1666" s="5"/>
      <c r="K1666" s="5"/>
      <c r="L1666" s="5"/>
      <c r="M1666" s="5"/>
      <c r="N1666" s="5"/>
      <c r="O1666" s="5"/>
      <c r="P1666" s="5"/>
      <c r="Q1666" s="5"/>
      <c r="R1666" s="5"/>
      <c r="S1666" s="5"/>
      <c r="T1666" s="5"/>
      <c r="U1666" s="5"/>
      <c r="V1666" s="5"/>
      <c r="W1666" s="5"/>
    </row>
    <row r="1667">
      <c r="A1667" s="5"/>
      <c r="B1667" s="5"/>
      <c r="C1667" s="5"/>
      <c r="D1667" s="5"/>
      <c r="E1667" s="5"/>
      <c r="F1667" s="5"/>
      <c r="G1667" s="5"/>
      <c r="H1667" s="5"/>
      <c r="I1667" s="5"/>
      <c r="J1667" s="5"/>
      <c r="K1667" s="5"/>
      <c r="L1667" s="5"/>
      <c r="M1667" s="5"/>
      <c r="N1667" s="5"/>
      <c r="O1667" s="5"/>
      <c r="P1667" s="5"/>
      <c r="Q1667" s="5"/>
      <c r="R1667" s="5"/>
      <c r="S1667" s="5"/>
      <c r="T1667" s="5"/>
      <c r="U1667" s="5"/>
      <c r="V1667" s="5"/>
      <c r="W1667" s="5"/>
    </row>
    <row r="1668">
      <c r="A1668" s="5"/>
      <c r="B1668" s="5"/>
      <c r="C1668" s="5"/>
      <c r="D1668" s="5"/>
      <c r="E1668" s="5"/>
      <c r="F1668" s="5"/>
      <c r="G1668" s="5"/>
      <c r="H1668" s="5"/>
      <c r="I1668" s="5"/>
      <c r="J1668" s="5"/>
      <c r="K1668" s="5"/>
      <c r="L1668" s="5"/>
      <c r="M1668" s="5"/>
      <c r="N1668" s="5"/>
      <c r="O1668" s="5"/>
      <c r="P1668" s="5"/>
      <c r="Q1668" s="5"/>
      <c r="R1668" s="5"/>
      <c r="S1668" s="5"/>
      <c r="T1668" s="5"/>
      <c r="U1668" s="5"/>
      <c r="V1668" s="5"/>
      <c r="W1668" s="5"/>
    </row>
    <row r="1669">
      <c r="A1669" s="5"/>
      <c r="B1669" s="5"/>
      <c r="C1669" s="5"/>
      <c r="D1669" s="5"/>
      <c r="E1669" s="5"/>
      <c r="F1669" s="5"/>
      <c r="G1669" s="5"/>
      <c r="H1669" s="5"/>
      <c r="I1669" s="5"/>
      <c r="J1669" s="5"/>
      <c r="K1669" s="5"/>
      <c r="L1669" s="5"/>
      <c r="M1669" s="5"/>
      <c r="N1669" s="5"/>
      <c r="O1669" s="5"/>
      <c r="P1669" s="5"/>
      <c r="Q1669" s="5"/>
      <c r="R1669" s="5"/>
      <c r="S1669" s="5"/>
      <c r="T1669" s="5"/>
      <c r="U1669" s="5"/>
      <c r="V1669" s="5"/>
      <c r="W1669" s="5"/>
    </row>
    <row r="1670">
      <c r="A1670" s="5"/>
      <c r="B1670" s="5"/>
      <c r="C1670" s="5"/>
      <c r="D1670" s="5"/>
      <c r="E1670" s="5"/>
      <c r="F1670" s="5"/>
      <c r="G1670" s="5"/>
      <c r="H1670" s="5"/>
      <c r="I1670" s="5"/>
      <c r="J1670" s="5"/>
      <c r="K1670" s="5"/>
      <c r="L1670" s="5"/>
      <c r="M1670" s="5"/>
      <c r="N1670" s="5"/>
      <c r="O1670" s="5"/>
      <c r="P1670" s="5"/>
      <c r="Q1670" s="5"/>
      <c r="R1670" s="5"/>
      <c r="S1670" s="5"/>
      <c r="T1670" s="5"/>
      <c r="U1670" s="5"/>
      <c r="V1670" s="5"/>
      <c r="W1670" s="5"/>
    </row>
    <row r="1671">
      <c r="A1671" s="5"/>
      <c r="B1671" s="5"/>
      <c r="C1671" s="5"/>
      <c r="D1671" s="5"/>
      <c r="E1671" s="5"/>
      <c r="F1671" s="5"/>
      <c r="G1671" s="5"/>
      <c r="H1671" s="5"/>
      <c r="I1671" s="5"/>
      <c r="J1671" s="5"/>
      <c r="K1671" s="5"/>
      <c r="L1671" s="5"/>
      <c r="M1671" s="5"/>
      <c r="N1671" s="5"/>
      <c r="O1671" s="5"/>
      <c r="P1671" s="5"/>
      <c r="Q1671" s="5"/>
      <c r="R1671" s="5"/>
      <c r="S1671" s="5"/>
      <c r="T1671" s="5"/>
      <c r="U1671" s="5"/>
      <c r="V1671" s="5"/>
      <c r="W1671" s="5"/>
    </row>
    <row r="1672">
      <c r="A1672" s="5"/>
      <c r="B1672" s="5"/>
      <c r="C1672" s="5"/>
      <c r="D1672" s="5"/>
      <c r="E1672" s="5"/>
      <c r="F1672" s="5"/>
      <c r="G1672" s="5"/>
      <c r="H1672" s="5"/>
      <c r="I1672" s="5"/>
      <c r="J1672" s="5"/>
      <c r="K1672" s="5"/>
      <c r="L1672" s="5"/>
      <c r="M1672" s="5"/>
      <c r="N1672" s="5"/>
      <c r="O1672" s="5"/>
      <c r="P1672" s="5"/>
      <c r="Q1672" s="5"/>
      <c r="R1672" s="5"/>
      <c r="S1672" s="5"/>
      <c r="T1672" s="5"/>
      <c r="U1672" s="5"/>
      <c r="V1672" s="5"/>
      <c r="W1672" s="5"/>
    </row>
    <row r="1673">
      <c r="A1673" s="5"/>
      <c r="B1673" s="5"/>
      <c r="C1673" s="5"/>
      <c r="D1673" s="5"/>
      <c r="E1673" s="5"/>
      <c r="F1673" s="5"/>
      <c r="G1673" s="5"/>
      <c r="H1673" s="5"/>
      <c r="I1673" s="5"/>
      <c r="J1673" s="5"/>
      <c r="K1673" s="5"/>
      <c r="L1673" s="5"/>
      <c r="M1673" s="5"/>
      <c r="N1673" s="5"/>
      <c r="O1673" s="5"/>
      <c r="P1673" s="5"/>
      <c r="Q1673" s="5"/>
      <c r="R1673" s="5"/>
      <c r="S1673" s="5"/>
      <c r="T1673" s="5"/>
      <c r="U1673" s="5"/>
      <c r="V1673" s="5"/>
      <c r="W1673" s="5"/>
    </row>
    <row r="1674">
      <c r="A1674" s="5"/>
      <c r="B1674" s="5"/>
      <c r="C1674" s="5"/>
      <c r="D1674" s="5"/>
      <c r="E1674" s="5"/>
      <c r="F1674" s="5"/>
      <c r="G1674" s="5"/>
      <c r="H1674" s="5"/>
      <c r="I1674" s="5"/>
      <c r="J1674" s="5"/>
      <c r="K1674" s="5"/>
      <c r="L1674" s="5"/>
      <c r="M1674" s="5"/>
      <c r="N1674" s="5"/>
      <c r="O1674" s="5"/>
      <c r="P1674" s="5"/>
      <c r="Q1674" s="5"/>
      <c r="R1674" s="5"/>
      <c r="S1674" s="5"/>
      <c r="T1674" s="5"/>
      <c r="U1674" s="5"/>
      <c r="V1674" s="5"/>
      <c r="W1674" s="5"/>
    </row>
    <row r="1675">
      <c r="A1675" s="5"/>
      <c r="B1675" s="5"/>
      <c r="C1675" s="5"/>
      <c r="D1675" s="5"/>
      <c r="E1675" s="5"/>
      <c r="F1675" s="5"/>
      <c r="G1675" s="5"/>
      <c r="H1675" s="5"/>
      <c r="I1675" s="5"/>
      <c r="J1675" s="5"/>
      <c r="K1675" s="5"/>
      <c r="L1675" s="5"/>
      <c r="M1675" s="5"/>
      <c r="N1675" s="5"/>
      <c r="O1675" s="5"/>
      <c r="P1675" s="5"/>
      <c r="Q1675" s="5"/>
      <c r="R1675" s="5"/>
      <c r="S1675" s="5"/>
      <c r="T1675" s="5"/>
      <c r="U1675" s="5"/>
      <c r="V1675" s="5"/>
      <c r="W1675" s="5"/>
    </row>
    <row r="1676">
      <c r="A1676" s="5"/>
      <c r="B1676" s="5"/>
      <c r="C1676" s="5"/>
      <c r="D1676" s="5"/>
      <c r="E1676" s="5"/>
      <c r="F1676" s="5"/>
      <c r="G1676" s="5"/>
      <c r="H1676" s="5"/>
      <c r="I1676" s="5"/>
      <c r="J1676" s="5"/>
      <c r="K1676" s="5"/>
      <c r="L1676" s="5"/>
      <c r="M1676" s="5"/>
      <c r="N1676" s="5"/>
      <c r="O1676" s="5"/>
      <c r="P1676" s="5"/>
      <c r="Q1676" s="5"/>
      <c r="R1676" s="5"/>
      <c r="S1676" s="5"/>
      <c r="T1676" s="5"/>
      <c r="U1676" s="5"/>
      <c r="V1676" s="5"/>
      <c r="W1676" s="5"/>
    </row>
    <row r="1677">
      <c r="A1677" s="5"/>
      <c r="B1677" s="5"/>
      <c r="C1677" s="5"/>
      <c r="D1677" s="5"/>
      <c r="E1677" s="5"/>
      <c r="F1677" s="5"/>
      <c r="G1677" s="5"/>
      <c r="H1677" s="5"/>
      <c r="I1677" s="5"/>
      <c r="J1677" s="5"/>
      <c r="K1677" s="5"/>
      <c r="L1677" s="5"/>
      <c r="M1677" s="5"/>
      <c r="N1677" s="5"/>
      <c r="O1677" s="5"/>
      <c r="P1677" s="5"/>
      <c r="Q1677" s="5"/>
      <c r="R1677" s="5"/>
      <c r="S1677" s="5"/>
      <c r="T1677" s="5"/>
      <c r="U1677" s="5"/>
      <c r="V1677" s="5"/>
      <c r="W1677" s="5"/>
    </row>
    <row r="1678">
      <c r="A1678" s="5"/>
      <c r="B1678" s="5"/>
      <c r="C1678" s="5"/>
      <c r="D1678" s="5"/>
      <c r="E1678" s="5"/>
      <c r="F1678" s="5"/>
      <c r="G1678" s="5"/>
      <c r="H1678" s="5"/>
      <c r="I1678" s="5"/>
      <c r="J1678" s="5"/>
      <c r="K1678" s="5"/>
      <c r="L1678" s="5"/>
      <c r="M1678" s="5"/>
      <c r="N1678" s="5"/>
      <c r="O1678" s="5"/>
      <c r="P1678" s="5"/>
      <c r="Q1678" s="5"/>
      <c r="R1678" s="5"/>
      <c r="S1678" s="5"/>
      <c r="T1678" s="5"/>
      <c r="U1678" s="5"/>
      <c r="V1678" s="5"/>
      <c r="W1678" s="5"/>
    </row>
    <row r="1679">
      <c r="A1679" s="5"/>
      <c r="B1679" s="5"/>
      <c r="C1679" s="5"/>
      <c r="D1679" s="5"/>
      <c r="E1679" s="5"/>
      <c r="F1679" s="5"/>
      <c r="G1679" s="5"/>
      <c r="H1679" s="5"/>
      <c r="I1679" s="5"/>
      <c r="J1679" s="5"/>
      <c r="K1679" s="5"/>
      <c r="L1679" s="5"/>
      <c r="M1679" s="5"/>
      <c r="N1679" s="5"/>
      <c r="O1679" s="5"/>
      <c r="P1679" s="5"/>
      <c r="Q1679" s="5"/>
      <c r="R1679" s="5"/>
      <c r="S1679" s="5"/>
      <c r="T1679" s="5"/>
      <c r="U1679" s="5"/>
      <c r="V1679" s="5"/>
      <c r="W1679" s="5"/>
    </row>
    <row r="1680">
      <c r="A1680" s="5"/>
      <c r="B1680" s="5"/>
      <c r="C1680" s="5"/>
      <c r="D1680" s="5"/>
      <c r="E1680" s="5"/>
      <c r="F1680" s="5"/>
      <c r="G1680" s="5"/>
      <c r="H1680" s="5"/>
      <c r="I1680" s="5"/>
      <c r="J1680" s="5"/>
      <c r="K1680" s="5"/>
      <c r="L1680" s="5"/>
      <c r="M1680" s="5"/>
      <c r="N1680" s="5"/>
      <c r="O1680" s="5"/>
      <c r="P1680" s="5"/>
      <c r="Q1680" s="5"/>
      <c r="R1680" s="5"/>
      <c r="S1680" s="5"/>
      <c r="T1680" s="5"/>
      <c r="U1680" s="5"/>
      <c r="V1680" s="5"/>
      <c r="W1680" s="5"/>
    </row>
    <row r="1681">
      <c r="A1681" s="5"/>
      <c r="B1681" s="5"/>
      <c r="C1681" s="5"/>
      <c r="D1681" s="5"/>
      <c r="E1681" s="5"/>
      <c r="F1681" s="5"/>
      <c r="G1681" s="5"/>
      <c r="H1681" s="5"/>
      <c r="I1681" s="5"/>
      <c r="J1681" s="5"/>
      <c r="K1681" s="5"/>
      <c r="L1681" s="5"/>
      <c r="M1681" s="5"/>
      <c r="N1681" s="5"/>
      <c r="O1681" s="5"/>
      <c r="P1681" s="5"/>
      <c r="Q1681" s="5"/>
      <c r="R1681" s="5"/>
      <c r="S1681" s="5"/>
      <c r="T1681" s="5"/>
      <c r="U1681" s="5"/>
      <c r="V1681" s="5"/>
      <c r="W1681" s="5"/>
    </row>
    <row r="1682">
      <c r="A1682" s="5"/>
      <c r="B1682" s="5"/>
      <c r="C1682" s="5"/>
      <c r="D1682" s="5"/>
      <c r="E1682" s="5"/>
      <c r="F1682" s="5"/>
      <c r="G1682" s="5"/>
      <c r="H1682" s="5"/>
      <c r="I1682" s="5"/>
      <c r="J1682" s="5"/>
      <c r="K1682" s="5"/>
      <c r="L1682" s="5"/>
      <c r="M1682" s="5"/>
      <c r="N1682" s="5"/>
      <c r="O1682" s="5"/>
      <c r="P1682" s="5"/>
      <c r="Q1682" s="5"/>
      <c r="R1682" s="5"/>
      <c r="S1682" s="5"/>
      <c r="T1682" s="5"/>
      <c r="U1682" s="5"/>
      <c r="V1682" s="5"/>
      <c r="W1682" s="5"/>
    </row>
    <row r="1683">
      <c r="A1683" s="5"/>
      <c r="B1683" s="5"/>
      <c r="C1683" s="5"/>
      <c r="D1683" s="5"/>
      <c r="E1683" s="5"/>
      <c r="F1683" s="5"/>
      <c r="G1683" s="5"/>
      <c r="H1683" s="5"/>
      <c r="I1683" s="5"/>
      <c r="J1683" s="5"/>
      <c r="K1683" s="5"/>
      <c r="L1683" s="5"/>
      <c r="M1683" s="5"/>
      <c r="N1683" s="5"/>
      <c r="O1683" s="5"/>
      <c r="P1683" s="5"/>
      <c r="Q1683" s="5"/>
      <c r="R1683" s="5"/>
      <c r="S1683" s="5"/>
      <c r="T1683" s="5"/>
      <c r="U1683" s="5"/>
      <c r="V1683" s="5"/>
      <c r="W1683" s="5"/>
    </row>
    <row r="1684">
      <c r="A1684" s="5"/>
      <c r="B1684" s="5"/>
      <c r="C1684" s="5"/>
      <c r="D1684" s="5"/>
      <c r="E1684" s="5"/>
      <c r="F1684" s="5"/>
      <c r="G1684" s="5"/>
      <c r="H1684" s="5"/>
      <c r="I1684" s="5"/>
      <c r="J1684" s="5"/>
      <c r="K1684" s="5"/>
      <c r="L1684" s="5"/>
      <c r="M1684" s="5"/>
      <c r="N1684" s="5"/>
      <c r="O1684" s="5"/>
      <c r="P1684" s="5"/>
      <c r="Q1684" s="5"/>
      <c r="R1684" s="5"/>
      <c r="S1684" s="5"/>
      <c r="T1684" s="5"/>
      <c r="U1684" s="5"/>
      <c r="V1684" s="5"/>
      <c r="W1684" s="5"/>
    </row>
    <row r="1685">
      <c r="A1685" s="5"/>
      <c r="B1685" s="5"/>
      <c r="C1685" s="5"/>
      <c r="D1685" s="5"/>
      <c r="E1685" s="5"/>
      <c r="F1685" s="5"/>
      <c r="G1685" s="5"/>
      <c r="H1685" s="5"/>
      <c r="I1685" s="5"/>
      <c r="J1685" s="5"/>
      <c r="K1685" s="5"/>
      <c r="L1685" s="5"/>
      <c r="M1685" s="5"/>
      <c r="N1685" s="5"/>
      <c r="O1685" s="5"/>
      <c r="P1685" s="5"/>
      <c r="Q1685" s="5"/>
      <c r="R1685" s="5"/>
      <c r="S1685" s="5"/>
      <c r="T1685" s="5"/>
      <c r="U1685" s="5"/>
      <c r="V1685" s="5"/>
      <c r="W1685" s="5"/>
    </row>
    <row r="1686">
      <c r="A1686" s="5"/>
      <c r="B1686" s="5"/>
      <c r="C1686" s="5"/>
      <c r="D1686" s="5"/>
      <c r="E1686" s="5"/>
      <c r="F1686" s="5"/>
      <c r="G1686" s="5"/>
      <c r="H1686" s="5"/>
      <c r="I1686" s="5"/>
      <c r="J1686" s="5"/>
      <c r="K1686" s="5"/>
      <c r="L1686" s="5"/>
      <c r="M1686" s="5"/>
      <c r="N1686" s="5"/>
      <c r="O1686" s="5"/>
      <c r="P1686" s="5"/>
      <c r="Q1686" s="5"/>
      <c r="R1686" s="5"/>
      <c r="S1686" s="5"/>
      <c r="T1686" s="5"/>
      <c r="U1686" s="5"/>
      <c r="V1686" s="5"/>
      <c r="W1686" s="5"/>
    </row>
    <row r="1687">
      <c r="A1687" s="5"/>
      <c r="B1687" s="5"/>
      <c r="C1687" s="5"/>
      <c r="D1687" s="5"/>
      <c r="E1687" s="5"/>
      <c r="F1687" s="5"/>
      <c r="G1687" s="5"/>
      <c r="H1687" s="5"/>
      <c r="I1687" s="5"/>
      <c r="J1687" s="5"/>
      <c r="K1687" s="5"/>
      <c r="L1687" s="5"/>
      <c r="M1687" s="5"/>
      <c r="N1687" s="5"/>
      <c r="O1687" s="5"/>
      <c r="P1687" s="5"/>
      <c r="Q1687" s="5"/>
      <c r="R1687" s="5"/>
      <c r="S1687" s="5"/>
      <c r="T1687" s="5"/>
      <c r="U1687" s="5"/>
      <c r="V1687" s="5"/>
      <c r="W1687" s="5"/>
    </row>
    <row r="1688">
      <c r="A1688" s="5"/>
      <c r="B1688" s="5"/>
      <c r="C1688" s="5"/>
      <c r="D1688" s="5"/>
      <c r="E1688" s="5"/>
      <c r="F1688" s="5"/>
      <c r="G1688" s="5"/>
      <c r="H1688" s="5"/>
      <c r="I1688" s="5"/>
      <c r="J1688" s="5"/>
      <c r="K1688" s="5"/>
      <c r="L1688" s="5"/>
      <c r="M1688" s="5"/>
      <c r="N1688" s="5"/>
      <c r="O1688" s="5"/>
      <c r="P1688" s="5"/>
      <c r="Q1688" s="5"/>
      <c r="R1688" s="5"/>
      <c r="S1688" s="5"/>
      <c r="T1688" s="5"/>
      <c r="U1688" s="5"/>
      <c r="V1688" s="5"/>
      <c r="W1688" s="5"/>
    </row>
    <row r="1689">
      <c r="A1689" s="5"/>
      <c r="B1689" s="5"/>
      <c r="C1689" s="5"/>
      <c r="D1689" s="5"/>
      <c r="E1689" s="5"/>
      <c r="F1689" s="5"/>
      <c r="G1689" s="5"/>
      <c r="H1689" s="5"/>
      <c r="I1689" s="5"/>
      <c r="J1689" s="5"/>
      <c r="K1689" s="5"/>
      <c r="L1689" s="5"/>
      <c r="M1689" s="5"/>
      <c r="N1689" s="5"/>
      <c r="O1689" s="5"/>
      <c r="P1689" s="5"/>
      <c r="Q1689" s="5"/>
      <c r="R1689" s="5"/>
      <c r="S1689" s="5"/>
      <c r="T1689" s="5"/>
      <c r="U1689" s="5"/>
      <c r="V1689" s="5"/>
      <c r="W1689" s="5"/>
    </row>
    <row r="1690">
      <c r="A1690" s="5"/>
      <c r="B1690" s="5"/>
      <c r="C1690" s="5"/>
      <c r="D1690" s="5"/>
      <c r="E1690" s="5"/>
      <c r="F1690" s="5"/>
      <c r="G1690" s="5"/>
      <c r="H1690" s="5"/>
      <c r="I1690" s="5"/>
      <c r="J1690" s="5"/>
      <c r="K1690" s="5"/>
      <c r="L1690" s="5"/>
      <c r="M1690" s="5"/>
      <c r="N1690" s="5"/>
      <c r="O1690" s="5"/>
      <c r="P1690" s="5"/>
      <c r="Q1690" s="5"/>
      <c r="R1690" s="5"/>
      <c r="S1690" s="5"/>
      <c r="T1690" s="5"/>
      <c r="U1690" s="5"/>
      <c r="V1690" s="5"/>
      <c r="W1690" s="5"/>
    </row>
    <row r="1691">
      <c r="A1691" s="5"/>
      <c r="B1691" s="5"/>
      <c r="C1691" s="5"/>
      <c r="D1691" s="5"/>
      <c r="E1691" s="5"/>
      <c r="F1691" s="5"/>
      <c r="G1691" s="5"/>
      <c r="H1691" s="5"/>
      <c r="I1691" s="5"/>
      <c r="J1691" s="5"/>
      <c r="K1691" s="5"/>
      <c r="L1691" s="5"/>
      <c r="M1691" s="5"/>
      <c r="N1691" s="5"/>
      <c r="O1691" s="5"/>
      <c r="P1691" s="5"/>
      <c r="Q1691" s="5"/>
      <c r="R1691" s="5"/>
      <c r="S1691" s="5"/>
      <c r="T1691" s="5"/>
      <c r="U1691" s="5"/>
      <c r="V1691" s="5"/>
      <c r="W1691" s="5"/>
    </row>
    <row r="1692">
      <c r="A1692" s="5"/>
      <c r="B1692" s="5"/>
      <c r="C1692" s="5"/>
      <c r="D1692" s="5"/>
      <c r="E1692" s="5"/>
      <c r="F1692" s="5"/>
      <c r="G1692" s="5"/>
      <c r="H1692" s="5"/>
      <c r="I1692" s="5"/>
      <c r="J1692" s="5"/>
      <c r="K1692" s="5"/>
      <c r="L1692" s="5"/>
      <c r="M1692" s="5"/>
      <c r="N1692" s="5"/>
      <c r="O1692" s="5"/>
      <c r="P1692" s="5"/>
      <c r="Q1692" s="5"/>
      <c r="R1692" s="5"/>
      <c r="S1692" s="5"/>
      <c r="T1692" s="5"/>
      <c r="U1692" s="5"/>
      <c r="V1692" s="5"/>
      <c r="W1692" s="5"/>
    </row>
    <row r="1693">
      <c r="A1693" s="5"/>
      <c r="B1693" s="5"/>
      <c r="C1693" s="5"/>
      <c r="D1693" s="5"/>
      <c r="E1693" s="5"/>
      <c r="F1693" s="5"/>
      <c r="G1693" s="5"/>
      <c r="H1693" s="5"/>
      <c r="I1693" s="5"/>
      <c r="J1693" s="5"/>
      <c r="K1693" s="5"/>
      <c r="L1693" s="5"/>
      <c r="M1693" s="5"/>
      <c r="N1693" s="5"/>
      <c r="O1693" s="5"/>
      <c r="P1693" s="5"/>
      <c r="Q1693" s="5"/>
      <c r="R1693" s="5"/>
      <c r="S1693" s="5"/>
      <c r="T1693" s="5"/>
      <c r="U1693" s="5"/>
      <c r="V1693" s="5"/>
      <c r="W1693" s="5"/>
    </row>
    <row r="1694">
      <c r="A1694" s="5"/>
      <c r="B1694" s="5"/>
      <c r="C1694" s="5"/>
      <c r="D1694" s="5"/>
      <c r="E1694" s="5"/>
      <c r="F1694" s="5"/>
      <c r="G1694" s="5"/>
      <c r="H1694" s="5"/>
      <c r="I1694" s="5"/>
      <c r="J1694" s="5"/>
      <c r="K1694" s="5"/>
      <c r="L1694" s="5"/>
      <c r="M1694" s="5"/>
      <c r="N1694" s="5"/>
      <c r="O1694" s="5"/>
      <c r="P1694" s="5"/>
      <c r="Q1694" s="5"/>
      <c r="R1694" s="5"/>
      <c r="S1694" s="5"/>
      <c r="T1694" s="5"/>
      <c r="U1694" s="5"/>
      <c r="V1694" s="5"/>
      <c r="W1694" s="5"/>
    </row>
    <row r="1695">
      <c r="A1695" s="5"/>
      <c r="B1695" s="5"/>
      <c r="C1695" s="5"/>
      <c r="D1695" s="5"/>
      <c r="E1695" s="5"/>
      <c r="F1695" s="5"/>
      <c r="G1695" s="5"/>
      <c r="H1695" s="5"/>
      <c r="I1695" s="5"/>
      <c r="J1695" s="5"/>
      <c r="K1695" s="5"/>
      <c r="L1695" s="5"/>
      <c r="M1695" s="5"/>
      <c r="N1695" s="5"/>
      <c r="O1695" s="5"/>
      <c r="P1695" s="5"/>
      <c r="Q1695" s="5"/>
      <c r="R1695" s="5"/>
      <c r="S1695" s="5"/>
      <c r="T1695" s="5"/>
      <c r="U1695" s="5"/>
      <c r="V1695" s="5"/>
      <c r="W1695" s="5"/>
    </row>
    <row r="1696">
      <c r="A1696" s="5"/>
      <c r="B1696" s="5"/>
      <c r="C1696" s="5"/>
      <c r="D1696" s="5"/>
      <c r="E1696" s="5"/>
      <c r="F1696" s="5"/>
      <c r="G1696" s="5"/>
      <c r="H1696" s="5"/>
      <c r="I1696" s="5"/>
      <c r="J1696" s="5"/>
      <c r="K1696" s="5"/>
      <c r="L1696" s="5"/>
      <c r="M1696" s="5"/>
      <c r="N1696" s="5"/>
      <c r="O1696" s="5"/>
      <c r="P1696" s="5"/>
      <c r="Q1696" s="5"/>
      <c r="R1696" s="5"/>
      <c r="S1696" s="5"/>
      <c r="T1696" s="5"/>
      <c r="U1696" s="5"/>
      <c r="V1696" s="5"/>
      <c r="W1696" s="5"/>
    </row>
    <row r="1697">
      <c r="A1697" s="5"/>
      <c r="B1697" s="5"/>
      <c r="C1697" s="5"/>
      <c r="D1697" s="5"/>
      <c r="E1697" s="5"/>
      <c r="F1697" s="5"/>
      <c r="G1697" s="5"/>
      <c r="H1697" s="5"/>
      <c r="I1697" s="5"/>
      <c r="J1697" s="5"/>
      <c r="K1697" s="5"/>
      <c r="L1697" s="5"/>
      <c r="M1697" s="5"/>
      <c r="N1697" s="5"/>
      <c r="O1697" s="5"/>
      <c r="P1697" s="5"/>
      <c r="Q1697" s="5"/>
      <c r="R1697" s="5"/>
      <c r="S1697" s="5"/>
      <c r="T1697" s="5"/>
      <c r="U1697" s="5"/>
      <c r="V1697" s="5"/>
      <c r="W1697" s="5"/>
    </row>
    <row r="1698">
      <c r="A1698" s="5"/>
      <c r="B1698" s="5"/>
      <c r="C1698" s="5"/>
      <c r="D1698" s="5"/>
      <c r="E1698" s="5"/>
      <c r="F1698" s="5"/>
      <c r="G1698" s="5"/>
      <c r="H1698" s="5"/>
      <c r="I1698" s="5"/>
      <c r="J1698" s="5"/>
      <c r="K1698" s="5"/>
      <c r="L1698" s="5"/>
      <c r="M1698" s="5"/>
      <c r="N1698" s="5"/>
      <c r="O1698" s="5"/>
      <c r="P1698" s="5"/>
      <c r="Q1698" s="5"/>
      <c r="R1698" s="5"/>
      <c r="S1698" s="5"/>
      <c r="T1698" s="5"/>
      <c r="U1698" s="5"/>
      <c r="V1698" s="5"/>
      <c r="W1698" s="5"/>
    </row>
    <row r="1699">
      <c r="A1699" s="5"/>
      <c r="B1699" s="5"/>
      <c r="C1699" s="5"/>
      <c r="D1699" s="5"/>
      <c r="E1699" s="5"/>
      <c r="F1699" s="5"/>
      <c r="G1699" s="5"/>
      <c r="H1699" s="5"/>
      <c r="I1699" s="5"/>
      <c r="J1699" s="5"/>
      <c r="K1699" s="5"/>
      <c r="L1699" s="5"/>
      <c r="M1699" s="5"/>
      <c r="N1699" s="5"/>
      <c r="O1699" s="5"/>
      <c r="P1699" s="5"/>
      <c r="Q1699" s="5"/>
      <c r="R1699" s="5"/>
      <c r="S1699" s="5"/>
      <c r="T1699" s="5"/>
      <c r="U1699" s="5"/>
      <c r="V1699" s="5"/>
      <c r="W1699" s="5"/>
    </row>
    <row r="1700">
      <c r="A1700" s="5"/>
      <c r="B1700" s="5"/>
      <c r="C1700" s="5"/>
      <c r="D1700" s="5"/>
      <c r="E1700" s="5"/>
      <c r="F1700" s="5"/>
      <c r="G1700" s="5"/>
      <c r="H1700" s="5"/>
      <c r="I1700" s="5"/>
      <c r="J1700" s="5"/>
      <c r="K1700" s="5"/>
      <c r="L1700" s="5"/>
      <c r="M1700" s="5"/>
      <c r="N1700" s="5"/>
      <c r="O1700" s="5"/>
      <c r="P1700" s="5"/>
      <c r="Q1700" s="5"/>
      <c r="R1700" s="5"/>
      <c r="S1700" s="5"/>
      <c r="T1700" s="5"/>
      <c r="U1700" s="5"/>
      <c r="V1700" s="5"/>
      <c r="W1700" s="5"/>
    </row>
    <row r="1701">
      <c r="A1701" s="5"/>
      <c r="B1701" s="5"/>
      <c r="C1701" s="5"/>
      <c r="D1701" s="5"/>
      <c r="E1701" s="5"/>
      <c r="F1701" s="5"/>
      <c r="G1701" s="5"/>
      <c r="H1701" s="5"/>
      <c r="I1701" s="5"/>
      <c r="J1701" s="5"/>
      <c r="K1701" s="5"/>
      <c r="L1701" s="5"/>
      <c r="M1701" s="5"/>
      <c r="N1701" s="5"/>
      <c r="O1701" s="5"/>
      <c r="P1701" s="5"/>
      <c r="Q1701" s="5"/>
      <c r="R1701" s="5"/>
      <c r="S1701" s="5"/>
      <c r="T1701" s="5"/>
      <c r="U1701" s="5"/>
      <c r="V1701" s="5"/>
      <c r="W1701" s="5"/>
    </row>
    <row r="1702">
      <c r="A1702" s="5"/>
      <c r="B1702" s="5"/>
      <c r="C1702" s="5"/>
      <c r="D1702" s="5"/>
      <c r="E1702" s="5"/>
      <c r="F1702" s="5"/>
      <c r="G1702" s="5"/>
      <c r="H1702" s="5"/>
      <c r="I1702" s="5"/>
      <c r="J1702" s="5"/>
      <c r="K1702" s="5"/>
      <c r="L1702" s="5"/>
      <c r="M1702" s="5"/>
      <c r="N1702" s="5"/>
      <c r="O1702" s="5"/>
      <c r="P1702" s="5"/>
      <c r="Q1702" s="5"/>
      <c r="R1702" s="5"/>
      <c r="S1702" s="5"/>
      <c r="T1702" s="5"/>
      <c r="U1702" s="5"/>
      <c r="V1702" s="5"/>
      <c r="W1702" s="5"/>
    </row>
    <row r="1703">
      <c r="A1703" s="5"/>
      <c r="B1703" s="5"/>
      <c r="C1703" s="5"/>
      <c r="D1703" s="5"/>
      <c r="E1703" s="5"/>
      <c r="F1703" s="5"/>
      <c r="G1703" s="5"/>
      <c r="H1703" s="5"/>
      <c r="I1703" s="5"/>
      <c r="J1703" s="5"/>
      <c r="K1703" s="5"/>
      <c r="L1703" s="5"/>
      <c r="M1703" s="5"/>
      <c r="N1703" s="5"/>
      <c r="O1703" s="5"/>
      <c r="P1703" s="5"/>
      <c r="Q1703" s="5"/>
      <c r="R1703" s="5"/>
      <c r="S1703" s="5"/>
      <c r="T1703" s="5"/>
      <c r="U1703" s="5"/>
      <c r="V1703" s="5"/>
      <c r="W1703" s="5"/>
    </row>
    <row r="1704">
      <c r="A1704" s="5"/>
      <c r="B1704" s="5"/>
      <c r="C1704" s="5"/>
      <c r="D1704" s="5"/>
      <c r="E1704" s="5"/>
      <c r="F1704" s="5"/>
      <c r="G1704" s="5"/>
      <c r="H1704" s="5"/>
      <c r="I1704" s="5"/>
      <c r="J1704" s="5"/>
      <c r="K1704" s="5"/>
      <c r="L1704" s="5"/>
      <c r="M1704" s="5"/>
      <c r="N1704" s="5"/>
      <c r="O1704" s="5"/>
      <c r="P1704" s="5"/>
      <c r="Q1704" s="5"/>
      <c r="R1704" s="5"/>
      <c r="S1704" s="5"/>
      <c r="T1704" s="5"/>
      <c r="U1704" s="5"/>
      <c r="V1704" s="5"/>
      <c r="W1704" s="5"/>
    </row>
    <row r="1705">
      <c r="A1705" s="5"/>
      <c r="B1705" s="5"/>
      <c r="C1705" s="5"/>
      <c r="D1705" s="5"/>
      <c r="E1705" s="5"/>
      <c r="F1705" s="5"/>
      <c r="G1705" s="5"/>
      <c r="H1705" s="5"/>
      <c r="I1705" s="5"/>
      <c r="J1705" s="5"/>
      <c r="K1705" s="5"/>
      <c r="L1705" s="5"/>
      <c r="M1705" s="5"/>
      <c r="N1705" s="5"/>
      <c r="O1705" s="5"/>
      <c r="P1705" s="5"/>
      <c r="Q1705" s="5"/>
      <c r="R1705" s="5"/>
      <c r="S1705" s="5"/>
      <c r="T1705" s="5"/>
      <c r="U1705" s="5"/>
      <c r="V1705" s="5"/>
      <c r="W1705" s="5"/>
    </row>
    <row r="1706">
      <c r="A1706" s="5"/>
      <c r="B1706" s="5"/>
      <c r="C1706" s="5"/>
      <c r="D1706" s="5"/>
      <c r="E1706" s="5"/>
      <c r="F1706" s="5"/>
      <c r="G1706" s="5"/>
      <c r="H1706" s="5"/>
      <c r="I1706" s="5"/>
      <c r="J1706" s="5"/>
      <c r="K1706" s="5"/>
      <c r="L1706" s="5"/>
      <c r="M1706" s="5"/>
      <c r="N1706" s="5"/>
      <c r="O1706" s="5"/>
      <c r="P1706" s="5"/>
      <c r="Q1706" s="5"/>
      <c r="R1706" s="5"/>
      <c r="S1706" s="5"/>
      <c r="T1706" s="5"/>
      <c r="U1706" s="5"/>
      <c r="V1706" s="5"/>
      <c r="W1706" s="5"/>
    </row>
    <row r="1707">
      <c r="A1707" s="5"/>
      <c r="B1707" s="5"/>
      <c r="C1707" s="5"/>
      <c r="D1707" s="5"/>
      <c r="E1707" s="5"/>
      <c r="F1707" s="5"/>
      <c r="G1707" s="5"/>
      <c r="H1707" s="5"/>
      <c r="I1707" s="5"/>
      <c r="J1707" s="5"/>
      <c r="K1707" s="5"/>
      <c r="L1707" s="5"/>
      <c r="M1707" s="5"/>
      <c r="N1707" s="5"/>
      <c r="O1707" s="5"/>
      <c r="P1707" s="5"/>
      <c r="Q1707" s="5"/>
      <c r="R1707" s="5"/>
      <c r="S1707" s="5"/>
      <c r="T1707" s="5"/>
      <c r="U1707" s="5"/>
      <c r="V1707" s="5"/>
      <c r="W1707" s="5"/>
    </row>
    <row r="1708">
      <c r="A1708" s="5"/>
      <c r="B1708" s="5"/>
      <c r="C1708" s="5"/>
      <c r="D1708" s="5"/>
      <c r="E1708" s="5"/>
      <c r="F1708" s="5"/>
      <c r="G1708" s="5"/>
      <c r="H1708" s="5"/>
      <c r="I1708" s="5"/>
      <c r="J1708" s="5"/>
      <c r="K1708" s="5"/>
      <c r="L1708" s="5"/>
      <c r="M1708" s="5"/>
      <c r="N1708" s="5"/>
      <c r="O1708" s="5"/>
      <c r="P1708" s="5"/>
      <c r="Q1708" s="5"/>
      <c r="R1708" s="5"/>
      <c r="S1708" s="5"/>
      <c r="T1708" s="5"/>
      <c r="U1708" s="5"/>
      <c r="V1708" s="5"/>
      <c r="W1708" s="5"/>
    </row>
    <row r="1709">
      <c r="A1709" s="5"/>
      <c r="B1709" s="5"/>
      <c r="C1709" s="5"/>
      <c r="D1709" s="5"/>
      <c r="E1709" s="5"/>
      <c r="F1709" s="5"/>
      <c r="G1709" s="5"/>
      <c r="H1709" s="5"/>
      <c r="I1709" s="5"/>
      <c r="J1709" s="5"/>
      <c r="K1709" s="5"/>
      <c r="L1709" s="5"/>
      <c r="M1709" s="5"/>
      <c r="N1709" s="5"/>
      <c r="O1709" s="5"/>
      <c r="P1709" s="5"/>
      <c r="Q1709" s="5"/>
      <c r="R1709" s="5"/>
      <c r="S1709" s="5"/>
      <c r="T1709" s="5"/>
      <c r="U1709" s="5"/>
      <c r="V1709" s="5"/>
      <c r="W1709" s="5"/>
    </row>
    <row r="1710">
      <c r="A1710" s="5"/>
      <c r="B1710" s="5"/>
      <c r="C1710" s="5"/>
      <c r="D1710" s="5"/>
      <c r="E1710" s="5"/>
      <c r="F1710" s="5"/>
      <c r="G1710" s="5"/>
      <c r="H1710" s="5"/>
      <c r="I1710" s="5"/>
      <c r="J1710" s="5"/>
      <c r="K1710" s="5"/>
      <c r="L1710" s="5"/>
      <c r="M1710" s="5"/>
      <c r="N1710" s="5"/>
      <c r="O1710" s="5"/>
      <c r="P1710" s="5"/>
      <c r="Q1710" s="5"/>
      <c r="R1710" s="5"/>
      <c r="S1710" s="5"/>
      <c r="T1710" s="5"/>
      <c r="U1710" s="5"/>
      <c r="V1710" s="5"/>
      <c r="W1710" s="5"/>
    </row>
    <row r="1711">
      <c r="A1711" s="5"/>
      <c r="B1711" s="5"/>
      <c r="C1711" s="5"/>
      <c r="D1711" s="5"/>
      <c r="E1711" s="5"/>
      <c r="F1711" s="5"/>
      <c r="G1711" s="5"/>
      <c r="H1711" s="5"/>
      <c r="I1711" s="5"/>
      <c r="J1711" s="5"/>
      <c r="K1711" s="5"/>
      <c r="L1711" s="5"/>
      <c r="M1711" s="5"/>
      <c r="N1711" s="5"/>
      <c r="O1711" s="5"/>
      <c r="P1711" s="5"/>
      <c r="Q1711" s="5"/>
      <c r="R1711" s="5"/>
      <c r="S1711" s="5"/>
      <c r="T1711" s="5"/>
      <c r="U1711" s="5"/>
      <c r="V1711" s="5"/>
      <c r="W1711" s="5"/>
    </row>
    <row r="1712">
      <c r="A1712" s="5"/>
      <c r="B1712" s="5"/>
      <c r="C1712" s="5"/>
      <c r="D1712" s="5"/>
      <c r="E1712" s="5"/>
      <c r="F1712" s="5"/>
      <c r="G1712" s="5"/>
      <c r="H1712" s="5"/>
      <c r="I1712" s="5"/>
      <c r="J1712" s="5"/>
      <c r="K1712" s="5"/>
      <c r="L1712" s="5"/>
      <c r="M1712" s="5"/>
      <c r="N1712" s="5"/>
      <c r="O1712" s="5"/>
      <c r="P1712" s="5"/>
      <c r="Q1712" s="5"/>
      <c r="R1712" s="5"/>
      <c r="S1712" s="5"/>
      <c r="T1712" s="5"/>
      <c r="U1712" s="5"/>
      <c r="V1712" s="5"/>
      <c r="W1712" s="5"/>
    </row>
    <row r="1713">
      <c r="A1713" s="5"/>
      <c r="B1713" s="5"/>
      <c r="C1713" s="5"/>
      <c r="D1713" s="5"/>
      <c r="E1713" s="5"/>
      <c r="F1713" s="5"/>
      <c r="G1713" s="5"/>
      <c r="H1713" s="5"/>
      <c r="I1713" s="5"/>
      <c r="J1713" s="5"/>
      <c r="K1713" s="5"/>
      <c r="L1713" s="5"/>
      <c r="M1713" s="5"/>
      <c r="N1713" s="5"/>
      <c r="O1713" s="5"/>
      <c r="P1713" s="5"/>
      <c r="Q1713" s="5"/>
      <c r="R1713" s="5"/>
      <c r="S1713" s="5"/>
      <c r="T1713" s="5"/>
      <c r="U1713" s="5"/>
      <c r="V1713" s="5"/>
      <c r="W1713" s="5"/>
    </row>
    <row r="1714">
      <c r="A1714" s="5"/>
      <c r="B1714" s="5"/>
      <c r="C1714" s="5"/>
      <c r="D1714" s="5"/>
      <c r="E1714" s="5"/>
      <c r="F1714" s="5"/>
      <c r="G1714" s="5"/>
      <c r="H1714" s="5"/>
      <c r="I1714" s="5"/>
      <c r="J1714" s="5"/>
      <c r="K1714" s="5"/>
      <c r="L1714" s="5"/>
      <c r="M1714" s="5"/>
      <c r="N1714" s="5"/>
      <c r="O1714" s="5"/>
      <c r="P1714" s="5"/>
      <c r="Q1714" s="5"/>
      <c r="R1714" s="5"/>
      <c r="S1714" s="5"/>
      <c r="T1714" s="5"/>
      <c r="U1714" s="5"/>
      <c r="V1714" s="5"/>
      <c r="W1714" s="5"/>
    </row>
    <row r="1715">
      <c r="A1715" s="5"/>
      <c r="B1715" s="5"/>
      <c r="C1715" s="5"/>
      <c r="D1715" s="5"/>
      <c r="E1715" s="5"/>
      <c r="F1715" s="5"/>
      <c r="G1715" s="5"/>
      <c r="H1715" s="5"/>
      <c r="I1715" s="5"/>
      <c r="J1715" s="5"/>
      <c r="K1715" s="5"/>
      <c r="L1715" s="5"/>
      <c r="M1715" s="5"/>
      <c r="N1715" s="5"/>
      <c r="O1715" s="5"/>
      <c r="P1715" s="5"/>
      <c r="Q1715" s="5"/>
      <c r="R1715" s="5"/>
      <c r="S1715" s="5"/>
      <c r="T1715" s="5"/>
      <c r="U1715" s="5"/>
      <c r="V1715" s="5"/>
      <c r="W1715" s="5"/>
    </row>
    <row r="1716">
      <c r="A1716" s="5"/>
      <c r="B1716" s="5"/>
      <c r="C1716" s="5"/>
      <c r="D1716" s="5"/>
      <c r="E1716" s="5"/>
      <c r="F1716" s="5"/>
      <c r="G1716" s="5"/>
      <c r="H1716" s="5"/>
      <c r="I1716" s="5"/>
      <c r="J1716" s="5"/>
      <c r="K1716" s="5"/>
      <c r="L1716" s="5"/>
      <c r="M1716" s="5"/>
      <c r="N1716" s="5"/>
      <c r="O1716" s="5"/>
      <c r="P1716" s="5"/>
      <c r="Q1716" s="5"/>
      <c r="R1716" s="5"/>
      <c r="S1716" s="5"/>
      <c r="T1716" s="5"/>
      <c r="U1716" s="5"/>
      <c r="V1716" s="5"/>
      <c r="W1716" s="5"/>
    </row>
    <row r="1717">
      <c r="A1717" s="5"/>
      <c r="B1717" s="5"/>
      <c r="C1717" s="5"/>
      <c r="D1717" s="5"/>
      <c r="E1717" s="5"/>
      <c r="F1717" s="5"/>
      <c r="G1717" s="5"/>
      <c r="H1717" s="5"/>
      <c r="I1717" s="5"/>
      <c r="J1717" s="5"/>
      <c r="K1717" s="5"/>
      <c r="L1717" s="5"/>
      <c r="M1717" s="5"/>
      <c r="N1717" s="5"/>
      <c r="O1717" s="5"/>
      <c r="P1717" s="5"/>
      <c r="Q1717" s="5"/>
      <c r="R1717" s="5"/>
      <c r="S1717" s="5"/>
      <c r="T1717" s="5"/>
      <c r="U1717" s="5"/>
      <c r="V1717" s="5"/>
      <c r="W1717" s="5"/>
    </row>
    <row r="1718">
      <c r="A1718" s="5"/>
      <c r="B1718" s="5"/>
      <c r="C1718" s="5"/>
      <c r="D1718" s="5"/>
      <c r="E1718" s="5"/>
      <c r="F1718" s="5"/>
      <c r="G1718" s="5"/>
      <c r="H1718" s="5"/>
      <c r="I1718" s="5"/>
      <c r="J1718" s="5"/>
      <c r="K1718" s="5"/>
      <c r="L1718" s="5"/>
      <c r="M1718" s="5"/>
      <c r="N1718" s="5"/>
      <c r="O1718" s="5"/>
      <c r="P1718" s="5"/>
      <c r="Q1718" s="5"/>
      <c r="R1718" s="5"/>
      <c r="S1718" s="5"/>
      <c r="T1718" s="5"/>
      <c r="U1718" s="5"/>
      <c r="V1718" s="5"/>
      <c r="W1718" s="5"/>
    </row>
    <row r="1719">
      <c r="A1719" s="5"/>
      <c r="B1719" s="5"/>
      <c r="C1719" s="5"/>
      <c r="D1719" s="5"/>
      <c r="E1719" s="5"/>
      <c r="F1719" s="5"/>
      <c r="G1719" s="5"/>
      <c r="H1719" s="5"/>
      <c r="I1719" s="5"/>
      <c r="J1719" s="5"/>
      <c r="K1719" s="5"/>
      <c r="L1719" s="5"/>
      <c r="M1719" s="5"/>
      <c r="N1719" s="5"/>
      <c r="O1719" s="5"/>
      <c r="P1719" s="5"/>
      <c r="Q1719" s="5"/>
      <c r="R1719" s="5"/>
      <c r="S1719" s="5"/>
      <c r="T1719" s="5"/>
      <c r="U1719" s="5"/>
      <c r="V1719" s="5"/>
      <c r="W1719" s="5"/>
    </row>
    <row r="1720">
      <c r="A1720" s="5"/>
      <c r="B1720" s="5"/>
      <c r="C1720" s="5"/>
      <c r="D1720" s="5"/>
      <c r="E1720" s="5"/>
      <c r="F1720" s="5"/>
      <c r="G1720" s="5"/>
      <c r="H1720" s="5"/>
      <c r="I1720" s="5"/>
      <c r="J1720" s="5"/>
      <c r="K1720" s="5"/>
      <c r="L1720" s="5"/>
      <c r="M1720" s="5"/>
      <c r="N1720" s="5"/>
      <c r="O1720" s="5"/>
      <c r="P1720" s="5"/>
      <c r="Q1720" s="5"/>
      <c r="R1720" s="5"/>
      <c r="S1720" s="5"/>
      <c r="T1720" s="5"/>
      <c r="U1720" s="5"/>
      <c r="V1720" s="5"/>
      <c r="W1720" s="5"/>
    </row>
    <row r="1721">
      <c r="A1721" s="5"/>
      <c r="B1721" s="5"/>
      <c r="C1721" s="5"/>
      <c r="D1721" s="5"/>
      <c r="E1721" s="5"/>
      <c r="F1721" s="5"/>
      <c r="G1721" s="5"/>
      <c r="H1721" s="5"/>
      <c r="I1721" s="5"/>
      <c r="J1721" s="5"/>
      <c r="K1721" s="5"/>
      <c r="L1721" s="5"/>
      <c r="M1721" s="5"/>
      <c r="N1721" s="5"/>
      <c r="O1721" s="5"/>
      <c r="P1721" s="5"/>
      <c r="Q1721" s="5"/>
      <c r="R1721" s="5"/>
      <c r="S1721" s="5"/>
      <c r="T1721" s="5"/>
      <c r="U1721" s="5"/>
      <c r="V1721" s="5"/>
      <c r="W1721" s="5"/>
    </row>
    <row r="1722">
      <c r="A1722" s="5"/>
      <c r="B1722" s="5"/>
      <c r="C1722" s="5"/>
      <c r="D1722" s="5"/>
      <c r="E1722" s="5"/>
      <c r="F1722" s="5"/>
      <c r="G1722" s="5"/>
      <c r="H1722" s="5"/>
      <c r="I1722" s="5"/>
      <c r="J1722" s="5"/>
      <c r="K1722" s="5"/>
      <c r="L1722" s="5"/>
      <c r="M1722" s="5"/>
      <c r="N1722" s="5"/>
      <c r="O1722" s="5"/>
      <c r="P1722" s="5"/>
      <c r="Q1722" s="5"/>
      <c r="R1722" s="5"/>
      <c r="S1722" s="5"/>
      <c r="T1722" s="5"/>
      <c r="U1722" s="5"/>
      <c r="V1722" s="5"/>
      <c r="W1722" s="5"/>
    </row>
    <row r="1723">
      <c r="A1723" s="5"/>
      <c r="B1723" s="5"/>
      <c r="C1723" s="5"/>
      <c r="D1723" s="5"/>
      <c r="E1723" s="5"/>
      <c r="F1723" s="5"/>
      <c r="G1723" s="5"/>
      <c r="H1723" s="5"/>
      <c r="I1723" s="5"/>
      <c r="J1723" s="5"/>
      <c r="K1723" s="5"/>
      <c r="L1723" s="5"/>
      <c r="M1723" s="5"/>
      <c r="N1723" s="5"/>
      <c r="O1723" s="5"/>
      <c r="P1723" s="5"/>
      <c r="Q1723" s="5"/>
      <c r="R1723" s="5"/>
      <c r="S1723" s="5"/>
      <c r="T1723" s="5"/>
      <c r="U1723" s="5"/>
      <c r="V1723" s="5"/>
      <c r="W1723" s="5"/>
    </row>
    <row r="1724">
      <c r="A1724" s="5"/>
      <c r="B1724" s="5"/>
      <c r="C1724" s="5"/>
      <c r="D1724" s="5"/>
      <c r="E1724" s="5"/>
      <c r="F1724" s="5"/>
      <c r="G1724" s="5"/>
      <c r="H1724" s="5"/>
      <c r="I1724" s="5"/>
      <c r="J1724" s="5"/>
      <c r="K1724" s="5"/>
      <c r="L1724" s="5"/>
      <c r="M1724" s="5"/>
      <c r="N1724" s="5"/>
      <c r="O1724" s="5"/>
      <c r="P1724" s="5"/>
      <c r="Q1724" s="5"/>
      <c r="R1724" s="5"/>
      <c r="S1724" s="5"/>
      <c r="T1724" s="5"/>
      <c r="U1724" s="5"/>
      <c r="V1724" s="5"/>
      <c r="W1724" s="5"/>
    </row>
    <row r="1725">
      <c r="A1725" s="5"/>
      <c r="B1725" s="5"/>
      <c r="C1725" s="5"/>
      <c r="D1725" s="5"/>
      <c r="E1725" s="5"/>
      <c r="F1725" s="5"/>
      <c r="G1725" s="5"/>
      <c r="H1725" s="5"/>
      <c r="I1725" s="5"/>
      <c r="J1725" s="5"/>
      <c r="K1725" s="5"/>
      <c r="L1725" s="5"/>
      <c r="M1725" s="5"/>
      <c r="N1725" s="5"/>
      <c r="O1725" s="5"/>
      <c r="P1725" s="5"/>
      <c r="Q1725" s="5"/>
      <c r="R1725" s="5"/>
      <c r="S1725" s="5"/>
      <c r="T1725" s="5"/>
      <c r="U1725" s="5"/>
      <c r="V1725" s="5"/>
      <c r="W1725" s="5"/>
    </row>
    <row r="1726">
      <c r="A1726" s="5"/>
      <c r="B1726" s="5"/>
      <c r="C1726" s="5"/>
      <c r="D1726" s="5"/>
      <c r="E1726" s="5"/>
      <c r="F1726" s="5"/>
      <c r="G1726" s="5"/>
      <c r="H1726" s="5"/>
      <c r="I1726" s="5"/>
      <c r="J1726" s="5"/>
      <c r="K1726" s="5"/>
      <c r="L1726" s="5"/>
      <c r="M1726" s="5"/>
      <c r="N1726" s="5"/>
      <c r="O1726" s="5"/>
      <c r="P1726" s="5"/>
      <c r="Q1726" s="5"/>
      <c r="R1726" s="5"/>
      <c r="S1726" s="5"/>
      <c r="T1726" s="5"/>
      <c r="U1726" s="5"/>
      <c r="V1726" s="5"/>
      <c r="W1726" s="5"/>
    </row>
    <row r="1727">
      <c r="A1727" s="5"/>
      <c r="B1727" s="5"/>
      <c r="C1727" s="5"/>
      <c r="D1727" s="5"/>
      <c r="E1727" s="5"/>
      <c r="F1727" s="5"/>
      <c r="G1727" s="5"/>
      <c r="H1727" s="5"/>
      <c r="I1727" s="5"/>
      <c r="J1727" s="5"/>
      <c r="K1727" s="5"/>
      <c r="L1727" s="5"/>
      <c r="M1727" s="5"/>
      <c r="N1727" s="5"/>
      <c r="O1727" s="5"/>
      <c r="P1727" s="5"/>
      <c r="Q1727" s="5"/>
      <c r="R1727" s="5"/>
      <c r="S1727" s="5"/>
      <c r="T1727" s="5"/>
      <c r="U1727" s="5"/>
      <c r="V1727" s="5"/>
      <c r="W1727" s="5"/>
    </row>
    <row r="1728">
      <c r="A1728" s="5"/>
      <c r="B1728" s="5"/>
      <c r="C1728" s="5"/>
      <c r="D1728" s="5"/>
      <c r="E1728" s="5"/>
      <c r="F1728" s="5"/>
      <c r="G1728" s="5"/>
      <c r="H1728" s="5"/>
      <c r="I1728" s="5"/>
      <c r="J1728" s="5"/>
      <c r="K1728" s="5"/>
      <c r="L1728" s="5"/>
      <c r="M1728" s="5"/>
      <c r="N1728" s="5"/>
      <c r="O1728" s="5"/>
      <c r="P1728" s="5"/>
      <c r="Q1728" s="5"/>
      <c r="R1728" s="5"/>
      <c r="S1728" s="5"/>
      <c r="T1728" s="5"/>
      <c r="U1728" s="5"/>
      <c r="V1728" s="5"/>
      <c r="W1728" s="5"/>
    </row>
    <row r="1729">
      <c r="A1729" s="5"/>
      <c r="B1729" s="5"/>
      <c r="C1729" s="5"/>
      <c r="D1729" s="5"/>
      <c r="E1729" s="5"/>
      <c r="F1729" s="5"/>
      <c r="G1729" s="5"/>
      <c r="H1729" s="5"/>
      <c r="I1729" s="5"/>
      <c r="J1729" s="5"/>
      <c r="K1729" s="5"/>
      <c r="L1729" s="5"/>
      <c r="M1729" s="5"/>
      <c r="N1729" s="5"/>
      <c r="O1729" s="5"/>
      <c r="P1729" s="5"/>
      <c r="Q1729" s="5"/>
      <c r="R1729" s="5"/>
      <c r="S1729" s="5"/>
      <c r="T1729" s="5"/>
      <c r="U1729" s="5"/>
      <c r="V1729" s="5"/>
      <c r="W1729" s="5"/>
    </row>
    <row r="1730">
      <c r="A1730" s="5"/>
      <c r="B1730" s="5"/>
      <c r="C1730" s="5"/>
      <c r="D1730" s="5"/>
      <c r="E1730" s="5"/>
      <c r="F1730" s="5"/>
      <c r="G1730" s="5"/>
      <c r="H1730" s="5"/>
      <c r="I1730" s="5"/>
      <c r="J1730" s="5"/>
      <c r="K1730" s="5"/>
      <c r="L1730" s="5"/>
      <c r="M1730" s="5"/>
      <c r="N1730" s="5"/>
      <c r="O1730" s="5"/>
      <c r="P1730" s="5"/>
      <c r="Q1730" s="5"/>
      <c r="R1730" s="5"/>
      <c r="S1730" s="5"/>
      <c r="T1730" s="5"/>
      <c r="U1730" s="5"/>
      <c r="V1730" s="5"/>
      <c r="W1730" s="5"/>
    </row>
    <row r="1731">
      <c r="A1731" s="5"/>
      <c r="B1731" s="5"/>
      <c r="C1731" s="5"/>
      <c r="D1731" s="5"/>
      <c r="E1731" s="5"/>
      <c r="F1731" s="5"/>
      <c r="G1731" s="5"/>
      <c r="H1731" s="5"/>
      <c r="I1731" s="5"/>
      <c r="J1731" s="5"/>
      <c r="K1731" s="5"/>
      <c r="L1731" s="5"/>
      <c r="M1731" s="5"/>
      <c r="N1731" s="5"/>
      <c r="O1731" s="5"/>
      <c r="P1731" s="5"/>
      <c r="Q1731" s="5"/>
      <c r="R1731" s="5"/>
      <c r="S1731" s="5"/>
      <c r="T1731" s="5"/>
      <c r="U1731" s="5"/>
      <c r="V1731" s="5"/>
      <c r="W1731" s="5"/>
    </row>
    <row r="1732">
      <c r="A1732" s="5"/>
      <c r="B1732" s="5"/>
      <c r="C1732" s="5"/>
      <c r="D1732" s="5"/>
      <c r="E1732" s="5"/>
      <c r="F1732" s="5"/>
      <c r="G1732" s="5"/>
      <c r="H1732" s="5"/>
      <c r="I1732" s="5"/>
      <c r="J1732" s="5"/>
      <c r="K1732" s="5"/>
      <c r="L1732" s="5"/>
      <c r="M1732" s="5"/>
      <c r="N1732" s="5"/>
      <c r="O1732" s="5"/>
      <c r="P1732" s="5"/>
      <c r="Q1732" s="5"/>
      <c r="R1732" s="5"/>
      <c r="S1732" s="5"/>
      <c r="T1732" s="5"/>
      <c r="U1732" s="5"/>
      <c r="V1732" s="5"/>
      <c r="W1732" s="5"/>
    </row>
    <row r="1733">
      <c r="A1733" s="5"/>
      <c r="B1733" s="5"/>
      <c r="C1733" s="5"/>
      <c r="D1733" s="5"/>
      <c r="E1733" s="5"/>
      <c r="F1733" s="5"/>
      <c r="G1733" s="5"/>
      <c r="H1733" s="5"/>
      <c r="I1733" s="5"/>
      <c r="J1733" s="5"/>
      <c r="K1733" s="5"/>
      <c r="L1733" s="5"/>
      <c r="M1733" s="5"/>
      <c r="N1733" s="5"/>
      <c r="O1733" s="5"/>
      <c r="P1733" s="5"/>
      <c r="Q1733" s="5"/>
      <c r="R1733" s="5"/>
      <c r="S1733" s="5"/>
      <c r="T1733" s="5"/>
      <c r="U1733" s="5"/>
      <c r="V1733" s="5"/>
      <c r="W1733" s="5"/>
    </row>
    <row r="1734">
      <c r="A1734" s="5"/>
      <c r="B1734" s="5"/>
      <c r="C1734" s="5"/>
      <c r="D1734" s="5"/>
      <c r="E1734" s="5"/>
      <c r="F1734" s="5"/>
      <c r="G1734" s="5"/>
      <c r="H1734" s="5"/>
      <c r="I1734" s="5"/>
      <c r="J1734" s="5"/>
      <c r="K1734" s="5"/>
      <c r="L1734" s="5"/>
      <c r="M1734" s="5"/>
      <c r="N1734" s="5"/>
      <c r="O1734" s="5"/>
      <c r="P1734" s="5"/>
      <c r="Q1734" s="5"/>
      <c r="R1734" s="5"/>
      <c r="S1734" s="5"/>
      <c r="T1734" s="5"/>
      <c r="U1734" s="5"/>
      <c r="V1734" s="5"/>
      <c r="W1734" s="5"/>
    </row>
    <row r="1735">
      <c r="A1735" s="5"/>
      <c r="B1735" s="5"/>
      <c r="C1735" s="5"/>
      <c r="D1735" s="5"/>
      <c r="E1735" s="5"/>
      <c r="F1735" s="5"/>
      <c r="G1735" s="5"/>
      <c r="H1735" s="5"/>
      <c r="I1735" s="5"/>
      <c r="J1735" s="5"/>
      <c r="K1735" s="5"/>
      <c r="L1735" s="5"/>
      <c r="M1735" s="5"/>
      <c r="N1735" s="5"/>
      <c r="O1735" s="5"/>
      <c r="P1735" s="5"/>
      <c r="Q1735" s="5"/>
      <c r="R1735" s="5"/>
      <c r="S1735" s="5"/>
      <c r="T1735" s="5"/>
      <c r="U1735" s="5"/>
      <c r="V1735" s="5"/>
      <c r="W1735" s="5"/>
    </row>
    <row r="1736">
      <c r="A1736" s="5"/>
      <c r="B1736" s="5"/>
      <c r="C1736" s="5"/>
      <c r="D1736" s="5"/>
      <c r="E1736" s="5"/>
      <c r="F1736" s="5"/>
      <c r="G1736" s="5"/>
      <c r="H1736" s="5"/>
      <c r="I1736" s="5"/>
      <c r="J1736" s="5"/>
      <c r="K1736" s="5"/>
      <c r="L1736" s="5"/>
      <c r="M1736" s="5"/>
      <c r="N1736" s="5"/>
      <c r="O1736" s="5"/>
      <c r="P1736" s="5"/>
      <c r="Q1736" s="5"/>
      <c r="R1736" s="5"/>
      <c r="S1736" s="5"/>
      <c r="T1736" s="5"/>
      <c r="U1736" s="5"/>
      <c r="V1736" s="5"/>
      <c r="W1736" s="5"/>
    </row>
    <row r="1737">
      <c r="A1737" s="5"/>
      <c r="B1737" s="5"/>
      <c r="C1737" s="5"/>
      <c r="D1737" s="5"/>
      <c r="E1737" s="5"/>
      <c r="F1737" s="5"/>
      <c r="G1737" s="5"/>
      <c r="H1737" s="5"/>
      <c r="I1737" s="5"/>
      <c r="J1737" s="5"/>
      <c r="K1737" s="5"/>
      <c r="L1737" s="5"/>
      <c r="M1737" s="5"/>
      <c r="N1737" s="5"/>
      <c r="O1737" s="5"/>
      <c r="P1737" s="5"/>
      <c r="Q1737" s="5"/>
      <c r="R1737" s="5"/>
      <c r="S1737" s="5"/>
      <c r="T1737" s="5"/>
      <c r="U1737" s="5"/>
      <c r="V1737" s="5"/>
      <c r="W1737" s="5"/>
    </row>
    <row r="1738">
      <c r="A1738" s="5"/>
      <c r="B1738" s="5"/>
      <c r="C1738" s="5"/>
      <c r="D1738" s="5"/>
      <c r="E1738" s="5"/>
      <c r="F1738" s="5"/>
      <c r="G1738" s="5"/>
      <c r="H1738" s="5"/>
      <c r="I1738" s="5"/>
      <c r="J1738" s="5"/>
      <c r="K1738" s="5"/>
      <c r="L1738" s="5"/>
      <c r="M1738" s="5"/>
      <c r="N1738" s="5"/>
      <c r="O1738" s="5"/>
      <c r="P1738" s="5"/>
      <c r="Q1738" s="5"/>
      <c r="R1738" s="5"/>
      <c r="S1738" s="5"/>
      <c r="T1738" s="5"/>
      <c r="U1738" s="5"/>
      <c r="V1738" s="5"/>
      <c r="W1738" s="5"/>
    </row>
    <row r="1739">
      <c r="A1739" s="5"/>
      <c r="B1739" s="5"/>
      <c r="C1739" s="5"/>
      <c r="D1739" s="5"/>
      <c r="E1739" s="5"/>
      <c r="F1739" s="5"/>
      <c r="G1739" s="5"/>
      <c r="H1739" s="5"/>
      <c r="I1739" s="5"/>
      <c r="J1739" s="5"/>
      <c r="K1739" s="5"/>
      <c r="L1739" s="5"/>
      <c r="M1739" s="5"/>
      <c r="N1739" s="5"/>
      <c r="O1739" s="5"/>
      <c r="P1739" s="5"/>
      <c r="Q1739" s="5"/>
      <c r="R1739" s="5"/>
      <c r="S1739" s="5"/>
      <c r="T1739" s="5"/>
      <c r="U1739" s="5"/>
      <c r="V1739" s="5"/>
      <c r="W1739" s="5"/>
    </row>
    <row r="1740">
      <c r="A1740" s="5"/>
      <c r="B1740" s="5"/>
      <c r="C1740" s="5"/>
      <c r="D1740" s="5"/>
      <c r="E1740" s="5"/>
      <c r="F1740" s="5"/>
      <c r="G1740" s="5"/>
      <c r="H1740" s="5"/>
      <c r="I1740" s="5"/>
      <c r="J1740" s="5"/>
      <c r="K1740" s="5"/>
      <c r="L1740" s="5"/>
      <c r="M1740" s="5"/>
      <c r="N1740" s="5"/>
      <c r="O1740" s="5"/>
      <c r="P1740" s="5"/>
      <c r="Q1740" s="5"/>
      <c r="R1740" s="5"/>
      <c r="S1740" s="5"/>
      <c r="T1740" s="5"/>
      <c r="U1740" s="5"/>
      <c r="V1740" s="5"/>
      <c r="W1740" s="5"/>
    </row>
    <row r="1741">
      <c r="A1741" s="5"/>
      <c r="B1741" s="5"/>
      <c r="C1741" s="5"/>
      <c r="D1741" s="5"/>
      <c r="E1741" s="5"/>
      <c r="F1741" s="5"/>
      <c r="G1741" s="5"/>
      <c r="H1741" s="5"/>
      <c r="I1741" s="5"/>
      <c r="J1741" s="5"/>
      <c r="K1741" s="5"/>
      <c r="L1741" s="5"/>
      <c r="M1741" s="5"/>
      <c r="N1741" s="5"/>
      <c r="O1741" s="5"/>
      <c r="P1741" s="5"/>
      <c r="Q1741" s="5"/>
      <c r="R1741" s="5"/>
      <c r="S1741" s="5"/>
      <c r="T1741" s="5"/>
      <c r="U1741" s="5"/>
      <c r="V1741" s="5"/>
      <c r="W1741" s="5"/>
    </row>
    <row r="1742">
      <c r="A1742" s="5"/>
      <c r="B1742" s="5"/>
      <c r="C1742" s="5"/>
      <c r="D1742" s="5"/>
      <c r="E1742" s="5"/>
      <c r="F1742" s="5"/>
      <c r="G1742" s="5"/>
      <c r="H1742" s="5"/>
      <c r="I1742" s="5"/>
      <c r="J1742" s="5"/>
      <c r="K1742" s="5"/>
      <c r="L1742" s="5"/>
      <c r="M1742" s="5"/>
      <c r="N1742" s="5"/>
      <c r="O1742" s="5"/>
      <c r="P1742" s="5"/>
      <c r="Q1742" s="5"/>
      <c r="R1742" s="5"/>
      <c r="S1742" s="5"/>
      <c r="T1742" s="5"/>
      <c r="U1742" s="5"/>
      <c r="V1742" s="5"/>
      <c r="W1742" s="5"/>
    </row>
    <row r="1743">
      <c r="A1743" s="5"/>
      <c r="B1743" s="5"/>
      <c r="C1743" s="5"/>
      <c r="D1743" s="5"/>
      <c r="E1743" s="5"/>
      <c r="F1743" s="5"/>
      <c r="G1743" s="5"/>
      <c r="H1743" s="5"/>
      <c r="I1743" s="5"/>
      <c r="J1743" s="5"/>
      <c r="K1743" s="5"/>
      <c r="L1743" s="5"/>
      <c r="M1743" s="5"/>
      <c r="N1743" s="5"/>
      <c r="O1743" s="5"/>
      <c r="P1743" s="5"/>
      <c r="Q1743" s="5"/>
      <c r="R1743" s="5"/>
      <c r="S1743" s="5"/>
      <c r="T1743" s="5"/>
      <c r="U1743" s="5"/>
      <c r="V1743" s="5"/>
      <c r="W1743" s="5"/>
    </row>
    <row r="1744">
      <c r="A1744" s="5"/>
      <c r="B1744" s="5"/>
      <c r="C1744" s="5"/>
      <c r="D1744" s="5"/>
      <c r="E1744" s="5"/>
      <c r="F1744" s="5"/>
      <c r="G1744" s="5"/>
      <c r="H1744" s="5"/>
      <c r="I1744" s="5"/>
      <c r="J1744" s="5"/>
      <c r="K1744" s="5"/>
      <c r="L1744" s="5"/>
      <c r="M1744" s="5"/>
      <c r="N1744" s="5"/>
      <c r="O1744" s="5"/>
      <c r="P1744" s="5"/>
      <c r="Q1744" s="5"/>
      <c r="R1744" s="5"/>
      <c r="S1744" s="5"/>
      <c r="T1744" s="5"/>
      <c r="U1744" s="5"/>
      <c r="V1744" s="5"/>
      <c r="W1744" s="5"/>
    </row>
    <row r="1745">
      <c r="A1745" s="5"/>
      <c r="B1745" s="5"/>
      <c r="C1745" s="5"/>
      <c r="D1745" s="5"/>
      <c r="E1745" s="5"/>
      <c r="F1745" s="5"/>
      <c r="G1745" s="5"/>
      <c r="H1745" s="5"/>
      <c r="I1745" s="5"/>
      <c r="J1745" s="5"/>
      <c r="K1745" s="5"/>
      <c r="L1745" s="5"/>
      <c r="M1745" s="5"/>
      <c r="N1745" s="5"/>
      <c r="O1745" s="5"/>
      <c r="P1745" s="5"/>
      <c r="Q1745" s="5"/>
      <c r="R1745" s="5"/>
      <c r="S1745" s="5"/>
      <c r="T1745" s="5"/>
      <c r="U1745" s="5"/>
      <c r="V1745" s="5"/>
      <c r="W1745" s="5"/>
    </row>
    <row r="1746">
      <c r="A1746" s="5"/>
      <c r="B1746" s="5"/>
      <c r="C1746" s="5"/>
      <c r="D1746" s="5"/>
      <c r="E1746" s="5"/>
      <c r="F1746" s="5"/>
      <c r="G1746" s="5"/>
      <c r="H1746" s="5"/>
      <c r="I1746" s="5"/>
      <c r="J1746" s="5"/>
      <c r="K1746" s="5"/>
      <c r="L1746" s="5"/>
      <c r="M1746" s="5"/>
      <c r="N1746" s="5"/>
      <c r="O1746" s="5"/>
      <c r="P1746" s="5"/>
      <c r="Q1746" s="5"/>
      <c r="R1746" s="5"/>
      <c r="S1746" s="5"/>
      <c r="T1746" s="5"/>
      <c r="U1746" s="5"/>
      <c r="V1746" s="5"/>
      <c r="W1746" s="5"/>
    </row>
    <row r="1747">
      <c r="A1747" s="5"/>
      <c r="B1747" s="5"/>
      <c r="C1747" s="5"/>
      <c r="D1747" s="5"/>
      <c r="E1747" s="5"/>
      <c r="F1747" s="5"/>
      <c r="G1747" s="5"/>
      <c r="H1747" s="5"/>
      <c r="I1747" s="5"/>
      <c r="J1747" s="5"/>
      <c r="K1747" s="5"/>
      <c r="L1747" s="5"/>
      <c r="M1747" s="5"/>
      <c r="N1747" s="5"/>
      <c r="O1747" s="5"/>
      <c r="P1747" s="5"/>
      <c r="Q1747" s="5"/>
      <c r="R1747" s="5"/>
      <c r="S1747" s="5"/>
      <c r="T1747" s="5"/>
      <c r="U1747" s="5"/>
      <c r="V1747" s="5"/>
      <c r="W1747" s="5"/>
    </row>
    <row r="1748">
      <c r="A1748" s="5"/>
      <c r="B1748" s="5"/>
      <c r="C1748" s="5"/>
      <c r="D1748" s="5"/>
      <c r="E1748" s="5"/>
      <c r="F1748" s="5"/>
      <c r="G1748" s="5"/>
      <c r="H1748" s="5"/>
      <c r="I1748" s="5"/>
      <c r="J1748" s="5"/>
      <c r="K1748" s="5"/>
      <c r="L1748" s="5"/>
      <c r="M1748" s="5"/>
      <c r="N1748" s="5"/>
      <c r="O1748" s="5"/>
      <c r="P1748" s="5"/>
      <c r="Q1748" s="5"/>
      <c r="R1748" s="5"/>
      <c r="S1748" s="5"/>
      <c r="T1748" s="5"/>
      <c r="U1748" s="5"/>
      <c r="V1748" s="5"/>
      <c r="W1748" s="5"/>
    </row>
    <row r="1749">
      <c r="A1749" s="5"/>
      <c r="B1749" s="5"/>
      <c r="C1749" s="5"/>
      <c r="D1749" s="5"/>
      <c r="E1749" s="5"/>
      <c r="F1749" s="5"/>
      <c r="G1749" s="5"/>
      <c r="H1749" s="5"/>
      <c r="I1749" s="5"/>
      <c r="J1749" s="5"/>
      <c r="K1749" s="5"/>
      <c r="L1749" s="5"/>
      <c r="M1749" s="5"/>
      <c r="N1749" s="5"/>
      <c r="O1749" s="5"/>
      <c r="P1749" s="5"/>
      <c r="Q1749" s="5"/>
      <c r="R1749" s="5"/>
      <c r="S1749" s="5"/>
      <c r="T1749" s="5"/>
      <c r="U1749" s="5"/>
      <c r="V1749" s="5"/>
      <c r="W1749" s="5"/>
    </row>
    <row r="1750">
      <c r="A1750" s="5"/>
      <c r="B1750" s="5"/>
      <c r="C1750" s="5"/>
      <c r="D1750" s="5"/>
      <c r="E1750" s="5"/>
      <c r="F1750" s="5"/>
      <c r="G1750" s="5"/>
      <c r="H1750" s="5"/>
      <c r="I1750" s="5"/>
      <c r="J1750" s="5"/>
      <c r="K1750" s="5"/>
      <c r="L1750" s="5"/>
      <c r="M1750" s="5"/>
      <c r="N1750" s="5"/>
      <c r="O1750" s="5"/>
      <c r="P1750" s="5"/>
      <c r="Q1750" s="5"/>
      <c r="R1750" s="5"/>
      <c r="S1750" s="5"/>
      <c r="T1750" s="5"/>
      <c r="U1750" s="5"/>
      <c r="V1750" s="5"/>
      <c r="W1750" s="5"/>
    </row>
    <row r="1751">
      <c r="A1751" s="5"/>
      <c r="B1751" s="5"/>
      <c r="C1751" s="5"/>
      <c r="D1751" s="5"/>
      <c r="E1751" s="5"/>
      <c r="F1751" s="5"/>
      <c r="G1751" s="5"/>
      <c r="H1751" s="5"/>
      <c r="I1751" s="5"/>
      <c r="J1751" s="5"/>
      <c r="K1751" s="5"/>
      <c r="L1751" s="5"/>
      <c r="M1751" s="5"/>
      <c r="N1751" s="5"/>
      <c r="O1751" s="5"/>
      <c r="P1751" s="5"/>
      <c r="Q1751" s="5"/>
      <c r="R1751" s="5"/>
      <c r="S1751" s="5"/>
      <c r="T1751" s="5"/>
      <c r="U1751" s="5"/>
      <c r="V1751" s="5"/>
      <c r="W1751" s="5"/>
    </row>
    <row r="1752">
      <c r="A1752" s="5"/>
      <c r="B1752" s="5"/>
      <c r="C1752" s="5"/>
      <c r="D1752" s="5"/>
      <c r="E1752" s="5"/>
      <c r="F1752" s="5"/>
      <c r="G1752" s="5"/>
      <c r="H1752" s="5"/>
      <c r="I1752" s="5"/>
      <c r="J1752" s="5"/>
      <c r="K1752" s="5"/>
      <c r="L1752" s="5"/>
      <c r="M1752" s="5"/>
      <c r="N1752" s="5"/>
      <c r="O1752" s="5"/>
      <c r="P1752" s="5"/>
      <c r="Q1752" s="5"/>
      <c r="R1752" s="5"/>
      <c r="S1752" s="5"/>
      <c r="T1752" s="5"/>
      <c r="U1752" s="5"/>
      <c r="V1752" s="5"/>
      <c r="W1752" s="5"/>
    </row>
    <row r="1753">
      <c r="A1753" s="5"/>
      <c r="B1753" s="5"/>
      <c r="C1753" s="5"/>
      <c r="D1753" s="5"/>
      <c r="E1753" s="5"/>
      <c r="F1753" s="5"/>
      <c r="G1753" s="5"/>
      <c r="H1753" s="5"/>
      <c r="I1753" s="5"/>
      <c r="J1753" s="5"/>
      <c r="K1753" s="5"/>
      <c r="L1753" s="5"/>
      <c r="M1753" s="5"/>
      <c r="N1753" s="5"/>
      <c r="O1753" s="5"/>
      <c r="P1753" s="5"/>
      <c r="Q1753" s="5"/>
      <c r="R1753" s="5"/>
      <c r="S1753" s="5"/>
      <c r="T1753" s="5"/>
      <c r="U1753" s="5"/>
      <c r="V1753" s="5"/>
      <c r="W1753" s="5"/>
    </row>
    <row r="1754">
      <c r="A1754" s="5"/>
      <c r="B1754" s="5"/>
      <c r="C1754" s="5"/>
      <c r="D1754" s="5"/>
      <c r="E1754" s="5"/>
      <c r="F1754" s="5"/>
      <c r="G1754" s="5"/>
      <c r="H1754" s="5"/>
      <c r="I1754" s="5"/>
      <c r="J1754" s="5"/>
      <c r="K1754" s="5"/>
      <c r="L1754" s="5"/>
      <c r="M1754" s="5"/>
      <c r="N1754" s="5"/>
      <c r="O1754" s="5"/>
      <c r="P1754" s="5"/>
      <c r="Q1754" s="5"/>
      <c r="R1754" s="5"/>
      <c r="S1754" s="5"/>
      <c r="T1754" s="5"/>
      <c r="U1754" s="5"/>
      <c r="V1754" s="5"/>
      <c r="W1754" s="5"/>
    </row>
    <row r="1755">
      <c r="A1755" s="5"/>
      <c r="B1755" s="5"/>
      <c r="C1755" s="5"/>
      <c r="D1755" s="5"/>
      <c r="E1755" s="5"/>
      <c r="F1755" s="5"/>
      <c r="G1755" s="5"/>
      <c r="H1755" s="5"/>
      <c r="I1755" s="5"/>
      <c r="J1755" s="5"/>
      <c r="K1755" s="5"/>
      <c r="L1755" s="5"/>
      <c r="M1755" s="5"/>
      <c r="N1755" s="5"/>
      <c r="O1755" s="5"/>
      <c r="P1755" s="5"/>
      <c r="Q1755" s="5"/>
      <c r="R1755" s="5"/>
      <c r="S1755" s="5"/>
      <c r="T1755" s="5"/>
      <c r="U1755" s="5"/>
      <c r="V1755" s="5"/>
      <c r="W1755" s="5"/>
    </row>
    <row r="1756">
      <c r="A1756" s="5"/>
      <c r="B1756" s="5"/>
      <c r="C1756" s="5"/>
      <c r="D1756" s="5"/>
      <c r="E1756" s="5"/>
      <c r="F1756" s="5"/>
      <c r="G1756" s="5"/>
      <c r="H1756" s="5"/>
      <c r="I1756" s="5"/>
      <c r="J1756" s="5"/>
      <c r="K1756" s="5"/>
      <c r="L1756" s="5"/>
      <c r="M1756" s="5"/>
      <c r="N1756" s="5"/>
      <c r="O1756" s="5"/>
      <c r="P1756" s="5"/>
      <c r="Q1756" s="5"/>
      <c r="R1756" s="5"/>
      <c r="S1756" s="5"/>
      <c r="T1756" s="5"/>
      <c r="U1756" s="5"/>
      <c r="V1756" s="5"/>
      <c r="W1756" s="5"/>
    </row>
    <row r="1757">
      <c r="A1757" s="5"/>
      <c r="B1757" s="5"/>
      <c r="C1757" s="5"/>
      <c r="D1757" s="5"/>
      <c r="E1757" s="5"/>
      <c r="F1757" s="5"/>
      <c r="G1757" s="5"/>
      <c r="H1757" s="5"/>
      <c r="I1757" s="5"/>
      <c r="J1757" s="5"/>
      <c r="K1757" s="5"/>
      <c r="L1757" s="5"/>
      <c r="M1757" s="5"/>
      <c r="N1757" s="5"/>
      <c r="O1757" s="5"/>
      <c r="P1757" s="5"/>
      <c r="Q1757" s="5"/>
      <c r="R1757" s="5"/>
      <c r="S1757" s="5"/>
      <c r="T1757" s="5"/>
      <c r="U1757" s="5"/>
      <c r="V1757" s="5"/>
      <c r="W1757" s="5"/>
    </row>
    <row r="1758">
      <c r="A1758" s="5"/>
      <c r="B1758" s="5"/>
      <c r="C1758" s="5"/>
      <c r="D1758" s="5"/>
      <c r="E1758" s="5"/>
      <c r="F1758" s="5"/>
      <c r="G1758" s="5"/>
      <c r="H1758" s="5"/>
      <c r="I1758" s="5"/>
      <c r="J1758" s="5"/>
      <c r="K1758" s="5"/>
      <c r="L1758" s="5"/>
      <c r="M1758" s="5"/>
      <c r="N1758" s="5"/>
      <c r="O1758" s="5"/>
      <c r="P1758" s="5"/>
      <c r="Q1758" s="5"/>
      <c r="R1758" s="5"/>
      <c r="S1758" s="5"/>
      <c r="T1758" s="5"/>
      <c r="U1758" s="5"/>
      <c r="V1758" s="5"/>
      <c r="W1758" s="5"/>
    </row>
    <row r="1759">
      <c r="A1759" s="5"/>
      <c r="B1759" s="5"/>
      <c r="C1759" s="5"/>
      <c r="D1759" s="5"/>
      <c r="E1759" s="5"/>
      <c r="F1759" s="5"/>
      <c r="G1759" s="5"/>
      <c r="H1759" s="5"/>
      <c r="I1759" s="5"/>
      <c r="J1759" s="5"/>
      <c r="K1759" s="5"/>
      <c r="L1759" s="5"/>
      <c r="M1759" s="5"/>
      <c r="N1759" s="5"/>
      <c r="O1759" s="5"/>
      <c r="P1759" s="5"/>
      <c r="Q1759" s="5"/>
      <c r="R1759" s="5"/>
      <c r="S1759" s="5"/>
      <c r="T1759" s="5"/>
      <c r="U1759" s="5"/>
      <c r="V1759" s="5"/>
      <c r="W1759" s="5"/>
    </row>
    <row r="1760">
      <c r="A1760" s="5"/>
      <c r="B1760" s="5"/>
      <c r="C1760" s="5"/>
      <c r="D1760" s="5"/>
      <c r="E1760" s="5"/>
      <c r="F1760" s="5"/>
      <c r="G1760" s="5"/>
      <c r="H1760" s="5"/>
      <c r="I1760" s="5"/>
      <c r="J1760" s="5"/>
      <c r="K1760" s="5"/>
      <c r="L1760" s="5"/>
      <c r="M1760" s="5"/>
      <c r="N1760" s="5"/>
      <c r="O1760" s="5"/>
      <c r="P1760" s="5"/>
      <c r="Q1760" s="5"/>
      <c r="R1760" s="5"/>
      <c r="S1760" s="5"/>
      <c r="T1760" s="5"/>
      <c r="U1760" s="5"/>
      <c r="V1760" s="5"/>
      <c r="W1760" s="5"/>
    </row>
    <row r="1761">
      <c r="A1761" s="5"/>
      <c r="B1761" s="5"/>
      <c r="C1761" s="5"/>
      <c r="D1761" s="5"/>
      <c r="E1761" s="5"/>
      <c r="F1761" s="5"/>
      <c r="G1761" s="5"/>
      <c r="H1761" s="5"/>
      <c r="I1761" s="5"/>
      <c r="J1761" s="5"/>
      <c r="K1761" s="5"/>
      <c r="L1761" s="5"/>
      <c r="M1761" s="5"/>
      <c r="N1761" s="5"/>
      <c r="O1761" s="5"/>
      <c r="P1761" s="5"/>
      <c r="Q1761" s="5"/>
      <c r="R1761" s="5"/>
      <c r="S1761" s="5"/>
      <c r="T1761" s="5"/>
      <c r="U1761" s="5"/>
      <c r="V1761" s="5"/>
      <c r="W1761" s="5"/>
    </row>
    <row r="1762">
      <c r="A1762" s="5"/>
      <c r="B1762" s="5"/>
      <c r="C1762" s="5"/>
      <c r="D1762" s="5"/>
      <c r="E1762" s="5"/>
      <c r="F1762" s="5"/>
      <c r="G1762" s="5"/>
      <c r="H1762" s="5"/>
      <c r="I1762" s="5"/>
      <c r="J1762" s="5"/>
      <c r="K1762" s="5"/>
      <c r="L1762" s="5"/>
      <c r="M1762" s="5"/>
      <c r="N1762" s="5"/>
      <c r="O1762" s="5"/>
      <c r="P1762" s="5"/>
      <c r="Q1762" s="5"/>
      <c r="R1762" s="5"/>
      <c r="S1762" s="5"/>
      <c r="T1762" s="5"/>
      <c r="U1762" s="5"/>
      <c r="V1762" s="5"/>
      <c r="W1762" s="5"/>
    </row>
    <row r="1763">
      <c r="A1763" s="5"/>
      <c r="B1763" s="5"/>
      <c r="C1763" s="5"/>
      <c r="D1763" s="5"/>
      <c r="E1763" s="5"/>
      <c r="F1763" s="5"/>
      <c r="G1763" s="5"/>
      <c r="H1763" s="5"/>
      <c r="I1763" s="5"/>
      <c r="J1763" s="5"/>
      <c r="K1763" s="5"/>
      <c r="L1763" s="5"/>
      <c r="M1763" s="5"/>
      <c r="N1763" s="5"/>
      <c r="O1763" s="5"/>
      <c r="P1763" s="5"/>
      <c r="Q1763" s="5"/>
      <c r="R1763" s="5"/>
      <c r="S1763" s="5"/>
      <c r="T1763" s="5"/>
      <c r="U1763" s="5"/>
      <c r="V1763" s="5"/>
      <c r="W1763" s="5"/>
    </row>
    <row r="1764">
      <c r="A1764" s="5"/>
      <c r="B1764" s="5"/>
      <c r="C1764" s="5"/>
      <c r="D1764" s="5"/>
      <c r="E1764" s="5"/>
      <c r="F1764" s="5"/>
      <c r="G1764" s="5"/>
      <c r="H1764" s="5"/>
      <c r="I1764" s="5"/>
      <c r="J1764" s="5"/>
      <c r="K1764" s="5"/>
      <c r="L1764" s="5"/>
      <c r="M1764" s="5"/>
      <c r="N1764" s="5"/>
      <c r="O1764" s="5"/>
      <c r="P1764" s="5"/>
      <c r="Q1764" s="5"/>
      <c r="R1764" s="5"/>
      <c r="S1764" s="5"/>
      <c r="T1764" s="5"/>
      <c r="U1764" s="5"/>
      <c r="V1764" s="5"/>
      <c r="W1764" s="5"/>
    </row>
    <row r="1765">
      <c r="A1765" s="5"/>
      <c r="B1765" s="5"/>
      <c r="C1765" s="5"/>
      <c r="D1765" s="5"/>
      <c r="E1765" s="5"/>
      <c r="F1765" s="5"/>
      <c r="G1765" s="5"/>
      <c r="H1765" s="5"/>
      <c r="I1765" s="5"/>
      <c r="J1765" s="5"/>
      <c r="K1765" s="5"/>
      <c r="L1765" s="5"/>
      <c r="M1765" s="5"/>
      <c r="N1765" s="5"/>
      <c r="O1765" s="5"/>
      <c r="P1765" s="5"/>
      <c r="Q1765" s="5"/>
      <c r="R1765" s="5"/>
      <c r="S1765" s="5"/>
      <c r="T1765" s="5"/>
      <c r="U1765" s="5"/>
      <c r="V1765" s="5"/>
      <c r="W1765" s="5"/>
    </row>
    <row r="1766">
      <c r="A1766" s="5"/>
      <c r="B1766" s="5"/>
      <c r="C1766" s="5"/>
      <c r="D1766" s="5"/>
      <c r="E1766" s="5"/>
      <c r="F1766" s="5"/>
      <c r="G1766" s="5"/>
      <c r="H1766" s="5"/>
      <c r="I1766" s="5"/>
      <c r="J1766" s="5"/>
      <c r="K1766" s="5"/>
      <c r="L1766" s="5"/>
      <c r="M1766" s="5"/>
      <c r="N1766" s="5"/>
      <c r="O1766" s="5"/>
      <c r="P1766" s="5"/>
      <c r="Q1766" s="5"/>
      <c r="R1766" s="5"/>
      <c r="S1766" s="5"/>
      <c r="T1766" s="5"/>
      <c r="U1766" s="5"/>
      <c r="V1766" s="5"/>
      <c r="W1766" s="5"/>
    </row>
    <row r="1767">
      <c r="A1767" s="5"/>
      <c r="B1767" s="5"/>
      <c r="C1767" s="5"/>
      <c r="D1767" s="5"/>
      <c r="E1767" s="5"/>
      <c r="F1767" s="5"/>
      <c r="G1767" s="5"/>
      <c r="H1767" s="5"/>
      <c r="I1767" s="5"/>
      <c r="J1767" s="5"/>
      <c r="K1767" s="5"/>
      <c r="L1767" s="5"/>
      <c r="M1767" s="5"/>
      <c r="N1767" s="5"/>
      <c r="O1767" s="5"/>
      <c r="P1767" s="5"/>
      <c r="Q1767" s="5"/>
      <c r="R1767" s="5"/>
      <c r="S1767" s="5"/>
      <c r="T1767" s="5"/>
      <c r="U1767" s="5"/>
      <c r="V1767" s="5"/>
      <c r="W1767" s="5"/>
    </row>
    <row r="1768">
      <c r="A1768" s="5"/>
      <c r="B1768" s="5"/>
      <c r="C1768" s="5"/>
      <c r="D1768" s="5"/>
      <c r="E1768" s="5"/>
      <c r="F1768" s="5"/>
      <c r="G1768" s="5"/>
      <c r="H1768" s="5"/>
      <c r="I1768" s="5"/>
      <c r="J1768" s="5"/>
      <c r="K1768" s="5"/>
      <c r="L1768" s="5"/>
      <c r="M1768" s="5"/>
      <c r="N1768" s="5"/>
      <c r="O1768" s="5"/>
      <c r="P1768" s="5"/>
      <c r="Q1768" s="5"/>
      <c r="R1768" s="5"/>
      <c r="S1768" s="5"/>
      <c r="T1768" s="5"/>
      <c r="U1768" s="5"/>
      <c r="V1768" s="5"/>
      <c r="W1768" s="5"/>
    </row>
    <row r="1769">
      <c r="A1769" s="5"/>
      <c r="B1769" s="5"/>
      <c r="C1769" s="5"/>
      <c r="D1769" s="5"/>
      <c r="E1769" s="5"/>
      <c r="F1769" s="5"/>
      <c r="G1769" s="5"/>
      <c r="H1769" s="5"/>
      <c r="I1769" s="5"/>
      <c r="J1769" s="5"/>
      <c r="K1769" s="5"/>
      <c r="L1769" s="5"/>
      <c r="M1769" s="5"/>
      <c r="N1769" s="5"/>
      <c r="O1769" s="5"/>
      <c r="P1769" s="5"/>
      <c r="Q1769" s="5"/>
      <c r="R1769" s="5"/>
      <c r="S1769" s="5"/>
      <c r="T1769" s="5"/>
      <c r="U1769" s="5"/>
      <c r="V1769" s="5"/>
      <c r="W1769" s="5"/>
    </row>
    <row r="1770">
      <c r="A1770" s="5"/>
      <c r="B1770" s="5"/>
      <c r="C1770" s="5"/>
      <c r="D1770" s="5"/>
      <c r="E1770" s="5"/>
      <c r="F1770" s="5"/>
      <c r="G1770" s="5"/>
      <c r="H1770" s="5"/>
      <c r="I1770" s="5"/>
      <c r="J1770" s="5"/>
      <c r="K1770" s="5"/>
      <c r="L1770" s="5"/>
      <c r="M1770" s="5"/>
      <c r="N1770" s="5"/>
      <c r="O1770" s="5"/>
      <c r="P1770" s="5"/>
      <c r="Q1770" s="5"/>
      <c r="R1770" s="5"/>
      <c r="S1770" s="5"/>
      <c r="T1770" s="5"/>
      <c r="U1770" s="5"/>
      <c r="V1770" s="5"/>
      <c r="W1770" s="5"/>
    </row>
    <row r="1771">
      <c r="A1771" s="5"/>
      <c r="B1771" s="5"/>
      <c r="C1771" s="5"/>
      <c r="D1771" s="5"/>
      <c r="E1771" s="5"/>
      <c r="F1771" s="5"/>
      <c r="G1771" s="5"/>
      <c r="H1771" s="5"/>
      <c r="I1771" s="5"/>
      <c r="J1771" s="5"/>
      <c r="K1771" s="5"/>
      <c r="L1771" s="5"/>
      <c r="M1771" s="5"/>
      <c r="N1771" s="5"/>
      <c r="O1771" s="5"/>
      <c r="P1771" s="5"/>
      <c r="Q1771" s="5"/>
      <c r="R1771" s="5"/>
      <c r="S1771" s="5"/>
      <c r="T1771" s="5"/>
      <c r="U1771" s="5"/>
      <c r="V1771" s="5"/>
      <c r="W1771" s="5"/>
    </row>
    <row r="1772">
      <c r="A1772" s="5"/>
      <c r="B1772" s="5"/>
      <c r="C1772" s="5"/>
      <c r="D1772" s="5"/>
      <c r="E1772" s="5"/>
      <c r="F1772" s="5"/>
      <c r="G1772" s="5"/>
      <c r="H1772" s="5"/>
      <c r="I1772" s="5"/>
      <c r="J1772" s="5"/>
      <c r="K1772" s="5"/>
      <c r="L1772" s="5"/>
      <c r="M1772" s="5"/>
      <c r="N1772" s="5"/>
      <c r="O1772" s="5"/>
      <c r="P1772" s="5"/>
      <c r="Q1772" s="5"/>
      <c r="R1772" s="5"/>
      <c r="S1772" s="5"/>
      <c r="T1772" s="5"/>
      <c r="U1772" s="5"/>
      <c r="V1772" s="5"/>
      <c r="W1772" s="5"/>
    </row>
    <row r="1773">
      <c r="A1773" s="5"/>
      <c r="B1773" s="5"/>
      <c r="C1773" s="5"/>
      <c r="D1773" s="5"/>
      <c r="E1773" s="5"/>
      <c r="F1773" s="5"/>
      <c r="G1773" s="5"/>
      <c r="H1773" s="5"/>
      <c r="I1773" s="5"/>
      <c r="J1773" s="5"/>
      <c r="K1773" s="5"/>
      <c r="L1773" s="5"/>
      <c r="M1773" s="5"/>
      <c r="N1773" s="5"/>
      <c r="O1773" s="5"/>
      <c r="P1773" s="5"/>
      <c r="Q1773" s="5"/>
      <c r="R1773" s="5"/>
      <c r="S1773" s="5"/>
      <c r="T1773" s="5"/>
      <c r="U1773" s="5"/>
      <c r="V1773" s="5"/>
      <c r="W1773" s="5"/>
    </row>
    <row r="1774">
      <c r="A1774" s="5"/>
      <c r="B1774" s="5"/>
      <c r="C1774" s="5"/>
      <c r="D1774" s="5"/>
      <c r="E1774" s="5"/>
      <c r="F1774" s="5"/>
      <c r="G1774" s="5"/>
      <c r="H1774" s="5"/>
      <c r="I1774" s="5"/>
      <c r="J1774" s="5"/>
      <c r="K1774" s="5"/>
      <c r="L1774" s="5"/>
      <c r="M1774" s="5"/>
      <c r="N1774" s="5"/>
      <c r="O1774" s="5"/>
      <c r="P1774" s="5"/>
      <c r="Q1774" s="5"/>
      <c r="R1774" s="5"/>
      <c r="S1774" s="5"/>
      <c r="T1774" s="5"/>
      <c r="U1774" s="5"/>
      <c r="V1774" s="5"/>
      <c r="W1774" s="5"/>
    </row>
    <row r="1775">
      <c r="A1775" s="5"/>
      <c r="B1775" s="5"/>
      <c r="C1775" s="5"/>
      <c r="D1775" s="5"/>
      <c r="E1775" s="5"/>
      <c r="F1775" s="5"/>
      <c r="G1775" s="5"/>
      <c r="H1775" s="5"/>
      <c r="I1775" s="5"/>
      <c r="J1775" s="5"/>
      <c r="K1775" s="5"/>
      <c r="L1775" s="5"/>
      <c r="M1775" s="5"/>
      <c r="N1775" s="5"/>
      <c r="O1775" s="5"/>
      <c r="P1775" s="5"/>
      <c r="Q1775" s="5"/>
      <c r="R1775" s="5"/>
      <c r="S1775" s="5"/>
      <c r="T1775" s="5"/>
      <c r="U1775" s="5"/>
      <c r="V1775" s="5"/>
      <c r="W1775" s="5"/>
    </row>
    <row r="1776">
      <c r="A1776" s="5"/>
      <c r="B1776" s="5"/>
      <c r="C1776" s="5"/>
      <c r="D1776" s="5"/>
      <c r="E1776" s="5"/>
      <c r="F1776" s="5"/>
      <c r="G1776" s="5"/>
      <c r="H1776" s="5"/>
      <c r="I1776" s="5"/>
      <c r="J1776" s="5"/>
      <c r="K1776" s="5"/>
      <c r="L1776" s="5"/>
      <c r="M1776" s="5"/>
      <c r="N1776" s="5"/>
      <c r="O1776" s="5"/>
      <c r="P1776" s="5"/>
      <c r="Q1776" s="5"/>
      <c r="R1776" s="5"/>
      <c r="S1776" s="5"/>
      <c r="T1776" s="5"/>
      <c r="U1776" s="5"/>
      <c r="V1776" s="5"/>
      <c r="W1776" s="5"/>
    </row>
    <row r="1777">
      <c r="A1777" s="5"/>
      <c r="B1777" s="5"/>
      <c r="C1777" s="5"/>
      <c r="D1777" s="5"/>
      <c r="E1777" s="5"/>
      <c r="F1777" s="5"/>
      <c r="G1777" s="5"/>
      <c r="H1777" s="5"/>
      <c r="I1777" s="5"/>
      <c r="J1777" s="5"/>
      <c r="K1777" s="5"/>
      <c r="L1777" s="5"/>
      <c r="M1777" s="5"/>
      <c r="N1777" s="5"/>
      <c r="O1777" s="5"/>
      <c r="P1777" s="5"/>
      <c r="Q1777" s="5"/>
      <c r="R1777" s="5"/>
      <c r="S1777" s="5"/>
      <c r="T1777" s="5"/>
      <c r="U1777" s="5"/>
      <c r="V1777" s="5"/>
      <c r="W1777" s="5"/>
    </row>
    <row r="1778">
      <c r="A1778" s="5"/>
      <c r="B1778" s="5"/>
      <c r="C1778" s="5"/>
      <c r="D1778" s="5"/>
      <c r="E1778" s="5"/>
      <c r="F1778" s="5"/>
      <c r="G1778" s="5"/>
      <c r="H1778" s="5"/>
      <c r="I1778" s="5"/>
      <c r="J1778" s="5"/>
      <c r="K1778" s="5"/>
      <c r="L1778" s="5"/>
      <c r="M1778" s="5"/>
      <c r="N1778" s="5"/>
      <c r="O1778" s="5"/>
      <c r="P1778" s="5"/>
      <c r="Q1778" s="5"/>
      <c r="R1778" s="5"/>
      <c r="S1778" s="5"/>
      <c r="T1778" s="5"/>
      <c r="U1778" s="5"/>
      <c r="V1778" s="5"/>
      <c r="W1778" s="5"/>
    </row>
    <row r="1779">
      <c r="A1779" s="5"/>
      <c r="B1779" s="5"/>
      <c r="C1779" s="5"/>
      <c r="D1779" s="5"/>
      <c r="E1779" s="5"/>
      <c r="F1779" s="5"/>
      <c r="G1779" s="5"/>
      <c r="H1779" s="5"/>
      <c r="I1779" s="5"/>
      <c r="J1779" s="5"/>
      <c r="K1779" s="5"/>
      <c r="L1779" s="5"/>
      <c r="M1779" s="5"/>
      <c r="N1779" s="5"/>
      <c r="O1779" s="5"/>
      <c r="P1779" s="5"/>
      <c r="Q1779" s="5"/>
      <c r="R1779" s="5"/>
      <c r="S1779" s="5"/>
      <c r="T1779" s="5"/>
      <c r="U1779" s="5"/>
      <c r="V1779" s="5"/>
      <c r="W1779" s="5"/>
    </row>
    <row r="1780">
      <c r="A1780" s="5"/>
      <c r="B1780" s="5"/>
      <c r="C1780" s="5"/>
      <c r="D1780" s="5"/>
      <c r="E1780" s="5"/>
      <c r="F1780" s="5"/>
      <c r="G1780" s="5"/>
      <c r="H1780" s="5"/>
      <c r="I1780" s="5"/>
      <c r="J1780" s="5"/>
      <c r="K1780" s="5"/>
      <c r="L1780" s="5"/>
      <c r="M1780" s="5"/>
      <c r="N1780" s="5"/>
      <c r="O1780" s="5"/>
      <c r="P1780" s="5"/>
      <c r="Q1780" s="5"/>
      <c r="R1780" s="5"/>
      <c r="S1780" s="5"/>
      <c r="T1780" s="5"/>
      <c r="U1780" s="5"/>
      <c r="V1780" s="5"/>
      <c r="W1780" s="5"/>
    </row>
    <row r="1781">
      <c r="A1781" s="5"/>
      <c r="B1781" s="5"/>
      <c r="C1781" s="5"/>
      <c r="D1781" s="5"/>
      <c r="E1781" s="5"/>
      <c r="F1781" s="5"/>
      <c r="G1781" s="5"/>
      <c r="H1781" s="5"/>
      <c r="I1781" s="5"/>
      <c r="J1781" s="5"/>
      <c r="K1781" s="5"/>
      <c r="L1781" s="5"/>
      <c r="M1781" s="5"/>
      <c r="N1781" s="5"/>
      <c r="O1781" s="5"/>
      <c r="P1781" s="5"/>
      <c r="Q1781" s="5"/>
      <c r="R1781" s="5"/>
      <c r="S1781" s="5"/>
      <c r="T1781" s="5"/>
      <c r="U1781" s="5"/>
      <c r="V1781" s="5"/>
      <c r="W1781" s="5"/>
    </row>
    <row r="1782">
      <c r="A1782" s="5"/>
      <c r="B1782" s="5"/>
      <c r="C1782" s="5"/>
      <c r="D1782" s="5"/>
      <c r="E1782" s="5"/>
      <c r="F1782" s="5"/>
      <c r="G1782" s="5"/>
      <c r="H1782" s="5"/>
      <c r="I1782" s="5"/>
      <c r="J1782" s="5"/>
      <c r="K1782" s="5"/>
      <c r="L1782" s="5"/>
      <c r="M1782" s="5"/>
      <c r="N1782" s="5"/>
      <c r="O1782" s="5"/>
      <c r="P1782" s="5"/>
      <c r="Q1782" s="5"/>
      <c r="R1782" s="5"/>
      <c r="S1782" s="5"/>
      <c r="T1782" s="5"/>
      <c r="U1782" s="5"/>
      <c r="V1782" s="5"/>
      <c r="W1782" s="5"/>
    </row>
    <row r="1783">
      <c r="A1783" s="5"/>
      <c r="B1783" s="5"/>
      <c r="C1783" s="5"/>
      <c r="D1783" s="5"/>
      <c r="E1783" s="5"/>
      <c r="F1783" s="5"/>
      <c r="G1783" s="5"/>
      <c r="H1783" s="5"/>
      <c r="I1783" s="5"/>
      <c r="J1783" s="5"/>
      <c r="K1783" s="5"/>
      <c r="L1783" s="5"/>
      <c r="M1783" s="5"/>
      <c r="N1783" s="5"/>
      <c r="O1783" s="5"/>
      <c r="P1783" s="5"/>
      <c r="Q1783" s="5"/>
      <c r="R1783" s="5"/>
      <c r="S1783" s="5"/>
      <c r="T1783" s="5"/>
      <c r="U1783" s="5"/>
      <c r="V1783" s="5"/>
      <c r="W1783" s="5"/>
    </row>
    <row r="1784">
      <c r="A1784" s="5"/>
      <c r="B1784" s="5"/>
      <c r="C1784" s="5"/>
      <c r="D1784" s="5"/>
      <c r="E1784" s="5"/>
      <c r="F1784" s="5"/>
      <c r="G1784" s="5"/>
      <c r="H1784" s="5"/>
      <c r="I1784" s="5"/>
      <c r="J1784" s="5"/>
      <c r="K1784" s="5"/>
      <c r="L1784" s="5"/>
      <c r="M1784" s="5"/>
      <c r="N1784" s="5"/>
      <c r="O1784" s="5"/>
      <c r="P1784" s="5"/>
      <c r="Q1784" s="5"/>
      <c r="R1784" s="5"/>
      <c r="S1784" s="5"/>
      <c r="T1784" s="5"/>
      <c r="U1784" s="5"/>
      <c r="V1784" s="5"/>
      <c r="W1784" s="5"/>
    </row>
    <row r="1785">
      <c r="A1785" s="5"/>
      <c r="B1785" s="5"/>
      <c r="C1785" s="5"/>
      <c r="D1785" s="5"/>
      <c r="E1785" s="5"/>
      <c r="F1785" s="5"/>
      <c r="G1785" s="5"/>
      <c r="H1785" s="5"/>
      <c r="I1785" s="5"/>
      <c r="J1785" s="5"/>
      <c r="K1785" s="5"/>
      <c r="L1785" s="5"/>
      <c r="M1785" s="5"/>
      <c r="N1785" s="5"/>
      <c r="O1785" s="5"/>
      <c r="P1785" s="5"/>
      <c r="Q1785" s="5"/>
      <c r="R1785" s="5"/>
      <c r="S1785" s="5"/>
      <c r="T1785" s="5"/>
      <c r="U1785" s="5"/>
      <c r="V1785" s="5"/>
      <c r="W1785" s="5"/>
    </row>
    <row r="1786">
      <c r="A1786" s="5"/>
      <c r="B1786" s="5"/>
      <c r="C1786" s="5"/>
      <c r="D1786" s="5"/>
      <c r="E1786" s="5"/>
      <c r="F1786" s="5"/>
      <c r="G1786" s="5"/>
      <c r="H1786" s="5"/>
      <c r="I1786" s="5"/>
      <c r="J1786" s="5"/>
      <c r="K1786" s="5"/>
      <c r="L1786" s="5"/>
      <c r="M1786" s="5"/>
      <c r="N1786" s="5"/>
      <c r="O1786" s="5"/>
      <c r="P1786" s="5"/>
      <c r="Q1786" s="5"/>
      <c r="R1786" s="5"/>
      <c r="S1786" s="5"/>
      <c r="T1786" s="5"/>
      <c r="U1786" s="5"/>
      <c r="V1786" s="5"/>
      <c r="W1786" s="5"/>
    </row>
    <row r="1787">
      <c r="A1787" s="5"/>
      <c r="B1787" s="5"/>
      <c r="C1787" s="5"/>
      <c r="D1787" s="5"/>
      <c r="E1787" s="5"/>
      <c r="F1787" s="5"/>
      <c r="G1787" s="5"/>
      <c r="H1787" s="5"/>
      <c r="I1787" s="5"/>
      <c r="J1787" s="5"/>
      <c r="K1787" s="5"/>
      <c r="L1787" s="5"/>
      <c r="M1787" s="5"/>
      <c r="N1787" s="5"/>
      <c r="O1787" s="5"/>
      <c r="P1787" s="5"/>
      <c r="Q1787" s="5"/>
      <c r="R1787" s="5"/>
      <c r="S1787" s="5"/>
      <c r="T1787" s="5"/>
      <c r="U1787" s="5"/>
      <c r="V1787" s="5"/>
      <c r="W1787" s="5"/>
    </row>
    <row r="1788">
      <c r="A1788" s="5"/>
      <c r="B1788" s="5"/>
      <c r="C1788" s="5"/>
      <c r="D1788" s="5"/>
      <c r="E1788" s="5"/>
      <c r="F1788" s="5"/>
      <c r="G1788" s="5"/>
      <c r="H1788" s="5"/>
      <c r="I1788" s="5"/>
      <c r="J1788" s="5"/>
      <c r="K1788" s="5"/>
      <c r="L1788" s="5"/>
      <c r="M1788" s="5"/>
      <c r="N1788" s="5"/>
      <c r="O1788" s="5"/>
      <c r="P1788" s="5"/>
      <c r="Q1788" s="5"/>
      <c r="R1788" s="5"/>
      <c r="S1788" s="5"/>
      <c r="T1788" s="5"/>
      <c r="U1788" s="5"/>
      <c r="V1788" s="5"/>
      <c r="W1788" s="5"/>
    </row>
    <row r="1789">
      <c r="A1789" s="5"/>
      <c r="B1789" s="5"/>
      <c r="C1789" s="5"/>
      <c r="D1789" s="5"/>
      <c r="E1789" s="5"/>
      <c r="F1789" s="5"/>
      <c r="G1789" s="5"/>
      <c r="H1789" s="5"/>
      <c r="I1789" s="5"/>
      <c r="J1789" s="5"/>
      <c r="K1789" s="5"/>
      <c r="L1789" s="5"/>
      <c r="M1789" s="5"/>
      <c r="N1789" s="5"/>
      <c r="O1789" s="5"/>
      <c r="P1789" s="5"/>
      <c r="Q1789" s="5"/>
      <c r="R1789" s="5"/>
      <c r="S1789" s="5"/>
      <c r="T1789" s="5"/>
      <c r="U1789" s="5"/>
      <c r="V1789" s="5"/>
      <c r="W1789" s="5"/>
    </row>
    <row r="1790">
      <c r="A1790" s="5"/>
      <c r="B1790" s="5"/>
      <c r="C1790" s="5"/>
      <c r="D1790" s="5"/>
      <c r="E1790" s="5"/>
      <c r="F1790" s="5"/>
      <c r="G1790" s="5"/>
      <c r="H1790" s="5"/>
      <c r="I1790" s="5"/>
      <c r="J1790" s="5"/>
      <c r="K1790" s="5"/>
      <c r="L1790" s="5"/>
      <c r="M1790" s="5"/>
      <c r="N1790" s="5"/>
      <c r="O1790" s="5"/>
      <c r="P1790" s="5"/>
      <c r="Q1790" s="5"/>
      <c r="R1790" s="5"/>
      <c r="S1790" s="5"/>
      <c r="T1790" s="5"/>
      <c r="U1790" s="5"/>
      <c r="V1790" s="5"/>
      <c r="W1790" s="5"/>
    </row>
    <row r="1791">
      <c r="A1791" s="5"/>
      <c r="B1791" s="5"/>
      <c r="C1791" s="5"/>
      <c r="D1791" s="5"/>
      <c r="E1791" s="5"/>
      <c r="F1791" s="5"/>
      <c r="G1791" s="5"/>
      <c r="H1791" s="5"/>
      <c r="I1791" s="5"/>
      <c r="J1791" s="5"/>
      <c r="K1791" s="5"/>
      <c r="L1791" s="5"/>
      <c r="M1791" s="5"/>
      <c r="N1791" s="5"/>
      <c r="O1791" s="5"/>
      <c r="P1791" s="5"/>
      <c r="Q1791" s="5"/>
      <c r="R1791" s="5"/>
      <c r="S1791" s="5"/>
      <c r="T1791" s="5"/>
      <c r="U1791" s="5"/>
      <c r="V1791" s="5"/>
      <c r="W1791" s="5"/>
    </row>
    <row r="1792">
      <c r="A1792" s="5"/>
      <c r="B1792" s="5"/>
      <c r="C1792" s="5"/>
      <c r="D1792" s="5"/>
      <c r="E1792" s="5"/>
      <c r="F1792" s="5"/>
      <c r="G1792" s="5"/>
      <c r="H1792" s="5"/>
      <c r="I1792" s="5"/>
      <c r="J1792" s="5"/>
      <c r="K1792" s="5"/>
      <c r="L1792" s="5"/>
      <c r="M1792" s="5"/>
      <c r="N1792" s="5"/>
      <c r="O1792" s="5"/>
      <c r="P1792" s="5"/>
      <c r="Q1792" s="5"/>
      <c r="R1792" s="5"/>
      <c r="S1792" s="5"/>
      <c r="T1792" s="5"/>
      <c r="U1792" s="5"/>
      <c r="V1792" s="5"/>
      <c r="W1792" s="5"/>
    </row>
    <row r="1793">
      <c r="A1793" s="5"/>
      <c r="B1793" s="5"/>
      <c r="C1793" s="5"/>
      <c r="D1793" s="5"/>
      <c r="E1793" s="5"/>
      <c r="F1793" s="5"/>
      <c r="G1793" s="5"/>
      <c r="H1793" s="5"/>
      <c r="I1793" s="5"/>
      <c r="J1793" s="5"/>
      <c r="K1793" s="5"/>
      <c r="L1793" s="5"/>
      <c r="M1793" s="5"/>
      <c r="N1793" s="5"/>
      <c r="O1793" s="5"/>
      <c r="P1793" s="5"/>
      <c r="Q1793" s="5"/>
      <c r="R1793" s="5"/>
      <c r="S1793" s="5"/>
      <c r="T1793" s="5"/>
      <c r="U1793" s="5"/>
      <c r="V1793" s="5"/>
      <c r="W1793" s="5"/>
    </row>
    <row r="1794">
      <c r="A1794" s="5"/>
      <c r="B1794" s="5"/>
      <c r="C1794" s="5"/>
      <c r="D1794" s="5"/>
      <c r="E1794" s="5"/>
      <c r="F1794" s="5"/>
      <c r="G1794" s="5"/>
      <c r="H1794" s="5"/>
      <c r="I1794" s="5"/>
      <c r="J1794" s="5"/>
      <c r="K1794" s="5"/>
      <c r="L1794" s="5"/>
      <c r="M1794" s="5"/>
      <c r="N1794" s="5"/>
      <c r="O1794" s="5"/>
      <c r="P1794" s="5"/>
      <c r="Q1794" s="5"/>
      <c r="R1794" s="5"/>
      <c r="S1794" s="5"/>
      <c r="T1794" s="5"/>
      <c r="U1794" s="5"/>
      <c r="V1794" s="5"/>
      <c r="W1794" s="5"/>
    </row>
    <row r="1795">
      <c r="A1795" s="5"/>
      <c r="B1795" s="5"/>
      <c r="C1795" s="5"/>
      <c r="D1795" s="5"/>
      <c r="E1795" s="5"/>
      <c r="F1795" s="5"/>
      <c r="G1795" s="5"/>
      <c r="H1795" s="5"/>
      <c r="I1795" s="5"/>
      <c r="J1795" s="5"/>
      <c r="K1795" s="5"/>
      <c r="L1795" s="5"/>
      <c r="M1795" s="5"/>
      <c r="N1795" s="5"/>
      <c r="O1795" s="5"/>
      <c r="P1795" s="5"/>
      <c r="Q1795" s="5"/>
      <c r="R1795" s="5"/>
      <c r="S1795" s="5"/>
      <c r="T1795" s="5"/>
      <c r="U1795" s="5"/>
      <c r="V1795" s="5"/>
      <c r="W1795" s="5"/>
    </row>
    <row r="1796">
      <c r="A1796" s="5"/>
      <c r="B1796" s="5"/>
      <c r="C1796" s="5"/>
      <c r="D1796" s="5"/>
      <c r="E1796" s="5"/>
      <c r="F1796" s="5"/>
      <c r="G1796" s="5"/>
      <c r="H1796" s="5"/>
      <c r="I1796" s="5"/>
      <c r="J1796" s="5"/>
      <c r="K1796" s="5"/>
      <c r="L1796" s="5"/>
      <c r="M1796" s="5"/>
      <c r="N1796" s="5"/>
      <c r="O1796" s="5"/>
      <c r="P1796" s="5"/>
      <c r="Q1796" s="5"/>
      <c r="R1796" s="5"/>
      <c r="S1796" s="5"/>
      <c r="T1796" s="5"/>
      <c r="U1796" s="5"/>
      <c r="V1796" s="5"/>
      <c r="W1796" s="5"/>
    </row>
    <row r="1797">
      <c r="A1797" s="5"/>
      <c r="B1797" s="5"/>
      <c r="C1797" s="5"/>
      <c r="D1797" s="5"/>
      <c r="E1797" s="5"/>
      <c r="F1797" s="5"/>
      <c r="G1797" s="5"/>
      <c r="H1797" s="5"/>
      <c r="I1797" s="5"/>
      <c r="J1797" s="5"/>
      <c r="K1797" s="5"/>
      <c r="L1797" s="5"/>
      <c r="M1797" s="5"/>
      <c r="N1797" s="5"/>
      <c r="O1797" s="5"/>
      <c r="P1797" s="5"/>
      <c r="Q1797" s="5"/>
      <c r="R1797" s="5"/>
      <c r="S1797" s="5"/>
      <c r="T1797" s="5"/>
      <c r="U1797" s="5"/>
      <c r="V1797" s="5"/>
      <c r="W1797" s="5"/>
    </row>
    <row r="1798">
      <c r="A1798" s="5"/>
      <c r="B1798" s="5"/>
      <c r="C1798" s="5"/>
      <c r="D1798" s="5"/>
      <c r="E1798" s="5"/>
      <c r="F1798" s="5"/>
      <c r="G1798" s="5"/>
      <c r="H1798" s="5"/>
      <c r="I1798" s="5"/>
      <c r="J1798" s="5"/>
      <c r="K1798" s="5"/>
      <c r="L1798" s="5"/>
      <c r="M1798" s="5"/>
      <c r="N1798" s="5"/>
      <c r="O1798" s="5"/>
      <c r="P1798" s="5"/>
      <c r="Q1798" s="5"/>
      <c r="R1798" s="5"/>
      <c r="S1798" s="5"/>
      <c r="T1798" s="5"/>
      <c r="U1798" s="5"/>
      <c r="V1798" s="5"/>
      <c r="W1798" s="5"/>
    </row>
    <row r="1799">
      <c r="A1799" s="5"/>
      <c r="B1799" s="5"/>
      <c r="C1799" s="5"/>
      <c r="D1799" s="5"/>
      <c r="E1799" s="5"/>
      <c r="F1799" s="5"/>
      <c r="G1799" s="5"/>
      <c r="H1799" s="5"/>
      <c r="I1799" s="5"/>
      <c r="J1799" s="5"/>
      <c r="K1799" s="5"/>
      <c r="L1799" s="5"/>
      <c r="M1799" s="5"/>
      <c r="N1799" s="5"/>
      <c r="O1799" s="5"/>
      <c r="P1799" s="5"/>
      <c r="Q1799" s="5"/>
      <c r="R1799" s="5"/>
      <c r="S1799" s="5"/>
      <c r="T1799" s="5"/>
      <c r="U1799" s="5"/>
      <c r="V1799" s="5"/>
      <c r="W1799" s="5"/>
    </row>
    <row r="1800">
      <c r="A1800" s="5"/>
      <c r="B1800" s="5"/>
      <c r="C1800" s="5"/>
      <c r="D1800" s="5"/>
      <c r="E1800" s="5"/>
      <c r="F1800" s="5"/>
      <c r="G1800" s="5"/>
      <c r="H1800" s="5"/>
      <c r="I1800" s="5"/>
      <c r="J1800" s="5"/>
      <c r="K1800" s="5"/>
      <c r="L1800" s="5"/>
      <c r="M1800" s="5"/>
      <c r="N1800" s="5"/>
      <c r="O1800" s="5"/>
      <c r="P1800" s="5"/>
      <c r="Q1800" s="5"/>
      <c r="R1800" s="5"/>
      <c r="S1800" s="5"/>
      <c r="T1800" s="5"/>
      <c r="U1800" s="5"/>
      <c r="V1800" s="5"/>
      <c r="W1800" s="5"/>
    </row>
    <row r="1801">
      <c r="A1801" s="5"/>
      <c r="B1801" s="5"/>
      <c r="C1801" s="5"/>
      <c r="D1801" s="5"/>
      <c r="E1801" s="5"/>
      <c r="F1801" s="5"/>
      <c r="G1801" s="5"/>
      <c r="H1801" s="5"/>
      <c r="I1801" s="5"/>
      <c r="J1801" s="5"/>
      <c r="K1801" s="5"/>
      <c r="L1801" s="5"/>
      <c r="M1801" s="5"/>
      <c r="N1801" s="5"/>
      <c r="O1801" s="5"/>
      <c r="P1801" s="5"/>
      <c r="Q1801" s="5"/>
      <c r="R1801" s="5"/>
      <c r="S1801" s="5"/>
      <c r="T1801" s="5"/>
      <c r="U1801" s="5"/>
      <c r="V1801" s="5"/>
      <c r="W1801" s="5"/>
    </row>
    <row r="1802">
      <c r="A1802" s="5"/>
      <c r="B1802" s="5"/>
      <c r="C1802" s="5"/>
      <c r="D1802" s="5"/>
      <c r="E1802" s="5"/>
      <c r="F1802" s="5"/>
      <c r="G1802" s="5"/>
      <c r="H1802" s="5"/>
      <c r="I1802" s="5"/>
      <c r="J1802" s="5"/>
      <c r="K1802" s="5"/>
      <c r="L1802" s="5"/>
      <c r="M1802" s="5"/>
      <c r="N1802" s="5"/>
      <c r="O1802" s="5"/>
      <c r="P1802" s="5"/>
      <c r="Q1802" s="5"/>
      <c r="R1802" s="5"/>
      <c r="S1802" s="5"/>
      <c r="T1802" s="5"/>
      <c r="U1802" s="5"/>
      <c r="V1802" s="5"/>
      <c r="W1802" s="5"/>
    </row>
    <row r="1803">
      <c r="A1803" s="5"/>
      <c r="B1803" s="5"/>
      <c r="C1803" s="5"/>
      <c r="D1803" s="5"/>
      <c r="E1803" s="5"/>
      <c r="F1803" s="5"/>
      <c r="G1803" s="5"/>
      <c r="H1803" s="5"/>
      <c r="I1803" s="5"/>
      <c r="J1803" s="5"/>
      <c r="K1803" s="5"/>
      <c r="L1803" s="5"/>
      <c r="M1803" s="5"/>
      <c r="N1803" s="5"/>
      <c r="O1803" s="5"/>
      <c r="P1803" s="5"/>
      <c r="Q1803" s="5"/>
      <c r="R1803" s="5"/>
      <c r="S1803" s="5"/>
      <c r="T1803" s="5"/>
      <c r="U1803" s="5"/>
      <c r="V1803" s="5"/>
      <c r="W1803" s="5"/>
    </row>
    <row r="1804">
      <c r="A1804" s="5"/>
      <c r="B1804" s="5"/>
      <c r="C1804" s="5"/>
      <c r="D1804" s="5"/>
      <c r="E1804" s="5"/>
      <c r="F1804" s="5"/>
      <c r="G1804" s="5"/>
      <c r="H1804" s="5"/>
      <c r="I1804" s="5"/>
      <c r="J1804" s="5"/>
      <c r="K1804" s="5"/>
      <c r="L1804" s="5"/>
      <c r="M1804" s="5"/>
      <c r="N1804" s="5"/>
      <c r="O1804" s="5"/>
      <c r="P1804" s="5"/>
      <c r="Q1804" s="5"/>
      <c r="R1804" s="5"/>
      <c r="S1804" s="5"/>
      <c r="T1804" s="5"/>
      <c r="U1804" s="5"/>
      <c r="V1804" s="5"/>
      <c r="W1804" s="5"/>
    </row>
    <row r="1805">
      <c r="A1805" s="5"/>
      <c r="B1805" s="5"/>
      <c r="C1805" s="5"/>
      <c r="D1805" s="5"/>
      <c r="E1805" s="5"/>
      <c r="F1805" s="5"/>
      <c r="G1805" s="5"/>
      <c r="H1805" s="5"/>
      <c r="I1805" s="5"/>
      <c r="J1805" s="5"/>
      <c r="K1805" s="5"/>
      <c r="L1805" s="5"/>
      <c r="M1805" s="5"/>
      <c r="N1805" s="5"/>
      <c r="O1805" s="5"/>
      <c r="P1805" s="5"/>
      <c r="Q1805" s="5"/>
      <c r="R1805" s="5"/>
      <c r="S1805" s="5"/>
      <c r="T1805" s="5"/>
      <c r="U1805" s="5"/>
      <c r="V1805" s="5"/>
      <c r="W1805" s="5"/>
    </row>
    <row r="1806">
      <c r="A1806" s="5"/>
      <c r="B1806" s="5"/>
      <c r="C1806" s="5"/>
      <c r="D1806" s="5"/>
      <c r="E1806" s="5"/>
      <c r="F1806" s="5"/>
      <c r="G1806" s="5"/>
      <c r="H1806" s="5"/>
      <c r="I1806" s="5"/>
      <c r="J1806" s="5"/>
      <c r="K1806" s="5"/>
      <c r="L1806" s="5"/>
      <c r="M1806" s="5"/>
      <c r="N1806" s="5"/>
      <c r="O1806" s="5"/>
      <c r="P1806" s="5"/>
      <c r="Q1806" s="5"/>
      <c r="R1806" s="5"/>
      <c r="S1806" s="5"/>
      <c r="T1806" s="5"/>
      <c r="U1806" s="5"/>
      <c r="V1806" s="5"/>
      <c r="W1806" s="5"/>
    </row>
    <row r="1807">
      <c r="A1807" s="5"/>
      <c r="B1807" s="5"/>
      <c r="C1807" s="5"/>
      <c r="D1807" s="5"/>
      <c r="E1807" s="5"/>
      <c r="F1807" s="5"/>
      <c r="G1807" s="5"/>
      <c r="H1807" s="5"/>
      <c r="I1807" s="5"/>
      <c r="J1807" s="5"/>
      <c r="K1807" s="5"/>
      <c r="L1807" s="5"/>
      <c r="M1807" s="5"/>
      <c r="N1807" s="5"/>
      <c r="O1807" s="5"/>
      <c r="P1807" s="5"/>
      <c r="Q1807" s="5"/>
      <c r="R1807" s="5"/>
      <c r="S1807" s="5"/>
      <c r="T1807" s="5"/>
      <c r="U1807" s="5"/>
      <c r="V1807" s="5"/>
      <c r="W1807" s="5"/>
    </row>
    <row r="1808">
      <c r="A1808" s="5"/>
      <c r="B1808" s="5"/>
      <c r="C1808" s="5"/>
      <c r="D1808" s="5"/>
      <c r="E1808" s="5"/>
      <c r="F1808" s="5"/>
      <c r="G1808" s="5"/>
      <c r="H1808" s="5"/>
      <c r="I1808" s="5"/>
      <c r="J1808" s="5"/>
      <c r="K1808" s="5"/>
      <c r="L1808" s="5"/>
      <c r="M1808" s="5"/>
      <c r="N1808" s="5"/>
      <c r="O1808" s="5"/>
      <c r="P1808" s="5"/>
      <c r="Q1808" s="5"/>
      <c r="R1808" s="5"/>
      <c r="S1808" s="5"/>
      <c r="T1808" s="5"/>
      <c r="U1808" s="5"/>
      <c r="V1808" s="5"/>
      <c r="W1808" s="5"/>
    </row>
    <row r="1809">
      <c r="A1809" s="5"/>
      <c r="B1809" s="5"/>
      <c r="C1809" s="5"/>
      <c r="D1809" s="5"/>
      <c r="E1809" s="5"/>
      <c r="F1809" s="5"/>
      <c r="G1809" s="5"/>
      <c r="H1809" s="5"/>
      <c r="I1809" s="5"/>
      <c r="J1809" s="5"/>
      <c r="K1809" s="5"/>
      <c r="L1809" s="5"/>
      <c r="M1809" s="5"/>
      <c r="N1809" s="5"/>
      <c r="O1809" s="5"/>
      <c r="P1809" s="5"/>
      <c r="Q1809" s="5"/>
      <c r="R1809" s="5"/>
      <c r="S1809" s="5"/>
      <c r="T1809" s="5"/>
      <c r="U1809" s="5"/>
      <c r="V1809" s="5"/>
      <c r="W1809" s="5"/>
    </row>
    <row r="1810">
      <c r="A1810" s="5"/>
      <c r="B1810" s="5"/>
      <c r="C1810" s="5"/>
      <c r="D1810" s="5"/>
      <c r="E1810" s="5"/>
      <c r="F1810" s="5"/>
      <c r="G1810" s="5"/>
      <c r="H1810" s="5"/>
      <c r="I1810" s="5"/>
      <c r="J1810" s="5"/>
      <c r="K1810" s="5"/>
      <c r="L1810" s="5"/>
      <c r="M1810" s="5"/>
      <c r="N1810" s="5"/>
      <c r="O1810" s="5"/>
      <c r="P1810" s="5"/>
      <c r="Q1810" s="5"/>
      <c r="R1810" s="5"/>
      <c r="S1810" s="5"/>
      <c r="T1810" s="5"/>
      <c r="U1810" s="5"/>
      <c r="V1810" s="5"/>
      <c r="W1810" s="5"/>
    </row>
    <row r="1811">
      <c r="A1811" s="5"/>
      <c r="B1811" s="5"/>
      <c r="C1811" s="5"/>
      <c r="D1811" s="5"/>
      <c r="E1811" s="5"/>
      <c r="F1811" s="5"/>
      <c r="G1811" s="5"/>
      <c r="H1811" s="5"/>
      <c r="I1811" s="5"/>
      <c r="J1811" s="5"/>
      <c r="K1811" s="5"/>
      <c r="L1811" s="5"/>
      <c r="M1811" s="5"/>
      <c r="N1811" s="5"/>
      <c r="O1811" s="5"/>
      <c r="P1811" s="5"/>
      <c r="Q1811" s="5"/>
      <c r="R1811" s="5"/>
      <c r="S1811" s="5"/>
      <c r="T1811" s="5"/>
      <c r="U1811" s="5"/>
      <c r="V1811" s="5"/>
      <c r="W1811" s="5"/>
    </row>
    <row r="1812">
      <c r="A1812" s="5"/>
      <c r="B1812" s="5"/>
      <c r="C1812" s="5"/>
      <c r="D1812" s="5"/>
      <c r="E1812" s="5"/>
      <c r="F1812" s="5"/>
      <c r="G1812" s="5"/>
      <c r="H1812" s="5"/>
      <c r="I1812" s="5"/>
      <c r="J1812" s="5"/>
      <c r="K1812" s="5"/>
      <c r="L1812" s="5"/>
      <c r="M1812" s="5"/>
      <c r="N1812" s="5"/>
      <c r="O1812" s="5"/>
      <c r="P1812" s="5"/>
      <c r="Q1812" s="5"/>
      <c r="R1812" s="5"/>
      <c r="S1812" s="5"/>
      <c r="T1812" s="5"/>
      <c r="U1812" s="5"/>
      <c r="V1812" s="5"/>
      <c r="W1812" s="5"/>
    </row>
    <row r="1813">
      <c r="A1813" s="5"/>
      <c r="B1813" s="5"/>
      <c r="C1813" s="5"/>
      <c r="D1813" s="5"/>
      <c r="E1813" s="5"/>
      <c r="F1813" s="5"/>
      <c r="G1813" s="5"/>
      <c r="H1813" s="5"/>
      <c r="I1813" s="5"/>
      <c r="J1813" s="5"/>
      <c r="K1813" s="5"/>
      <c r="L1813" s="5"/>
      <c r="M1813" s="5"/>
      <c r="N1813" s="5"/>
      <c r="O1813" s="5"/>
      <c r="P1813" s="5"/>
      <c r="Q1813" s="5"/>
      <c r="R1813" s="5"/>
      <c r="S1813" s="5"/>
      <c r="T1813" s="5"/>
      <c r="U1813" s="5"/>
      <c r="V1813" s="5"/>
      <c r="W1813" s="5"/>
    </row>
    <row r="1814">
      <c r="A1814" s="5"/>
      <c r="B1814" s="5"/>
      <c r="C1814" s="5"/>
      <c r="D1814" s="5"/>
      <c r="E1814" s="5"/>
      <c r="F1814" s="5"/>
      <c r="G1814" s="5"/>
      <c r="H1814" s="5"/>
      <c r="I1814" s="5"/>
      <c r="J1814" s="5"/>
      <c r="K1814" s="5"/>
      <c r="L1814" s="5"/>
      <c r="M1814" s="5"/>
      <c r="N1814" s="5"/>
      <c r="O1814" s="5"/>
      <c r="P1814" s="5"/>
      <c r="Q1814" s="5"/>
      <c r="R1814" s="5"/>
      <c r="S1814" s="5"/>
      <c r="T1814" s="5"/>
      <c r="U1814" s="5"/>
      <c r="V1814" s="5"/>
      <c r="W1814" s="5"/>
    </row>
    <row r="1815">
      <c r="A1815" s="5"/>
      <c r="B1815" s="5"/>
      <c r="C1815" s="5"/>
      <c r="D1815" s="5"/>
      <c r="E1815" s="5"/>
      <c r="F1815" s="5"/>
      <c r="G1815" s="5"/>
      <c r="H1815" s="5"/>
      <c r="I1815" s="5"/>
      <c r="J1815" s="5"/>
      <c r="K1815" s="5"/>
      <c r="L1815" s="5"/>
      <c r="M1815" s="5"/>
      <c r="N1815" s="5"/>
      <c r="O1815" s="5"/>
      <c r="P1815" s="5"/>
      <c r="Q1815" s="5"/>
      <c r="R1815" s="5"/>
      <c r="S1815" s="5"/>
      <c r="T1815" s="5"/>
      <c r="U1815" s="5"/>
      <c r="V1815" s="5"/>
      <c r="W1815" s="5"/>
    </row>
    <row r="1816">
      <c r="A1816" s="5"/>
      <c r="B1816" s="5"/>
      <c r="C1816" s="5"/>
      <c r="D1816" s="5"/>
      <c r="E1816" s="5"/>
      <c r="F1816" s="5"/>
      <c r="G1816" s="5"/>
      <c r="H1816" s="5"/>
      <c r="I1816" s="5"/>
      <c r="J1816" s="5"/>
      <c r="K1816" s="5"/>
      <c r="L1816" s="5"/>
      <c r="M1816" s="5"/>
      <c r="N1816" s="5"/>
      <c r="O1816" s="5"/>
      <c r="P1816" s="5"/>
      <c r="Q1816" s="5"/>
      <c r="R1816" s="5"/>
      <c r="S1816" s="5"/>
      <c r="T1816" s="5"/>
      <c r="U1816" s="5"/>
      <c r="V1816" s="5"/>
      <c r="W1816" s="5"/>
    </row>
    <row r="1817">
      <c r="A1817" s="5"/>
      <c r="B1817" s="5"/>
      <c r="C1817" s="5"/>
      <c r="D1817" s="5"/>
      <c r="E1817" s="5"/>
      <c r="F1817" s="5"/>
      <c r="G1817" s="5"/>
      <c r="H1817" s="5"/>
      <c r="I1817" s="5"/>
      <c r="J1817" s="5"/>
      <c r="K1817" s="5"/>
      <c r="L1817" s="5"/>
      <c r="M1817" s="5"/>
      <c r="N1817" s="5"/>
      <c r="O1817" s="5"/>
      <c r="P1817" s="5"/>
      <c r="Q1817" s="5"/>
      <c r="R1817" s="5"/>
      <c r="S1817" s="5"/>
      <c r="T1817" s="5"/>
      <c r="U1817" s="5"/>
      <c r="V1817" s="5"/>
      <c r="W1817" s="5"/>
    </row>
    <row r="1818">
      <c r="A1818" s="5"/>
      <c r="B1818" s="5"/>
      <c r="C1818" s="5"/>
      <c r="D1818" s="5"/>
      <c r="E1818" s="5"/>
      <c r="F1818" s="5"/>
      <c r="G1818" s="5"/>
      <c r="H1818" s="5"/>
      <c r="I1818" s="5"/>
      <c r="J1818" s="5"/>
      <c r="K1818" s="5"/>
      <c r="L1818" s="5"/>
      <c r="M1818" s="5"/>
      <c r="N1818" s="5"/>
      <c r="O1818" s="5"/>
      <c r="P1818" s="5"/>
      <c r="Q1818" s="5"/>
      <c r="R1818" s="5"/>
      <c r="S1818" s="5"/>
      <c r="T1818" s="5"/>
      <c r="U1818" s="5"/>
      <c r="V1818" s="5"/>
      <c r="W1818" s="5"/>
    </row>
    <row r="1819">
      <c r="A1819" s="5"/>
      <c r="B1819" s="5"/>
      <c r="C1819" s="5"/>
      <c r="D1819" s="5"/>
      <c r="E1819" s="5"/>
      <c r="F1819" s="5"/>
      <c r="G1819" s="5"/>
      <c r="H1819" s="5"/>
      <c r="I1819" s="5"/>
      <c r="J1819" s="5"/>
      <c r="K1819" s="5"/>
      <c r="L1819" s="5"/>
      <c r="M1819" s="5"/>
      <c r="N1819" s="5"/>
      <c r="O1819" s="5"/>
      <c r="P1819" s="5"/>
      <c r="Q1819" s="5"/>
      <c r="R1819" s="5"/>
      <c r="S1819" s="5"/>
      <c r="T1819" s="5"/>
      <c r="U1819" s="5"/>
      <c r="V1819" s="5"/>
      <c r="W1819" s="5"/>
    </row>
    <row r="1820">
      <c r="A1820" s="5"/>
      <c r="B1820" s="5"/>
      <c r="C1820" s="5"/>
      <c r="D1820" s="5"/>
      <c r="E1820" s="5"/>
      <c r="F1820" s="5"/>
      <c r="G1820" s="5"/>
      <c r="H1820" s="5"/>
      <c r="I1820" s="5"/>
      <c r="J1820" s="5"/>
      <c r="K1820" s="5"/>
      <c r="L1820" s="5"/>
      <c r="M1820" s="5"/>
      <c r="N1820" s="5"/>
      <c r="O1820" s="5"/>
      <c r="P1820" s="5"/>
      <c r="Q1820" s="5"/>
      <c r="R1820" s="5"/>
      <c r="S1820" s="5"/>
      <c r="T1820" s="5"/>
      <c r="U1820" s="5"/>
      <c r="V1820" s="5"/>
      <c r="W1820" s="5"/>
    </row>
    <row r="1821">
      <c r="A1821" s="5"/>
      <c r="B1821" s="5"/>
      <c r="C1821" s="5"/>
      <c r="D1821" s="5"/>
      <c r="E1821" s="5"/>
      <c r="F1821" s="5"/>
      <c r="G1821" s="5"/>
      <c r="H1821" s="5"/>
      <c r="I1821" s="5"/>
      <c r="J1821" s="5"/>
      <c r="K1821" s="5"/>
      <c r="L1821" s="5"/>
      <c r="M1821" s="5"/>
      <c r="N1821" s="5"/>
      <c r="O1821" s="5"/>
      <c r="P1821" s="5"/>
      <c r="Q1821" s="5"/>
      <c r="R1821" s="5"/>
      <c r="S1821" s="5"/>
      <c r="T1821" s="5"/>
      <c r="U1821" s="5"/>
      <c r="V1821" s="5"/>
      <c r="W1821" s="5"/>
    </row>
    <row r="1822">
      <c r="A1822" s="5"/>
      <c r="B1822" s="5"/>
      <c r="C1822" s="5"/>
      <c r="D1822" s="5"/>
      <c r="E1822" s="5"/>
      <c r="F1822" s="5"/>
      <c r="G1822" s="5"/>
      <c r="H1822" s="5"/>
      <c r="I1822" s="5"/>
      <c r="J1822" s="5"/>
      <c r="K1822" s="5"/>
      <c r="L1822" s="5"/>
      <c r="M1822" s="5"/>
      <c r="N1822" s="5"/>
      <c r="O1822" s="5"/>
      <c r="P1822" s="5"/>
      <c r="Q1822" s="5"/>
      <c r="R1822" s="5"/>
      <c r="S1822" s="5"/>
      <c r="T1822" s="5"/>
      <c r="U1822" s="5"/>
      <c r="V1822" s="5"/>
      <c r="W1822" s="5"/>
    </row>
    <row r="1823">
      <c r="A1823" s="5"/>
      <c r="B1823" s="5"/>
      <c r="C1823" s="5"/>
      <c r="D1823" s="5"/>
      <c r="E1823" s="5"/>
      <c r="F1823" s="5"/>
      <c r="G1823" s="5"/>
      <c r="H1823" s="5"/>
      <c r="I1823" s="5"/>
      <c r="J1823" s="5"/>
      <c r="K1823" s="5"/>
      <c r="L1823" s="5"/>
      <c r="M1823" s="5"/>
      <c r="N1823" s="5"/>
      <c r="O1823" s="5"/>
      <c r="P1823" s="5"/>
      <c r="Q1823" s="5"/>
      <c r="R1823" s="5"/>
      <c r="S1823" s="5"/>
      <c r="T1823" s="5"/>
      <c r="U1823" s="5"/>
      <c r="V1823" s="5"/>
      <c r="W1823" s="5"/>
    </row>
    <row r="1824">
      <c r="A1824" s="5"/>
      <c r="B1824" s="5"/>
      <c r="C1824" s="5"/>
      <c r="D1824" s="5"/>
      <c r="E1824" s="5"/>
      <c r="F1824" s="5"/>
      <c r="G1824" s="5"/>
      <c r="H1824" s="5"/>
      <c r="I1824" s="5"/>
      <c r="J1824" s="5"/>
      <c r="K1824" s="5"/>
      <c r="L1824" s="5"/>
      <c r="M1824" s="5"/>
      <c r="N1824" s="5"/>
      <c r="O1824" s="5"/>
      <c r="P1824" s="5"/>
      <c r="Q1824" s="5"/>
      <c r="R1824" s="5"/>
      <c r="S1824" s="5"/>
      <c r="T1824" s="5"/>
      <c r="U1824" s="5"/>
      <c r="V1824" s="5"/>
      <c r="W1824" s="5"/>
    </row>
    <row r="1825">
      <c r="A1825" s="5"/>
      <c r="B1825" s="5"/>
      <c r="C1825" s="5"/>
      <c r="D1825" s="5"/>
      <c r="E1825" s="5"/>
      <c r="F1825" s="5"/>
      <c r="G1825" s="5"/>
      <c r="H1825" s="5"/>
      <c r="I1825" s="5"/>
      <c r="J1825" s="5"/>
      <c r="K1825" s="5"/>
      <c r="L1825" s="5"/>
      <c r="M1825" s="5"/>
      <c r="N1825" s="5"/>
      <c r="O1825" s="5"/>
      <c r="P1825" s="5"/>
      <c r="Q1825" s="5"/>
      <c r="R1825" s="5"/>
      <c r="S1825" s="5"/>
      <c r="T1825" s="5"/>
      <c r="U1825" s="5"/>
      <c r="V1825" s="5"/>
      <c r="W1825" s="5"/>
    </row>
    <row r="1826">
      <c r="A1826" s="5"/>
      <c r="B1826" s="5"/>
      <c r="C1826" s="5"/>
      <c r="D1826" s="5"/>
      <c r="E1826" s="5"/>
      <c r="F1826" s="5"/>
      <c r="G1826" s="5"/>
      <c r="H1826" s="5"/>
      <c r="I1826" s="5"/>
      <c r="J1826" s="5"/>
      <c r="K1826" s="5"/>
      <c r="L1826" s="5"/>
      <c r="M1826" s="5"/>
      <c r="N1826" s="5"/>
      <c r="O1826" s="5"/>
      <c r="P1826" s="5"/>
      <c r="Q1826" s="5"/>
      <c r="R1826" s="5"/>
      <c r="S1826" s="5"/>
      <c r="T1826" s="5"/>
      <c r="U1826" s="5"/>
      <c r="V1826" s="5"/>
      <c r="W1826" s="5"/>
    </row>
  </sheetData>
  <autoFilter ref="$A$1:$E$1826"/>
  <hyperlinks>
    <hyperlink r:id="rId4" ref="E2"/>
    <hyperlink r:id="rId5" ref="E3"/>
    <hyperlink r:id="rId6" ref="E4"/>
    <hyperlink r:id="rId7" ref="E5"/>
    <hyperlink r:id="rId8" ref="E6"/>
    <hyperlink r:id="rId9" ref="E7"/>
    <hyperlink r:id="rId10" ref="E8"/>
    <hyperlink r:id="rId11" ref="E9"/>
    <hyperlink r:id="rId12" ref="E10"/>
    <hyperlink r:id="rId13" ref="E11"/>
    <hyperlink r:id="rId14" ref="E12"/>
    <hyperlink r:id="rId15" ref="E13"/>
    <hyperlink r:id="rId16" ref="E14"/>
    <hyperlink r:id="rId17" ref="E15"/>
    <hyperlink r:id="rId18" ref="E16"/>
    <hyperlink r:id="rId19" ref="E17"/>
    <hyperlink r:id="rId20" ref="E18"/>
    <hyperlink r:id="rId21" ref="E19"/>
    <hyperlink r:id="rId22" ref="E20"/>
    <hyperlink r:id="rId23" ref="E21"/>
    <hyperlink r:id="rId24" ref="E22"/>
    <hyperlink r:id="rId25" ref="E23"/>
    <hyperlink r:id="rId26" ref="E24"/>
    <hyperlink r:id="rId27" ref="E25"/>
    <hyperlink r:id="rId28" ref="E26"/>
    <hyperlink r:id="rId29" ref="E27"/>
    <hyperlink r:id="rId30" ref="E28"/>
    <hyperlink r:id="rId31" ref="E29"/>
    <hyperlink r:id="rId32" ref="E30"/>
    <hyperlink r:id="rId33" ref="E31"/>
    <hyperlink r:id="rId34" ref="E32"/>
    <hyperlink r:id="rId35" ref="E33"/>
    <hyperlink r:id="rId36" ref="E34"/>
    <hyperlink r:id="rId37" ref="E37"/>
    <hyperlink r:id="rId38" ref="E38"/>
    <hyperlink r:id="rId39" ref="E39"/>
    <hyperlink r:id="rId40" ref="E40"/>
    <hyperlink r:id="rId41" ref="E41"/>
    <hyperlink r:id="rId42" ref="E42"/>
    <hyperlink r:id="rId43" ref="E43"/>
    <hyperlink r:id="rId44" ref="E44"/>
    <hyperlink r:id="rId45" ref="E45"/>
    <hyperlink r:id="rId46" ref="E46"/>
    <hyperlink r:id="rId47" ref="E47"/>
    <hyperlink r:id="rId48" ref="E49"/>
    <hyperlink r:id="rId49" ref="E50"/>
    <hyperlink r:id="rId50" ref="E51"/>
    <hyperlink r:id="rId51" ref="E53"/>
    <hyperlink r:id="rId52" ref="E54"/>
    <hyperlink r:id="rId53" ref="E55"/>
    <hyperlink r:id="rId54" ref="E56"/>
    <hyperlink r:id="rId55" ref="E57"/>
    <hyperlink r:id="rId56" ref="E58"/>
    <hyperlink r:id="rId57" ref="E59"/>
    <hyperlink r:id="rId58" ref="E60"/>
    <hyperlink r:id="rId59" ref="E61"/>
    <hyperlink r:id="rId60" ref="E62"/>
    <hyperlink r:id="rId61" ref="E63"/>
    <hyperlink r:id="rId62" ref="E64"/>
    <hyperlink r:id="rId63" ref="E65"/>
    <hyperlink r:id="rId64" ref="E66"/>
    <hyperlink r:id="rId65" ref="E67"/>
    <hyperlink r:id="rId66" ref="E68"/>
    <hyperlink r:id="rId67" ref="E69"/>
    <hyperlink r:id="rId68" ref="E70"/>
    <hyperlink r:id="rId69" ref="E71"/>
    <hyperlink r:id="rId70" ref="E72"/>
    <hyperlink r:id="rId71" ref="E73"/>
    <hyperlink r:id="rId72" ref="E74"/>
    <hyperlink r:id="rId73" ref="E75"/>
    <hyperlink r:id="rId74" ref="E76"/>
    <hyperlink r:id="rId75" ref="E77"/>
    <hyperlink r:id="rId76" ref="E78"/>
    <hyperlink r:id="rId77" ref="E79"/>
    <hyperlink r:id="rId78" ref="E80"/>
    <hyperlink r:id="rId79" ref="E81"/>
    <hyperlink r:id="rId80" ref="E82"/>
    <hyperlink r:id="rId81" ref="E83"/>
    <hyperlink r:id="rId82" ref="E84"/>
    <hyperlink r:id="rId83" ref="E85"/>
    <hyperlink r:id="rId84" ref="E86"/>
    <hyperlink r:id="rId85" ref="E87"/>
    <hyperlink r:id="rId86" ref="E88"/>
    <hyperlink r:id="rId87" ref="E89"/>
    <hyperlink r:id="rId88" ref="E90"/>
    <hyperlink r:id="rId89" ref="E91"/>
    <hyperlink r:id="rId90" ref="E92"/>
    <hyperlink r:id="rId91" ref="E93"/>
    <hyperlink r:id="rId92" ref="E94"/>
    <hyperlink r:id="rId93" ref="E95"/>
    <hyperlink r:id="rId94" ref="E96"/>
    <hyperlink r:id="rId95" ref="E97"/>
    <hyperlink r:id="rId96" ref="E98"/>
    <hyperlink r:id="rId97" ref="E99"/>
    <hyperlink r:id="rId98" ref="E100"/>
    <hyperlink r:id="rId99" ref="E101"/>
    <hyperlink r:id="rId100" ref="E102"/>
    <hyperlink r:id="rId101" ref="E103"/>
    <hyperlink r:id="rId102" ref="E104"/>
    <hyperlink r:id="rId103" ref="E105"/>
    <hyperlink r:id="rId104" ref="E106"/>
    <hyperlink r:id="rId105" ref="E107"/>
    <hyperlink r:id="rId106" ref="E108"/>
    <hyperlink r:id="rId107" ref="E109"/>
    <hyperlink r:id="rId108" ref="E110"/>
    <hyperlink r:id="rId109" ref="E111"/>
    <hyperlink r:id="rId110" ref="E112"/>
    <hyperlink r:id="rId111" ref="E113"/>
    <hyperlink r:id="rId112" ref="E114"/>
    <hyperlink r:id="rId113" ref="E115"/>
    <hyperlink r:id="rId114" ref="E116"/>
    <hyperlink r:id="rId115" ref="E117"/>
    <hyperlink r:id="rId116" ref="E118"/>
    <hyperlink r:id="rId117" ref="E119"/>
    <hyperlink r:id="rId118" ref="E120"/>
    <hyperlink r:id="rId119" ref="E121"/>
    <hyperlink r:id="rId120" ref="E122"/>
    <hyperlink r:id="rId121" ref="E123"/>
    <hyperlink r:id="rId122" ref="E124"/>
    <hyperlink r:id="rId123" ref="E125"/>
    <hyperlink r:id="rId124" ref="E126"/>
    <hyperlink r:id="rId125" ref="E127"/>
    <hyperlink r:id="rId126" ref="E128"/>
    <hyperlink r:id="rId127" ref="E129"/>
    <hyperlink r:id="rId128" ref="E130"/>
    <hyperlink r:id="rId129" ref="E131"/>
    <hyperlink r:id="rId130" ref="E132"/>
    <hyperlink r:id="rId131" ref="E133"/>
    <hyperlink r:id="rId132" ref="E134"/>
    <hyperlink r:id="rId133" ref="E135"/>
    <hyperlink r:id="rId134" ref="E136"/>
    <hyperlink r:id="rId135" ref="E137"/>
    <hyperlink r:id="rId136" ref="E138"/>
    <hyperlink r:id="rId137" ref="E139"/>
    <hyperlink r:id="rId138" ref="E140"/>
    <hyperlink r:id="rId139" ref="E141"/>
    <hyperlink r:id="rId140" ref="E142"/>
    <hyperlink r:id="rId141" ref="E143"/>
    <hyperlink r:id="rId142" ref="E144"/>
    <hyperlink r:id="rId143" ref="E145"/>
    <hyperlink r:id="rId144" ref="E146"/>
    <hyperlink r:id="rId145" ref="E147"/>
    <hyperlink r:id="rId146" ref="E148"/>
    <hyperlink r:id="rId147" ref="E149"/>
    <hyperlink r:id="rId148" ref="E150"/>
    <hyperlink r:id="rId149" ref="E151"/>
    <hyperlink r:id="rId150" ref="E152"/>
    <hyperlink r:id="rId151" ref="E153"/>
    <hyperlink r:id="rId152" ref="E154"/>
    <hyperlink r:id="rId153" ref="E155"/>
    <hyperlink r:id="rId154" ref="E156"/>
    <hyperlink r:id="rId155" ref="E157"/>
    <hyperlink r:id="rId156" ref="E158"/>
    <hyperlink r:id="rId157" ref="E159"/>
    <hyperlink r:id="rId158" ref="E160"/>
    <hyperlink r:id="rId159" ref="E161"/>
    <hyperlink r:id="rId160" ref="E162"/>
    <hyperlink r:id="rId161" ref="E163"/>
    <hyperlink r:id="rId162" ref="E164"/>
    <hyperlink r:id="rId163" ref="E165"/>
    <hyperlink r:id="rId164" ref="E166"/>
    <hyperlink r:id="rId165" ref="E167"/>
    <hyperlink r:id="rId166" ref="E168"/>
    <hyperlink r:id="rId167" ref="E169"/>
    <hyperlink r:id="rId168" ref="E170"/>
    <hyperlink r:id="rId169" ref="E171"/>
    <hyperlink r:id="rId170" ref="E172"/>
    <hyperlink r:id="rId171" ref="E173"/>
    <hyperlink r:id="rId172" ref="E174"/>
    <hyperlink r:id="rId173" ref="E175"/>
    <hyperlink r:id="rId174" ref="E176"/>
    <hyperlink r:id="rId175" ref="E177"/>
    <hyperlink r:id="rId176" ref="E178"/>
    <hyperlink r:id="rId177" ref="E179"/>
    <hyperlink r:id="rId178" ref="E180"/>
    <hyperlink r:id="rId179" ref="E181"/>
    <hyperlink r:id="rId180" ref="E182"/>
    <hyperlink r:id="rId181" ref="E183"/>
    <hyperlink r:id="rId182" ref="E184"/>
    <hyperlink r:id="rId183" ref="E185"/>
    <hyperlink r:id="rId184" ref="E186"/>
    <hyperlink r:id="rId185" ref="E187"/>
    <hyperlink r:id="rId186" ref="E188"/>
    <hyperlink r:id="rId187" ref="E189"/>
    <hyperlink r:id="rId188" ref="E190"/>
    <hyperlink r:id="rId189" ref="E191"/>
    <hyperlink r:id="rId190" ref="E192"/>
    <hyperlink r:id="rId191" ref="E193"/>
    <hyperlink r:id="rId192" ref="E194"/>
    <hyperlink r:id="rId193" ref="E195"/>
    <hyperlink r:id="rId194" ref="E196"/>
    <hyperlink r:id="rId195" ref="E197"/>
    <hyperlink r:id="rId196" ref="E198"/>
    <hyperlink r:id="rId197" ref="E199"/>
    <hyperlink r:id="rId198" ref="E200"/>
    <hyperlink r:id="rId199" ref="E201"/>
    <hyperlink r:id="rId200" ref="E202"/>
    <hyperlink r:id="rId201" ref="E203"/>
    <hyperlink r:id="rId202" ref="E204"/>
    <hyperlink r:id="rId203" ref="E205"/>
    <hyperlink r:id="rId204" ref="E206"/>
    <hyperlink r:id="rId205" ref="E207"/>
    <hyperlink r:id="rId206" ref="E208"/>
    <hyperlink r:id="rId207" ref="E209"/>
    <hyperlink r:id="rId208" ref="E210"/>
    <hyperlink r:id="rId209" ref="E211"/>
    <hyperlink r:id="rId210" ref="E212"/>
    <hyperlink r:id="rId211" ref="E213"/>
    <hyperlink r:id="rId212" ref="E214"/>
    <hyperlink r:id="rId213" ref="E215"/>
    <hyperlink r:id="rId214" ref="E216"/>
    <hyperlink r:id="rId215" ref="E217"/>
    <hyperlink r:id="rId216" ref="E218"/>
    <hyperlink r:id="rId217" ref="E219"/>
    <hyperlink r:id="rId218" ref="E220"/>
    <hyperlink r:id="rId219" ref="E221"/>
    <hyperlink r:id="rId220" ref="E222"/>
    <hyperlink r:id="rId221" ref="E223"/>
    <hyperlink r:id="rId222" ref="E224"/>
    <hyperlink r:id="rId223" ref="E225"/>
    <hyperlink r:id="rId224" ref="E226"/>
    <hyperlink r:id="rId225" ref="E227"/>
    <hyperlink r:id="rId226" ref="E228"/>
    <hyperlink r:id="rId227" ref="E229"/>
    <hyperlink r:id="rId228" ref="E230"/>
    <hyperlink r:id="rId229" ref="E231"/>
    <hyperlink r:id="rId230" ref="E232"/>
    <hyperlink r:id="rId231" ref="E233"/>
    <hyperlink r:id="rId232" ref="E234"/>
    <hyperlink r:id="rId233" ref="E235"/>
    <hyperlink r:id="rId234" ref="E236"/>
    <hyperlink r:id="rId235" ref="E237"/>
    <hyperlink r:id="rId236" ref="E238"/>
    <hyperlink r:id="rId237" ref="E239"/>
    <hyperlink r:id="rId238" ref="E240"/>
    <hyperlink r:id="rId239" ref="E241"/>
    <hyperlink r:id="rId240" ref="E242"/>
    <hyperlink r:id="rId241" ref="E243"/>
    <hyperlink r:id="rId242" ref="E244"/>
    <hyperlink r:id="rId243" ref="E245"/>
    <hyperlink r:id="rId244" ref="E246"/>
    <hyperlink r:id="rId245" ref="E247"/>
    <hyperlink r:id="rId246" ref="E248"/>
    <hyperlink r:id="rId247" ref="E249"/>
    <hyperlink r:id="rId248" ref="E250"/>
    <hyperlink r:id="rId249" ref="E251"/>
    <hyperlink r:id="rId250" ref="E252"/>
    <hyperlink r:id="rId251" ref="E253"/>
    <hyperlink r:id="rId252" ref="E254"/>
    <hyperlink r:id="rId253" ref="E255"/>
    <hyperlink r:id="rId254" ref="E256"/>
    <hyperlink r:id="rId255" ref="E257"/>
    <hyperlink r:id="rId256" ref="E258"/>
    <hyperlink r:id="rId257" ref="E259"/>
    <hyperlink r:id="rId258" ref="E260"/>
    <hyperlink r:id="rId259" ref="E261"/>
    <hyperlink r:id="rId260" ref="E262"/>
    <hyperlink r:id="rId261" ref="E263"/>
    <hyperlink r:id="rId262" ref="E264"/>
    <hyperlink r:id="rId263" ref="E265"/>
    <hyperlink r:id="rId264" ref="E266"/>
    <hyperlink r:id="rId265" ref="E267"/>
    <hyperlink r:id="rId266" ref="E268"/>
    <hyperlink r:id="rId267" ref="E269"/>
    <hyperlink r:id="rId268" ref="E270"/>
    <hyperlink r:id="rId269" ref="E271"/>
    <hyperlink r:id="rId270" ref="E272"/>
    <hyperlink r:id="rId271" ref="E273"/>
    <hyperlink r:id="rId272" ref="E274"/>
    <hyperlink r:id="rId273" ref="E275"/>
    <hyperlink r:id="rId274" ref="E276"/>
    <hyperlink r:id="rId275" ref="E277"/>
    <hyperlink r:id="rId276" ref="E278"/>
    <hyperlink r:id="rId277" ref="E279"/>
    <hyperlink r:id="rId278" ref="E280"/>
    <hyperlink r:id="rId279" ref="E281"/>
    <hyperlink r:id="rId280" ref="E282"/>
    <hyperlink r:id="rId281" ref="E283"/>
    <hyperlink r:id="rId282" ref="E284"/>
    <hyperlink r:id="rId283" ref="E285"/>
    <hyperlink r:id="rId284" ref="E286"/>
    <hyperlink r:id="rId285" ref="E287"/>
    <hyperlink r:id="rId286" ref="E288"/>
    <hyperlink r:id="rId287" ref="E289"/>
    <hyperlink r:id="rId288" ref="E290"/>
    <hyperlink r:id="rId289" ref="E291"/>
    <hyperlink r:id="rId290" ref="E292"/>
    <hyperlink r:id="rId291" ref="E293"/>
    <hyperlink r:id="rId292" ref="E294"/>
    <hyperlink r:id="rId293" ref="E295"/>
    <hyperlink r:id="rId294" ref="E296"/>
    <hyperlink r:id="rId295" ref="E297"/>
    <hyperlink r:id="rId296" ref="E298"/>
    <hyperlink r:id="rId297" ref="E299"/>
    <hyperlink r:id="rId298" ref="E300"/>
    <hyperlink r:id="rId299" ref="E301"/>
    <hyperlink r:id="rId300" ref="E302"/>
    <hyperlink r:id="rId301" ref="E303"/>
    <hyperlink r:id="rId302" ref="E304"/>
    <hyperlink r:id="rId303" ref="E305"/>
    <hyperlink r:id="rId304" ref="E306"/>
    <hyperlink r:id="rId305" ref="E307"/>
    <hyperlink r:id="rId306" ref="E308"/>
    <hyperlink r:id="rId307" ref="E309"/>
    <hyperlink r:id="rId308" ref="E310"/>
    <hyperlink r:id="rId309" ref="E311"/>
    <hyperlink r:id="rId310" ref="E312"/>
    <hyperlink r:id="rId311" ref="E313"/>
    <hyperlink r:id="rId312" ref="E314"/>
    <hyperlink r:id="rId313" ref="E315"/>
    <hyperlink r:id="rId314" ref="E316"/>
    <hyperlink r:id="rId315" ref="E317"/>
    <hyperlink r:id="rId316" ref="E318"/>
    <hyperlink r:id="rId317" ref="E319"/>
    <hyperlink r:id="rId318" ref="E320"/>
    <hyperlink r:id="rId319" ref="E321"/>
    <hyperlink r:id="rId320" ref="E322"/>
    <hyperlink r:id="rId321" ref="E323"/>
    <hyperlink r:id="rId322" ref="E324"/>
    <hyperlink r:id="rId323" ref="E325"/>
    <hyperlink r:id="rId324" ref="E326"/>
    <hyperlink r:id="rId325" ref="E327"/>
    <hyperlink r:id="rId326" ref="E328"/>
    <hyperlink r:id="rId327" ref="E329"/>
    <hyperlink r:id="rId328" ref="E330"/>
    <hyperlink r:id="rId329" ref="E331"/>
    <hyperlink r:id="rId330" ref="E332"/>
    <hyperlink r:id="rId331" ref="E333"/>
    <hyperlink r:id="rId332" ref="E334"/>
    <hyperlink r:id="rId333" ref="E335"/>
    <hyperlink r:id="rId334" ref="E336"/>
    <hyperlink r:id="rId335" ref="E337"/>
    <hyperlink r:id="rId336" ref="E338"/>
    <hyperlink r:id="rId337" ref="E339"/>
    <hyperlink r:id="rId338" ref="E340"/>
    <hyperlink r:id="rId339" ref="E341"/>
    <hyperlink r:id="rId340" ref="E342"/>
    <hyperlink r:id="rId341" ref="E343"/>
    <hyperlink r:id="rId342" ref="E344"/>
    <hyperlink r:id="rId343" ref="E345"/>
    <hyperlink r:id="rId344" ref="E346"/>
    <hyperlink r:id="rId345" ref="E347"/>
    <hyperlink r:id="rId346" ref="E348"/>
    <hyperlink r:id="rId347" ref="E349"/>
    <hyperlink r:id="rId348" ref="E350"/>
    <hyperlink r:id="rId349" ref="E351"/>
    <hyperlink r:id="rId350" ref="E352"/>
    <hyperlink r:id="rId351" ref="E353"/>
    <hyperlink r:id="rId352" ref="E354"/>
    <hyperlink r:id="rId353" ref="E355"/>
    <hyperlink r:id="rId354" ref="E356"/>
    <hyperlink r:id="rId355" ref="E357"/>
    <hyperlink r:id="rId356" ref="E358"/>
    <hyperlink r:id="rId357" ref="E359"/>
    <hyperlink r:id="rId358" ref="E360"/>
    <hyperlink r:id="rId359" ref="E361"/>
    <hyperlink r:id="rId360" ref="E362"/>
    <hyperlink r:id="rId361" ref="E363"/>
    <hyperlink r:id="rId362" ref="E364"/>
    <hyperlink r:id="rId363" ref="E365"/>
    <hyperlink r:id="rId364" ref="E366"/>
    <hyperlink r:id="rId365" ref="E367"/>
    <hyperlink r:id="rId366" ref="E368"/>
    <hyperlink r:id="rId367" ref="E369"/>
    <hyperlink r:id="rId368" ref="E370"/>
    <hyperlink r:id="rId369" ref="E371"/>
    <hyperlink r:id="rId370" ref="E372"/>
    <hyperlink r:id="rId371" ref="E373"/>
    <hyperlink r:id="rId372" ref="E374"/>
    <hyperlink r:id="rId373" ref="E375"/>
    <hyperlink r:id="rId374" ref="E376"/>
    <hyperlink r:id="rId375" ref="E377"/>
    <hyperlink r:id="rId376" ref="E378"/>
    <hyperlink r:id="rId377" ref="E379"/>
    <hyperlink r:id="rId378" ref="E380"/>
    <hyperlink r:id="rId379" ref="E381"/>
    <hyperlink r:id="rId380" ref="E382"/>
    <hyperlink r:id="rId381" ref="E383"/>
    <hyperlink r:id="rId382" ref="E384"/>
    <hyperlink r:id="rId383" ref="E385"/>
    <hyperlink r:id="rId384" ref="E386"/>
    <hyperlink r:id="rId385" ref="E387"/>
    <hyperlink r:id="rId386" ref="E388"/>
    <hyperlink r:id="rId387" ref="E389"/>
    <hyperlink r:id="rId388" ref="E390"/>
    <hyperlink r:id="rId389" ref="E391"/>
    <hyperlink r:id="rId390" ref="E392"/>
    <hyperlink r:id="rId391" ref="E393"/>
    <hyperlink r:id="rId392" ref="E394"/>
    <hyperlink r:id="rId393" ref="E395"/>
    <hyperlink r:id="rId394" ref="E396"/>
    <hyperlink r:id="rId395" ref="E397"/>
    <hyperlink r:id="rId396" ref="E398"/>
    <hyperlink r:id="rId397" ref="E399"/>
    <hyperlink r:id="rId398" ref="E400"/>
    <hyperlink r:id="rId399" ref="E401"/>
    <hyperlink r:id="rId400" ref="E402"/>
    <hyperlink r:id="rId401" ref="E403"/>
    <hyperlink r:id="rId402" ref="E404"/>
    <hyperlink r:id="rId403" ref="E405"/>
    <hyperlink r:id="rId404" ref="E406"/>
    <hyperlink r:id="rId405" ref="E407"/>
    <hyperlink r:id="rId406" ref="E408"/>
    <hyperlink r:id="rId407" ref="E409"/>
    <hyperlink r:id="rId408" ref="E410"/>
    <hyperlink r:id="rId409" ref="E411"/>
    <hyperlink r:id="rId410" ref="E412"/>
    <hyperlink r:id="rId411" ref="E413"/>
    <hyperlink r:id="rId412" ref="E414"/>
    <hyperlink r:id="rId413" ref="E415"/>
    <hyperlink r:id="rId414" ref="E416"/>
    <hyperlink r:id="rId415" ref="E417"/>
    <hyperlink r:id="rId416" ref="E418"/>
    <hyperlink r:id="rId417" ref="E419"/>
    <hyperlink r:id="rId418" ref="E420"/>
    <hyperlink r:id="rId419" ref="E421"/>
    <hyperlink r:id="rId420" ref="E422"/>
    <hyperlink r:id="rId421" ref="E423"/>
    <hyperlink r:id="rId422" ref="E424"/>
    <hyperlink r:id="rId423" ref="E425"/>
    <hyperlink r:id="rId424" ref="E426"/>
    <hyperlink r:id="rId425" ref="E427"/>
    <hyperlink r:id="rId426" ref="E428"/>
    <hyperlink r:id="rId427" ref="E429"/>
    <hyperlink r:id="rId428" ref="E430"/>
    <hyperlink r:id="rId429" ref="E431"/>
    <hyperlink r:id="rId430" ref="E432"/>
    <hyperlink r:id="rId431" ref="E433"/>
    <hyperlink r:id="rId432" ref="E434"/>
    <hyperlink r:id="rId433" ref="E435"/>
    <hyperlink r:id="rId434" ref="E436"/>
    <hyperlink r:id="rId435" ref="E437"/>
    <hyperlink r:id="rId436" ref="E438"/>
    <hyperlink r:id="rId437" ref="E439"/>
    <hyperlink r:id="rId438" ref="E440"/>
    <hyperlink r:id="rId439" ref="E441"/>
    <hyperlink r:id="rId440" ref="E442"/>
    <hyperlink r:id="rId441" ref="E443"/>
    <hyperlink r:id="rId442" ref="E444"/>
    <hyperlink r:id="rId443" ref="E445"/>
    <hyperlink r:id="rId444" ref="E446"/>
    <hyperlink r:id="rId445" ref="E447"/>
    <hyperlink r:id="rId446" ref="E448"/>
    <hyperlink r:id="rId447" ref="E449"/>
    <hyperlink r:id="rId448" ref="E450"/>
    <hyperlink r:id="rId449" ref="E451"/>
    <hyperlink r:id="rId450" ref="E452"/>
    <hyperlink r:id="rId451" ref="E453"/>
    <hyperlink r:id="rId452" ref="E454"/>
    <hyperlink r:id="rId453" ref="E455"/>
    <hyperlink r:id="rId454" ref="E456"/>
    <hyperlink r:id="rId455" ref="E457"/>
    <hyperlink r:id="rId456" ref="E458"/>
    <hyperlink r:id="rId457" ref="E459"/>
    <hyperlink r:id="rId458" ref="E460"/>
    <hyperlink r:id="rId459" ref="E461"/>
    <hyperlink r:id="rId460" ref="E462"/>
    <hyperlink r:id="rId461" ref="E463"/>
    <hyperlink r:id="rId462" ref="E464"/>
    <hyperlink r:id="rId463" ref="E465"/>
    <hyperlink r:id="rId464" ref="E466"/>
    <hyperlink r:id="rId465" ref="E467"/>
    <hyperlink r:id="rId466" ref="E468"/>
    <hyperlink r:id="rId467" ref="E469"/>
    <hyperlink r:id="rId468" ref="E470"/>
    <hyperlink r:id="rId469" ref="E471"/>
    <hyperlink r:id="rId470" ref="E472"/>
    <hyperlink r:id="rId471" ref="E473"/>
    <hyperlink r:id="rId472" ref="E474"/>
    <hyperlink r:id="rId473" ref="E475"/>
    <hyperlink r:id="rId474" ref="E476"/>
    <hyperlink r:id="rId475" ref="E477"/>
    <hyperlink r:id="rId476" ref="E478"/>
    <hyperlink r:id="rId477" ref="E479"/>
    <hyperlink r:id="rId478" ref="E480"/>
    <hyperlink r:id="rId479" ref="E481"/>
    <hyperlink r:id="rId480" ref="E482"/>
    <hyperlink r:id="rId481" ref="E483"/>
    <hyperlink r:id="rId482" ref="E484"/>
    <hyperlink r:id="rId483" ref="E485"/>
    <hyperlink r:id="rId484" ref="E486"/>
    <hyperlink r:id="rId485" ref="E487"/>
    <hyperlink r:id="rId486" ref="E488"/>
    <hyperlink r:id="rId487" ref="E489"/>
    <hyperlink r:id="rId488" ref="E490"/>
    <hyperlink r:id="rId489" ref="E491"/>
    <hyperlink r:id="rId490" ref="E492"/>
    <hyperlink r:id="rId491" ref="E493"/>
    <hyperlink r:id="rId492" ref="E494"/>
    <hyperlink r:id="rId493" ref="E495"/>
    <hyperlink r:id="rId494" ref="E496"/>
    <hyperlink r:id="rId495" ref="E497"/>
    <hyperlink r:id="rId496" ref="E498"/>
    <hyperlink r:id="rId497" ref="E499"/>
    <hyperlink r:id="rId498" ref="E500"/>
    <hyperlink r:id="rId499" ref="E501"/>
    <hyperlink r:id="rId500" ref="E502"/>
    <hyperlink r:id="rId501" ref="E503"/>
    <hyperlink r:id="rId502" ref="E504"/>
    <hyperlink r:id="rId503" ref="E505"/>
    <hyperlink r:id="rId504" ref="E506"/>
    <hyperlink r:id="rId505" ref="E507"/>
    <hyperlink r:id="rId506" ref="E508"/>
    <hyperlink r:id="rId507" ref="E509"/>
    <hyperlink r:id="rId508" ref="E510"/>
    <hyperlink r:id="rId509" ref="E511"/>
    <hyperlink r:id="rId510" ref="E512"/>
    <hyperlink r:id="rId511" ref="E513"/>
    <hyperlink r:id="rId512" ref="E514"/>
    <hyperlink r:id="rId513" ref="E515"/>
    <hyperlink r:id="rId514" ref="E516"/>
    <hyperlink r:id="rId515" ref="E517"/>
    <hyperlink r:id="rId516" ref="E518"/>
    <hyperlink r:id="rId517" ref="E519"/>
    <hyperlink r:id="rId518" ref="E520"/>
    <hyperlink r:id="rId519" ref="E521"/>
    <hyperlink r:id="rId520" ref="E522"/>
    <hyperlink r:id="rId521" ref="E523"/>
    <hyperlink r:id="rId522" ref="E524"/>
    <hyperlink r:id="rId523" ref="E525"/>
    <hyperlink r:id="rId524" ref="E526"/>
    <hyperlink r:id="rId525" ref="E527"/>
    <hyperlink r:id="rId526" ref="E528"/>
    <hyperlink r:id="rId527" ref="E529"/>
    <hyperlink r:id="rId528" ref="E530"/>
    <hyperlink r:id="rId529" ref="E531"/>
    <hyperlink r:id="rId530" ref="E532"/>
    <hyperlink r:id="rId531" ref="E533"/>
    <hyperlink r:id="rId532" ref="E534"/>
    <hyperlink r:id="rId533" ref="E535"/>
    <hyperlink r:id="rId534" ref="E536"/>
    <hyperlink r:id="rId535" ref="E537"/>
    <hyperlink r:id="rId536" ref="E538"/>
    <hyperlink r:id="rId537" ref="E539"/>
    <hyperlink r:id="rId538" ref="E540"/>
    <hyperlink r:id="rId539" ref="E541"/>
    <hyperlink r:id="rId540" ref="E542"/>
    <hyperlink r:id="rId541" ref="E543"/>
    <hyperlink r:id="rId542" ref="E544"/>
    <hyperlink r:id="rId543" ref="E545"/>
    <hyperlink r:id="rId544" ref="E546"/>
    <hyperlink r:id="rId545" ref="E547"/>
    <hyperlink r:id="rId546" ref="E548"/>
    <hyperlink r:id="rId547" ref="E549"/>
    <hyperlink r:id="rId548" ref="E550"/>
    <hyperlink r:id="rId549" ref="E551"/>
    <hyperlink r:id="rId550" ref="E552"/>
    <hyperlink r:id="rId551" ref="E553"/>
    <hyperlink r:id="rId552" ref="E554"/>
    <hyperlink r:id="rId553" ref="E555"/>
    <hyperlink r:id="rId554" ref="E556"/>
    <hyperlink r:id="rId555" ref="E557"/>
    <hyperlink r:id="rId556" ref="E558"/>
    <hyperlink r:id="rId557" ref="E559"/>
    <hyperlink r:id="rId558" ref="E560"/>
    <hyperlink r:id="rId559" ref="E561"/>
    <hyperlink r:id="rId560" ref="E562"/>
    <hyperlink r:id="rId561" ref="E563"/>
    <hyperlink r:id="rId562" ref="E564"/>
    <hyperlink r:id="rId563" ref="E565"/>
    <hyperlink r:id="rId564" ref="E566"/>
    <hyperlink r:id="rId565" ref="E567"/>
    <hyperlink r:id="rId566" ref="E568"/>
    <hyperlink r:id="rId567" ref="E569"/>
    <hyperlink r:id="rId568" ref="E570"/>
    <hyperlink r:id="rId569" ref="E571"/>
    <hyperlink r:id="rId570" ref="E572"/>
    <hyperlink r:id="rId571" ref="E573"/>
    <hyperlink r:id="rId572" ref="E574"/>
    <hyperlink r:id="rId573" ref="E575"/>
    <hyperlink r:id="rId574" ref="E576"/>
    <hyperlink r:id="rId575" ref="E577"/>
    <hyperlink r:id="rId576" ref="E578"/>
    <hyperlink r:id="rId577" ref="E579"/>
    <hyperlink r:id="rId578" ref="E580"/>
    <hyperlink r:id="rId579" ref="E581"/>
    <hyperlink r:id="rId580" ref="E582"/>
    <hyperlink r:id="rId581" ref="E583"/>
    <hyperlink r:id="rId582" ref="E584"/>
    <hyperlink r:id="rId583" ref="E585"/>
    <hyperlink r:id="rId584" ref="E586"/>
    <hyperlink r:id="rId585" ref="E587"/>
    <hyperlink r:id="rId586" ref="E588"/>
    <hyperlink r:id="rId587" ref="E589"/>
    <hyperlink r:id="rId588" ref="E590"/>
    <hyperlink r:id="rId589" ref="E591"/>
    <hyperlink r:id="rId590" ref="E592"/>
    <hyperlink r:id="rId591" ref="E593"/>
    <hyperlink r:id="rId592" ref="E594"/>
    <hyperlink r:id="rId593" ref="E595"/>
    <hyperlink r:id="rId594" ref="E596"/>
    <hyperlink r:id="rId595" ref="E597"/>
    <hyperlink r:id="rId596" ref="E598"/>
    <hyperlink r:id="rId597" ref="E599"/>
    <hyperlink r:id="rId598" ref="E600"/>
    <hyperlink r:id="rId599" ref="E601"/>
    <hyperlink r:id="rId600" ref="E602"/>
    <hyperlink r:id="rId601" ref="E603"/>
    <hyperlink r:id="rId602" ref="E604"/>
    <hyperlink r:id="rId603" ref="E605"/>
    <hyperlink r:id="rId604" ref="E606"/>
    <hyperlink r:id="rId605" ref="E607"/>
    <hyperlink r:id="rId606" ref="E608"/>
    <hyperlink r:id="rId607" ref="E609"/>
    <hyperlink r:id="rId608" ref="E610"/>
    <hyperlink r:id="rId609" ref="E611"/>
    <hyperlink r:id="rId610" ref="E612"/>
    <hyperlink r:id="rId611" ref="E613"/>
    <hyperlink r:id="rId612" ref="E614"/>
    <hyperlink r:id="rId613" ref="E615"/>
    <hyperlink r:id="rId614" ref="E616"/>
    <hyperlink r:id="rId615" ref="E617"/>
    <hyperlink r:id="rId616" ref="E618"/>
    <hyperlink r:id="rId617" ref="E619"/>
    <hyperlink r:id="rId618" ref="E620"/>
    <hyperlink r:id="rId619" ref="E621"/>
    <hyperlink r:id="rId620" ref="E622"/>
    <hyperlink r:id="rId621" ref="E623"/>
    <hyperlink r:id="rId622" ref="E624"/>
    <hyperlink r:id="rId623" ref="E625"/>
    <hyperlink r:id="rId624" ref="E626"/>
    <hyperlink r:id="rId625" ref="E627"/>
    <hyperlink r:id="rId626" ref="E628"/>
    <hyperlink r:id="rId627" ref="E629"/>
    <hyperlink r:id="rId628" ref="E630"/>
    <hyperlink r:id="rId629" ref="E631"/>
    <hyperlink r:id="rId630" ref="E632"/>
    <hyperlink r:id="rId631" ref="E633"/>
    <hyperlink r:id="rId632" ref="E634"/>
    <hyperlink r:id="rId633" ref="E635"/>
    <hyperlink r:id="rId634" ref="E636"/>
    <hyperlink r:id="rId635" ref="E637"/>
    <hyperlink r:id="rId636" ref="E638"/>
    <hyperlink r:id="rId637" ref="E639"/>
    <hyperlink r:id="rId638" ref="E640"/>
    <hyperlink r:id="rId639" ref="E641"/>
    <hyperlink r:id="rId640" ref="E642"/>
    <hyperlink r:id="rId641" ref="E643"/>
    <hyperlink r:id="rId642" ref="E644"/>
    <hyperlink r:id="rId643" ref="E645"/>
    <hyperlink r:id="rId644" ref="E646"/>
    <hyperlink r:id="rId645" ref="E647"/>
    <hyperlink r:id="rId646" ref="E648"/>
    <hyperlink r:id="rId647" ref="E649"/>
    <hyperlink r:id="rId648" ref="E650"/>
    <hyperlink r:id="rId649" ref="E651"/>
    <hyperlink r:id="rId650" ref="E652"/>
    <hyperlink r:id="rId651" ref="E653"/>
    <hyperlink r:id="rId652" ref="E654"/>
    <hyperlink r:id="rId653" ref="E655"/>
    <hyperlink r:id="rId654" ref="E656"/>
    <hyperlink r:id="rId655" ref="E657"/>
    <hyperlink r:id="rId656" ref="E658"/>
    <hyperlink r:id="rId657" ref="E659"/>
    <hyperlink r:id="rId658" ref="E660"/>
    <hyperlink r:id="rId659" ref="E661"/>
    <hyperlink r:id="rId660" ref="E662"/>
    <hyperlink r:id="rId661" ref="E663"/>
    <hyperlink r:id="rId662" ref="E664"/>
    <hyperlink r:id="rId663" ref="E665"/>
    <hyperlink r:id="rId664" ref="E666"/>
    <hyperlink r:id="rId665" ref="E667"/>
    <hyperlink r:id="rId666" ref="E668"/>
    <hyperlink r:id="rId667" ref="E669"/>
    <hyperlink r:id="rId668" ref="E670"/>
    <hyperlink r:id="rId669" ref="E671"/>
    <hyperlink r:id="rId670" ref="E672"/>
    <hyperlink r:id="rId671" ref="E673"/>
    <hyperlink r:id="rId672" ref="E674"/>
    <hyperlink r:id="rId673" ref="E675"/>
    <hyperlink r:id="rId674" ref="E676"/>
    <hyperlink r:id="rId675" ref="E677"/>
    <hyperlink r:id="rId676" ref="E678"/>
    <hyperlink r:id="rId677" ref="E679"/>
    <hyperlink r:id="rId678" ref="E680"/>
    <hyperlink r:id="rId679" ref="E681"/>
    <hyperlink r:id="rId680" ref="E682"/>
    <hyperlink r:id="rId681" ref="E683"/>
    <hyperlink r:id="rId682" ref="E684"/>
    <hyperlink r:id="rId683" ref="E685"/>
    <hyperlink r:id="rId684" ref="E686"/>
    <hyperlink r:id="rId685" ref="E688"/>
    <hyperlink r:id="rId686" ref="E689"/>
    <hyperlink r:id="rId687" ref="E690"/>
    <hyperlink r:id="rId688" ref="E691"/>
    <hyperlink r:id="rId689" ref="E692"/>
    <hyperlink r:id="rId690" ref="E693"/>
    <hyperlink r:id="rId691" ref="E694"/>
    <hyperlink r:id="rId692" ref="E695"/>
    <hyperlink r:id="rId693" ref="E696"/>
    <hyperlink r:id="rId694" ref="E697"/>
    <hyperlink r:id="rId695" ref="E698"/>
    <hyperlink r:id="rId696" ref="E699"/>
    <hyperlink r:id="rId697" ref="E700"/>
    <hyperlink r:id="rId698" ref="E701"/>
    <hyperlink r:id="rId699" ref="E702"/>
    <hyperlink r:id="rId700" ref="E703"/>
    <hyperlink r:id="rId701" ref="E704"/>
    <hyperlink r:id="rId702" ref="E705"/>
    <hyperlink r:id="rId703" ref="E706"/>
    <hyperlink r:id="rId704" ref="E707"/>
    <hyperlink r:id="rId705" ref="E708"/>
    <hyperlink r:id="rId706" ref="E709"/>
    <hyperlink r:id="rId707" ref="E710"/>
    <hyperlink r:id="rId708" ref="E711"/>
    <hyperlink r:id="rId709" ref="E712"/>
    <hyperlink r:id="rId710" ref="E713"/>
    <hyperlink r:id="rId711" ref="E714"/>
    <hyperlink r:id="rId712" ref="E715"/>
    <hyperlink r:id="rId713" ref="E716"/>
    <hyperlink r:id="rId714" ref="E717"/>
    <hyperlink r:id="rId715" ref="E718"/>
    <hyperlink r:id="rId716" ref="E719"/>
    <hyperlink r:id="rId717" ref="E720"/>
    <hyperlink r:id="rId718" ref="E721"/>
    <hyperlink r:id="rId719" ref="E722"/>
    <hyperlink r:id="rId720" ref="E723"/>
    <hyperlink r:id="rId721" ref="E724"/>
    <hyperlink r:id="rId722" ref="E725"/>
    <hyperlink r:id="rId723" ref="E726"/>
    <hyperlink r:id="rId724" ref="E727"/>
    <hyperlink r:id="rId725" ref="E728"/>
    <hyperlink r:id="rId726" ref="E729"/>
    <hyperlink r:id="rId727" ref="E730"/>
    <hyperlink r:id="rId728" ref="E731"/>
    <hyperlink r:id="rId729" ref="E732"/>
    <hyperlink r:id="rId730" ref="E733"/>
    <hyperlink r:id="rId731" ref="E734"/>
    <hyperlink r:id="rId732" ref="E735"/>
    <hyperlink r:id="rId733" ref="E736"/>
    <hyperlink r:id="rId734" ref="E737"/>
    <hyperlink r:id="rId735" ref="E738"/>
    <hyperlink r:id="rId736" ref="E739"/>
    <hyperlink r:id="rId737" ref="E740"/>
    <hyperlink r:id="rId738" ref="E741"/>
    <hyperlink r:id="rId739" ref="E742"/>
    <hyperlink r:id="rId740" ref="E743"/>
    <hyperlink r:id="rId741" ref="E744"/>
    <hyperlink r:id="rId742" ref="E745"/>
    <hyperlink r:id="rId743" ref="E746"/>
    <hyperlink r:id="rId744" ref="E747"/>
    <hyperlink r:id="rId745" ref="E748"/>
    <hyperlink r:id="rId746" ref="E749"/>
    <hyperlink r:id="rId747" ref="E750"/>
    <hyperlink r:id="rId748" ref="E751"/>
    <hyperlink r:id="rId749" ref="E752"/>
    <hyperlink r:id="rId750" ref="E753"/>
    <hyperlink r:id="rId751" ref="E754"/>
    <hyperlink r:id="rId752" ref="E755"/>
    <hyperlink r:id="rId753" ref="E756"/>
    <hyperlink r:id="rId754" ref="E757"/>
    <hyperlink r:id="rId755" ref="E758"/>
    <hyperlink r:id="rId756" ref="E759"/>
    <hyperlink r:id="rId757" ref="E760"/>
    <hyperlink r:id="rId758" ref="E761"/>
    <hyperlink r:id="rId759" ref="B762"/>
    <hyperlink r:id="rId760" ref="E762"/>
    <hyperlink r:id="rId761" ref="E763"/>
    <hyperlink r:id="rId762" ref="E764"/>
    <hyperlink r:id="rId763" ref="E765"/>
    <hyperlink r:id="rId764" ref="E766"/>
    <hyperlink r:id="rId765" ref="E767"/>
    <hyperlink r:id="rId766" ref="E768"/>
    <hyperlink r:id="rId767" ref="E769"/>
    <hyperlink r:id="rId768" ref="E770"/>
    <hyperlink r:id="rId769" ref="E771"/>
    <hyperlink r:id="rId770" ref="E772"/>
    <hyperlink r:id="rId771" ref="E773"/>
    <hyperlink r:id="rId772" ref="E774"/>
    <hyperlink r:id="rId773" ref="E775"/>
    <hyperlink r:id="rId774" ref="E776"/>
    <hyperlink r:id="rId775" ref="E777"/>
    <hyperlink r:id="rId776" ref="E778"/>
    <hyperlink r:id="rId777" ref="E779"/>
    <hyperlink r:id="rId778" ref="E780"/>
    <hyperlink r:id="rId779" ref="E781"/>
    <hyperlink r:id="rId780" ref="E822"/>
    <hyperlink r:id="rId781" ref="B828"/>
    <hyperlink r:id="rId782" ref="B890"/>
    <hyperlink r:id="rId783" ref="B893"/>
    <hyperlink r:id="rId784" ref="B894"/>
    <hyperlink r:id="rId785" ref="B943"/>
    <hyperlink r:id="rId786" ref="E959"/>
    <hyperlink r:id="rId787" ref="E960"/>
    <hyperlink r:id="rId788" ref="E961"/>
    <hyperlink r:id="rId789" ref="E962"/>
    <hyperlink r:id="rId790" ref="E963"/>
    <hyperlink r:id="rId791" ref="E964"/>
    <hyperlink r:id="rId792" ref="E965"/>
    <hyperlink r:id="rId793" ref="E966"/>
    <hyperlink r:id="rId794" ref="E970"/>
    <hyperlink r:id="rId795" ref="E971"/>
    <hyperlink r:id="rId796" ref="E972"/>
    <hyperlink r:id="rId797" ref="E973"/>
    <hyperlink r:id="rId798" ref="E1006"/>
    <hyperlink r:id="rId799" ref="E1011"/>
    <hyperlink r:id="rId800" ref="E1012"/>
    <hyperlink r:id="rId801" ref="E1017"/>
    <hyperlink r:id="rId802" ref="E1049"/>
    <hyperlink r:id="rId803" ref="E1069"/>
    <hyperlink r:id="rId804" ref="E1070"/>
    <hyperlink r:id="rId805" ref="E1071"/>
    <hyperlink r:id="rId806" ref="E1072"/>
    <hyperlink r:id="rId807" ref="E1073"/>
    <hyperlink r:id="rId808" ref="E1074"/>
    <hyperlink r:id="rId809" ref="E1100"/>
    <hyperlink r:id="rId810" ref="E1110"/>
    <hyperlink r:id="rId811" ref="E1163"/>
    <hyperlink r:id="rId812" ref="E1164"/>
    <hyperlink r:id="rId813" ref="B1193"/>
    <hyperlink r:id="rId814" ref="E1213"/>
  </hyperlinks>
  <drawing r:id="rId815"/>
  <legacyDrawing r:id="rId816"/>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1" t="str">
        <f>IFERROR(__xludf.DUMMYFUNCTION("QUERY(
  {
    'faq（共通）'!A:E;
    'faq（町田駅前）'!A:E
  },
  ""where Col1 is not null"",
  0
)
"),"question")</f>
        <v>question</v>
      </c>
      <c r="B1" s="31" t="str">
        <f>IFERROR(__xludf.DUMMYFUNCTION("""COMPUTED_VALUE"""),"answer")</f>
        <v>answer</v>
      </c>
      <c r="C1" s="31" t="str">
        <f>IFERROR(__xludf.DUMMYFUNCTION("""COMPUTED_VALUE"""),"category")</f>
        <v>category</v>
      </c>
      <c r="D1" s="31" t="str">
        <f>IFERROR(__xludf.DUMMYFUNCTION("""COMPUTED_VALUE"""),"keywords")</f>
        <v>keywords</v>
      </c>
      <c r="E1" s="31" t="str">
        <f>IFERROR(__xludf.DUMMYFUNCTION("""COMPUTED_VALUE"""),"source_url")</f>
        <v>source_url</v>
      </c>
    </row>
    <row r="2">
      <c r="A2" s="31" t="str">
        <f>IFERROR(__xludf.DUMMYFUNCTION("""COMPUTED_VALUE"""),"どんな想いで運営しているクリニックですか？")</f>
        <v>どんな想いで運営しているクリニックですか？</v>
      </c>
      <c r="B2" s="31" t="str">
        <f>IFERROR(__xludf.DUMMYFUNCTION("""COMPUTED_VALUE"""),"ルナレディースクリニックでは、忙しい毎日の中でもご自身のカラダと向き合いたい女性が、もっと身近に、もっと気軽に通えるクリニックを目指しています。ひとりひとりの悩みや気持ちに寄り添いながら、ご利用いただける環境づくりを大切にしています。")</f>
        <v>ルナレディースクリニックでは、忙しい毎日の中でもご自身のカラダと向き合いたい女性が、もっと身近に、もっと気軽に通えるクリニックを目指しています。ひとりひとりの悩みや気持ちに寄り添いながら、ご利用いただける環境づくりを大切にしています。</v>
      </c>
      <c r="C2" s="31" t="str">
        <f>IFERROR(__xludf.DUMMYFUNCTION("""COMPUTED_VALUE"""),"クリニックについて")</f>
        <v>クリニックについて</v>
      </c>
      <c r="D2" s="31" t="str">
        <f>IFERROR(__xludf.DUMMYFUNCTION("""COMPUTED_VALUE"""),"コンセプト,想い,特徴")</f>
        <v>コンセプト,想い,特徴</v>
      </c>
      <c r="E2" s="32" t="str">
        <f>IFERROR(__xludf.DUMMYFUNCTION("""COMPUTED_VALUE"""),"https://luna-dr.com/")</f>
        <v>https://luna-dr.com/</v>
      </c>
    </row>
    <row r="3">
      <c r="A3" s="31" t="str">
        <f>IFERROR(__xludf.DUMMYFUNCTION("""COMPUTED_VALUE"""),"仕事やプライベートが忙しくても通えますか？")</f>
        <v>仕事やプライベートが忙しくても通えますか？</v>
      </c>
      <c r="B3" s="31" t="str">
        <f>IFERROR(__xludf.DUMMYFUNCTION("""COMPUTED_VALUE"""),"ルナレディースクリニックでは、ライフスタイルに合わせて通っていただけるよう、オンライン診療やLINE予約などを取り入れています。忙しい方でもご利用しやすい体制を整えています。")</f>
        <v>ルナレディースクリニックでは、ライフスタイルに合わせて通っていただけるよう、オンライン診療やLINE予約などを取り入れています。忙しい方でもご利用しやすい体制を整えています。</v>
      </c>
      <c r="C3" s="31" t="str">
        <f>IFERROR(__xludf.DUMMYFUNCTION("""COMPUTED_VALUE"""),"クリニックについて")</f>
        <v>クリニックについて</v>
      </c>
      <c r="D3" s="31" t="str">
        <f>IFERROR(__xludf.DUMMYFUNCTION("""COMPUTED_VALUE"""),"通いやすさ,忙しい,オンライン診療")</f>
        <v>通いやすさ,忙しい,オンライン診療</v>
      </c>
      <c r="E3" s="32" t="str">
        <f>IFERROR(__xludf.DUMMYFUNCTION("""COMPUTED_VALUE"""),"https://luna-dr.com/")</f>
        <v>https://luna-dr.com/</v>
      </c>
    </row>
    <row r="4">
      <c r="A4" s="31" t="str">
        <f>IFERROR(__xludf.DUMMYFUNCTION("""COMPUTED_VALUE"""),"プライバシーへの配慮はされていますか？")</f>
        <v>プライバシーへの配慮はされていますか？</v>
      </c>
      <c r="B4" s="31" t="str">
        <f>IFERROR(__xludf.DUMMYFUNCTION("""COMPUTED_VALUE"""),"ルナレディースクリニックでは、患者さまが安心してご相談いただけるよう、プライバシーに配慮した院内環境を整えています。")</f>
        <v>ルナレディースクリニックでは、患者さまが安心してご相談いただけるよう、プライバシーに配慮した院内環境を整えています。</v>
      </c>
      <c r="C4" s="31" t="str">
        <f>IFERROR(__xludf.DUMMYFUNCTION("""COMPUTED_VALUE"""),"クリニックについて")</f>
        <v>クリニックについて</v>
      </c>
      <c r="D4" s="31" t="str">
        <f>IFERROR(__xludf.DUMMYFUNCTION("""COMPUTED_VALUE"""),"プライバシー,院内環境")</f>
        <v>プライバシー,院内環境</v>
      </c>
      <c r="E4" s="32" t="str">
        <f>IFERROR(__xludf.DUMMYFUNCTION("""COMPUTED_VALUE"""),"https://luna-dr.com/")</f>
        <v>https://luna-dr.com/</v>
      </c>
    </row>
    <row r="5">
      <c r="A5" s="31" t="str">
        <f>IFERROR(__xludf.DUMMYFUNCTION("""COMPUTED_VALUE"""),"オンライン診療には対応していますか？")</f>
        <v>オンライン診療には対応していますか？</v>
      </c>
      <c r="B5" s="31" t="str">
        <f>IFERROR(__xludf.DUMMYFUNCTION("""COMPUTED_VALUE"""),"ルナレディースクリニックでは、スマートフォンを使って自宅から受診できるオンライン診療を行っています。来院が難しい場合でもご相談いただけます。")</f>
        <v>ルナレディースクリニックでは、スマートフォンを使って自宅から受診できるオンライン診療を行っています。来院が難しい場合でもご相談いただけます。</v>
      </c>
      <c r="C5" s="31" t="str">
        <f>IFERROR(__xludf.DUMMYFUNCTION("""COMPUTED_VALUE"""),"オンライン診療")</f>
        <v>オンライン診療</v>
      </c>
      <c r="D5" s="31" t="str">
        <f>IFERROR(__xludf.DUMMYFUNCTION("""COMPUTED_VALUE"""),"オンライン診療,スマホ診療")</f>
        <v>オンライン診療,スマホ診療</v>
      </c>
      <c r="E5" s="32" t="str">
        <f>IFERROR(__xludf.DUMMYFUNCTION("""COMPUTED_VALUE"""),"https://luna-dr.com/")</f>
        <v>https://luna-dr.com/</v>
      </c>
    </row>
    <row r="6">
      <c r="A6" s="31" t="str">
        <f>IFERROR(__xludf.DUMMYFUNCTION("""COMPUTED_VALUE"""),"オンライン診療では待ち時間はありますか？")</f>
        <v>オンライン診療では待ち時間はありますか？</v>
      </c>
      <c r="B6" s="31" t="str">
        <f>IFERROR(__xludf.DUMMYFUNCTION("""COMPUTED_VALUE"""),"ルナレディースクリニックでは、事前にWEB問診を行っていただくことで、待ち時間の短縮を目指しています。")</f>
        <v>ルナレディースクリニックでは、事前にWEB問診を行っていただくことで、待ち時間の短縮を目指しています。</v>
      </c>
      <c r="C6" s="31" t="str">
        <f>IFERROR(__xludf.DUMMYFUNCTION("""COMPUTED_VALUE"""),"オンライン診療")</f>
        <v>オンライン診療</v>
      </c>
      <c r="D6" s="31" t="str">
        <f>IFERROR(__xludf.DUMMYFUNCTION("""COMPUTED_VALUE"""),"待ち時間,WEB問診")</f>
        <v>待ち時間,WEB問診</v>
      </c>
      <c r="E6" s="32" t="str">
        <f>IFERROR(__xludf.DUMMYFUNCTION("""COMPUTED_VALUE"""),"https://luna-dr.com/")</f>
        <v>https://luna-dr.com/</v>
      </c>
    </row>
    <row r="7">
      <c r="A7" s="31" t="str">
        <f>IFERROR(__xludf.DUMMYFUNCTION("""COMPUTED_VALUE"""),"予約はどこからできますか？/予約はどのようにできますか？")</f>
        <v>予約はどこからできますか？/予約はどのようにできますか？</v>
      </c>
      <c r="B7" s="31" t="str">
        <f>IFERROR(__xludf.DUMMYFUNCTION("""COMPUTED_VALUE"""),"ルナレディースクリニックでは、LINE予約を受け付けています。LINEはこちら→https://cline-app.com/qr-codes/98ad6f149bfa20f4f2a9a2e91aac4187/preview")</f>
        <v>ルナレディースクリニックでは、LINE予約を受け付けています。LINEはこちら→https://cline-app.com/qr-codes/98ad6f149bfa20f4f2a9a2e91aac4187/preview</v>
      </c>
      <c r="C7" s="31" t="str">
        <f>IFERROR(__xludf.DUMMYFUNCTION("""COMPUTED_VALUE"""),"予約・導線")</f>
        <v>予約・導線</v>
      </c>
      <c r="D7" s="31" t="str">
        <f>IFERROR(__xludf.DUMMYFUNCTION("""COMPUTED_VALUE"""),"予約,LINE予約,全院共通")</f>
        <v>予約,LINE予約,全院共通</v>
      </c>
      <c r="E7" s="32" t="str">
        <f>IFERROR(__xludf.DUMMYFUNCTION("""COMPUTED_VALUE"""),"https://luna-dr.com/")</f>
        <v>https://luna-dr.com/</v>
      </c>
    </row>
    <row r="8">
      <c r="A8" s="31" t="str">
        <f>IFERROR(__xludf.DUMMYFUNCTION("""COMPUTED_VALUE"""),"町田駅前院の予約方法を教えてください")</f>
        <v>町田駅前院の予約方法を教えてください</v>
      </c>
      <c r="B8" s="31" t="str">
        <f>IFERROR(__xludf.DUMMYFUNCTION("""COMPUTED_VALUE"""),"ルナレディースクリニック町田駅前院では、LINEから24時間いつでもご予約いただけます。LINEはこちら→https://cline-app.com/qr-codes/98ad6f149bfa20f4f2a9a2e91aac4187/preview")</f>
        <v>ルナレディースクリニック町田駅前院では、LINEから24時間いつでもご予約いただけます。LINEはこちら→https://cline-app.com/qr-codes/98ad6f149bfa20f4f2a9a2e91aac4187/preview</v>
      </c>
      <c r="C8" s="31" t="str">
        <f>IFERROR(__xludf.DUMMYFUNCTION("""COMPUTED_VALUE"""),"予約・導線")</f>
        <v>予約・導線</v>
      </c>
      <c r="D8" s="31" t="str">
        <f>IFERROR(__xludf.DUMMYFUNCTION("""COMPUTED_VALUE"""),"町田,予約,LINE予約")</f>
        <v>町田,予約,LINE予約</v>
      </c>
      <c r="E8" s="32" t="str">
        <f>IFERROR(__xludf.DUMMYFUNCTION("""COMPUTED_VALUE"""),"https://cline-app.com/qr-codes/98ad6f149bfa20f4f2a9a2e91aac4187/preview")</f>
        <v>https://cline-app.com/qr-codes/98ad6f149bfa20f4f2a9a2e91aac4187/preview</v>
      </c>
    </row>
    <row r="9">
      <c r="A9" s="31" t="str">
        <f>IFERROR(__xludf.DUMMYFUNCTION("""COMPUTED_VALUE"""),"横浜駅前院の予約方法を教えてください")</f>
        <v>横浜駅前院の予約方法を教えてください</v>
      </c>
      <c r="B9" s="31" t="str">
        <f>IFERROR(__xludf.DUMMYFUNCTION("""COMPUTED_VALUE"""),"ルナレディースクリニック横浜駅前院では、LINEを利用した予約を受け付けています。LINEはこちら→https://cline-app.com/qr-codes/98ad6f149bfa20f4f2a9a2e91aac4187/preview")</f>
        <v>ルナレディースクリニック横浜駅前院では、LINEを利用した予約を受け付けています。LINEはこちら→https://cline-app.com/qr-codes/98ad6f149bfa20f4f2a9a2e91aac4187/preview</v>
      </c>
      <c r="C9" s="31" t="str">
        <f>IFERROR(__xludf.DUMMYFUNCTION("""COMPUTED_VALUE"""),"予約・導線")</f>
        <v>予約・導線</v>
      </c>
      <c r="D9" s="31" t="str">
        <f>IFERROR(__xludf.DUMMYFUNCTION("""COMPUTED_VALUE"""),"横浜,予約,LINE予約")</f>
        <v>横浜,予約,LINE予約</v>
      </c>
      <c r="E9" s="32" t="str">
        <f>IFERROR(__xludf.DUMMYFUNCTION("""COMPUTED_VALUE"""),"https://cline-app.com/qr-codes/98ad6f149bfa20f4f2a9a2e91aac4187/preview")</f>
        <v>https://cline-app.com/qr-codes/98ad6f149bfa20f4f2a9a2e91aac4187/preview</v>
      </c>
    </row>
    <row r="10">
      <c r="A10" s="31" t="str">
        <f>IFERROR(__xludf.DUMMYFUNCTION("""COMPUTED_VALUE"""),"川崎駅前院の予約方法を教えてください")</f>
        <v>川崎駅前院の予約方法を教えてください</v>
      </c>
      <c r="B10" s="31" t="str">
        <f>IFERROR(__xludf.DUMMYFUNCTION("""COMPUTED_VALUE"""),"ルナレディースクリニック川崎駅前院では、LINEから簡単にご予約いただけます。LINEはこちら→https://cline-app.com/qr-codes/98ad6f149bfa20f4f2a9a2e91aac4187/preview")</f>
        <v>ルナレディースクリニック川崎駅前院では、LINEから簡単にご予約いただけます。LINEはこちら→https://cline-app.com/qr-codes/98ad6f149bfa20f4f2a9a2e91aac4187/preview</v>
      </c>
      <c r="C10" s="31" t="str">
        <f>IFERROR(__xludf.DUMMYFUNCTION("""COMPUTED_VALUE"""),"予約・導線")</f>
        <v>予約・導線</v>
      </c>
      <c r="D10" s="31" t="str">
        <f>IFERROR(__xludf.DUMMYFUNCTION("""COMPUTED_VALUE"""),"川崎,予約,LINE予約")</f>
        <v>川崎,予約,LINE予約</v>
      </c>
      <c r="E10" s="32" t="str">
        <f>IFERROR(__xludf.DUMMYFUNCTION("""COMPUTED_VALUE"""),"https://cline-app.com/qr-codes/98ad6f149bfa20f4f2a9a2e91aac4187/preview")</f>
        <v>https://cline-app.com/qr-codes/98ad6f149bfa20f4f2a9a2e91aac4187/preview</v>
      </c>
    </row>
    <row r="11">
      <c r="A11" s="31" t="str">
        <f>IFERROR(__xludf.DUMMYFUNCTION("""COMPUTED_VALUE"""),"どの院を予約すればよいか迷っています")</f>
        <v>どの院を予約すればよいか迷っています</v>
      </c>
      <c r="B11" s="31" t="str">
        <f>IFERROR(__xludf.DUMMYFUNCTION("""COMPUTED_VALUE"""),"ルナレディースクリニックでは、町田駅前院・横浜駅前院・川崎駅前院がございます。ご自宅・職場から通いやすい院をご選択ください。診療内容によってはご自宅でも受けられるオンライン診療をご提供しております。")</f>
        <v>ルナレディースクリニックでは、町田駅前院・横浜駅前院・川崎駅前院がございます。ご自宅・職場から通いやすい院をご選択ください。診療内容によってはご自宅でも受けられるオンライン診療をご提供しております。</v>
      </c>
      <c r="C11" s="31" t="str">
        <f>IFERROR(__xludf.DUMMYFUNCTION("""COMPUTED_VALUE"""),"予約・導線")</f>
        <v>予約・導線</v>
      </c>
      <c r="D11" s="31" t="str">
        <f>IFERROR(__xludf.DUMMYFUNCTION("""COMPUTED_VALUE"""),"院選択,どこで予約")</f>
        <v>院選択,どこで予約</v>
      </c>
      <c r="E11" s="32" t="str">
        <f>IFERROR(__xludf.DUMMYFUNCTION("""COMPUTED_VALUE"""),"https://luna-dr.com/")</f>
        <v>https://luna-dr.com/</v>
      </c>
    </row>
    <row r="12">
      <c r="A12" s="31" t="str">
        <f>IFERROR(__xludf.DUMMYFUNCTION("""COMPUTED_VALUE"""),"クリニックは駅から近いですか？")</f>
        <v>クリニックは駅から近いですか？</v>
      </c>
      <c r="B12" s="31" t="str">
        <f>IFERROR(__xludf.DUMMYFUNCTION("""COMPUTED_VALUE"""),"ルナレディースクリニックは、すべての院が最寄り駅から徒歩5分以内の場所にあります。通いやすい立地です。")</f>
        <v>ルナレディースクリニックは、すべての院が最寄り駅から徒歩5分以内の場所にあります。通いやすい立地です。</v>
      </c>
      <c r="C12" s="31" t="str">
        <f>IFERROR(__xludf.DUMMYFUNCTION("""COMPUTED_VALUE"""),"アクセス")</f>
        <v>アクセス</v>
      </c>
      <c r="D12" s="31" t="str">
        <f>IFERROR(__xludf.DUMMYFUNCTION("""COMPUTED_VALUE"""),"駅チカ,徒歩5分以内")</f>
        <v>駅チカ,徒歩5分以内</v>
      </c>
      <c r="E12" s="32" t="str">
        <f>IFERROR(__xludf.DUMMYFUNCTION("""COMPUTED_VALUE"""),"https://luna-dr.com/")</f>
        <v>https://luna-dr.com/</v>
      </c>
    </row>
    <row r="13">
      <c r="A13" s="31" t="str">
        <f>IFERROR(__xludf.DUMMYFUNCTION("""COMPUTED_VALUE"""),"どんな診療を行っていますか？/受け付けてる診察内容を教えてください")</f>
        <v>どんな診療を行っていますか？/受け付けてる診察内容を教えてください</v>
      </c>
      <c r="B13" s="31" t="str">
        <f>IFERROR(__xludf.DUMMYFUNCTION("""COMPUTED_VALUE"""),"ルナレディースクリニックでは、ピルの処方、低用量ピル、月経移動、ブライダルチェック、生理不順、生理痛、おりもの検査、不正出血、妊娠検査、女性の検診・検査、中絶、アフターピル、IUS（子宮内システム）、HPVワクチン（子宮頸がんワクチン）、性感染症に対応しています。
※乳房に関する診療、更年期障害の治療、不妊治療は行っていません。")</f>
        <v>ルナレディースクリニックでは、ピルの処方、低用量ピル、月経移動、ブライダルチェック、生理不順、生理痛、おりもの検査、不正出血、妊娠検査、女性の検診・検査、中絶、アフターピル、IUS（子宮内システム）、HPVワクチン（子宮頸がんワクチン）、性感染症に対応しています。
※乳房に関する診療、更年期障害の治療、不妊治療は行っていません。</v>
      </c>
      <c r="C13" s="31" t="str">
        <f>IFERROR(__xludf.DUMMYFUNCTION("""COMPUTED_VALUE"""),"診療内容")</f>
        <v>診療内容</v>
      </c>
      <c r="D13" s="31" t="str">
        <f>IFERROR(__xludf.DUMMYFUNCTION("""COMPUTED_VALUE"""),"診療内容,対応している治療,婦人科")</f>
        <v>診療内容,対応している治療,婦人科</v>
      </c>
      <c r="E13" s="32" t="str">
        <f>IFERROR(__xludf.DUMMYFUNCTION("""COMPUTED_VALUE"""),"https://luna-dr.com/")</f>
        <v>https://luna-dr.com/</v>
      </c>
    </row>
    <row r="14">
      <c r="A14" s="31" t="str">
        <f>IFERROR(__xludf.DUMMYFUNCTION("""COMPUTED_VALUE"""),"生理に関する相談はできますか？")</f>
        <v>生理に関する相談はできますか？</v>
      </c>
      <c r="B14" s="31" t="str">
        <f>IFERROR(__xludf.DUMMYFUNCTION("""COMPUTED_VALUE"""),"ルナレディースクリニックでは、生理不順や生理痛、月経移動など、生理に関するお悩みのご相談を受け付けています。")</f>
        <v>ルナレディースクリニックでは、生理不順や生理痛、月経移動など、生理に関するお悩みのご相談を受け付けています。</v>
      </c>
      <c r="C14" s="31" t="str">
        <f>IFERROR(__xludf.DUMMYFUNCTION("""COMPUTED_VALUE"""),"診療内容")</f>
        <v>診療内容</v>
      </c>
      <c r="D14" s="31" t="str">
        <f>IFERROR(__xludf.DUMMYFUNCTION("""COMPUTED_VALUE"""),"生理,月経,生理痛")</f>
        <v>生理,月経,生理痛</v>
      </c>
      <c r="E14" s="32" t="str">
        <f>IFERROR(__xludf.DUMMYFUNCTION("""COMPUTED_VALUE"""),"https://luna-dr.com/subjects/menstrual-pain/")</f>
        <v>https://luna-dr.com/subjects/menstrual-pain/</v>
      </c>
    </row>
    <row r="15">
      <c r="A15" s="31" t="str">
        <f>IFERROR(__xludf.DUMMYFUNCTION("""COMPUTED_VALUE"""),"生理不順の相談はできますか？")</f>
        <v>生理不順の相談はできますか？</v>
      </c>
      <c r="B15" s="31" t="str">
        <f>IFERROR(__xludf.DUMMYFUNCTION("""COMPUTED_VALUE"""),"ルナレディースクリニックでは、生理不順に関するご相談を行っています。")</f>
        <v>ルナレディースクリニックでは、生理不順に関するご相談を行っています。</v>
      </c>
      <c r="C15" s="31" t="str">
        <f>IFERROR(__xludf.DUMMYFUNCTION("""COMPUTED_VALUE"""),"診療内容")</f>
        <v>診療内容</v>
      </c>
      <c r="D15" s="31" t="str">
        <f>IFERROR(__xludf.DUMMYFUNCTION("""COMPUTED_VALUE"""),"生理不順,月経")</f>
        <v>生理不順,月経</v>
      </c>
      <c r="E15" s="32" t="str">
        <f>IFERROR(__xludf.DUMMYFUNCTION("""COMPUTED_VALUE"""),"https://luna-dr.com/subjects/menstrual-irregularity/")</f>
        <v>https://luna-dr.com/subjects/menstrual-irregularity/</v>
      </c>
    </row>
    <row r="16">
      <c r="A16" s="31" t="str">
        <f>IFERROR(__xludf.DUMMYFUNCTION("""COMPUTED_VALUE"""),"生理痛について相談できますか？")</f>
        <v>生理痛について相談できますか？</v>
      </c>
      <c r="B16" s="31" t="str">
        <f>IFERROR(__xludf.DUMMYFUNCTION("""COMPUTED_VALUE"""),"ルナレディースクリニックでは、生理痛に関するご相談を受け付けています。")</f>
        <v>ルナレディースクリニックでは、生理痛に関するご相談を受け付けています。</v>
      </c>
      <c r="C16" s="31" t="str">
        <f>IFERROR(__xludf.DUMMYFUNCTION("""COMPUTED_VALUE"""),"診療内容")</f>
        <v>診療内容</v>
      </c>
      <c r="D16" s="31" t="str">
        <f>IFERROR(__xludf.DUMMYFUNCTION("""COMPUTED_VALUE"""),"生理痛,月経")</f>
        <v>生理痛,月経</v>
      </c>
      <c r="E16" s="32" t="str">
        <f>IFERROR(__xludf.DUMMYFUNCTION("""COMPUTED_VALUE"""),"https://luna-dr.com/subjects/menstrual-pain/")</f>
        <v>https://luna-dr.com/subjects/menstrual-pain/</v>
      </c>
    </row>
    <row r="17">
      <c r="A17" s="31" t="str">
        <f>IFERROR(__xludf.DUMMYFUNCTION("""COMPUTED_VALUE"""),"中絶の相談はできますか？")</f>
        <v>中絶の相談はできますか？</v>
      </c>
      <c r="B17" s="31" t="str">
        <f>IFERROR(__xludf.DUMMYFUNCTION("""COMPUTED_VALUE"""),"ルナレディースクリニックでは、中絶に関するご相談を行っています。")</f>
        <v>ルナレディースクリニックでは、中絶に関するご相談を行っています。</v>
      </c>
      <c r="C17" s="31" t="str">
        <f>IFERROR(__xludf.DUMMYFUNCTION("""COMPUTED_VALUE"""),"診療内容")</f>
        <v>診療内容</v>
      </c>
      <c r="D17" s="31" t="str">
        <f>IFERROR(__xludf.DUMMYFUNCTION("""COMPUTED_VALUE"""),"中絶,妊娠")</f>
        <v>中絶,妊娠</v>
      </c>
      <c r="E17" s="32" t="str">
        <f>IFERROR(__xludf.DUMMYFUNCTION("""COMPUTED_VALUE"""),"https://luna-dr.com/subjects/abortion_page/")</f>
        <v>https://luna-dr.com/subjects/abortion_page/</v>
      </c>
    </row>
    <row r="18">
      <c r="A18" s="31" t="str">
        <f>IFERROR(__xludf.DUMMYFUNCTION("""COMPUTED_VALUE"""),"ピルや避妊の相談はできますか？")</f>
        <v>ピルや避妊の相談はできますか？</v>
      </c>
      <c r="B18" s="31" t="str">
        <f>IFERROR(__xludf.DUMMYFUNCTION("""COMPUTED_VALUE"""),"ルナレディースクリニックでは、低用量ピルやアフターピル、IUSなど、ピルや避妊に関するご相談を行っています。")</f>
        <v>ルナレディースクリニックでは、低用量ピルやアフターピル、IUSなど、ピルや避妊に関するご相談を行っています。</v>
      </c>
      <c r="C18" s="31" t="str">
        <f>IFERROR(__xludf.DUMMYFUNCTION("""COMPUTED_VALUE"""),"診療内容")</f>
        <v>診療内容</v>
      </c>
      <c r="D18" s="31" t="str">
        <f>IFERROR(__xludf.DUMMYFUNCTION("""COMPUTED_VALUE"""),"ピル,避妊,低用量ピル")</f>
        <v>ピル,避妊,低用量ピル</v>
      </c>
      <c r="E18" s="32" t="str">
        <f>IFERROR(__xludf.DUMMYFUNCTION("""COMPUTED_VALUE"""),"https://luna-dr.com/subjects/pill-prescription/")</f>
        <v>https://luna-dr.com/subjects/pill-prescription/</v>
      </c>
    </row>
    <row r="19">
      <c r="A19" s="31" t="str">
        <f>IFERROR(__xludf.DUMMYFUNCTION("""COMPUTED_VALUE"""),"アフターピルの相談はできますか？")</f>
        <v>アフターピルの相談はできますか？</v>
      </c>
      <c r="B19" s="31" t="str">
        <f>IFERROR(__xludf.DUMMYFUNCTION("""COMPUTED_VALUE"""),"ルナレディースクリニックでは、アフターピルについてのご相談と処方を行っています。")</f>
        <v>ルナレディースクリニックでは、アフターピルについてのご相談と処方を行っています。</v>
      </c>
      <c r="C19" s="31" t="str">
        <f>IFERROR(__xludf.DUMMYFUNCTION("""COMPUTED_VALUE"""),"診療内容")</f>
        <v>診療内容</v>
      </c>
      <c r="D19" s="31" t="str">
        <f>IFERROR(__xludf.DUMMYFUNCTION("""COMPUTED_VALUE"""),"アフターピル,緊急避妊")</f>
        <v>アフターピル,緊急避妊</v>
      </c>
      <c r="E19" s="32" t="str">
        <f>IFERROR(__xludf.DUMMYFUNCTION("""COMPUTED_VALUE"""),"https://luna-dr.com/subjects/after-pill_page/")</f>
        <v>https://luna-dr.com/subjects/after-pill_page/</v>
      </c>
    </row>
    <row r="20">
      <c r="A20" s="31" t="str">
        <f>IFERROR(__xludf.DUMMYFUNCTION("""COMPUTED_VALUE"""),"低用量ピルの相談はできますか？")</f>
        <v>低用量ピルの相談はできますか？</v>
      </c>
      <c r="B20" s="31" t="str">
        <f>IFERROR(__xludf.DUMMYFUNCTION("""COMPUTED_VALUE"""),"ルナレディースクリニックでは、低用量ピルについてのご相談と処方を行っています。")</f>
        <v>ルナレディースクリニックでは、低用量ピルについてのご相談と処方を行っています。</v>
      </c>
      <c r="C20" s="31" t="str">
        <f>IFERROR(__xludf.DUMMYFUNCTION("""COMPUTED_VALUE"""),"診療内容")</f>
        <v>診療内容</v>
      </c>
      <c r="D20" s="31" t="str">
        <f>IFERROR(__xludf.DUMMYFUNCTION("""COMPUTED_VALUE"""),"低用量ピル,ピル")</f>
        <v>低用量ピル,ピル</v>
      </c>
      <c r="E20" s="32" t="str">
        <f>IFERROR(__xludf.DUMMYFUNCTION("""COMPUTED_VALUE"""),"https://luna-dr.com/subjects/low-dose-contraceptive/")</f>
        <v>https://luna-dr.com/subjects/low-dose-contraceptive/</v>
      </c>
    </row>
    <row r="21">
      <c r="A21" s="31" t="str">
        <f>IFERROR(__xludf.DUMMYFUNCTION("""COMPUTED_VALUE"""),"ピルの処方は行っていますか？")</f>
        <v>ピルの処方は行っていますか？</v>
      </c>
      <c r="B21" s="31" t="str">
        <f>IFERROR(__xludf.DUMMYFUNCTION("""COMPUTED_VALUE"""),"ルナレディースクリニックでは、ピルの処方に対応しています。ご相談内容に応じて診察を行っています。")</f>
        <v>ルナレディースクリニックでは、ピルの処方に対応しています。ご相談内容に応じて診察を行っています。</v>
      </c>
      <c r="C21" s="31" t="str">
        <f>IFERROR(__xludf.DUMMYFUNCTION("""COMPUTED_VALUE"""),"診療内容")</f>
        <v>診療内容</v>
      </c>
      <c r="D21" s="31" t="str">
        <f>IFERROR(__xludf.DUMMYFUNCTION("""COMPUTED_VALUE"""),"ピル,処方")</f>
        <v>ピル,処方</v>
      </c>
      <c r="E21" s="32" t="str">
        <f>IFERROR(__xludf.DUMMYFUNCTION("""COMPUTED_VALUE"""),"https://luna-dr.com/subjects/pill-prescription/")</f>
        <v>https://luna-dr.com/subjects/pill-prescription/</v>
      </c>
    </row>
    <row r="22">
      <c r="A22" s="31" t="str">
        <f>IFERROR(__xludf.DUMMYFUNCTION("""COMPUTED_VALUE"""),"月経移動の相談はできますか？")</f>
        <v>月経移動の相談はできますか？</v>
      </c>
      <c r="B22" s="31" t="str">
        <f>IFERROR(__xludf.DUMMYFUNCTION("""COMPUTED_VALUE"""),"ルナレディースクリニックでは、月経移動に関するご相談を受け付けています。")</f>
        <v>ルナレディースクリニックでは、月経移動に関するご相談を受け付けています。</v>
      </c>
      <c r="C22" s="31" t="str">
        <f>IFERROR(__xludf.DUMMYFUNCTION("""COMPUTED_VALUE"""),"診療内容")</f>
        <v>診療内容</v>
      </c>
      <c r="D22" s="31" t="str">
        <f>IFERROR(__xludf.DUMMYFUNCTION("""COMPUTED_VALUE"""),"月経移動,生理調整")</f>
        <v>月経移動,生理調整</v>
      </c>
      <c r="E22" s="32" t="str">
        <f>IFERROR(__xludf.DUMMYFUNCTION("""COMPUTED_VALUE"""),"https://luna-dr.com/subjects/menstrual-manipulation/")</f>
        <v>https://luna-dr.com/subjects/menstrual-manipulation/</v>
      </c>
    </row>
    <row r="23">
      <c r="A23" s="31" t="str">
        <f>IFERROR(__xludf.DUMMYFUNCTION("""COMPUTED_VALUE"""),"おりものの検査はできますか？/おりもの検査の診察もしてますか？/おりものが気になるので検査したい/おりものの検査は来院が必要ですか？")</f>
        <v>おりものの検査はできますか？/おりもの検査の診察もしてますか？/おりものが気になるので検査したい/おりものの検査は来院が必要ですか？</v>
      </c>
      <c r="B23" s="31" t="str">
        <f>IFERROR(__xludf.DUMMYFUNCTION("""COMPUTED_VALUE"""),"ルナレディースクリニックでは、おりもの検査を行っています。来院での検査のほか、ご自宅で検査できる郵送検査キット「FemCHECK（フェムチェック）」もご利用いただけます。症状について直接医師に相談したい方は来院での受診をおすすめしております。")</f>
        <v>ルナレディースクリニックでは、おりもの検査を行っています。来院での検査のほか、ご自宅で検査できる郵送検査キット「FemCHECK（フェムチェック）」もご利用いただけます。症状について直接医師に相談したい方は来院での受診をおすすめしております。</v>
      </c>
      <c r="C23" s="31" t="str">
        <f>IFERROR(__xludf.DUMMYFUNCTION("""COMPUTED_VALUE"""),"診療内容")</f>
        <v>診療内容</v>
      </c>
      <c r="D23" s="31" t="str">
        <f>IFERROR(__xludf.DUMMYFUNCTION("""COMPUTED_VALUE"""),"おりもの検査,症状,FemCHECK,来院,郵送検査")</f>
        <v>おりもの検査,症状,FemCHECK,来院,郵送検査</v>
      </c>
      <c r="E23" s="32" t="str">
        <f>IFERROR(__xludf.DUMMYFUNCTION("""COMPUTED_VALUE"""),"https://luna-dr.com/subjects/abnormal-vaginal-discharge/")</f>
        <v>https://luna-dr.com/subjects/abnormal-vaginal-discharge/</v>
      </c>
    </row>
    <row r="24">
      <c r="A24" s="31" t="str">
        <f>IFERROR(__xludf.DUMMYFUNCTION("""COMPUTED_VALUE"""),"ブライダルチェックは受けられますか？")</f>
        <v>ブライダルチェックは受けられますか？</v>
      </c>
      <c r="B24" s="31" t="str">
        <f>IFERROR(__xludf.DUMMYFUNCTION("""COMPUTED_VALUE"""),"ルナレディースクリニックでは、ブライダルチェックに対応しています。「そろそろ赤ちゃんを考えたい」「結婚の前に、自分の体に問題がないか知っておきたい」将来、妊娠・出産を考えている場合、ご自身の体の状態を把握しておくことはとても大切です。ルナレディースクリニックでは、ブライダルチェックを「結婚前だけの検査」とは考えていません。結婚の有無にかかわらず、将来妊娠を望むすべての女性に受けていただきたい、ご自身の体を守るための大切な検査です。ぜひご受診をご検討ください。※当院では、不妊治療や妊活に関する専門的なご相談"&amp;"・治療は行っておりません。※当院では男性の院内への入室はできないため、パートナー様と一緒にご来院して検査を受けていただくことはできません。男性の方には、ご自宅で検査ができる郵送検査キット「FemCHECK（フェムチェック）」をご用意しております。詳細はこちらをご確認ください。https://luna-dr.com/femcheck/?utm_source=lunamedia&amp;utm_medium=banner&amp;utm_campaign=femcheck_article_hpseo")</f>
        <v>ルナレディースクリニックでは、ブライダルチェックに対応しています。「そろそろ赤ちゃんを考えたい」「結婚の前に、自分の体に問題がないか知っておきたい」将来、妊娠・出産を考えている場合、ご自身の体の状態を把握しておくことはとても大切です。ルナレディースクリニックでは、ブライダルチェックを「結婚前だけの検査」とは考えていません。結婚の有無にかかわらず、将来妊娠を望むすべての女性に受けていただきたい、ご自身の体を守るための大切な検査です。ぜひご受診をご検討ください。※当院では、不妊治療や妊活に関する専門的なご相談・治療は行っておりません。※当院では男性の院内への入室はできないため、パートナー様と一緒にご来院して検査を受けていただくことはできません。男性の方には、ご自宅で検査ができる郵送検査キット「FemCHECK（フェムチェック）」をご用意しております。詳細はこちらをご確認ください。https://luna-dr.com/femcheck/?utm_source=lunamedia&amp;utm_medium=banner&amp;utm_campaign=femcheck_article_hpseo</v>
      </c>
      <c r="C24" s="31" t="str">
        <f>IFERROR(__xludf.DUMMYFUNCTION("""COMPUTED_VALUE"""),"診療内容")</f>
        <v>診療内容</v>
      </c>
      <c r="D24" s="31" t="str">
        <f>IFERROR(__xludf.DUMMYFUNCTION("""COMPUTED_VALUE"""),"ブライダルチェック,検査")</f>
        <v>ブライダルチェック,検査</v>
      </c>
      <c r="E24" s="32" t="str">
        <f>IFERROR(__xludf.DUMMYFUNCTION("""COMPUTED_VALUE"""),"https://luna-dr.com/subjects/bridal-check/")</f>
        <v>https://luna-dr.com/subjects/bridal-check/</v>
      </c>
    </row>
    <row r="25">
      <c r="A25" s="31" t="str">
        <f>IFERROR(__xludf.DUMMYFUNCTION("""COMPUTED_VALUE"""),"性感染症の検査はできますか？")</f>
        <v>性感染症の検査はできますか？</v>
      </c>
      <c r="B25" s="31" t="str">
        <f>IFERROR(__xludf.DUMMYFUNCTION("""COMPUTED_VALUE"""),"ルナレディースクリニックでは、性感染症に関する検査のご相談を受け付けています。")</f>
        <v>ルナレディースクリニックでは、性感染症に関する検査のご相談を受け付けています。</v>
      </c>
      <c r="C25" s="31" t="str">
        <f>IFERROR(__xludf.DUMMYFUNCTION("""COMPUTED_VALUE"""),"診療内容")</f>
        <v>診療内容</v>
      </c>
      <c r="D25" s="31" t="str">
        <f>IFERROR(__xludf.DUMMYFUNCTION("""COMPUTED_VALUE"""),"性感染症,検査")</f>
        <v>性感染症,検査</v>
      </c>
      <c r="E25" s="32" t="str">
        <f>IFERROR(__xludf.DUMMYFUNCTION("""COMPUTED_VALUE"""),"https://luna-dr.com/subjects/std/")</f>
        <v>https://luna-dr.com/subjects/std/</v>
      </c>
    </row>
    <row r="26">
      <c r="A26" s="31" t="str">
        <f>IFERROR(__xludf.DUMMYFUNCTION("""COMPUTED_VALUE"""),"妊娠検査や中絶の相談はできますか？")</f>
        <v>妊娠検査や中絶の相談はできますか？</v>
      </c>
      <c r="B26" s="31" t="str">
        <f>IFERROR(__xludf.DUMMYFUNCTION("""COMPUTED_VALUE"""),"ルナレディースクリニックでは、妊娠検査や中絶に関するご相談を行っています。")</f>
        <v>ルナレディースクリニックでは、妊娠検査や中絶に関するご相談を行っています。</v>
      </c>
      <c r="C26" s="31" t="str">
        <f>IFERROR(__xludf.DUMMYFUNCTION("""COMPUTED_VALUE"""),"診療内容")</f>
        <v>診療内容</v>
      </c>
      <c r="D26" s="31" t="str">
        <f>IFERROR(__xludf.DUMMYFUNCTION("""COMPUTED_VALUE"""),"妊娠検査,中絶")</f>
        <v>妊娠検査,中絶</v>
      </c>
      <c r="E26" s="32" t="str">
        <f>IFERROR(__xludf.DUMMYFUNCTION("""COMPUTED_VALUE"""),"https://luna-dr.com/subjects/pregnancy-test/,https://luna-dr.com/subjects/abortion_page/")</f>
        <v>https://luna-dr.com/subjects/pregnancy-test/,https://luna-dr.com/subjects/abortion_page/</v>
      </c>
    </row>
    <row r="27">
      <c r="A27" s="31" t="str">
        <f>IFERROR(__xludf.DUMMYFUNCTION("""COMPUTED_VALUE"""),"妊娠検査は行っていますか？")</f>
        <v>妊娠検査は行っていますか？</v>
      </c>
      <c r="B27" s="31" t="str">
        <f>IFERROR(__xludf.DUMMYFUNCTION("""COMPUTED_VALUE"""),"ルナレディースクリニックでは、妊娠検査に対応しています。")</f>
        <v>ルナレディースクリニックでは、妊娠検査に対応しています。</v>
      </c>
      <c r="C27" s="31" t="str">
        <f>IFERROR(__xludf.DUMMYFUNCTION("""COMPUTED_VALUE"""),"診療内容")</f>
        <v>診療内容</v>
      </c>
      <c r="D27" s="31" t="str">
        <f>IFERROR(__xludf.DUMMYFUNCTION("""COMPUTED_VALUE"""),"妊娠検査,妊娠")</f>
        <v>妊娠検査,妊娠</v>
      </c>
      <c r="E27" s="32" t="str">
        <f>IFERROR(__xludf.DUMMYFUNCTION("""COMPUTED_VALUE"""),"https://luna-dr.com/subjects/pregnancy-test/")</f>
        <v>https://luna-dr.com/subjects/pregnancy-test/</v>
      </c>
    </row>
    <row r="28">
      <c r="A28" s="31" t="str">
        <f>IFERROR(__xludf.DUMMYFUNCTION("""COMPUTED_VALUE"""),"不正出血の相談は可能ですか？")</f>
        <v>不正出血の相談は可能ですか？</v>
      </c>
      <c r="B28" s="31" t="str">
        <f>IFERROR(__xludf.DUMMYFUNCTION("""COMPUTED_VALUE"""),"ルナレディースクリニックでは、不正出血に関するご相談を受け付けています。")</f>
        <v>ルナレディースクリニックでは、不正出血に関するご相談を受け付けています。</v>
      </c>
      <c r="C28" s="31" t="str">
        <f>IFERROR(__xludf.DUMMYFUNCTION("""COMPUTED_VALUE"""),"診療内容")</f>
        <v>診療内容</v>
      </c>
      <c r="D28" s="31" t="str">
        <f>IFERROR(__xludf.DUMMYFUNCTION("""COMPUTED_VALUE"""),"不正出血,症状")</f>
        <v>不正出血,症状</v>
      </c>
      <c r="E28" s="32" t="str">
        <f>IFERROR(__xludf.DUMMYFUNCTION("""COMPUTED_VALUE"""),"https://luna-dr.com/subjects/irregular-genital-bleeding/")</f>
        <v>https://luna-dr.com/subjects/irregular-genital-bleeding/</v>
      </c>
    </row>
    <row r="29">
      <c r="A29" s="31" t="str">
        <f>IFERROR(__xludf.DUMMYFUNCTION("""COMPUTED_VALUE"""),"女性の検診・検査は受けられますか？")</f>
        <v>女性の検診・検査は受けられますか？</v>
      </c>
      <c r="B29" s="31" t="str">
        <f>IFERROR(__xludf.DUMMYFUNCTION("""COMPUTED_VALUE"""),"ルナレディースクリニックでは、女性の検診・検査に対応しています。")</f>
        <v>ルナレディースクリニックでは、女性の検診・検査に対応しています。</v>
      </c>
      <c r="C29" s="31" t="str">
        <f>IFERROR(__xludf.DUMMYFUNCTION("""COMPUTED_VALUE"""),"診療内容")</f>
        <v>診療内容</v>
      </c>
      <c r="D29" s="31" t="str">
        <f>IFERROR(__xludf.DUMMYFUNCTION("""COMPUTED_VALUE"""),"女性の検診,検査")</f>
        <v>女性の検診,検査</v>
      </c>
      <c r="E29" s="32" t="str">
        <f>IFERROR(__xludf.DUMMYFUNCTION("""COMPUTED_VALUE"""),"https://luna-dr.com/subjects/medical-checkup/")</f>
        <v>https://luna-dr.com/subjects/medical-checkup/</v>
      </c>
    </row>
    <row r="30">
      <c r="A30" s="31" t="str">
        <f>IFERROR(__xludf.DUMMYFUNCTION("""COMPUTED_VALUE"""),"IUSに対応していますか？/子宮内システムに対応していますか？/ミレーナはできますか？/ミレーナは対応していますか？")</f>
        <v>IUSに対応していますか？/子宮内システムに対応していますか？/ミレーナはできますか？/ミレーナは対応していますか？</v>
      </c>
      <c r="B30" s="31" t="str">
        <f>IFERROR(__xludf.DUMMYFUNCTION("""COMPUTED_VALUE"""),"ルナレディースクリニックでは、ミレーナ（IUS：子宮内システム）に関するご相談を受け付けています。")</f>
        <v>ルナレディースクリニックでは、ミレーナ（IUS：子宮内システム）に関するご相談を受け付けています。</v>
      </c>
      <c r="C30" s="31" t="str">
        <f>IFERROR(__xludf.DUMMYFUNCTION("""COMPUTED_VALUE"""),"診療内容")</f>
        <v>診療内容</v>
      </c>
      <c r="D30" s="31" t="str">
        <f>IFERROR(__xludf.DUMMYFUNCTION("""COMPUTED_VALUE"""),"IUS,子宮内システム,ミレーナ")</f>
        <v>IUS,子宮内システム,ミレーナ</v>
      </c>
      <c r="E30" s="32" t="str">
        <f>IFERROR(__xludf.DUMMYFUNCTION("""COMPUTED_VALUE"""),"https://luna-dr.com/subjects/ius-treatment/")</f>
        <v>https://luna-dr.com/subjects/ius-treatment/</v>
      </c>
    </row>
    <row r="31">
      <c r="A31" s="31" t="str">
        <f>IFERROR(__xludf.DUMMYFUNCTION("""COMPUTED_VALUE"""),"HPVワクチンは受けられますか？/子宮頸がんワクチンは受けられますか？")</f>
        <v>HPVワクチンは受けられますか？/子宮頸がんワクチンは受けられますか？</v>
      </c>
      <c r="B31" s="31" t="str">
        <f>IFERROR(__xludf.DUMMYFUNCTION("""COMPUTED_VALUE"""),"ルナレディースクリニックでは、HPVワクチン（子宮頸がんワクチン）に対応しています。")</f>
        <v>ルナレディースクリニックでは、HPVワクチン（子宮頸がんワクチン）に対応しています。</v>
      </c>
      <c r="C31" s="31" t="str">
        <f>IFERROR(__xludf.DUMMYFUNCTION("""COMPUTED_VALUE"""),"診療内容")</f>
        <v>診療内容</v>
      </c>
      <c r="D31" s="31" t="str">
        <f>IFERROR(__xludf.DUMMYFUNCTION("""COMPUTED_VALUE"""),"HPVワクチン,ワクチン,子宮頸がん")</f>
        <v>HPVワクチン,ワクチン,子宮頸がん</v>
      </c>
      <c r="E31" s="32" t="str">
        <f>IFERROR(__xludf.DUMMYFUNCTION("""COMPUTED_VALUE"""),"https://luna-dr.com/subjects/hpv-vaccine/")</f>
        <v>https://luna-dr.com/subjects/hpv-vaccine/</v>
      </c>
    </row>
    <row r="32">
      <c r="A32" s="31" t="str">
        <f>IFERROR(__xludf.DUMMYFUNCTION("""COMPUTED_VALUE"""),"クリニックは駅から近いですか？")</f>
        <v>クリニックは駅から近いですか？</v>
      </c>
      <c r="B32" s="31" t="str">
        <f>IFERROR(__xludf.DUMMYFUNCTION("""COMPUTED_VALUE"""),"ルナレディースクリニックは、町田駅前院は町田駅から徒歩2分、横浜駅前院は横浜駅から徒歩2分、川崎駅前院は川崎駅から徒歩30秒の場所にあります。いずれの院も駅から近く、通いやすい立地です。")</f>
        <v>ルナレディースクリニックは、町田駅前院は町田駅から徒歩2分、横浜駅前院は横浜駅から徒歩2分、川崎駅前院は川崎駅から徒歩30秒の場所にあります。いずれの院も駅から近く、通いやすい立地です。</v>
      </c>
      <c r="C32" s="31" t="str">
        <f>IFERROR(__xludf.DUMMYFUNCTION("""COMPUTED_VALUE"""),"アクセス")</f>
        <v>アクセス</v>
      </c>
      <c r="D32" s="31" t="str">
        <f>IFERROR(__xludf.DUMMYFUNCTION("""COMPUTED_VALUE"""),"駅チカ,アクセス,徒歩")</f>
        <v>駅チカ,アクセス,徒歩</v>
      </c>
      <c r="E32" s="32" t="str">
        <f>IFERROR(__xludf.DUMMYFUNCTION("""COMPUTED_VALUE"""),"https://luna-dr.com/")</f>
        <v>https://luna-dr.com/</v>
      </c>
    </row>
    <row r="33">
      <c r="A33" s="31" t="str">
        <f>IFERROR(__xludf.DUMMYFUNCTION("""COMPUTED_VALUE"""),"受けられない診療内容はありますか？/対応していない診療内容はありますか？")</f>
        <v>受けられない診療内容はありますか？/対応していない診療内容はありますか？</v>
      </c>
      <c r="B33" s="31" t="str">
        <f>IFERROR(__xludf.DUMMYFUNCTION("""COMPUTED_VALUE"""),"ルナレディースクリニックでは、乳房に関する診療、更年期障害の治療、不妊治療は行っていません。")</f>
        <v>ルナレディースクリニックでは、乳房に関する診療、更年期障害の治療、不妊治療は行っていません。</v>
      </c>
      <c r="C33" s="31" t="str">
        <f>IFERROR(__xludf.DUMMYFUNCTION("""COMPUTED_VALUE"""),"診療内容")</f>
        <v>診療内容</v>
      </c>
      <c r="D33" s="31" t="str">
        <f>IFERROR(__xludf.DUMMYFUNCTION("""COMPUTED_VALUE"""),"対応外,診療範囲")</f>
        <v>対応外,診療範囲</v>
      </c>
      <c r="E33" s="32" t="str">
        <f>IFERROR(__xludf.DUMMYFUNCTION("""COMPUTED_VALUE"""),"https://luna-dr.com/")</f>
        <v>https://luna-dr.com/</v>
      </c>
    </row>
    <row r="34">
      <c r="A34" s="31" t="str">
        <f>IFERROR(__xludf.DUMMYFUNCTION("""COMPUTED_VALUE"""),"更年期障害の治療は行っていますか？/更年期はみれますか？")</f>
        <v>更年期障害の治療は行っていますか？/更年期はみれますか？</v>
      </c>
      <c r="B34" s="31" t="str">
        <f>IFERROR(__xludf.DUMMYFUNCTION("""COMPUTED_VALUE"""),"大変恐縮ですが、当院では、更年期障害の治療は行っていません。お近くの婦人科へご相談ください。")</f>
        <v>大変恐縮ですが、当院では、更年期障害の治療は行っていません。お近くの婦人科へご相談ください。</v>
      </c>
      <c r="C34" s="31" t="str">
        <f>IFERROR(__xludf.DUMMYFUNCTION("""COMPUTED_VALUE"""),"受診案内")</f>
        <v>受診案内</v>
      </c>
      <c r="D34" s="31" t="str">
        <f>IFERROR(__xludf.DUMMYFUNCTION("""COMPUTED_VALUE"""),"更年期,更年期障害,更年期症状,ホルモン療法,のぼせ,ほてり,診療可否")</f>
        <v>更年期,更年期障害,更年期症状,ホルモン療法,のぼせ,ほてり,診療可否</v>
      </c>
      <c r="E34" s="32" t="str">
        <f>IFERROR(__xludf.DUMMYFUNCTION("""COMPUTED_VALUE"""),"https://luna-dr.com/")</f>
        <v>https://luna-dr.com/</v>
      </c>
    </row>
    <row r="35">
      <c r="A35" s="31" t="str">
        <f>IFERROR(__xludf.DUMMYFUNCTION("""COMPUTED_VALUE"""),"乳房の検査はできますか？/胸の検査はできますか？/乳腺炎は診てもらえますか？/乳腺炎の診察はできますか？/乳腺炎について相談したい/乳腺炎の治療/乳腺炎の症状がある場合の受診方法を教えてください/マンモグラフィ検査はありますか？/マンモグラフィはできますか？/乳がん検診は受けられますか？/乳腺エコーはできますか？/胸にしこりがあるのですが/胸が痛いのですが受診できますか？/乳がん検査はできますか？/授乳中のトラブルは診てもらえますか？")</f>
        <v>乳房の検査はできますか？/胸の検査はできますか？/乳腺炎は診てもらえますか？/乳腺炎の診察はできますか？/乳腺炎について相談したい/乳腺炎の治療/乳腺炎の症状がある場合の受診方法を教えてください/マンモグラフィ検査はありますか？/マンモグラフィはできますか？/乳がん検診は受けられますか？/乳腺エコーはできますか？/胸にしこりがあるのですが/胸が痛いのですが受診できますか？/乳がん検査はできますか？/授乳中のトラブルは診てもらえますか？</v>
      </c>
      <c r="B35" s="31" t="str">
        <f>IFERROR(__xludf.DUMMYFUNCTION("""COMPUTED_VALUE"""),"当院では乳腺炎・マンモグラフィ・乳腺エコー・乳がん検診を含む乳房に関する診療・検査は行っておりません。胸のしこりや痛み、授乳中のトラブルについても対応しておりませんので、乳腺外科へのご受診をお願いいたします。")</f>
        <v>当院では乳腺炎・マンモグラフィ・乳腺エコー・乳がん検診を含む乳房に関する診療・検査は行っておりません。胸のしこりや痛み、授乳中のトラブルについても対応しておりませんので、乳腺外科へのご受診をお願いいたします。</v>
      </c>
      <c r="C35" s="31" t="str">
        <f>IFERROR(__xludf.DUMMYFUNCTION("""COMPUTED_VALUE"""),"受診案内")</f>
        <v>受診案内</v>
      </c>
      <c r="D35" s="31" t="str">
        <f>IFERROR(__xludf.DUMMYFUNCTION("""COMPUTED_VALUE"""),"乳房,胸,乳がん検査,乳腺,マンモグラフィ,マンモ,エコー,超音波,乳腺エコー,しこり,痛み,検診,健診,診療可否,乳腺炎")</f>
        <v>乳房,胸,乳がん検査,乳腺,マンモグラフィ,マンモ,エコー,超音波,乳腺エコー,しこり,痛み,検診,健診,診療可否,乳腺炎</v>
      </c>
      <c r="E35" s="31"/>
    </row>
    <row r="36">
      <c r="A36" s="31" t="str">
        <f>IFERROR(__xludf.DUMMYFUNCTION("""COMPUTED_VALUE"""),"不妊治療はできますか？")</f>
        <v>不妊治療はできますか？</v>
      </c>
      <c r="B36" s="31" t="str">
        <f>IFERROR(__xludf.DUMMYFUNCTION("""COMPUTED_VALUE"""),"大変恐縮ですが、当院では、不妊治療は行っていません。お近くの婦人科へご相談ください。")</f>
        <v>大変恐縮ですが、当院では、不妊治療は行っていません。お近くの婦人科へご相談ください。</v>
      </c>
      <c r="C36" s="31" t="str">
        <f>IFERROR(__xludf.DUMMYFUNCTION("""COMPUTED_VALUE"""),"受診案内")</f>
        <v>受診案内</v>
      </c>
      <c r="D36" s="31" t="str">
        <f>IFERROR(__xludf.DUMMYFUNCTION("""COMPUTED_VALUE"""),"不妊,不妊治療,妊活,タイミング法,排卵誘発,人工授精,AIH,体外受精,IVF,顕微授精,ICSI,卵巣機能,診療可否")</f>
        <v>不妊,不妊治療,妊活,タイミング法,排卵誘発,人工授精,AIH,体外受精,IVF,顕微授精,ICSI,卵巣機能,診療可否</v>
      </c>
      <c r="E36" s="31"/>
    </row>
    <row r="37">
      <c r="A37" s="31" t="str">
        <f>IFERROR(__xludf.DUMMYFUNCTION("""COMPUTED_VALUE"""),"診断書や紹介状などの書類は発行できますか？/紹介状の宛名変更をしたい/診断書を紛失したので再発行したい")</f>
        <v>診断書や紹介状などの書類は発行できますか？/紹介状の宛名変更をしたい/診断書を紛失したので再発行したい</v>
      </c>
      <c r="B37" s="31" t="str">
        <f>IFERROR(__xludf.DUMMYFUNCTION("""COMPUTED_VALUE"""),"ルナレディースクリニックでは、内容によっては診断書や紹介状（診療情報提供書）を発行できない場合があります。発行をご希望の場合は診察時に医師へご相談ください。外来の混雑状況により当日中の発行が難しい場合もありますので、平日17:00までのご予約・ご来院をおすすめしています。")</f>
        <v>ルナレディースクリニックでは、内容によっては診断書や紹介状（診療情報提供書）を発行できない場合があります。発行をご希望の場合は診察時に医師へご相談ください。外来の混雑状況により当日中の発行が難しい場合もありますので、平日17:00までのご予約・ご来院をおすすめしています。</v>
      </c>
      <c r="C37" s="31" t="str">
        <f>IFERROR(__xludf.DUMMYFUNCTION("""COMPUTED_VALUE"""),"書類発行")</f>
        <v>書類発行</v>
      </c>
      <c r="D37" s="31" t="str">
        <f>IFERROR(__xludf.DUMMYFUNCTION("""COMPUTED_VALUE"""),"診断書,紹介状,書類発行")</f>
        <v>診断書,紹介状,書類発行</v>
      </c>
      <c r="E37" s="32" t="str">
        <f>IFERROR(__xludf.DUMMYFUNCTION("""COMPUTED_VALUE"""),"https://luna-dr.com/question/")</f>
        <v>https://luna-dr.com/question/</v>
      </c>
    </row>
    <row r="38">
      <c r="A38" s="31" t="str">
        <f>IFERROR(__xludf.DUMMYFUNCTION("""COMPUTED_VALUE"""),"妊婦でも診察は受けられますか？")</f>
        <v>妊婦でも診察は受けられますか？</v>
      </c>
      <c r="B38" s="31" t="str">
        <f>IFERROR(__xludf.DUMMYFUNCTION("""COMPUTED_VALUE"""),"ルナレディースクリニックでは、妊娠12週までの方の診察を行っています。ただし、すでに他の医療機関で妊娠経過を診てもらっている場合は、原則としてかかりつけ医での受診をお願いしています。")</f>
        <v>ルナレディースクリニックでは、妊娠12週までの方の診察を行っています。ただし、すでに他の医療機関で妊娠経過を診てもらっている場合は、原則としてかかりつけ医での受診をお願いしています。</v>
      </c>
      <c r="C38" s="31" t="str">
        <f>IFERROR(__xludf.DUMMYFUNCTION("""COMPUTED_VALUE"""),"妊娠中の受診")</f>
        <v>妊娠中の受診</v>
      </c>
      <c r="D38" s="31" t="str">
        <f>IFERROR(__xludf.DUMMYFUNCTION("""COMPUTED_VALUE"""),"妊婦,妊娠初期")</f>
        <v>妊婦,妊娠初期</v>
      </c>
      <c r="E38" s="32" t="str">
        <f>IFERROR(__xludf.DUMMYFUNCTION("""COMPUTED_VALUE"""),"https://luna-dr.com/question/")</f>
        <v>https://luna-dr.com/question/</v>
      </c>
    </row>
    <row r="39">
      <c r="A39" s="31" t="str">
        <f>IFERROR(__xludf.DUMMYFUNCTION("""COMPUTED_VALUE"""),"連休中でも検査結果は通常通り反映されますか？")</f>
        <v>連休中でも検査結果は通常通り反映されますか？</v>
      </c>
      <c r="B39" s="31" t="str">
        <f>IFERROR(__xludf.DUMMYFUNCTION("""COMPUTED_VALUE"""),"ルナレディースクリニックでは、ゴールデンウィークや年末年始などの連休期間中は、検査結果の反映が通常より遅れる場合があります。あらかじめご了承ください。")</f>
        <v>ルナレディースクリニックでは、ゴールデンウィークや年末年始などの連休期間中は、検査結果の反映が通常より遅れる場合があります。あらかじめご了承ください。</v>
      </c>
      <c r="C39" s="31" t="str">
        <f>IFERROR(__xludf.DUMMYFUNCTION("""COMPUTED_VALUE"""),"検査")</f>
        <v>検査</v>
      </c>
      <c r="D39" s="31" t="str">
        <f>IFERROR(__xludf.DUMMYFUNCTION("""COMPUTED_VALUE"""),"検査結果,連休")</f>
        <v>検査結果,連休</v>
      </c>
      <c r="E39" s="32" t="str">
        <f>IFERROR(__xludf.DUMMYFUNCTION("""COMPUTED_VALUE"""),"https://luna-dr.com/question/")</f>
        <v>https://luna-dr.com/question/</v>
      </c>
    </row>
    <row r="40">
      <c r="A40" s="31" t="str">
        <f>IFERROR(__xludf.DUMMYFUNCTION("""COMPUTED_VALUE"""),"市区町村のHPVワクチンと保険診療は同じ日に受けられますか？/市区町村の子宮頸がんワクチンと保険診療は同じ日に受けられますか？")</f>
        <v>市区町村のHPVワクチンと保険診療は同じ日に受けられますか？/市区町村の子宮頸がんワクチンと保険診療は同じ日に受けられますか？</v>
      </c>
      <c r="B40" s="31" t="str">
        <f>IFERROR(__xludf.DUMMYFUNCTION("""COMPUTED_VALUE"""),"ルナレディースクリニックでは、市区町村のHPVワクチンと保険診療を同一日に行うことはできません。保険診療は別日に受診をお願いしています。")</f>
        <v>ルナレディースクリニックでは、市区町村のHPVワクチンと保険診療を同一日に行うことはできません。保険診療は別日に受診をお願いしています。</v>
      </c>
      <c r="C40" s="31" t="str">
        <f>IFERROR(__xludf.DUMMYFUNCTION("""COMPUTED_VALUE"""),"ワクチン・健診")</f>
        <v>ワクチン・健診</v>
      </c>
      <c r="D40" s="31" t="str">
        <f>IFERROR(__xludf.DUMMYFUNCTION("""COMPUTED_VALUE"""),"HPVワクチン,保険診療,子宮頸がん")</f>
        <v>HPVワクチン,保険診療,子宮頸がん</v>
      </c>
      <c r="E40" s="32" t="str">
        <f>IFERROR(__xludf.DUMMYFUNCTION("""COMPUTED_VALUE"""),"https://luna-dr.com/question/")</f>
        <v>https://luna-dr.com/question/</v>
      </c>
    </row>
    <row r="41">
      <c r="A41" s="31" t="str">
        <f>IFERROR(__xludf.DUMMYFUNCTION("""COMPUTED_VALUE"""),"市区町村の子宮頸がん検診と保険診療は同じ日に受けられますか？")</f>
        <v>市区町村の子宮頸がん検診と保険診療は同じ日に受けられますか？</v>
      </c>
      <c r="B41" s="31" t="str">
        <f>IFERROR(__xludf.DUMMYFUNCTION("""COMPUTED_VALUE"""),"ルナレディースクリニックでは、市区町村の子宮頸がん検診と保険診療を同一日に行うことはできません。保険診療は別日に受診をお願いしています。")</f>
        <v>ルナレディースクリニックでは、市区町村の子宮頸がん検診と保険診療を同一日に行うことはできません。保険診療は別日に受診をお願いしています。</v>
      </c>
      <c r="C41" s="31" t="str">
        <f>IFERROR(__xludf.DUMMYFUNCTION("""COMPUTED_VALUE"""),"ワクチン・健診")</f>
        <v>ワクチン・健診</v>
      </c>
      <c r="D41" s="31" t="str">
        <f>IFERROR(__xludf.DUMMYFUNCTION("""COMPUTED_VALUE"""),"子宮頸がん検診,保険診療")</f>
        <v>子宮頸がん検診,保険診療</v>
      </c>
      <c r="E41" s="32" t="str">
        <f>IFERROR(__xludf.DUMMYFUNCTION("""COMPUTED_VALUE"""),"https://luna-dr.com/question/")</f>
        <v>https://luna-dr.com/question/</v>
      </c>
    </row>
    <row r="42">
      <c r="A42" s="31" t="str">
        <f>IFERROR(__xludf.DUMMYFUNCTION("""COMPUTED_VALUE"""),"生理中でも診察は受けられますか？")</f>
        <v>生理中でも診察は受けられますか？</v>
      </c>
      <c r="B42" s="31" t="str">
        <f>IFERROR(__xludf.DUMMYFUNCTION("""COMPUTED_VALUE"""),"ルナレディースクリニックでは、出血量が多い場合に正確な検査ができないことがあり、診察時に検査をお断りする場合があります。できるだけ生理中の受診は避けてください。")</f>
        <v>ルナレディースクリニックでは、出血量が多い場合に正確な検査ができないことがあり、診察時に検査をお断りする場合があります。できるだけ生理中の受診は避けてください。</v>
      </c>
      <c r="C42" s="31" t="str">
        <f>IFERROR(__xludf.DUMMYFUNCTION("""COMPUTED_VALUE"""),"受診について")</f>
        <v>受診について</v>
      </c>
      <c r="D42" s="31" t="str">
        <f>IFERROR(__xludf.DUMMYFUNCTION("""COMPUTED_VALUE"""),"生理中,受診")</f>
        <v>生理中,受診</v>
      </c>
      <c r="E42" s="32" t="str">
        <f>IFERROR(__xludf.DUMMYFUNCTION("""COMPUTED_VALUE"""),"https://luna-dr.com/question/")</f>
        <v>https://luna-dr.com/question/</v>
      </c>
    </row>
    <row r="43">
      <c r="A43" s="31" t="str">
        <f>IFERROR(__xludf.DUMMYFUNCTION("""COMPUTED_VALUE"""),"生理中でも子宮頸がん検診はできますか？")</f>
        <v>生理中でも子宮頸がん検診はできますか？</v>
      </c>
      <c r="B43" s="31" t="str">
        <f>IFERROR(__xludf.DUMMYFUNCTION("""COMPUTED_VALUE"""),"ルナレディースクリニックでは、子宮頸がん検診は生理中には行っていません。より正確な結果のため、生理期間を避けての受診をお願いしています。")</f>
        <v>ルナレディースクリニックでは、子宮頸がん検診は生理中には行っていません。より正確な結果のため、生理期間を避けての受診をお願いしています。</v>
      </c>
      <c r="C43" s="31" t="str">
        <f>IFERROR(__xludf.DUMMYFUNCTION("""COMPUTED_VALUE"""),"検査")</f>
        <v>検査</v>
      </c>
      <c r="D43" s="31" t="str">
        <f>IFERROR(__xludf.DUMMYFUNCTION("""COMPUTED_VALUE"""),"子宮頸がん検診,生理中")</f>
        <v>子宮頸がん検診,生理中</v>
      </c>
      <c r="E43" s="32" t="str">
        <f>IFERROR(__xludf.DUMMYFUNCTION("""COMPUTED_VALUE"""),"https://luna-dr.com/question/")</f>
        <v>https://luna-dr.com/question/</v>
      </c>
    </row>
    <row r="44">
      <c r="A44" s="31" t="str">
        <f>IFERROR(__xludf.DUMMYFUNCTION("""COMPUTED_VALUE"""),"予約時間に遅れても診察は受けられますか？/遅刻しても診察は受けられますか？/電車の遅延で遅れそう/予約時間より遅れそう/遅刻しそうなのですがどうすればいいですか？/遅刻の連絡方法/遅刻しそうの場合どこに連絡すればいい？/遅刻の連絡先はどこですか？")</f>
        <v>予約時間に遅れても診察は受けられますか？/遅刻しても診察は受けられますか？/電車の遅延で遅れそう/予約時間より遅れそう/遅刻しそうなのですがどうすればいいですか？/遅刻の連絡方法/遅刻しそうの場合どこに連絡すればいい？/遅刻の連絡先はどこですか？</v>
      </c>
      <c r="B44" s="31" t="str">
        <f>IFERROR(__xludf.DUMMYFUNCTION("""COMPUTED_VALUE"""),"予約されている方であれば、10分以内の遅れであれば診察が可能です。
ただし、10分以上遅刻された場合は、事前にご連絡をいただいていても予約外来院扱いとなります。
なお、診療内容によって最終受付時間が異なる場合がございますので、あらかじめご了承ください。")</f>
        <v>予約されている方であれば、10分以内の遅れであれば診察が可能です。
ただし、10分以上遅刻された場合は、事前にご連絡をいただいていても予約外来院扱いとなります。
なお、診療内容によって最終受付時間が異なる場合がございますので、あらかじめご了承ください。</v>
      </c>
      <c r="C44" s="31" t="str">
        <f>IFERROR(__xludf.DUMMYFUNCTION("""COMPUTED_VALUE"""),"予約・来院")</f>
        <v>予約・来院</v>
      </c>
      <c r="D44" s="31" t="str">
        <f>IFERROR(__xludf.DUMMYFUNCTION("""COMPUTED_VALUE"""),"遅刻,予約,遅刻連絡")</f>
        <v>遅刻,予約,遅刻連絡</v>
      </c>
      <c r="E44" s="32" t="str">
        <f>IFERROR(__xludf.DUMMYFUNCTION("""COMPUTED_VALUE"""),"https://luna-dr.com/question/")</f>
        <v>https://luna-dr.com/question/</v>
      </c>
    </row>
    <row r="45">
      <c r="A45" s="31" t="str">
        <f>IFERROR(__xludf.DUMMYFUNCTION("""COMPUTED_VALUE"""),"淋菌の点滴抗生剤治療は受けられますか？")</f>
        <v>淋菌の点滴抗生剤治療は受けられますか？</v>
      </c>
      <c r="B45" s="31" t="str">
        <f>IFERROR(__xludf.DUMMYFUNCTION("""COMPUTED_VALUE"""),"ルナレディースクリニックでは、淋菌陽性などの点滴治療について、診療時間内の決められた受付時間までにご来院いただく必要があります。")</f>
        <v>ルナレディースクリニックでは、淋菌陽性などの点滴治療について、診療時間内の決められた受付時間までにご来院いただく必要があります。</v>
      </c>
      <c r="C45" s="31" t="str">
        <f>IFERROR(__xludf.DUMMYFUNCTION("""COMPUTED_VALUE"""),"診療内容")</f>
        <v>診療内容</v>
      </c>
      <c r="D45" s="31" t="str">
        <f>IFERROR(__xludf.DUMMYFUNCTION("""COMPUTED_VALUE"""),"淋菌,点滴治療")</f>
        <v>淋菌,点滴治療</v>
      </c>
      <c r="E45" s="32" t="str">
        <f>IFERROR(__xludf.DUMMYFUNCTION("""COMPUTED_VALUE"""),"https://luna-dr.com/question/")</f>
        <v>https://luna-dr.com/question/</v>
      </c>
    </row>
    <row r="46">
      <c r="A46" s="31" t="str">
        <f>IFERROR(__xludf.DUMMYFUNCTION("""COMPUTED_VALUE"""),"医師の指名はできますか？/女性医師を指名したい/女性の先生に診てもらえますか？/女性の医師はいますか？/女医さんはいますか？/女性の先生を希望したい/女性医師に担当してほしい/女性医師希望だがwebから予約できますか？/女性医師希望だがwebから予約できますか？")</f>
        <v>医師の指名はできますか？/女性医師を指名したい/女性の先生に診てもらえますか？/女性の医師はいますか？/女医さんはいますか？/女性の先生を希望したい/女性医師に担当してほしい/女性医師希望だがwebから予約できますか？/女性医師希望だがwebから予約できますか？</v>
      </c>
      <c r="B46" s="31" t="str">
        <f>IFERROR(__xludf.DUMMYFUNCTION("""COMPUTED_VALUE"""),"ルナレディースクリニックでは、外来の混雑緩和のため、特定の医師の指名はお受けしていません。女性医師をご希望の場合はお電話でご予約・お問い合わせください。お電話は 050-1730-2768 までご連絡ください。電話受付時間は、平日9:45〜13:40・15:15〜19:40、土日祝9:45〜13:40・15:15〜18:40です。")</f>
        <v>ルナレディースクリニックでは、外来の混雑緩和のため、特定の医師の指名はお受けしていません。女性医師をご希望の場合はお電話でご予約・お問い合わせください。お電話は 050-1730-2768 までご連絡ください。電話受付時間は、平日9:45〜13:40・15:15〜19:40、土日祝9:45〜13:40・15:15〜18:40です。</v>
      </c>
      <c r="C46" s="31" t="str">
        <f>IFERROR(__xludf.DUMMYFUNCTION("""COMPUTED_VALUE"""),"診察体制")</f>
        <v>診察体制</v>
      </c>
      <c r="D46" s="31" t="str">
        <f>IFERROR(__xludf.DUMMYFUNCTION("""COMPUTED_VALUE"""),"医師指名,女性医師,女医,電話予約")</f>
        <v>医師指名,女性医師,女医,電話予約</v>
      </c>
      <c r="E46" s="32" t="str">
        <f>IFERROR(__xludf.DUMMYFUNCTION("""COMPUTED_VALUE"""),"https://luna-dr.com/question/")</f>
        <v>https://luna-dr.com/question/</v>
      </c>
    </row>
    <row r="47">
      <c r="A47" s="31" t="str">
        <f>IFERROR(__xludf.DUMMYFUNCTION("""COMPUTED_VALUE"""),"日本語以外での診察は可能ですか？")</f>
        <v>日本語以外での診察は可能ですか？</v>
      </c>
      <c r="B47" s="31" t="str">
        <f>IFERROR(__xludf.DUMMYFUNCTION("""COMPUTED_VALUE"""),"当院では、日本語のみでの診察を行っています。日本語での会話が難しい場合は、女性通訳の同伴をお願いしています。なお、中絶のご相談および診察はご本人様が日本語で医師と直接会話できることを前提としており、カウンセリングおよび診察の際にご同伴いただけるのはご家族のみとなります。ご友人の同伴はご遠慮いただいております。")</f>
        <v>当院では、日本語のみでの診察を行っています。日本語での会話が難しい場合は、女性通訳の同伴をお願いしています。なお、中絶のご相談および診察はご本人様が日本語で医師と直接会話できることを前提としており、カウンセリングおよび診察の際にご同伴いただけるのはご家族のみとなります。ご友人の同伴はご遠慮いただいております。</v>
      </c>
      <c r="C47" s="31" t="str">
        <f>IFERROR(__xludf.DUMMYFUNCTION("""COMPUTED_VALUE"""),"診察体制")</f>
        <v>診察体制</v>
      </c>
      <c r="D47" s="31" t="str">
        <f>IFERROR(__xludf.DUMMYFUNCTION("""COMPUTED_VALUE"""),"外国語対応,日本語")</f>
        <v>外国語対応,日本語</v>
      </c>
      <c r="E47" s="32" t="str">
        <f>IFERROR(__xludf.DUMMYFUNCTION("""COMPUTED_VALUE"""),"https://luna-dr.com/question/")</f>
        <v>https://luna-dr.com/question/</v>
      </c>
    </row>
    <row r="48">
      <c r="A48" s="31" t="str">
        <f>IFERROR(__xludf.DUMMYFUNCTION("""COMPUTED_VALUE"""),"中絶を希望していますが日本語が話せません。受診できますか？")</f>
        <v>中絶を希望していますが日本語が話せません。受診できますか？</v>
      </c>
      <c r="B48" s="31" t="str">
        <f>IFERROR(__xludf.DUMMYFUNCTION("""COMPUTED_VALUE"""),"当院では、中絶のご相談・診察はご本人様が日本語で医師と直接会話できることを前提としております。そのため、お一人で医師との会話が難しい場合はお断りする可能性がございます。また、カウンセリングおよび診察の際にご同伴いただけるのはご家族のみとなり、ご友人の同伴はご遠慮いただいております。あらかじめご了承ください。")</f>
        <v>当院では、中絶のご相談・診察はご本人様が日本語で医師と直接会話できることを前提としております。そのため、お一人で医師との会話が難しい場合はお断りする可能性がございます。また、カウンセリングおよび診察の際にご同伴いただけるのはご家族のみとなり、ご友人の同伴はご遠慮いただいております。あらかじめご了承ください。</v>
      </c>
      <c r="C48" s="31" t="str">
        <f>IFERROR(__xludf.DUMMYFUNCTION("""COMPUTED_VALUE"""),"中絶・受診案内")</f>
        <v>中絶・受診案内</v>
      </c>
      <c r="D48" s="31" t="str">
        <f>IFERROR(__xludf.DUMMYFUNCTION("""COMPUTED_VALUE"""),"中絶,日本語対応,通訳,同伴,家族のみ,友人不可,受診条件")</f>
        <v>中絶,日本語対応,通訳,同伴,家族のみ,友人不可,受診条件</v>
      </c>
      <c r="E48" s="31"/>
    </row>
    <row r="49">
      <c r="A49" s="31" t="str">
        <f>IFERROR(__xludf.DUMMYFUNCTION("""COMPUTED_VALUE"""),"妊娠何週まで子宮頸がん検診を受けられますか？")</f>
        <v>妊娠何週まで子宮頸がん検診を受けられますか？</v>
      </c>
      <c r="B49" s="31" t="str">
        <f>IFERROR(__xludf.DUMMYFUNCTION("""COMPUTED_VALUE"""),"ルナレディースクリニックでは、当院で妊娠経過を診ている妊娠10週までの方を対象に子宮頸がん検診を行っています。")</f>
        <v>ルナレディースクリニックでは、当院で妊娠経過を診ている妊娠10週までの方を対象に子宮頸がん検診を行っています。</v>
      </c>
      <c r="C49" s="31" t="str">
        <f>IFERROR(__xludf.DUMMYFUNCTION("""COMPUTED_VALUE"""),"妊娠中の検査")</f>
        <v>妊娠中の検査</v>
      </c>
      <c r="D49" s="31" t="str">
        <f>IFERROR(__xludf.DUMMYFUNCTION("""COMPUTED_VALUE"""),"妊娠,子宮頸がん検診")</f>
        <v>妊娠,子宮頸がん検診</v>
      </c>
      <c r="E49" s="32" t="str">
        <f>IFERROR(__xludf.DUMMYFUNCTION("""COMPUTED_VALUE"""),"https://luna-dr.com/question/")</f>
        <v>https://luna-dr.com/question/</v>
      </c>
    </row>
    <row r="50">
      <c r="A50" s="31" t="str">
        <f>IFERROR(__xludf.DUMMYFUNCTION("""COMPUTED_VALUE"""),"妊娠何週まで受診できますか？")</f>
        <v>妊娠何週まで受診できますか？</v>
      </c>
      <c r="B50" s="31" t="str">
        <f>IFERROR(__xludf.DUMMYFUNCTION("""COMPUTED_VALUE"""),"ルナレディースクリニックでは、超音波検査は経腟走査のみのため、妊娠12週までの診察対応としています。")</f>
        <v>ルナレディースクリニックでは、超音波検査は経腟走査のみのため、妊娠12週までの診察対応としています。</v>
      </c>
      <c r="C50" s="31" t="str">
        <f>IFERROR(__xludf.DUMMYFUNCTION("""COMPUTED_VALUE"""),"妊娠中の受診")</f>
        <v>妊娠中の受診</v>
      </c>
      <c r="D50" s="31" t="str">
        <f>IFERROR(__xludf.DUMMYFUNCTION("""COMPUTED_VALUE"""),"妊娠週数,受診")</f>
        <v>妊娠週数,受診</v>
      </c>
      <c r="E50" s="32" t="str">
        <f>IFERROR(__xludf.DUMMYFUNCTION("""COMPUTED_VALUE"""),"https://luna-dr.com/question/")</f>
        <v>https://luna-dr.com/question/</v>
      </c>
    </row>
    <row r="51">
      <c r="A51" s="31" t="str">
        <f>IFERROR(__xludf.DUMMYFUNCTION("""COMPUTED_VALUE"""),"他院で妊婦健診を受けていますが受診できますか？")</f>
        <v>他院で妊婦健診を受けていますが受診できますか？</v>
      </c>
      <c r="B51" s="31" t="str">
        <f>IFERROR(__xludf.DUMMYFUNCTION("""COMPUTED_VALUE"""),"ルナレディースクリニックでは、妊娠中の方は妊婦健診を受けているかかりつけの産婦人科での受診をお願いしています。")</f>
        <v>ルナレディースクリニックでは、妊娠中の方は妊婦健診を受けているかかりつけの産婦人科での受診をお願いしています。</v>
      </c>
      <c r="C51" s="31" t="str">
        <f>IFERROR(__xludf.DUMMYFUNCTION("""COMPUTED_VALUE"""),"妊娠中の受診")</f>
        <v>妊娠中の受診</v>
      </c>
      <c r="D51" s="31" t="str">
        <f>IFERROR(__xludf.DUMMYFUNCTION("""COMPUTED_VALUE"""),"他院通院,妊婦健診")</f>
        <v>他院通院,妊婦健診</v>
      </c>
      <c r="E51" s="32" t="str">
        <f>IFERROR(__xludf.DUMMYFUNCTION("""COMPUTED_VALUE"""),"https://luna-dr.com/question/")</f>
        <v>https://luna-dr.com/question/</v>
      </c>
    </row>
    <row r="52">
      <c r="A52" s="31" t="str">
        <f>IFERROR(__xludf.DUMMYFUNCTION("""COMPUTED_VALUE"""),"診察券番号が分かりません/診察券はありますか？/診察カードを忘れた/診察券を忘れた")</f>
        <v>診察券番号が分かりません/診察券はありますか？/診察カードを忘れた/診察券を忘れた</v>
      </c>
      <c r="B52" s="31" t="str">
        <f>IFERROR(__xludf.DUMMYFUNCTION("""COMPUTED_VALUE"""),"ルナレディースクリニックでは診察券の発行を行っていません。LINEや領収書などからご確認いただけます。領収書もお手元にない場合は、お電話（050-1730-2768）または問い合わせフォームよりお問い合わせください。問い合わせフォームはこちら（https://share.hsforms.com/1mH5zNVXTSSSolb2TyIvhuw4rffl）。LINEでの診察券番号の確認方法については、こちらのページをご参照ください。→https://luna-dr.notion.site/f0a26ab231"&amp;"534d8fa9cb069193c411a4")</f>
        <v>ルナレディースクリニックでは診察券の発行を行っていません。LINEや領収書などからご確認いただけます。領収書もお手元にない場合は、お電話（050-1730-2768）または問い合わせフォームよりお問い合わせください。問い合わせフォームはこちら（https://share.hsforms.com/1mH5zNVXTSSSolb2TyIvhuw4rffl）。LINEでの診察券番号の確認方法については、こちらのページをご参照ください。→https://luna-dr.notion.site/f0a26ab231534d8fa9cb069193c411a4</v>
      </c>
      <c r="C52" s="31" t="str">
        <f>IFERROR(__xludf.DUMMYFUNCTION("""COMPUTED_VALUE"""),"受診について")</f>
        <v>受診について</v>
      </c>
      <c r="D52" s="31" t="str">
        <f>IFERROR(__xludf.DUMMYFUNCTION("""COMPUTED_VALUE"""),"診察券,番号")</f>
        <v>診察券,番号</v>
      </c>
      <c r="E52" s="31"/>
    </row>
    <row r="53">
      <c r="A53" s="31" t="str">
        <f>IFERROR(__xludf.DUMMYFUNCTION("""COMPUTED_VALUE"""),"女性医師はいますか？")</f>
        <v>女性医師はいますか？</v>
      </c>
      <c r="B53" s="31" t="str">
        <f>IFERROR(__xludf.DUMMYFUNCTION("""COMPUTED_VALUE"""),"ルナレディースクリニックでは女性医師が在籍しています。曜日によって不在の場合がありますので、ご希望の方はお電話ください。お電話は 050-1730-2768 までご連絡ください。電話受付時間は、平日9:45〜13:40・15:15〜19:40、土日祝9:45〜13:40・15:15〜18:40です。")</f>
        <v>ルナレディースクリニックでは女性医師が在籍しています。曜日によって不在の場合がありますので、ご希望の方はお電話ください。お電話は 050-1730-2768 までご連絡ください。電話受付時間は、平日9:45〜13:40・15:15〜19:40、土日祝9:45〜13:40・15:15〜18:40です。</v>
      </c>
      <c r="C53" s="31" t="str">
        <f>IFERROR(__xludf.DUMMYFUNCTION("""COMPUTED_VALUE"""),"診察体制")</f>
        <v>診察体制</v>
      </c>
      <c r="D53" s="31" t="str">
        <f>IFERROR(__xludf.DUMMYFUNCTION("""COMPUTED_VALUE"""),"女性医師,医師")</f>
        <v>女性医師,医師</v>
      </c>
      <c r="E53" s="32" t="str">
        <f>IFERROR(__xludf.DUMMYFUNCTION("""COMPUTED_VALUE"""),"https://luna-dr.com/question/")</f>
        <v>https://luna-dr.com/question/</v>
      </c>
    </row>
    <row r="54">
      <c r="A54" s="31" t="str">
        <f>IFERROR(__xludf.DUMMYFUNCTION("""COMPUTED_VALUE"""),"何歳から診察を受けられますか？/小学生が受診できますか？/中学生でも受診できますか？/年齢制限はありますか？/未成年でも検査は受けられますか？/未成年の検査/検査可能な年齢は？/子供でも受診できますか？/15歳未満は受診できますか？/10代でも診てもらえますか？/年齢制限は何歳ですか？")</f>
        <v>何歳から診察を受けられますか？/小学生が受診できますか？/中学生でも受診できますか？/年齢制限はありますか？/未成年でも検査は受けられますか？/未成年の検査/検査可能な年齢は？/子供でも受診できますか？/15歳未満は受診できますか？/10代でも診てもらえますか？/年齢制限は何歳ですか？</v>
      </c>
      <c r="B54" s="31" t="str">
        <f>IFERROR(__xludf.DUMMYFUNCTION("""COMPUTED_VALUE"""),"当院は15歳以上の方からご受診いただけます。18歳未満の患者さまは保護者の方の同伴が必須となります。")</f>
        <v>当院は15歳以上の方からご受診いただけます。18歳未満の患者さまは保護者の方の同伴が必須となります。</v>
      </c>
      <c r="C54" s="31" t="str">
        <f>IFERROR(__xludf.DUMMYFUNCTION("""COMPUTED_VALUE"""),"受診案内")</f>
        <v>受診案内</v>
      </c>
      <c r="D54" s="31" t="str">
        <f>IFERROR(__xludf.DUMMYFUNCTION("""COMPUTED_VALUE"""),"年齢制限,未成年,15歳,18歳未満,小学生,中学生,高校生,保護者,同伴")</f>
        <v>年齢制限,未成年,15歳,18歳未満,小学生,中学生,高校生,保護者,同伴</v>
      </c>
      <c r="E54" s="32" t="str">
        <f>IFERROR(__xludf.DUMMYFUNCTION("""COMPUTED_VALUE"""),"https://luna-dr.com/question/")</f>
        <v>https://luna-dr.com/question/</v>
      </c>
    </row>
    <row r="55">
      <c r="A55" s="31" t="str">
        <f>IFERROR(__xludf.DUMMYFUNCTION("""COMPUTED_VALUE"""),"オンライン診療ではどんな相談ができますか？")</f>
        <v>オンライン診療ではどんな相談ができますか？</v>
      </c>
      <c r="B55" s="31" t="str">
        <f>IFERROR(__xludf.DUMMYFUNCTION("""COMPUTED_VALUE"""),"ルナレディースクリニックのオンライン診療では、「おりものが少し変かも」「この症状で病院に行く必要があるか不安」など、気になる婦人科のお悩みについて、実際の診察前に無料でご相談いただけます。オンライン診療はLINEからご利用いただけます。こちらのオンライン診療ページ（https://liff-gateway.lineml.jp/landing?follow=%40590gpxrd&amp;lp=fX73yx&amp;liff_id=1657094566-LmjNPPbV）からご利用ください。")</f>
        <v>ルナレディースクリニックのオンライン診療では、「おりものが少し変かも」「この症状で病院に行く必要があるか不安」など、気になる婦人科のお悩みについて、実際の診察前に無料でご相談いただけます。オンライン診療はLINEからご利用いただけます。こちらのオンライン診療ページ（https://liff-gateway.lineml.jp/landing?follow=%40590gpxrd&amp;lp=fX73yx&amp;liff_id=1657094566-LmjNPPbV）からご利用ください。</v>
      </c>
      <c r="C55" s="31" t="str">
        <f>IFERROR(__xludf.DUMMYFUNCTION("""COMPUTED_VALUE"""),"オンライン診療")</f>
        <v>オンライン診療</v>
      </c>
      <c r="D55" s="31" t="str">
        <f>IFERROR(__xludf.DUMMYFUNCTION("""COMPUTED_VALUE"""),"オンライン診療,無料相談,婦人科相談")</f>
        <v>オンライン診療,無料相談,婦人科相談</v>
      </c>
      <c r="E55" s="32" t="str">
        <f>IFERROR(__xludf.DUMMYFUNCTION("""COMPUTED_VALUE"""),"https://luna-dr.com/telemedicine/")</f>
        <v>https://luna-dr.com/telemedicine/</v>
      </c>
    </row>
    <row r="56">
      <c r="A56" s="31" t="str">
        <f>IFERROR(__xludf.DUMMYFUNCTION("""COMPUTED_VALUE"""),"オンライン診療の特徴を教えてください")</f>
        <v>オンライン診療の特徴を教えてください</v>
      </c>
      <c r="B56" s="31" t="str">
        <f>IFERROR(__xludf.DUMMYFUNCTION("""COMPUTED_VALUE"""),"ルナレディースクリニックのオンライン診療では、問診から診察、決済、お薬の処方まで、すべてLINEで完結します。実際の診察前に「おりものが少し変かも」「この症状で受診が必要か不安」といった婦人科のお悩みを、無料で気軽にご相談いただけます。専用アプリは不要で、LINEのチャットを使って相談員や医師とやりとりができ、初診の方もオンライン診療が可能です。処方されたお薬はご自宅まで配送されるため、外出の必要はありません。")</f>
        <v>ルナレディースクリニックのオンライン診療では、問診から診察、決済、お薬の処方まで、すべてLINEで完結します。実際の診察前に「おりものが少し変かも」「この症状で受診が必要か不安」といった婦人科のお悩みを、無料で気軽にご相談いただけます。専用アプリは不要で、LINEのチャットを使って相談員や医師とやりとりができ、初診の方もオンライン診療が可能です。処方されたお薬はご自宅まで配送されるため、外出の必要はありません。</v>
      </c>
      <c r="C56" s="31" t="str">
        <f>IFERROR(__xludf.DUMMYFUNCTION("""COMPUTED_VALUE"""),"オンライン診療")</f>
        <v>オンライン診療</v>
      </c>
      <c r="D56" s="31" t="str">
        <f>IFERROR(__xludf.DUMMYFUNCTION("""COMPUTED_VALUE"""),"オンライン診療,特徴,無料相談,LINE診療")</f>
        <v>オンライン診療,特徴,無料相談,LINE診療</v>
      </c>
      <c r="E56" s="32" t="str">
        <f>IFERROR(__xludf.DUMMYFUNCTION("""COMPUTED_VALUE"""),"https://luna-dr.com/telemedicine/")</f>
        <v>https://luna-dr.com/telemedicine/</v>
      </c>
    </row>
    <row r="57">
      <c r="A57" s="31" t="str">
        <f>IFERROR(__xludf.DUMMYFUNCTION("""COMPUTED_VALUE"""),"オンライン診療は初診から利用できますか？")</f>
        <v>オンライン診療は初診から利用できますか？</v>
      </c>
      <c r="B57" s="31" t="str">
        <f>IFERROR(__xludf.DUMMYFUNCTION("""COMPUTED_VALUE"""),"ルナレディースクリニックのオンライン診療では、再診だけでなく初診の方もオンラインで診療を受けていただけます。LINEから診察予約が可能です。")</f>
        <v>ルナレディースクリニックのオンライン診療では、再診だけでなく初診の方もオンラインで診療を受けていただけます。LINEから診察予約が可能です。</v>
      </c>
      <c r="C57" s="31" t="str">
        <f>IFERROR(__xludf.DUMMYFUNCTION("""COMPUTED_VALUE"""),"オンライン診療")</f>
        <v>オンライン診療</v>
      </c>
      <c r="D57" s="31" t="str">
        <f>IFERROR(__xludf.DUMMYFUNCTION("""COMPUTED_VALUE"""),"初診,オンライン診療")</f>
        <v>初診,オンライン診療</v>
      </c>
      <c r="E57" s="32" t="str">
        <f>IFERROR(__xludf.DUMMYFUNCTION("""COMPUTED_VALUE"""),"https://luna-dr.com/telemedicine/")</f>
        <v>https://luna-dr.com/telemedicine/</v>
      </c>
    </row>
    <row r="58">
      <c r="A58" s="31" t="str">
        <f>IFERROR(__xludf.DUMMYFUNCTION("""COMPUTED_VALUE"""),"オンライン診療はどのように受けられますか？")</f>
        <v>オンライン診療はどのように受けられますか？</v>
      </c>
      <c r="B58" s="31" t="str">
        <f>IFERROR(__xludf.DUMMYFUNCTION("""COMPUTED_VALUE"""),"ルナレディースクリニックのオンライン診療は、LINEのお友だち登録後、診察予約・WEB問診・医師の診察・決済・お薬の処方まで、すべてスマートフォンで完結します。こちらのオンライン診療ページ（https://liff-gateway.lineml.jp/landing?follow=%40590gpxrd&amp;lp=fX73yx&amp;liff_id=1657094566-LmjNPPbV）からご利用ください。")</f>
        <v>ルナレディースクリニックのオンライン診療は、LINEのお友だち登録後、診察予約・WEB問診・医師の診察・決済・お薬の処方まで、すべてスマートフォンで完結します。こちらのオンライン診療ページ（https://liff-gateway.lineml.jp/landing?follow=%40590gpxrd&amp;lp=fX73yx&amp;liff_id=1657094566-LmjNPPbV）からご利用ください。</v>
      </c>
      <c r="C58" s="31" t="str">
        <f>IFERROR(__xludf.DUMMYFUNCTION("""COMPUTED_VALUE"""),"オンライン診療")</f>
        <v>オンライン診療</v>
      </c>
      <c r="D58" s="31" t="str">
        <f>IFERROR(__xludf.DUMMYFUNCTION("""COMPUTED_VALUE"""),"LINE診療,スマホ診療")</f>
        <v>LINE診療,スマホ診療</v>
      </c>
      <c r="E58" s="32" t="str">
        <f>IFERROR(__xludf.DUMMYFUNCTION("""COMPUTED_VALUE"""),"https://luna-dr.com/telemedicine/")</f>
        <v>https://luna-dr.com/telemedicine/</v>
      </c>
    </row>
    <row r="59">
      <c r="A59" s="31" t="str">
        <f>IFERROR(__xludf.DUMMYFUNCTION("""COMPUTED_VALUE"""),"オンライン診療で対応している診療内容を教えてください")</f>
        <v>オンライン診療で対応している診療内容を教えてください</v>
      </c>
      <c r="B59" s="31" t="str">
        <f>IFERROR(__xludf.DUMMYFUNCTION("""COMPUTED_VALUE"""),"ルナレディースクリニックのオンライン診療では、ピルの処方、低用量ピル、アフターピル、月経移動、おりもの異常に対応しています。")</f>
        <v>ルナレディースクリニックのオンライン診療では、ピルの処方、低用量ピル、アフターピル、月経移動、おりもの異常に対応しています。</v>
      </c>
      <c r="C59" s="31" t="str">
        <f>IFERROR(__xludf.DUMMYFUNCTION("""COMPUTED_VALUE"""),"オンライン診療")</f>
        <v>オンライン診療</v>
      </c>
      <c r="D59" s="31" t="str">
        <f>IFERROR(__xludf.DUMMYFUNCTION("""COMPUTED_VALUE"""),"ピル,月経移動,おりもの")</f>
        <v>ピル,月経移動,おりもの</v>
      </c>
      <c r="E59" s="32" t="str">
        <f>IFERROR(__xludf.DUMMYFUNCTION("""COMPUTED_VALUE"""),"https://luna-dr.com/telemedicine/")</f>
        <v>https://luna-dr.com/telemedicine/</v>
      </c>
    </row>
    <row r="60">
      <c r="A60" s="31" t="str">
        <f>IFERROR(__xludf.DUMMYFUNCTION("""COMPUTED_VALUE"""),"オンライン診療の流れを教えてください")</f>
        <v>オンライン診療の流れを教えてください</v>
      </c>
      <c r="B60" s="31" t="str">
        <f>IFERROR(__xludf.DUMMYFUNCTION("""COMPUTED_VALUE"""),"ルナレディースクリニックのオンライン診療は、LINEのお友だち登録後、診察予約、WEB問診への回答、スタッフとのやりとり、医師による電話またはチャット診療、決済、お薬の発送という流れで進みます。")</f>
        <v>ルナレディースクリニックのオンライン診療は、LINEのお友だち登録後、診察予約、WEB問診への回答、スタッフとのやりとり、医師による電話またはチャット診療、決済、お薬の発送という流れで進みます。</v>
      </c>
      <c r="C60" s="31" t="str">
        <f>IFERROR(__xludf.DUMMYFUNCTION("""COMPUTED_VALUE"""),"オンライン診療")</f>
        <v>オンライン診療</v>
      </c>
      <c r="D60" s="31" t="str">
        <f>IFERROR(__xludf.DUMMYFUNCTION("""COMPUTED_VALUE"""),"診療の流れ,オンライン")</f>
        <v>診療の流れ,オンライン</v>
      </c>
      <c r="E60" s="32" t="str">
        <f>IFERROR(__xludf.DUMMYFUNCTION("""COMPUTED_VALUE"""),"https://luna-dr.com/telemedicine/")</f>
        <v>https://luna-dr.com/telemedicine/</v>
      </c>
    </row>
    <row r="61">
      <c r="A61" s="31" t="str">
        <f>IFERROR(__xludf.DUMMYFUNCTION("""COMPUTED_VALUE"""),"オンライン診療で処方された薬はどこで受け取れますか？")</f>
        <v>オンライン診療で処方された薬はどこで受け取れますか？</v>
      </c>
      <c r="B61" s="31" t="str">
        <f>IFERROR(__xludf.DUMMYFUNCTION("""COMPUTED_VALUE"""),"ルナレディースクリニックのオンライン診療で処方されたお薬は、ご自宅まで郵送でお届けしています。外出の必要はありません。")</f>
        <v>ルナレディースクリニックのオンライン診療で処方されたお薬は、ご自宅まで郵送でお届けしています。外出の必要はありません。</v>
      </c>
      <c r="C61" s="31" t="str">
        <f>IFERROR(__xludf.DUMMYFUNCTION("""COMPUTED_VALUE"""),"オンライン診療")</f>
        <v>オンライン診療</v>
      </c>
      <c r="D61" s="31" t="str">
        <f>IFERROR(__xludf.DUMMYFUNCTION("""COMPUTED_VALUE"""),"薬の受け取り,配送")</f>
        <v>薬の受け取り,配送</v>
      </c>
      <c r="E61" s="32" t="str">
        <f>IFERROR(__xludf.DUMMYFUNCTION("""COMPUTED_VALUE"""),"https://luna-dr.com/telemedicine/")</f>
        <v>https://luna-dr.com/telemedicine/</v>
      </c>
    </row>
    <row r="62">
      <c r="A62" s="31" t="str">
        <f>IFERROR(__xludf.DUMMYFUNCTION("""COMPUTED_VALUE"""),"オンライン診療の支払い方法を教えてください")</f>
        <v>オンライン診療の支払い方法を教えてください</v>
      </c>
      <c r="B62" s="31" t="str">
        <f>IFERROR(__xludf.DUMMYFUNCTION("""COMPUTED_VALUE"""),"ルナレディースクリニックのオンライン診療では、原則クレジットカード払いをお願いしております。対応ブランドは、VISA、Master、JCB、Diners、AmericanExpressです。
診察後にお支払い用のURLをご案内していますので、ご対応をいただきます。
※クレジットカード以外をご希望の場合は、振込または代引き（別途手数料あり）への変更も可能です。詳しくはカウンセラーへお問い合わせください。")</f>
        <v>ルナレディースクリニックのオンライン診療では、原則クレジットカード払いをお願いしております。対応ブランドは、VISA、Master、JCB、Diners、AmericanExpressです。
診察後にお支払い用のURLをご案内していますので、ご対応をいただきます。
※クレジットカード以外をご希望の場合は、振込または代引き（別途手数料あり）への変更も可能です。詳しくはカウンセラーへお問い合わせください。</v>
      </c>
      <c r="C62" s="31" t="str">
        <f>IFERROR(__xludf.DUMMYFUNCTION("""COMPUTED_VALUE"""),"オンライン診療")</f>
        <v>オンライン診療</v>
      </c>
      <c r="D62" s="31" t="str">
        <f>IFERROR(__xludf.DUMMYFUNCTION("""COMPUTED_VALUE"""),"支払い方法,クレジットカード")</f>
        <v>支払い方法,クレジットカード</v>
      </c>
      <c r="E62" s="32" t="str">
        <f>IFERROR(__xludf.DUMMYFUNCTION("""COMPUTED_VALUE"""),"https://luna-dr.com/telemedicine/")</f>
        <v>https://luna-dr.com/telemedicine/</v>
      </c>
    </row>
    <row r="63">
      <c r="A63" s="31" t="str">
        <f>IFERROR(__xludf.DUMMYFUNCTION("""COMPUTED_VALUE"""),"オンライン診療の対象年齢について教えてください")</f>
        <v>オンライン診療の対象年齢について教えてください</v>
      </c>
      <c r="B63" s="31" t="str">
        <f>IFERROR(__xludf.DUMMYFUNCTION("""COMPUTED_VALUE"""),"ルナレディースクリニックのオンライン診療は、全メニュー18歳以上の方が対象です。低用量ピルは18歳以上40歳未満の方が対象となり、低用量ピルの定期配送は45歳までご継続いただけます。")</f>
        <v>ルナレディースクリニックのオンライン診療は、全メニュー18歳以上の方が対象です。低用量ピルは18歳以上40歳未満の方が対象となり、低用量ピルの定期配送は45歳までご継続いただけます。</v>
      </c>
      <c r="C63" s="31" t="str">
        <f>IFERROR(__xludf.DUMMYFUNCTION("""COMPUTED_VALUE"""),"オンライン診療")</f>
        <v>オンライン診療</v>
      </c>
      <c r="D63" s="31" t="str">
        <f>IFERROR(__xludf.DUMMYFUNCTION("""COMPUTED_VALUE"""),"対象年齢,年齢制限,オンライン診療")</f>
        <v>対象年齢,年齢制限,オンライン診療</v>
      </c>
      <c r="E63" s="32" t="str">
        <f>IFERROR(__xludf.DUMMYFUNCTION("""COMPUTED_VALUE"""),"https://luna-dr.com/telemedicine/")</f>
        <v>https://luna-dr.com/telemedicine/</v>
      </c>
    </row>
    <row r="64">
      <c r="A64" s="31" t="str">
        <f>IFERROR(__xludf.DUMMYFUNCTION("""COMPUTED_VALUE"""),"オンライン診療の料金について教えてください")</f>
        <v>オンライン診療の料金について教えてください</v>
      </c>
      <c r="B64" s="31" t="str">
        <f>IFERROR(__xludf.DUMMYFUNCTION("""COMPUTED_VALUE"""),"ルナレディースクリニックのオンライン診療では、医師診察代は3,000円です。別途、お薬代と送料500円～1,000円がかかります。低用量ピルについては、医師診察代が無料となるキャンペーンを行っています。")</f>
        <v>ルナレディースクリニックのオンライン診療では、医師診察代は3,000円です。別途、お薬代と送料500円～1,000円がかかります。低用量ピルについては、医師診察代が無料となるキャンペーンを行っています。</v>
      </c>
      <c r="C64" s="31" t="str">
        <f>IFERROR(__xludf.DUMMYFUNCTION("""COMPUTED_VALUE"""),"オンライン診療")</f>
        <v>オンライン診療</v>
      </c>
      <c r="D64" s="31" t="str">
        <f>IFERROR(__xludf.DUMMYFUNCTION("""COMPUTED_VALUE"""),"料金,診察代,オンライン診療")</f>
        <v>料金,診察代,オンライン診療</v>
      </c>
      <c r="E64" s="32" t="str">
        <f>IFERROR(__xludf.DUMMYFUNCTION("""COMPUTED_VALUE"""),"https://luna-dr.com/telemedicine/")</f>
        <v>https://luna-dr.com/telemedicine/</v>
      </c>
    </row>
    <row r="65">
      <c r="A65" s="31" t="str">
        <f>IFERROR(__xludf.DUMMYFUNCTION("""COMPUTED_VALUE"""),"オンライン診療は保険が使えますか？/オンライン診療で保険が適用されますか？")</f>
        <v>オンライン診療は保険が使えますか？/オンライン診療で保険が適用されますか？</v>
      </c>
      <c r="B65" s="31" t="str">
        <f>IFERROR(__xludf.DUMMYFUNCTION("""COMPUTED_VALUE"""),"ルナレディースクリニックのオンライン診療は、現在すべて自費診療で行っています。")</f>
        <v>ルナレディースクリニックのオンライン診療は、現在すべて自費診療で行っています。</v>
      </c>
      <c r="C65" s="31" t="str">
        <f>IFERROR(__xludf.DUMMYFUNCTION("""COMPUTED_VALUE"""),"オンライン診療")</f>
        <v>オンライン診療</v>
      </c>
      <c r="D65" s="31" t="str">
        <f>IFERROR(__xludf.DUMMYFUNCTION("""COMPUTED_VALUE"""),"自費診療,保険")</f>
        <v>自費診療,保険</v>
      </c>
      <c r="E65" s="32" t="str">
        <f>IFERROR(__xludf.DUMMYFUNCTION("""COMPUTED_VALUE"""),"https://luna-dr.com/telemedicine/")</f>
        <v>https://luna-dr.com/telemedicine/</v>
      </c>
    </row>
    <row r="66">
      <c r="A66" s="31" t="str">
        <f>IFERROR(__xludf.DUMMYFUNCTION("""COMPUTED_VALUE"""),"オンライン診療の申し込みはどこからできますか？")</f>
        <v>オンライン診療の申し込みはどこからできますか？</v>
      </c>
      <c r="B66" s="31" t="str">
        <f>IFERROR(__xludf.DUMMYFUNCTION("""COMPUTED_VALUE"""),"ルナレディースクリニックのオンライン診療は、専用のLINE公式アカウントからお申し込みいただけます。こちらのオンライン診療ページ（https://liff-gateway.lineml.jp/landing?follow=%40590gpxrd&amp;lp=fX73yx&amp;liff_id=1657094566-LmjNPPbV）からご利用ください。")</f>
        <v>ルナレディースクリニックのオンライン診療は、専用のLINE公式アカウントからお申し込みいただけます。こちらのオンライン診療ページ（https://liff-gateway.lineml.jp/landing?follow=%40590gpxrd&amp;lp=fX73yx&amp;liff_id=1657094566-LmjNPPbV）からご利用ください。</v>
      </c>
      <c r="C66" s="31" t="str">
        <f>IFERROR(__xludf.DUMMYFUNCTION("""COMPUTED_VALUE"""),"オンライン診療")</f>
        <v>オンライン診療</v>
      </c>
      <c r="D66" s="31" t="str">
        <f>IFERROR(__xludf.DUMMYFUNCTION("""COMPUTED_VALUE"""),"オンライン診療URL,LINE")</f>
        <v>オンライン診療URL,LINE</v>
      </c>
      <c r="E66" s="32" t="str">
        <f>IFERROR(__xludf.DUMMYFUNCTION("""COMPUTED_VALUE"""),"https://luna-dr.com/telemedicine/")</f>
        <v>https://luna-dr.com/telemedicine/</v>
      </c>
    </row>
    <row r="67">
      <c r="A67" s="31" t="str">
        <f>IFERROR(__xludf.DUMMYFUNCTION("""COMPUTED_VALUE"""),"オンライン診療で処方された薬はどこで受け取れますか？")</f>
        <v>オンライン診療で処方された薬はどこで受け取れますか？</v>
      </c>
      <c r="B67" s="31" t="str">
        <f>IFERROR(__xludf.DUMMYFUNCTION("""COMPUTED_VALUE"""),"ルナレディースクリニックのオンライン診療で処方されたお薬は、ご自宅まで郵送でお届けしています。外出の必要はありません。")</f>
        <v>ルナレディースクリニックのオンライン診療で処方されたお薬は、ご自宅まで郵送でお届けしています。外出の必要はありません。</v>
      </c>
      <c r="C67" s="31" t="str">
        <f>IFERROR(__xludf.DUMMYFUNCTION("""COMPUTED_VALUE"""),"オンライン診療")</f>
        <v>オンライン診療</v>
      </c>
      <c r="D67" s="31" t="str">
        <f>IFERROR(__xludf.DUMMYFUNCTION("""COMPUTED_VALUE"""),"薬の受け取り,郵送,オンライン診療")</f>
        <v>薬の受け取り,郵送,オンライン診療</v>
      </c>
      <c r="E67" s="32" t="str">
        <f>IFERROR(__xludf.DUMMYFUNCTION("""COMPUTED_VALUE"""),"https://luna-dr.com/telemedicine/")</f>
        <v>https://luna-dr.com/telemedicine/</v>
      </c>
    </row>
    <row r="68">
      <c r="A68" s="31" t="str">
        <f>IFERROR(__xludf.DUMMYFUNCTION("""COMPUTED_VALUE"""),"オンライン診療の薬はどれくらいで届きますか？/ピルの定期配送は何日で届く？/ピルの定期便は注文して何日で届きますか？")</f>
        <v>オンライン診療の薬はどれくらいで届きますか？/ピルの定期配送は何日で届く？/ピルの定期便は注文して何日で届きますか？</v>
      </c>
      <c r="B68" s="31" t="str">
        <f>IFERROR(__xludf.DUMMYFUNCTION("""COMPUTED_VALUE"""),"ルナレディースクリニックのオンライン診療では、診察当日または翌営業日に神奈川県川崎市よりお薬を発送しています。到着までの時間は、お住まいの地域によって異なります。")</f>
        <v>ルナレディースクリニックのオンライン診療では、診察当日または翌営業日に神奈川県川崎市よりお薬を発送しています。到着までの時間は、お住まいの地域によって異なります。</v>
      </c>
      <c r="C68" s="31" t="str">
        <f>IFERROR(__xludf.DUMMYFUNCTION("""COMPUTED_VALUE"""),"オンライン診療")</f>
        <v>オンライン診療</v>
      </c>
      <c r="D68" s="31" t="str">
        <f>IFERROR(__xludf.DUMMYFUNCTION("""COMPUTED_VALUE"""),"薬の到着,配送日数,オンライン診療")</f>
        <v>薬の到着,配送日数,オンライン診療</v>
      </c>
      <c r="E68" s="32" t="str">
        <f>IFERROR(__xludf.DUMMYFUNCTION("""COMPUTED_VALUE"""),"https://luna-dr.com/telemedicine/")</f>
        <v>https://luna-dr.com/telemedicine/</v>
      </c>
    </row>
    <row r="69">
      <c r="A69" s="31" t="str">
        <f>IFERROR(__xludf.DUMMYFUNCTION("""COMPUTED_VALUE"""),"支払い方法/支払い方法には何が使えますか？/支払い方法を教えてください/どんな支払い方法がありますか？/お会計方法は？/お支払いはどうすればいいですか？")</f>
        <v>支払い方法/支払い方法には何が使えますか？/支払い方法を教えてください/どんな支払い方法がありますか？/お会計方法は？/お支払いはどうすればいいですか？</v>
      </c>
      <c r="B69" s="31" t="str">
        <f>IFERROR(__xludf.DUMMYFUNCTION("""COMPUTED_VALUE"""),"ルナレディースクリニックでは、現金のほか、クレジットカード（VISA、Mastercard、JCB、American Express、Diners Club、Discover）、交通系電子マネー（Suica、PASMO、Kitaca、TOICA、manaca、ICOCA、SUGOCA、nimoca、はやかけん）、電子マネー（QUICPay、iD、WAON）、QRコード決済（Alipay、WeChat Pay、PayPay、d払い、mPay）をご利用いただけます。")</f>
        <v>ルナレディースクリニックでは、現金のほか、クレジットカード（VISA、Mastercard、JCB、American Express、Diners Club、Discover）、交通系電子マネー（Suica、PASMO、Kitaca、TOICA、manaca、ICOCA、SUGOCA、nimoca、はやかけん）、電子マネー（QUICPay、iD、WAON）、QRコード決済（Alipay、WeChat Pay、PayPay、d払い、mPay）をご利用いただけます。</v>
      </c>
      <c r="C69" s="31" t="str">
        <f>IFERROR(__xludf.DUMMYFUNCTION("""COMPUTED_VALUE"""),"料金・支払い")</f>
        <v>料金・支払い</v>
      </c>
      <c r="D69" s="31" t="str">
        <f>IFERROR(__xludf.DUMMYFUNCTION("""COMPUTED_VALUE"""),"支払い方法,クレジットカード,電子マネー,QR決済")</f>
        <v>支払い方法,クレジットカード,電子マネー,QR決済</v>
      </c>
      <c r="E69" s="32" t="str">
        <f>IFERROR(__xludf.DUMMYFUNCTION("""COMPUTED_VALUE"""),"https://luna-dr.com/")</f>
        <v>https://luna-dr.com/</v>
      </c>
    </row>
    <row r="70">
      <c r="A70" s="31" t="str">
        <f>IFERROR(__xludf.DUMMYFUNCTION("""COMPUTED_VALUE"""),"クレジットカードは使えますか？")</f>
        <v>クレジットカードは使えますか？</v>
      </c>
      <c r="B70" s="31" t="str">
        <f>IFERROR(__xludf.DUMMYFUNCTION("""COMPUTED_VALUE"""),"ルナレディースクリニックでは、VISA、Mastercard、JCB、American Express、Diners Club、Discoverのクレジットカードをご利用いただけます。")</f>
        <v>ルナレディースクリニックでは、VISA、Mastercard、JCB、American Express、Diners Club、Discoverのクレジットカードをご利用いただけます。</v>
      </c>
      <c r="C70" s="31" t="str">
        <f>IFERROR(__xludf.DUMMYFUNCTION("""COMPUTED_VALUE"""),"料金・支払い")</f>
        <v>料金・支払い</v>
      </c>
      <c r="D70" s="31" t="str">
        <f>IFERROR(__xludf.DUMMYFUNCTION("""COMPUTED_VALUE"""),"クレジットカード,支払い方法,カード決済")</f>
        <v>クレジットカード,支払い方法,カード決済</v>
      </c>
      <c r="E70" s="32" t="str">
        <f>IFERROR(__xludf.DUMMYFUNCTION("""COMPUTED_VALUE"""),"https://luna-dr.com/")</f>
        <v>https://luna-dr.com/</v>
      </c>
    </row>
    <row r="71">
      <c r="A71" s="31" t="str">
        <f>IFERROR(__xludf.DUMMYFUNCTION("""COMPUTED_VALUE"""),"現金は使えますか？")</f>
        <v>現金は使えますか？</v>
      </c>
      <c r="B71" s="31" t="str">
        <f>IFERROR(__xludf.DUMMYFUNCTION("""COMPUTED_VALUE"""),"ルナレディースクリニックでは、現金でのお支払いが可能です。")</f>
        <v>ルナレディースクリニックでは、現金でのお支払いが可能です。</v>
      </c>
      <c r="C71" s="31" t="str">
        <f>IFERROR(__xludf.DUMMYFUNCTION("""COMPUTED_VALUE"""),"料金・支払い")</f>
        <v>料金・支払い</v>
      </c>
      <c r="D71" s="31" t="str">
        <f>IFERROR(__xludf.DUMMYFUNCTION("""COMPUTED_VALUE"""),"現金,支払い方法")</f>
        <v>現金,支払い方法</v>
      </c>
      <c r="E71" s="32" t="str">
        <f>IFERROR(__xludf.DUMMYFUNCTION("""COMPUTED_VALUE"""),"https://luna-dr.com/")</f>
        <v>https://luna-dr.com/</v>
      </c>
    </row>
    <row r="72">
      <c r="A72" s="31" t="str">
        <f>IFERROR(__xludf.DUMMYFUNCTION("""COMPUTED_VALUE"""),"交通系ICカードは使えますか？")</f>
        <v>交通系ICカードは使えますか？</v>
      </c>
      <c r="B72" s="31" t="str">
        <f>IFERROR(__xludf.DUMMYFUNCTION("""COMPUTED_VALUE"""),"ルナレディースクリニックでは、Suica、PASMO、Kitaca、TOICA、manaca、ICOCA、SUGOCA、nimoca、はやかけんの交通系電子マネーをご利用いただけます。")</f>
        <v>ルナレディースクリニックでは、Suica、PASMO、Kitaca、TOICA、manaca、ICOCA、SUGOCA、nimoca、はやかけんの交通系電子マネーをご利用いただけます。</v>
      </c>
      <c r="C72" s="31" t="str">
        <f>IFERROR(__xludf.DUMMYFUNCTION("""COMPUTED_VALUE"""),"料金・支払い")</f>
        <v>料金・支払い</v>
      </c>
      <c r="D72" s="31" t="str">
        <f>IFERROR(__xludf.DUMMYFUNCTION("""COMPUTED_VALUE"""),"交通系IC,電子マネー,支払い方法")</f>
        <v>交通系IC,電子マネー,支払い方法</v>
      </c>
      <c r="E72" s="32" t="str">
        <f>IFERROR(__xludf.DUMMYFUNCTION("""COMPUTED_VALUE"""),"https://luna-dr.com/")</f>
        <v>https://luna-dr.com/</v>
      </c>
    </row>
    <row r="73">
      <c r="A73" s="31" t="str">
        <f>IFERROR(__xludf.DUMMYFUNCTION("""COMPUTED_VALUE"""),"電子マネーは使えますか？")</f>
        <v>電子マネーは使えますか？</v>
      </c>
      <c r="B73" s="31" t="str">
        <f>IFERROR(__xludf.DUMMYFUNCTION("""COMPUTED_VALUE"""),"ルナレディースクリニックでは、QUICPay、iD、WAONの電子マネーをご利用いただけます。")</f>
        <v>ルナレディースクリニックでは、QUICPay、iD、WAONの電子マネーをご利用いただけます。</v>
      </c>
      <c r="C73" s="31" t="str">
        <f>IFERROR(__xludf.DUMMYFUNCTION("""COMPUTED_VALUE"""),"料金・支払い")</f>
        <v>料金・支払い</v>
      </c>
      <c r="D73" s="31" t="str">
        <f>IFERROR(__xludf.DUMMYFUNCTION("""COMPUTED_VALUE"""),"電子マネー,QUICPay,iD,WAON")</f>
        <v>電子マネー,QUICPay,iD,WAON</v>
      </c>
      <c r="E73" s="32" t="str">
        <f>IFERROR(__xludf.DUMMYFUNCTION("""COMPUTED_VALUE"""),"https://luna-dr.com/")</f>
        <v>https://luna-dr.com/</v>
      </c>
    </row>
    <row r="74">
      <c r="A74" s="31" t="str">
        <f>IFERROR(__xludf.DUMMYFUNCTION("""COMPUTED_VALUE"""),"PayPayは使えますか？")</f>
        <v>PayPayは使えますか？</v>
      </c>
      <c r="B74" s="31" t="str">
        <f>IFERROR(__xludf.DUMMYFUNCTION("""COMPUTED_VALUE"""),"ルナレディースクリニックでは、PayPayでのお支払いが可能です。")</f>
        <v>ルナレディースクリニックでは、PayPayでのお支払いが可能です。</v>
      </c>
      <c r="C74" s="31" t="str">
        <f>IFERROR(__xludf.DUMMYFUNCTION("""COMPUTED_VALUE"""),"料金・支払い")</f>
        <v>料金・支払い</v>
      </c>
      <c r="D74" s="31" t="str">
        <f>IFERROR(__xludf.DUMMYFUNCTION("""COMPUTED_VALUE"""),"PayPay,QR決済")</f>
        <v>PayPay,QR決済</v>
      </c>
      <c r="E74" s="32" t="str">
        <f>IFERROR(__xludf.DUMMYFUNCTION("""COMPUTED_VALUE"""),"https://luna-dr.com/")</f>
        <v>https://luna-dr.com/</v>
      </c>
    </row>
    <row r="75">
      <c r="A75" s="31" t="str">
        <f>IFERROR(__xludf.DUMMYFUNCTION("""COMPUTED_VALUE"""),"QRコード決済は使えますか？")</f>
        <v>QRコード決済は使えますか？</v>
      </c>
      <c r="B75" s="31" t="str">
        <f>IFERROR(__xludf.DUMMYFUNCTION("""COMPUTED_VALUE"""),"ルナレディースクリニックでは、Alipay、WeChat Pay、PayPay、d払い、mPayのQRコード決済をご利用いただけます。")</f>
        <v>ルナレディースクリニックでは、Alipay、WeChat Pay、PayPay、d払い、mPayのQRコード決済をご利用いただけます。</v>
      </c>
      <c r="C75" s="31" t="str">
        <f>IFERROR(__xludf.DUMMYFUNCTION("""COMPUTED_VALUE"""),"料金・支払い")</f>
        <v>料金・支払い</v>
      </c>
      <c r="D75" s="31" t="str">
        <f>IFERROR(__xludf.DUMMYFUNCTION("""COMPUTED_VALUE"""),"QR決済,スマホ決済")</f>
        <v>QR決済,スマホ決済</v>
      </c>
      <c r="E75" s="32" t="str">
        <f>IFERROR(__xludf.DUMMYFUNCTION("""COMPUTED_VALUE"""),"https://luna-dr.com/")</f>
        <v>https://luna-dr.com/</v>
      </c>
    </row>
    <row r="76">
      <c r="A76" s="31" t="str">
        <f>IFERROR(__xludf.DUMMYFUNCTION("""COMPUTED_VALUE"""),"海外発行のクレジットカードは使えますか？")</f>
        <v>海外発行のクレジットカードは使えますか？</v>
      </c>
      <c r="B76" s="31" t="str">
        <f>IFERROR(__xludf.DUMMYFUNCTION("""COMPUTED_VALUE"""),"ルナレディースクリニックでは、VISA、Mastercard、American Express、Diners Club、Discoverに対応しており、海外発行のカードもご利用いただけます。")</f>
        <v>ルナレディースクリニックでは、VISA、Mastercard、American Express、Diners Club、Discoverに対応しており、海外発行のカードもご利用いただけます。</v>
      </c>
      <c r="C76" s="31" t="str">
        <f>IFERROR(__xludf.DUMMYFUNCTION("""COMPUTED_VALUE"""),"料金・支払い")</f>
        <v>料金・支払い</v>
      </c>
      <c r="D76" s="31" t="str">
        <f>IFERROR(__xludf.DUMMYFUNCTION("""COMPUTED_VALUE"""),"海外カード,クレジットカード")</f>
        <v>海外カード,クレジットカード</v>
      </c>
      <c r="E76" s="32" t="str">
        <f>IFERROR(__xludf.DUMMYFUNCTION("""COMPUTED_VALUE"""),"https://luna-dr.com/")</f>
        <v>https://luna-dr.com/</v>
      </c>
    </row>
    <row r="77">
      <c r="A77" s="31" t="str">
        <f>IFERROR(__xludf.DUMMYFUNCTION("""COMPUTED_VALUE"""),"ルナレディースクリニックが選ばれている理由は何ですか？")</f>
        <v>ルナレディースクリニックが選ばれている理由は何ですか？</v>
      </c>
      <c r="B77" s="31" t="str">
        <f>IFERROR(__xludf.DUMMYFUNCTION("""COMPUTED_VALUE"""),"ルナレディースクリニックでは、女性が安心して気軽に相談でき、無理なく通い続けられるクリニックを目指しています。そのため、通いやすい立地、予約のしやすさ、プライバシーへの配慮、来院とオンラインを選べる診療体制を整えています。")</f>
        <v>ルナレディースクリニックでは、女性が安心して気軽に相談でき、無理なく通い続けられるクリニックを目指しています。そのため、通いやすい立地、予約のしやすさ、プライバシーへの配慮、来院とオンラインを選べる診療体制を整えています。</v>
      </c>
      <c r="C77" s="31" t="str">
        <f>IFERROR(__xludf.DUMMYFUNCTION("""COMPUTED_VALUE"""),"クリニックについて")</f>
        <v>クリニックについて</v>
      </c>
      <c r="D77" s="31" t="str">
        <f>IFERROR(__xludf.DUMMYFUNCTION("""COMPUTED_VALUE"""),"選ばれる理由,特徴")</f>
        <v>選ばれる理由,特徴</v>
      </c>
      <c r="E77" s="32" t="str">
        <f>IFERROR(__xludf.DUMMYFUNCTION("""COMPUTED_VALUE"""),"https://luna-dr.com/")</f>
        <v>https://luna-dr.com/</v>
      </c>
    </row>
    <row r="78">
      <c r="A78" s="31" t="str">
        <f>IFERROR(__xludf.DUMMYFUNCTION("""COMPUTED_VALUE"""),"どの院も駅から近く通いやすいですか？")</f>
        <v>どの院も駅から近く通いやすいですか？</v>
      </c>
      <c r="B78" s="31" t="str">
        <f>IFERROR(__xludf.DUMMYFUNCTION("""COMPUTED_VALUE"""),"ルナレディースクリニックは、横浜・川崎・町田のすべての院が駅直結の立地にあります。雨の日でも濡れる心配が少なく、お仕事やお買い物のついでにも立ち寄りやすい環境です。")</f>
        <v>ルナレディースクリニックは、横浜・川崎・町田のすべての院が駅直結の立地にあります。雨の日でも濡れる心配が少なく、お仕事やお買い物のついでにも立ち寄りやすい環境です。</v>
      </c>
      <c r="C78" s="31" t="str">
        <f>IFERROR(__xludf.DUMMYFUNCTION("""COMPUTED_VALUE"""),"アクセス")</f>
        <v>アクセス</v>
      </c>
      <c r="D78" s="31" t="str">
        <f>IFERROR(__xludf.DUMMYFUNCTION("""COMPUTED_VALUE"""),"駅直結,通いやすさ")</f>
        <v>駅直結,通いやすさ</v>
      </c>
      <c r="E78" s="32" t="str">
        <f>IFERROR(__xludf.DUMMYFUNCTION("""COMPUTED_VALUE"""),"https://luna-dr.com/")</f>
        <v>https://luna-dr.com/</v>
      </c>
    </row>
    <row r="79">
      <c r="A79" s="31" t="str">
        <f>IFERROR(__xludf.DUMMYFUNCTION("""COMPUTED_VALUE"""),"夜間や土日祝も診療していますか？")</f>
        <v>夜間や土日祝も診療していますか？</v>
      </c>
      <c r="B79" s="31" t="str">
        <f>IFERROR(__xludf.DUMMYFUNCTION("""COMPUTED_VALUE"""),"ルナレディースクリニックでは、平日は夜20時まで、土日祝は19時まで診療を行っています。診療内容により、最終の受付可能なお時間が異なることがありますので、夜間での受診をお考えの際は、事前にご予約の上、来院をお願いします。")</f>
        <v>ルナレディースクリニックでは、平日は夜20時まで、土日祝は19時まで診療を行っています。診療内容により、最終の受付可能なお時間が異なることがありますので、夜間での受診をお考えの際は、事前にご予約の上、来院をお願いします。</v>
      </c>
      <c r="C79" s="31" t="str">
        <f>IFERROR(__xludf.DUMMYFUNCTION("""COMPUTED_VALUE"""),"診療時間")</f>
        <v>診療時間</v>
      </c>
      <c r="D79" s="31" t="str">
        <f>IFERROR(__xludf.DUMMYFUNCTION("""COMPUTED_VALUE"""),"夜間診療,土日祝診療")</f>
        <v>夜間診療,土日祝診療</v>
      </c>
      <c r="E79" s="32" t="str">
        <f>IFERROR(__xludf.DUMMYFUNCTION("""COMPUTED_VALUE"""),"https://luna-dr.com/")</f>
        <v>https://luna-dr.com/</v>
      </c>
    </row>
    <row r="80">
      <c r="A80" s="31" t="str">
        <f>IFERROR(__xludf.DUMMYFUNCTION("""COMPUTED_VALUE"""),"予約はいつでもできますか？")</f>
        <v>予約はいつでもできますか？</v>
      </c>
      <c r="B80" s="31" t="str">
        <f>IFERROR(__xludf.DUMMYFUNCTION("""COMPUTED_VALUE"""),"ルナレディースクリニックでは、公式LINEから24時間いつでもご予約いただけます。深夜や早朝、移動中など、ご自身のタイミングで簡単に予約が可能です。")</f>
        <v>ルナレディースクリニックでは、公式LINEから24時間いつでもご予約いただけます。深夜や早朝、移動中など、ご自身のタイミングで簡単に予約が可能です。</v>
      </c>
      <c r="C80" s="31" t="str">
        <f>IFERROR(__xludf.DUMMYFUNCTION("""COMPUTED_VALUE"""),"予約")</f>
        <v>予約</v>
      </c>
      <c r="D80" s="31" t="str">
        <f>IFERROR(__xludf.DUMMYFUNCTION("""COMPUTED_VALUE"""),"LINE予約,24時間予約")</f>
        <v>LINE予約,24時間予約</v>
      </c>
      <c r="E80" s="32" t="str">
        <f>IFERROR(__xludf.DUMMYFUNCTION("""COMPUTED_VALUE"""),"https://luna-dr.com/")</f>
        <v>https://luna-dr.com/</v>
      </c>
    </row>
    <row r="81">
      <c r="A81" s="31" t="str">
        <f>IFERROR(__xludf.DUMMYFUNCTION("""COMPUTED_VALUE"""),"WEB問診を利用するメリットは何ですか？")</f>
        <v>WEB問診を利用するメリットは何ですか？</v>
      </c>
      <c r="B81" s="31" t="str">
        <f>IFERROR(__xludf.DUMMYFUNCTION("""COMPUTED_VALUE"""),"ルナレディースクリニックでは、来院前にWEB問診へご回答いただくことで、デリケートな内容を落ち着いた環境で入力できます。プライバシーに配慮できるほか、院内での待ち時間短縮にもつながります。")</f>
        <v>ルナレディースクリニックでは、来院前にWEB問診へご回答いただくことで、デリケートな内容を落ち着いた環境で入力できます。プライバシーに配慮できるほか、院内での待ち時間短縮にもつながります。</v>
      </c>
      <c r="C81" s="31" t="str">
        <f>IFERROR(__xludf.DUMMYFUNCTION("""COMPUTED_VALUE"""),"受診について")</f>
        <v>受診について</v>
      </c>
      <c r="D81" s="31" t="str">
        <f>IFERROR(__xludf.DUMMYFUNCTION("""COMPUTED_VALUE"""),"WEB問診,プライバシー")</f>
        <v>WEB問診,プライバシー</v>
      </c>
      <c r="E81" s="32" t="str">
        <f>IFERROR(__xludf.DUMMYFUNCTION("""COMPUTED_VALUE"""),"https://luna-dr.com/")</f>
        <v>https://luna-dr.com/</v>
      </c>
    </row>
    <row r="82">
      <c r="A82" s="31" t="str">
        <f>IFERROR(__xludf.DUMMYFUNCTION("""COMPUTED_VALUE"""),"来院診療とオンライン診療は選べますか？")</f>
        <v>来院診療とオンライン診療は選べますか？</v>
      </c>
      <c r="B82" s="31" t="str">
        <f>IFERROR(__xludf.DUMMYFUNCTION("""COMPUTED_VALUE"""),"ルナレディースクリニックでは、医師と直接相談できる来院診療を基本としつつ、ご自宅から受診できるオンライン診療にも対応しています。ライフスタイルに合わせて診療方法を選べます。")</f>
        <v>ルナレディースクリニックでは、医師と直接相談できる来院診療を基本としつつ、ご自宅から受診できるオンライン診療にも対応しています。ライフスタイルに合わせて診療方法を選べます。</v>
      </c>
      <c r="C82" s="31" t="str">
        <f>IFERROR(__xludf.DUMMYFUNCTION("""COMPUTED_VALUE"""),"診療体制")</f>
        <v>診療体制</v>
      </c>
      <c r="D82" s="31" t="str">
        <f>IFERROR(__xludf.DUMMYFUNCTION("""COMPUTED_VALUE"""),"来院診療,オンライン診療")</f>
        <v>来院診療,オンライン診療</v>
      </c>
      <c r="E82" s="32" t="str">
        <f>IFERROR(__xludf.DUMMYFUNCTION("""COMPUTED_VALUE"""),"https://luna-dr.com/")</f>
        <v>https://luna-dr.com/</v>
      </c>
    </row>
    <row r="83">
      <c r="A83" s="31" t="str">
        <f>IFERROR(__xludf.DUMMYFUNCTION("""COMPUTED_VALUE"""),"月経移動とは何ですか？/初診でも月経移動ピルは処方してもらえますか？/初めてでも月経移動できますか？")</f>
        <v>月経移動とは何ですか？/初診でも月経移動ピルは処方してもらえますか？/初めてでも月経移動できますか？</v>
      </c>
      <c r="B83" s="31" t="str">
        <f>IFERROR(__xludf.DUMMYFUNCTION("""COMPUTED_VALUE"""),"月経移動とは、ホルモン剤の一種であるピルを服用することで、生理が始まるタイミングを意図的に「早める」または「遅らせる」医療技術です。
ルナレディースクリニックでは、ピルを服用することで生理が始まるタイミングを「早める」または「遅らせる」月経移動を行っています。海外旅行や結婚式、試験など大切な予定に合わせてご相談いただけます。")</f>
        <v>月経移動とは、ホルモン剤の一種であるピルを服用することで、生理が始まるタイミングを意図的に「早める」または「遅らせる」医療技術です。
ルナレディースクリニックでは、ピルを服用することで生理が始まるタイミングを「早める」または「遅らせる」月経移動を行っています。海外旅行や結婚式、試験など大切な予定に合わせてご相談いただけます。</v>
      </c>
      <c r="C83" s="31" t="str">
        <f>IFERROR(__xludf.DUMMYFUNCTION("""COMPUTED_VALUE"""),"月経移動")</f>
        <v>月経移動</v>
      </c>
      <c r="D83" s="31" t="str">
        <f>IFERROR(__xludf.DUMMYFUNCTION("""COMPUTED_VALUE"""),"月経移動,生理調整,ピル")</f>
        <v>月経移動,生理調整,ピル</v>
      </c>
      <c r="E83" s="32" t="str">
        <f>IFERROR(__xludf.DUMMYFUNCTION("""COMPUTED_VALUE"""),"https://luna-dr.com/subjects/menstrual-manipulation/")</f>
        <v>https://luna-dr.com/subjects/menstrual-manipulation/</v>
      </c>
    </row>
    <row r="84">
      <c r="A84" s="31" t="str">
        <f>IFERROR(__xludf.DUMMYFUNCTION("""COMPUTED_VALUE"""),"どんな予定があるときに月経移動を利用できますか？")</f>
        <v>どんな予定があるときに月経移動を利用できますか？</v>
      </c>
      <c r="B84" s="31" t="str">
        <f>IFERROR(__xludf.DUMMYFUNCTION("""COMPUTED_VALUE"""),"月経移動は、海外旅行、結婚式、温泉旅行、スポーツ大会、試験など、さまざまな予定に合わせた月経移動のご相談を受け付けています。患者様一人ひとりのご予定やライフスタイルに合わせて、最適な月経移動プランをご提案します。")</f>
        <v>月経移動は、海外旅行、結婚式、温泉旅行、スポーツ大会、試験など、さまざまな予定に合わせた月経移動のご相談を受け付けています。患者様一人ひとりのご予定やライフスタイルに合わせて、最適な月経移動プランをご提案します。</v>
      </c>
      <c r="C84" s="31" t="str">
        <f>IFERROR(__xludf.DUMMYFUNCTION("""COMPUTED_VALUE"""),"月経移動")</f>
        <v>月経移動</v>
      </c>
      <c r="D84" s="31" t="str">
        <f>IFERROR(__xludf.DUMMYFUNCTION("""COMPUTED_VALUE"""),"旅行,試験,イベント,月経移動")</f>
        <v>旅行,試験,イベント,月経移動</v>
      </c>
      <c r="E84" s="32" t="str">
        <f>IFERROR(__xludf.DUMMYFUNCTION("""COMPUTED_VALUE"""),"https://luna-dr.com/subjects/menstrual-manipulation/")</f>
        <v>https://luna-dr.com/subjects/menstrual-manipulation/</v>
      </c>
    </row>
    <row r="85">
      <c r="A85" s="31" t="str">
        <f>IFERROR(__xludf.DUMMYFUNCTION("""COMPUTED_VALUE"""),"月経移動は生理と大事な予定が重なりそうなときは相談できますか？")</f>
        <v>月経移動は生理と大事な予定が重なりそうなときは相談できますか？</v>
      </c>
      <c r="B85" s="31" t="str">
        <f>IFERROR(__xludf.DUMMYFUNCTION("""COMPUTED_VALUE"""),"大切なご予定に合わせて生理日を調整したい場合の月経移動についてご相談いただけます。患者様一人ひとりのご予定やライフスタイルに合わせて、最適な月経移動プランをご提案します。")</f>
        <v>大切なご予定に合わせて生理日を調整したい場合の月経移動についてご相談いただけます。患者様一人ひとりのご予定やライフスタイルに合わせて、最適な月経移動プランをご提案します。</v>
      </c>
      <c r="C85" s="31" t="str">
        <f>IFERROR(__xludf.DUMMYFUNCTION("""COMPUTED_VALUE"""),"月経移動")</f>
        <v>月経移動</v>
      </c>
      <c r="D85" s="31" t="str">
        <f>IFERROR(__xludf.DUMMYFUNCTION("""COMPUTED_VALUE"""),"生理,予定,相談,月経移動")</f>
        <v>生理,予定,相談,月経移動</v>
      </c>
      <c r="E85" s="32" t="str">
        <f>IFERROR(__xludf.DUMMYFUNCTION("""COMPUTED_VALUE"""),"https://luna-dr.com/subjects/menstrual-manipulation/")</f>
        <v>https://luna-dr.com/subjects/menstrual-manipulation/</v>
      </c>
    </row>
    <row r="86">
      <c r="A86" s="31" t="str">
        <f>IFERROR(__xludf.DUMMYFUNCTION("""COMPUTED_VALUE"""),"月経移動はどのように行いますか？")</f>
        <v>月経移動はどのように行いますか？</v>
      </c>
      <c r="B86" s="31" t="str">
        <f>IFERROR(__xludf.DUMMYFUNCTION("""COMPUTED_VALUE"""),"ルナレディースクリニックでは、ピルを使用して生理日を早める、または遅らせる方法で月経移動を行います。ご予定や生理周期に合わせて医師がご提案します。")</f>
        <v>ルナレディースクリニックでは、ピルを使用して生理日を早める、または遅らせる方法で月経移動を行います。ご予定や生理周期に合わせて医師がご提案します。</v>
      </c>
      <c r="C86" s="31" t="str">
        <f>IFERROR(__xludf.DUMMYFUNCTION("""COMPUTED_VALUE"""),"月経移動")</f>
        <v>月経移動</v>
      </c>
      <c r="D86" s="31" t="str">
        <f>IFERROR(__xludf.DUMMYFUNCTION("""COMPUTED_VALUE"""),"方法,ピル,月経移動")</f>
        <v>方法,ピル,月経移動</v>
      </c>
      <c r="E86" s="32" t="str">
        <f>IFERROR(__xludf.DUMMYFUNCTION("""COMPUTED_VALUE"""),"https://luna-dr.com/subjects/menstrual-manipulation/")</f>
        <v>https://luna-dr.com/subjects/menstrual-manipulation/</v>
      </c>
    </row>
    <row r="87">
      <c r="A87" s="31" t="str">
        <f>IFERROR(__xludf.DUMMYFUNCTION("""COMPUTED_VALUE"""),"月経移動の費用はいくらですか？")</f>
        <v>月経移動の費用はいくらですか？</v>
      </c>
      <c r="B87" s="31" t="str">
        <f>IFERROR(__xludf.DUMMYFUNCTION("""COMPUTED_VALUE"""),"ルナレディースクリニックでは、月経移動（ピル処方・診察料込み）を5,000円（税込）で行っています。")</f>
        <v>ルナレディースクリニックでは、月経移動（ピル処方・診察料込み）を5,000円（税込）で行っています。</v>
      </c>
      <c r="C87" s="31" t="str">
        <f>IFERROR(__xludf.DUMMYFUNCTION("""COMPUTED_VALUE"""),"月経移動")</f>
        <v>月経移動</v>
      </c>
      <c r="D87" s="31" t="str">
        <f>IFERROR(__xludf.DUMMYFUNCTION("""COMPUTED_VALUE"""),"料金,費用,月経移動")</f>
        <v>料金,費用,月経移動</v>
      </c>
      <c r="E87" s="32" t="str">
        <f>IFERROR(__xludf.DUMMYFUNCTION("""COMPUTED_VALUE"""),"https://luna-dr.com/subjects/menstrual-manipulation/")</f>
        <v>https://luna-dr.com/subjects/menstrual-manipulation/</v>
      </c>
    </row>
    <row r="88">
      <c r="A88" s="31" t="str">
        <f>IFERROR(__xludf.DUMMYFUNCTION("""COMPUTED_VALUE"""),"月経移動にはどんな方法がありますか？")</f>
        <v>月経移動にはどんな方法がありますか？</v>
      </c>
      <c r="B88" s="31" t="str">
        <f>IFERROR(__xludf.DUMMYFUNCTION("""COMPUTED_VALUE"""),"月経移動には、生理を「遅らせる」方法と「早める」方法があります。どちらの方法を選ぶかは、生理予定日とご予定までの日数によって異なります。")</f>
        <v>月経移動には、生理を「遅らせる」方法と「早める」方法があります。どちらの方法を選ぶかは、生理予定日とご予定までの日数によって異なります。</v>
      </c>
      <c r="C88" s="31" t="str">
        <f>IFERROR(__xludf.DUMMYFUNCTION("""COMPUTED_VALUE"""),"月経移動")</f>
        <v>月経移動</v>
      </c>
      <c r="D88" s="31" t="str">
        <f>IFERROR(__xludf.DUMMYFUNCTION("""COMPUTED_VALUE"""),"方法,早める,遅らせる,月経移動")</f>
        <v>方法,早める,遅らせる,月経移動</v>
      </c>
      <c r="E88" s="32" t="str">
        <f>IFERROR(__xludf.DUMMYFUNCTION("""COMPUTED_VALUE"""),"https://luna-dr.com/subjects/menstrual-manipulation/")</f>
        <v>https://luna-dr.com/subjects/menstrual-manipulation/</v>
      </c>
    </row>
    <row r="89">
      <c r="A89" s="31" t="str">
        <f>IFERROR(__xludf.DUMMYFUNCTION("""COMPUTED_VALUE"""),"生理を遅らせる月経移動はどのような方法ですか？")</f>
        <v>生理を遅らせる月経移動はどのような方法ですか？</v>
      </c>
      <c r="B89" s="31" t="str">
        <f>IFERROR(__xludf.DUMMYFUNCTION("""COMPUTED_VALUE"""),"生理を遅らせる方法は、生理予定日の5日前からピルを服用し、生理を避けたいイベントの最終日まで毎日1錠飲み続ける方法です。内服終了後2～3日程度で生理が来る場合があります。")</f>
        <v>生理を遅らせる方法は、生理予定日の5日前からピルを服用し、生理を避けたいイベントの最終日まで毎日1錠飲み続ける方法です。内服終了後2～3日程度で生理が来る場合があります。</v>
      </c>
      <c r="C89" s="31" t="str">
        <f>IFERROR(__xludf.DUMMYFUNCTION("""COMPUTED_VALUE"""),"月経移動")</f>
        <v>月経移動</v>
      </c>
      <c r="D89" s="31" t="str">
        <f>IFERROR(__xludf.DUMMYFUNCTION("""COMPUTED_VALUE"""),"生理を遅らせる,服用方法,月経移動")</f>
        <v>生理を遅らせる,服用方法,月経移動</v>
      </c>
      <c r="E89" s="32" t="str">
        <f>IFERROR(__xludf.DUMMYFUNCTION("""COMPUTED_VALUE"""),"https://luna-dr.com/subjects/menstrual-manipulation/")</f>
        <v>https://luna-dr.com/subjects/menstrual-manipulation/</v>
      </c>
    </row>
    <row r="90">
      <c r="A90" s="31" t="str">
        <f>IFERROR(__xludf.DUMMYFUNCTION("""COMPUTED_VALUE"""),"生理を早める月経移動はどのような方法ですか？")</f>
        <v>生理を早める月経移動はどのような方法ですか？</v>
      </c>
      <c r="B90" s="31" t="str">
        <f>IFERROR(__xludf.DUMMYFUNCTION("""COMPUTED_VALUE"""),"生理を早める方法は、移動させたい生理の一つ前の生理開始5日目からピルを服用し、内服終了後2～3日程度で生理が来るよう調整する方法です。")</f>
        <v>生理を早める方法は、移動させたい生理の一つ前の生理開始5日目からピルを服用し、内服終了後2～3日程度で生理が来るよう調整する方法です。</v>
      </c>
      <c r="C90" s="31" t="str">
        <f>IFERROR(__xludf.DUMMYFUNCTION("""COMPUTED_VALUE"""),"月経移動")</f>
        <v>月経移動</v>
      </c>
      <c r="D90" s="31" t="str">
        <f>IFERROR(__xludf.DUMMYFUNCTION("""COMPUTED_VALUE"""),"生理を早める,服用方法,月経移動")</f>
        <v>生理を早める,服用方法,月経移動</v>
      </c>
      <c r="E90" s="32" t="str">
        <f>IFERROR(__xludf.DUMMYFUNCTION("""COMPUTED_VALUE"""),"https://luna-dr.com/subjects/menstrual-manipulation/")</f>
        <v>https://luna-dr.com/subjects/menstrual-manipulation/</v>
      </c>
    </row>
    <row r="91">
      <c r="A91" s="31" t="str">
        <f>IFERROR(__xludf.DUMMYFUNCTION("""COMPUTED_VALUE"""),"生理を早めるか遅らせるか迷っています")</f>
        <v>生理を早めるか遅らせるか迷っています</v>
      </c>
      <c r="B91" s="31" t="str">
        <f>IFERROR(__xludf.DUMMYFUNCTION("""COMPUTED_VALUE"""),"生理を早めるか遅らせるかは、ご予定までの期間によって異なります。ルナレディースクリニックでは、診察時に医師が状況を確認し、適した方法をご提案します。")</f>
        <v>生理を早めるか遅らせるかは、ご予定までの期間によって異なります。ルナレディースクリニックでは、診察時に医師が状況を確認し、適した方法をご提案します。</v>
      </c>
      <c r="C91" s="31" t="str">
        <f>IFERROR(__xludf.DUMMYFUNCTION("""COMPUTED_VALUE"""),"月経移動")</f>
        <v>月経移動</v>
      </c>
      <c r="D91" s="31" t="str">
        <f>IFERROR(__xludf.DUMMYFUNCTION("""COMPUTED_VALUE"""),"方法選択,相談,月経移動")</f>
        <v>方法選択,相談,月経移動</v>
      </c>
      <c r="E91" s="32" t="str">
        <f>IFERROR(__xludf.DUMMYFUNCTION("""COMPUTED_VALUE"""),"https://luna-dr.com/subjects/menstrual-manipulation/")</f>
        <v>https://luna-dr.com/subjects/menstrual-manipulation/</v>
      </c>
    </row>
    <row r="92">
      <c r="A92" s="31" t="str">
        <f>IFERROR(__xludf.DUMMYFUNCTION("""COMPUTED_VALUE"""),"月経移動の相談はいつまでにすればよいですか？")</f>
        <v>月経移動の相談はいつまでにすればよいですか？</v>
      </c>
      <c r="B92" s="31" t="str">
        <f>IFERROR(__xludf.DUMMYFUNCTION("""COMPUTED_VALUE"""),"生理を遅らせたい場合は生理予定日の1週間前まで、生理を早めたい場合はずらしたい生理の一つ前の生理期間中にご相談ください。")</f>
        <v>生理を遅らせたい場合は生理予定日の1週間前まで、生理を早めたい場合はずらしたい生理の一つ前の生理期間中にご相談ください。</v>
      </c>
      <c r="C92" s="31" t="str">
        <f>IFERROR(__xludf.DUMMYFUNCTION("""COMPUTED_VALUE"""),"月経移動")</f>
        <v>月経移動</v>
      </c>
      <c r="D92" s="31" t="str">
        <f>IFERROR(__xludf.DUMMYFUNCTION("""COMPUTED_VALUE"""),"相談時期,タイミング,月経移動")</f>
        <v>相談時期,タイミング,月経移動</v>
      </c>
      <c r="E92" s="32" t="str">
        <f>IFERROR(__xludf.DUMMYFUNCTION("""COMPUTED_VALUE"""),"https://luna-dr.com/subjects/menstrual-manipulation/")</f>
        <v>https://luna-dr.com/subjects/menstrual-manipulation/</v>
      </c>
    </row>
    <row r="93">
      <c r="A93" s="31" t="str">
        <f>IFERROR(__xludf.DUMMYFUNCTION("""COMPUTED_VALUE"""),"ピルはいつから飲めばいいですか？")</f>
        <v>ピルはいつから飲めばいいですか？</v>
      </c>
      <c r="B93" s="31" t="str">
        <f>IFERROR(__xludf.DUMMYFUNCTION("""COMPUTED_VALUE"""),"ピルを飲み始める時期は、生理を「早める」か「遅らせる」かによって異なります。生理を遅らせる場合は生理予定日の5日前から、生理を早める場合はずらしたい生理の一つ前の生理開始5日目から服用を開始します。どちらの方法が合っているかは、ご予定と生理周期を確認したうえで診察時にご案内します。")</f>
        <v>ピルを飲み始める時期は、生理を「早める」か「遅らせる」かによって異なります。生理を遅らせる場合は生理予定日の5日前から、生理を早める場合はずらしたい生理の一つ前の生理開始5日目から服用を開始します。どちらの方法が合っているかは、ご予定と生理周期を確認したうえで診察時にご案内します。</v>
      </c>
      <c r="C93" s="31" t="str">
        <f>IFERROR(__xludf.DUMMYFUNCTION("""COMPUTED_VALUE"""),"月経移動")</f>
        <v>月経移動</v>
      </c>
      <c r="D93" s="31" t="str">
        <f>IFERROR(__xludf.DUMMYFUNCTION("""COMPUTED_VALUE"""),"服用開始,いつから,選び方,月経移動")</f>
        <v>服用開始,いつから,選び方,月経移動</v>
      </c>
      <c r="E93" s="32" t="str">
        <f>IFERROR(__xludf.DUMMYFUNCTION("""COMPUTED_VALUE"""),"https://luna-dr.com/subjects/menstrual-manipulation/")</f>
        <v>https://luna-dr.com/subjects/menstrual-manipulation/</v>
      </c>
    </row>
    <row r="94">
      <c r="A94" s="31" t="str">
        <f>IFERROR(__xludf.DUMMYFUNCTION("""COMPUTED_VALUE"""),"ピルはいつまで飲み続ける必要がありますか？")</f>
        <v>ピルはいつまで飲み続ける必要がありますか？</v>
      </c>
      <c r="B94" s="31" t="str">
        <f>IFERROR(__xludf.DUMMYFUNCTION("""COMPUTED_VALUE"""),"ピルを飲み続ける期間は、生理を遅らせる場合と早める場合で異なります。生理を遅らせる場合は、生理を避けたいイベントの最終日まで毎日服用します。生理を早める場合は、医師から案内された期間、毎日服用します。服用期間については診察時にご説明します。")</f>
        <v>ピルを飲み続ける期間は、生理を遅らせる場合と早める場合で異なります。生理を遅らせる場合は、生理を避けたいイベントの最終日まで毎日服用します。生理を早める場合は、医師から案内された期間、毎日服用します。服用期間については診察時にご説明します。</v>
      </c>
      <c r="C94" s="31" t="str">
        <f>IFERROR(__xludf.DUMMYFUNCTION("""COMPUTED_VALUE"""),"月経移動")</f>
        <v>月経移動</v>
      </c>
      <c r="D94" s="31" t="str">
        <f>IFERROR(__xludf.DUMMYFUNCTION("""COMPUTED_VALUE"""),"服用期間,いつまで,月経移動")</f>
        <v>服用期間,いつまで,月経移動</v>
      </c>
      <c r="E94" s="32" t="str">
        <f>IFERROR(__xludf.DUMMYFUNCTION("""COMPUTED_VALUE"""),"https://luna-dr.com/subjects/menstrual-manipulation/")</f>
        <v>https://luna-dr.com/subjects/menstrual-manipulation/</v>
      </c>
    </row>
    <row r="95">
      <c r="A95" s="31" t="str">
        <f>IFERROR(__xludf.DUMMYFUNCTION("""COMPUTED_VALUE"""),"ピルを飲んだあとは、いつ生理が来ますか？")</f>
        <v>ピルを飲んだあとは、いつ生理が来ますか？</v>
      </c>
      <c r="B95" s="31" t="str">
        <f>IFERROR(__xludf.DUMMYFUNCTION("""COMPUTED_VALUE"""),"生理を早める場合・遅らせる場合のいずれも、ピルの服用を終了してから2～3日程度で生理が来ることがあります。生理が来るまでの日数には個人差があるため、詳しくは診察時にご説明します。")</f>
        <v>生理を早める場合・遅らせる場合のいずれも、ピルの服用を終了してから2～3日程度で生理が来ることがあります。生理が来るまでの日数には個人差があるため、詳しくは診察時にご説明します。</v>
      </c>
      <c r="C95" s="31" t="str">
        <f>IFERROR(__xludf.DUMMYFUNCTION("""COMPUTED_VALUE"""),"月経移動")</f>
        <v>月経移動</v>
      </c>
      <c r="D95" s="31" t="str">
        <f>IFERROR(__xludf.DUMMYFUNCTION("""COMPUTED_VALUE"""),"生理が来る時期,いつ来る,月経移動")</f>
        <v>生理が来る時期,いつ来る,月経移動</v>
      </c>
      <c r="E95" s="32" t="str">
        <f>IFERROR(__xludf.DUMMYFUNCTION("""COMPUTED_VALUE"""),"https://luna-dr.com/subjects/menstrual-manipulation/")</f>
        <v>https://luna-dr.com/subjects/menstrual-manipulation/</v>
      </c>
    </row>
    <row r="96">
      <c r="A96" s="31" t="str">
        <f>IFERROR(__xludf.DUMMYFUNCTION("""COMPUTED_VALUE"""),"月経移動の診察・処方の流れを教えてください")</f>
        <v>月経移動の診察・処方の流れを教えてください</v>
      </c>
      <c r="B96" s="31" t="str">
        <f>IFERROR(__xludf.DUMMYFUNCTION("""COMPUTED_VALUE"""),"ルナレディースクリニックでは、月経移動の診察・処方を来院診療またはオンライン診療から選べます。来院診療の場合は、公式LINEから予約後、WEB問診に回答し、診察で生理周期や生理を避けたい期間を確認します。診察後は必要日数分のお薬をその場でお渡しし、お会計となります。オンライン診療の場合は、公式LINEから予約し、WEB問診に回答後、予約時間に医師が電話またはチャットで診察を行います。診察後は決済リンクで支払いを行い、確認後にお薬を発送します。いずれの場合も、服用中に不安があればLINEで相談できます。")</f>
        <v>ルナレディースクリニックでは、月経移動の診察・処方を来院診療またはオンライン診療から選べます。来院診療の場合は、公式LINEから予約後、WEB問診に回答し、診察で生理周期や生理を避けたい期間を確認します。診察後は必要日数分のお薬をその場でお渡しし、お会計となります。オンライン診療の場合は、公式LINEから予約し、WEB問診に回答後、予約時間に医師が電話またはチャットで診察を行います。診察後は決済リンクで支払いを行い、確認後にお薬を発送します。いずれの場合も、服用中に不安があればLINEで相談できます。</v>
      </c>
      <c r="C96" s="31" t="str">
        <f>IFERROR(__xludf.DUMMYFUNCTION("""COMPUTED_VALUE"""),"月経移動")</f>
        <v>月経移動</v>
      </c>
      <c r="D96" s="31" t="str">
        <f>IFERROR(__xludf.DUMMYFUNCTION("""COMPUTED_VALUE"""),"診察の流れ,来院診療,オンライン診療,月経移動")</f>
        <v>診察の流れ,来院診療,オンライン診療,月経移動</v>
      </c>
      <c r="E96" s="32" t="str">
        <f>IFERROR(__xludf.DUMMYFUNCTION("""COMPUTED_VALUE"""),"https://luna-dr.com/subjects/menstrual-manipulation/")</f>
        <v>https://luna-dr.com/subjects/menstrual-manipulation/</v>
      </c>
    </row>
    <row r="97">
      <c r="A97" s="31" t="str">
        <f>IFERROR(__xludf.DUMMYFUNCTION("""COMPUTED_VALUE"""),"月経移動はどうやって相談できますか？/月経移動は来院とオンライン、どちらで相談できますか？")</f>
        <v>月経移動はどうやって相談できますか？/月経移動は来院とオンライン、どちらで相談できますか？</v>
      </c>
      <c r="B97" s="31" t="str">
        <f>IFERROR(__xludf.DUMMYFUNCTION("""COMPUTED_VALUE"""),"ルナレディースクリニックでは、来院診療とオンライン診療のどちらでも月経移動のご相談と処方を行っています。")</f>
        <v>ルナレディースクリニックでは、来院診療とオンライン診療のどちらでも月経移動のご相談と処方を行っています。</v>
      </c>
      <c r="C97" s="31" t="str">
        <f>IFERROR(__xludf.DUMMYFUNCTION("""COMPUTED_VALUE"""),"月経移動")</f>
        <v>月経移動</v>
      </c>
      <c r="D97" s="31" t="str">
        <f>IFERROR(__xludf.DUMMYFUNCTION("""COMPUTED_VALUE"""),"来院,オンライン診療,月経移動")</f>
        <v>来院,オンライン診療,月経移動</v>
      </c>
      <c r="E97" s="32" t="str">
        <f>IFERROR(__xludf.DUMMYFUNCTION("""COMPUTED_VALUE"""),"https://luna-dr.com/subjects/menstrual-manipulation/")</f>
        <v>https://luna-dr.com/subjects/menstrual-manipulation/</v>
      </c>
    </row>
    <row r="98">
      <c r="A98" s="31" t="str">
        <f>IFERROR(__xludf.DUMMYFUNCTION("""COMPUTED_VALUE"""),"月経移動は来院で相談できますか？")</f>
        <v>月経移動は来院で相談できますか？</v>
      </c>
      <c r="B98" s="31" t="str">
        <f>IFERROR(__xludf.DUMMYFUNCTION("""COMPUTED_VALUE"""),"クリニックにご来院いただき、医師に直接相談しながら月経移動の処方を受けることができます。診察時に不安な点をその場で相談したい方に向いています。")</f>
        <v>クリニックにご来院いただき、医師に直接相談しながら月経移動の処方を受けることができます。診察時に不安な点をその場で相談したい方に向いています。</v>
      </c>
      <c r="C98" s="31" t="str">
        <f>IFERROR(__xludf.DUMMYFUNCTION("""COMPUTED_VALUE"""),"月経移動")</f>
        <v>月経移動</v>
      </c>
      <c r="D98" s="31" t="str">
        <f>IFERROR(__xludf.DUMMYFUNCTION("""COMPUTED_VALUE"""),"来院診療,相談,月経移動")</f>
        <v>来院診療,相談,月経移動</v>
      </c>
      <c r="E98" s="32" t="str">
        <f>IFERROR(__xludf.DUMMYFUNCTION("""COMPUTED_VALUE"""),"https://luna-dr.com/subjects/menstrual-manipulation/")</f>
        <v>https://luna-dr.com/subjects/menstrual-manipulation/</v>
      </c>
    </row>
    <row r="99">
      <c r="A99" s="31" t="str">
        <f>IFERROR(__xludf.DUMMYFUNCTION("""COMPUTED_VALUE"""),"来院で月経移動を相談する場合、最初に何をすればよいですか？")</f>
        <v>来院で月経移動を相談する場合、最初に何をすればよいですか？</v>
      </c>
      <c r="B99" s="31" t="str">
        <f>IFERROR(__xludf.DUMMYFUNCTION("""COMPUTED_VALUE"""),"ルナレディースクリニックでは、来院で月経移動を相談する場合、公式LINEからのご予約とWEB問診のご回答をお願いしています。事前にWEB問診へご回答いただくことで、受付から診察までスムーズにご案内できます。")</f>
        <v>ルナレディースクリニックでは、来院で月経移動を相談する場合、公式LINEからのご予約とWEB問診のご回答をお願いしています。事前にWEB問診へご回答いただくことで、受付から診察までスムーズにご案内できます。</v>
      </c>
      <c r="C99" s="31" t="str">
        <f>IFERROR(__xludf.DUMMYFUNCTION("""COMPUTED_VALUE"""),"月経移動")</f>
        <v>月経移動</v>
      </c>
      <c r="D99" s="31" t="str">
        <f>IFERROR(__xludf.DUMMYFUNCTION("""COMPUTED_VALUE"""),"来院予約,WEB問診,月経移動")</f>
        <v>来院予約,WEB問診,月経移動</v>
      </c>
      <c r="E99" s="32" t="str">
        <f>IFERROR(__xludf.DUMMYFUNCTION("""COMPUTED_VALUE"""),"https://luna-dr.com/subjects/menstrual-manipulation/")</f>
        <v>https://luna-dr.com/subjects/menstrual-manipulation/</v>
      </c>
    </row>
    <row r="100">
      <c r="A100" s="31" t="str">
        <f>IFERROR(__xludf.DUMMYFUNCTION("""COMPUTED_VALUE"""),"来院前のWEB問診では何を入力しますか？")</f>
        <v>来院前のWEB問診では何を入力しますか？</v>
      </c>
      <c r="B100" s="31" t="str">
        <f>IFERROR(__xludf.DUMMYFUNCTION("""COMPUTED_VALUE"""),"ルナレディースクリニックのWEB問診では、現在の体調や生理周期、月経移動についてのご希望などをご入力いただきます。来院前に落ち着いた環境で入力できるため、デリケートな内容も相談しやすくなります。")</f>
        <v>ルナレディースクリニックのWEB問診では、現在の体調や生理周期、月経移動についてのご希望などをご入力いただきます。来院前に落ち着いた環境で入力できるため、デリケートな内容も相談しやすくなります。</v>
      </c>
      <c r="C100" s="31" t="str">
        <f>IFERROR(__xludf.DUMMYFUNCTION("""COMPUTED_VALUE"""),"月経移動")</f>
        <v>月経移動</v>
      </c>
      <c r="D100" s="31" t="str">
        <f>IFERROR(__xludf.DUMMYFUNCTION("""COMPUTED_VALUE"""),"WEB問診,事前準備,月経移動")</f>
        <v>WEB問診,事前準備,月経移動</v>
      </c>
      <c r="E100" s="32" t="str">
        <f>IFERROR(__xludf.DUMMYFUNCTION("""COMPUTED_VALUE"""),"https://luna-dr.com/subjects/menstrual-manipulation/")</f>
        <v>https://luna-dr.com/subjects/menstrual-manipulation/</v>
      </c>
    </row>
    <row r="101">
      <c r="A101" s="31" t="str">
        <f>IFERROR(__xludf.DUMMYFUNCTION("""COMPUTED_VALUE"""),"来院診療では医師にどんなことを聞かれますか？")</f>
        <v>来院診療では医師にどんなことを聞かれますか？</v>
      </c>
      <c r="B101" s="31" t="str">
        <f>IFERROR(__xludf.DUMMYFUNCTION("""COMPUTED_VALUE"""),"ルナレディースクリニックでは、診察時に現在の生理周期や「いつからいつまで生理を避けたいか」について確認します。その内容をもとに、月経移動の方法についてご説明します。")</f>
        <v>ルナレディースクリニックでは、診察時に現在の生理周期や「いつからいつまで生理を避けたいか」について確認します。その内容をもとに、月経移動の方法についてご説明します。</v>
      </c>
      <c r="C101" s="31" t="str">
        <f>IFERROR(__xludf.DUMMYFUNCTION("""COMPUTED_VALUE"""),"月経移動")</f>
        <v>月経移動</v>
      </c>
      <c r="D101" s="31" t="str">
        <f>IFERROR(__xludf.DUMMYFUNCTION("""COMPUTED_VALUE"""),"診察内容,相談,月経移動")</f>
        <v>診察内容,相談,月経移動</v>
      </c>
      <c r="E101" s="32" t="str">
        <f>IFERROR(__xludf.DUMMYFUNCTION("""COMPUTED_VALUE"""),"https://luna-dr.com/subjects/menstrual-manipulation/")</f>
        <v>https://luna-dr.com/subjects/menstrual-manipulation/</v>
      </c>
    </row>
    <row r="102">
      <c r="A102" s="31" t="str">
        <f>IFERROR(__xludf.DUMMYFUNCTION("""COMPUTED_VALUE"""),"来院診療ではどんな説明を受けられますか？")</f>
        <v>来院診療ではどんな説明を受けられますか？</v>
      </c>
      <c r="B102" s="31" t="str">
        <f>IFERROR(__xludf.DUMMYFUNCTION("""COMPUTED_VALUE"""),"ルナレディースクリニックでは、診察時に生理を早めるか遅らせるかの考え方や、ピルの服用方法、副作用について医師から説明を行います。")</f>
        <v>ルナレディースクリニックでは、診察時に生理を早めるか遅らせるかの考え方や、ピルの服用方法、副作用について医師から説明を行います。</v>
      </c>
      <c r="C102" s="31" t="str">
        <f>IFERROR(__xludf.DUMMYFUNCTION("""COMPUTED_VALUE"""),"月経移動")</f>
        <v>月経移動</v>
      </c>
      <c r="D102" s="31" t="str">
        <f>IFERROR(__xludf.DUMMYFUNCTION("""COMPUTED_VALUE"""),"服用方法,説明,月経移動")</f>
        <v>服用方法,説明,月経移動</v>
      </c>
      <c r="E102" s="32" t="str">
        <f>IFERROR(__xludf.DUMMYFUNCTION("""COMPUTED_VALUE"""),"https://luna-dr.com/subjects/menstrual-manipulation/")</f>
        <v>https://luna-dr.com/subjects/menstrual-manipulation/</v>
      </c>
    </row>
    <row r="103">
      <c r="A103" s="31" t="str">
        <f>IFERROR(__xludf.DUMMYFUNCTION("""COMPUTED_VALUE"""),"来院での診察後はどうなりますか？")</f>
        <v>来院での診察後はどうなりますか？</v>
      </c>
      <c r="B103" s="31" t="str">
        <f>IFERROR(__xludf.DUMMYFUNCTION("""COMPUTED_VALUE"""),"ルナレディースクリニックでは、来院診療の場合、診察後に月経移動に必要な日数分のお薬をその場でお渡しし、お会計となります。")</f>
        <v>ルナレディースクリニックでは、来院診療の場合、診察後に月経移動に必要な日数分のお薬をその場でお渡しし、お会計となります。</v>
      </c>
      <c r="C103" s="31" t="str">
        <f>IFERROR(__xludf.DUMMYFUNCTION("""COMPUTED_VALUE"""),"月経移動")</f>
        <v>月経移動</v>
      </c>
      <c r="D103" s="31" t="str">
        <f>IFERROR(__xludf.DUMMYFUNCTION("""COMPUTED_VALUE"""),"処方,会計,月経移動")</f>
        <v>処方,会計,月経移動</v>
      </c>
      <c r="E103" s="32" t="str">
        <f>IFERROR(__xludf.DUMMYFUNCTION("""COMPUTED_VALUE"""),"https://luna-dr.com/subjects/menstrual-manipulation/")</f>
        <v>https://luna-dr.com/subjects/menstrual-manipulation/</v>
      </c>
    </row>
    <row r="104">
      <c r="A104" s="31" t="str">
        <f>IFERROR(__xludf.DUMMYFUNCTION("""COMPUTED_VALUE"""),"来院で月経移動を相談する場合の流れを教えてください")</f>
        <v>来院で月経移動を相談する場合の流れを教えてください</v>
      </c>
      <c r="B104" s="31" t="str">
        <f>IFERROR(__xludf.DUMMYFUNCTION("""COMPUTED_VALUE"""),"公式LINEから予約後、WEB問診にご回答いただき、医師が生理周期やご予定を確認します。診察後に必要日数分のお薬をお渡しし、お会計となります。")</f>
        <v>公式LINEから予約後、WEB問診にご回答いただき、医師が生理周期やご予定を確認します。診察後に必要日数分のお薬をお渡しし、お会計となります。</v>
      </c>
      <c r="C104" s="31" t="str">
        <f>IFERROR(__xludf.DUMMYFUNCTION("""COMPUTED_VALUE"""),"月経移動")</f>
        <v>月経移動</v>
      </c>
      <c r="D104" s="31" t="str">
        <f>IFERROR(__xludf.DUMMYFUNCTION("""COMPUTED_VALUE"""),"来院診療,流れ,月経移動")</f>
        <v>来院診療,流れ,月経移動</v>
      </c>
      <c r="E104" s="32" t="str">
        <f>IFERROR(__xludf.DUMMYFUNCTION("""COMPUTED_VALUE"""),"https://luna-dr.com/subjects/menstrual-manipulation/")</f>
        <v>https://luna-dr.com/subjects/menstrual-manipulation/</v>
      </c>
    </row>
    <row r="105">
      <c r="A105" s="31" t="str">
        <f>IFERROR(__xludf.DUMMYFUNCTION("""COMPUTED_VALUE"""),"月経移動はオンライン診療でも相談できますか？")</f>
        <v>月経移動はオンライン診療でも相談できますか？</v>
      </c>
      <c r="B105" s="31" t="str">
        <f>IFERROR(__xludf.DUMMYFUNCTION("""COMPUTED_VALUE"""),"月経移動はオンライン診療でのご相談と処方が可能です。ご自宅などからスマートフォンで受診できます。")</f>
        <v>月経移動はオンライン診療でのご相談と処方が可能です。ご自宅などからスマートフォンで受診できます。</v>
      </c>
      <c r="C105" s="31" t="str">
        <f>IFERROR(__xludf.DUMMYFUNCTION("""COMPUTED_VALUE"""),"月経移動")</f>
        <v>月経移動</v>
      </c>
      <c r="D105" s="31" t="str">
        <f>IFERROR(__xludf.DUMMYFUNCTION("""COMPUTED_VALUE"""),"オンライン診療,初診,月経移動")</f>
        <v>オンライン診療,初診,月経移動</v>
      </c>
      <c r="E105" s="32" t="str">
        <f>IFERROR(__xludf.DUMMYFUNCTION("""COMPUTED_VALUE"""),"https://luna-dr.com/subjects/menstrual-manipulation/")</f>
        <v>https://luna-dr.com/subjects/menstrual-manipulation/</v>
      </c>
    </row>
    <row r="106">
      <c r="A106" s="31" t="str">
        <f>IFERROR(__xludf.DUMMYFUNCTION("""COMPUTED_VALUE"""),"オンライン診療で月経移動を相談する場合、最初に何をしますか？")</f>
        <v>オンライン診療で月経移動を相談する場合、最初に何をしますか？</v>
      </c>
      <c r="B106" s="31" t="str">
        <f>IFERROR(__xludf.DUMMYFUNCTION("""COMPUTED_VALUE"""),"ルナレディースクリニックでは、公式LINEから「オンライン診療」を選択し、ご希望の日時を予約していただきます。スマートフォン一つで予約が完了します。")</f>
        <v>ルナレディースクリニックでは、公式LINEから「オンライン診療」を選択し、ご希望の日時を予約していただきます。スマートフォン一つで予約が完了します。</v>
      </c>
      <c r="C106" s="31" t="str">
        <f>IFERROR(__xludf.DUMMYFUNCTION("""COMPUTED_VALUE"""),"月経移動")</f>
        <v>月経移動</v>
      </c>
      <c r="D106" s="31" t="str">
        <f>IFERROR(__xludf.DUMMYFUNCTION("""COMPUTED_VALUE"""),"オンライン予約,LINE,月経移動")</f>
        <v>オンライン予約,LINE,月経移動</v>
      </c>
      <c r="E106" s="32" t="str">
        <f>IFERROR(__xludf.DUMMYFUNCTION("""COMPUTED_VALUE"""),"https://luna-dr.com/subjects/menstrual-manipulation/")</f>
        <v>https://luna-dr.com/subjects/menstrual-manipulation/</v>
      </c>
    </row>
    <row r="107">
      <c r="A107" s="31" t="str">
        <f>IFERROR(__xludf.DUMMYFUNCTION("""COMPUTED_VALUE"""),"オンライン診療で月経移動を相談する流れを教えてください")</f>
        <v>オンライン診療で月経移動を相談する流れを教えてください</v>
      </c>
      <c r="B107" s="31" t="str">
        <f>IFERROR(__xludf.DUMMYFUNCTION("""COMPUTED_VALUE"""),"公式LINEから予約し、WEB問診後に電話またはチャットで医師が診察します。診察後は決済確認後にお薬を発送します。")</f>
        <v>公式LINEから予約し、WEB問診後に電話またはチャットで医師が診察します。診察後は決済確認後にお薬を発送します。</v>
      </c>
      <c r="C107" s="31" t="str">
        <f>IFERROR(__xludf.DUMMYFUNCTION("""COMPUTED_VALUE"""),"月経移動")</f>
        <v>月経移動</v>
      </c>
      <c r="D107" s="31" t="str">
        <f>IFERROR(__xludf.DUMMYFUNCTION("""COMPUTED_VALUE"""),"オンライン診療,流れ,月経移動")</f>
        <v>オンライン診療,流れ,月経移動</v>
      </c>
      <c r="E107" s="32" t="str">
        <f>IFERROR(__xludf.DUMMYFUNCTION("""COMPUTED_VALUE"""),"https://luna-dr.com/subjects/menstrual-manipulation/")</f>
        <v>https://luna-dr.com/subjects/menstrual-manipulation/</v>
      </c>
    </row>
    <row r="108">
      <c r="A108" s="31" t="str">
        <f>IFERROR(__xludf.DUMMYFUNCTION("""COMPUTED_VALUE"""),"オンライン診療のWEB問診では何を入力しますか？")</f>
        <v>オンライン診療のWEB問診では何を入力しますか？</v>
      </c>
      <c r="B108" s="31" t="str">
        <f>IFERROR(__xludf.DUMMYFUNCTION("""COMPUTED_VALUE"""),"ルナレディースクリニックでは、オンライン診療の予約後に届くWEB問診フォームに、お悩みや健康状態、生理周期などをご入力いただきます。")</f>
        <v>ルナレディースクリニックでは、オンライン診療の予約後に届くWEB問診フォームに、お悩みや健康状態、生理周期などをご入力いただきます。</v>
      </c>
      <c r="C108" s="31" t="str">
        <f>IFERROR(__xludf.DUMMYFUNCTION("""COMPUTED_VALUE"""),"月経移動")</f>
        <v>月経移動</v>
      </c>
      <c r="D108" s="31" t="str">
        <f>IFERROR(__xludf.DUMMYFUNCTION("""COMPUTED_VALUE"""),"WEB問診,オンライン,月経移動")</f>
        <v>WEB問診,オンライン,月経移動</v>
      </c>
      <c r="E108" s="32" t="str">
        <f>IFERROR(__xludf.DUMMYFUNCTION("""COMPUTED_VALUE"""),"https://luna-dr.com/subjects/menstrual-manipulation/")</f>
        <v>https://luna-dr.com/subjects/menstrual-manipulation/</v>
      </c>
    </row>
    <row r="109">
      <c r="A109" s="31" t="str">
        <f>IFERROR(__xludf.DUMMYFUNCTION("""COMPUTED_VALUE"""),"オンライン診療ではどのように診察が行われますか？/オンライン診療はビデオですか")</f>
        <v>オンライン診療ではどのように診察が行われますか？/オンライン診療はビデオですか</v>
      </c>
      <c r="B109" s="31" t="str">
        <f>IFERROR(__xludf.DUMMYFUNCTION("""COMPUTED_VALUE"""),"ルナレディースクリニックでは、予約時間にビデオ診療での診察を行います。お薬の服用方法や注意点についてもご説明いたします。")</f>
        <v>ルナレディースクリニックでは、予約時間にビデオ診療での診察を行います。お薬の服用方法や注意点についてもご説明いたします。</v>
      </c>
      <c r="C109" s="31" t="str">
        <f>IFERROR(__xludf.DUMMYFUNCTION("""COMPUTED_VALUE"""),"月経移動")</f>
        <v>月経移動</v>
      </c>
      <c r="D109" s="31" t="str">
        <f>IFERROR(__xludf.DUMMYFUNCTION("""COMPUTED_VALUE"""),"電話診療,チャット診療,月経移動")</f>
        <v>電話診療,チャット診療,月経移動</v>
      </c>
      <c r="E109" s="32" t="str">
        <f>IFERROR(__xludf.DUMMYFUNCTION("""COMPUTED_VALUE"""),"https://luna-dr.com/subjects/menstrual-manipulation/")</f>
        <v>https://luna-dr.com/subjects/menstrual-manipulation/</v>
      </c>
    </row>
    <row r="110">
      <c r="A110" s="31" t="str">
        <f>IFERROR(__xludf.DUMMYFUNCTION("""COMPUTED_VALUE"""),"オンライン診療後の支払いはどうなりますか？")</f>
        <v>オンライン診療後の支払いはどうなりますか？</v>
      </c>
      <c r="B110" s="31" t="str">
        <f>IFERROR(__xludf.DUMMYFUNCTION("""COMPUTED_VALUE"""),"ルナレディースクリニックでは、オンライン診療後に決済リンクをご案内します。リンクからお支払いを行い、決済確認後にお薬を発送します。")</f>
        <v>ルナレディースクリニックでは、オンライン診療後に決済リンクをご案内します。リンクからお支払いを行い、決済確認後にお薬を発送します。</v>
      </c>
      <c r="C110" s="31" t="str">
        <f>IFERROR(__xludf.DUMMYFUNCTION("""COMPUTED_VALUE"""),"月経移動")</f>
        <v>月経移動</v>
      </c>
      <c r="D110" s="31" t="str">
        <f>IFERROR(__xludf.DUMMYFUNCTION("""COMPUTED_VALUE"""),"支払い,薬の発送,月経移動")</f>
        <v>支払い,薬の発送,月経移動</v>
      </c>
      <c r="E110" s="32" t="str">
        <f>IFERROR(__xludf.DUMMYFUNCTION("""COMPUTED_VALUE"""),"https://luna-dr.com/subjects/menstrual-manipulation/")</f>
        <v>https://luna-dr.com/subjects/menstrual-manipulation/</v>
      </c>
    </row>
    <row r="111">
      <c r="A111" s="31" t="str">
        <f>IFERROR(__xludf.DUMMYFUNCTION("""COMPUTED_VALUE"""),"オンライン診療で処方された薬はどのように受け取りますか？")</f>
        <v>オンライン診療で処方された薬はどのように受け取りますか？</v>
      </c>
      <c r="B111" s="31" t="str">
        <f>IFERROR(__xludf.DUMMYFUNCTION("""COMPUTED_VALUE"""),"ルナレディースクリニックでは、オンライン診療の場合、決済確認後にご指定の場所へお薬を発送します。ご自宅で受け取ることができます。")</f>
        <v>ルナレディースクリニックでは、オンライン診療の場合、決済確認後にご指定の場所へお薬を発送します。ご自宅で受け取ることができます。</v>
      </c>
      <c r="C111" s="31" t="str">
        <f>IFERROR(__xludf.DUMMYFUNCTION("""COMPUTED_VALUE"""),"月経移動")</f>
        <v>月経移動</v>
      </c>
      <c r="D111" s="31" t="str">
        <f>IFERROR(__xludf.DUMMYFUNCTION("""COMPUTED_VALUE"""),"薬の受け取り,配送,月経移動")</f>
        <v>薬の受け取り,配送,月経移動</v>
      </c>
      <c r="E111" s="32" t="str">
        <f>IFERROR(__xludf.DUMMYFUNCTION("""COMPUTED_VALUE"""),"https://luna-dr.com/subjects/menstrual-manipulation/")</f>
        <v>https://luna-dr.com/subjects/menstrual-manipulation/</v>
      </c>
    </row>
    <row r="112">
      <c r="A112" s="31" t="str">
        <f>IFERROR(__xludf.DUMMYFUNCTION("""COMPUTED_VALUE"""),"月経移動は初診でもオンライン診療が可能ですか？")</f>
        <v>月経移動は初診でもオンライン診療が可能ですか？</v>
      </c>
      <c r="B112" s="31" t="str">
        <f>IFERROR(__xludf.DUMMYFUNCTION("""COMPUTED_VALUE"""),"月経移動は自由診療のため、初診からオンライン診療でのご相談と処方が可能です。")</f>
        <v>月経移動は自由診療のため、初診からオンライン診療でのご相談と処方が可能です。</v>
      </c>
      <c r="C112" s="31" t="str">
        <f>IFERROR(__xludf.DUMMYFUNCTION("""COMPUTED_VALUE"""),"月経移動")</f>
        <v>月経移動</v>
      </c>
      <c r="D112" s="31" t="str">
        <f>IFERROR(__xludf.DUMMYFUNCTION("""COMPUTED_VALUE"""),"初診,オンライン,月経移動")</f>
        <v>初診,オンライン,月経移動</v>
      </c>
      <c r="E112" s="32" t="str">
        <f>IFERROR(__xludf.DUMMYFUNCTION("""COMPUTED_VALUE"""),"https://luna-dr.com/subjects/menstrual-manipulation/")</f>
        <v>https://luna-dr.com/subjects/menstrual-manipulation/</v>
      </c>
    </row>
    <row r="113">
      <c r="A113" s="31" t="str">
        <f>IFERROR(__xludf.DUMMYFUNCTION("""COMPUTED_VALUE"""),"ピルの副作用はありますか？")</f>
        <v>ピルの副作用はありますか？</v>
      </c>
      <c r="B113" s="31" t="str">
        <f>IFERROR(__xludf.DUMMYFUNCTION("""COMPUTED_VALUE"""),"個人差はありますが、服用初期に吐き気や頭痛、だるさを感じることがあります。これらは数日で軽快することがほとんどです。")</f>
        <v>個人差はありますが、服用初期に吐き気や頭痛、だるさを感じることがあります。これらは数日で軽快することがほとんどです。</v>
      </c>
      <c r="C113" s="31" t="str">
        <f>IFERROR(__xludf.DUMMYFUNCTION("""COMPUTED_VALUE"""),"月経移動")</f>
        <v>月経移動</v>
      </c>
      <c r="D113" s="31" t="str">
        <f>IFERROR(__xludf.DUMMYFUNCTION("""COMPUTED_VALUE"""),"副作用,ピル,月経移動")</f>
        <v>副作用,ピル,月経移動</v>
      </c>
      <c r="E113" s="32" t="str">
        <f>IFERROR(__xludf.DUMMYFUNCTION("""COMPUTED_VALUE"""),"https://luna-dr.com/subjects/menstrual-manipulation/")</f>
        <v>https://luna-dr.com/subjects/menstrual-manipulation/</v>
      </c>
    </row>
    <row r="114">
      <c r="A114" s="31" t="str">
        <f>IFERROR(__xludf.DUMMYFUNCTION("""COMPUTED_VALUE"""),"生理不順でも月経移動はできますか？")</f>
        <v>生理不順でも月経移動はできますか？</v>
      </c>
      <c r="B114" s="31" t="str">
        <f>IFERROR(__xludf.DUMMYFUNCTION("""COMPUTED_VALUE"""),"生理不順の方でも月経移動の相談は可能です。ただし、服用開始のタイミングが難しい場合があるため、診察時にご相談ください。")</f>
        <v>生理不順の方でも月経移動の相談は可能です。ただし、服用開始のタイミングが難しい場合があるため、診察時にご相談ください。</v>
      </c>
      <c r="C114" s="31" t="str">
        <f>IFERROR(__xludf.DUMMYFUNCTION("""COMPUTED_VALUE"""),"月経移動")</f>
        <v>月経移動</v>
      </c>
      <c r="D114" s="31" t="str">
        <f>IFERROR(__xludf.DUMMYFUNCTION("""COMPUTED_VALUE"""),"生理不順,相談,月経移動")</f>
        <v>生理不順,相談,月経移動</v>
      </c>
      <c r="E114" s="32" t="str">
        <f>IFERROR(__xludf.DUMMYFUNCTION("""COMPUTED_VALUE"""),"https://luna-dr.com/subjects/menstrual-manipulation/")</f>
        <v>https://luna-dr.com/subjects/menstrual-manipulation/</v>
      </c>
    </row>
    <row r="115">
      <c r="A115" s="31" t="str">
        <f>IFERROR(__xludf.DUMMYFUNCTION("""COMPUTED_VALUE"""),"月経移動に使うピルに避妊効果はありますか？")</f>
        <v>月経移動に使うピルに避妊効果はありますか？</v>
      </c>
      <c r="B115" s="31" t="str">
        <f>IFERROR(__xludf.DUMMYFUNCTION("""COMPUTED_VALUE"""),"月経移動に使用するピルには、低用量ピルのような継続的な避妊効果はありません。避妊が必要な場合は他の方法を併用してください。")</f>
        <v>月経移動に使用するピルには、低用量ピルのような継続的な避妊効果はありません。避妊が必要な場合は他の方法を併用してください。</v>
      </c>
      <c r="C115" s="31" t="str">
        <f>IFERROR(__xludf.DUMMYFUNCTION("""COMPUTED_VALUE"""),"月経移動")</f>
        <v>月経移動</v>
      </c>
      <c r="D115" s="31" t="str">
        <f>IFERROR(__xludf.DUMMYFUNCTION("""COMPUTED_VALUE"""),"避妊効果,注意,月経移動")</f>
        <v>避妊効果,注意,月経移動</v>
      </c>
      <c r="E115" s="32" t="str">
        <f>IFERROR(__xludf.DUMMYFUNCTION("""COMPUTED_VALUE"""),"https://luna-dr.com/subjects/menstrual-manipulation/")</f>
        <v>https://luna-dr.com/subjects/menstrual-manipulation/</v>
      </c>
    </row>
    <row r="116">
      <c r="A116" s="31" t="str">
        <f>IFERROR(__xludf.DUMMYFUNCTION("""COMPUTED_VALUE"""),"服用中に不安がある場合は相談できますか？")</f>
        <v>服用中に不安がある場合は相談できますか？</v>
      </c>
      <c r="B116" s="31" t="str">
        <f>IFERROR(__xludf.DUMMYFUNCTION("""COMPUTED_VALUE"""),"ルナレディースクリニックでは、服用中に不安なことがあれば、LINEでご相談いただけます。")</f>
        <v>ルナレディースクリニックでは、服用中に不安なことがあれば、LINEでご相談いただけます。</v>
      </c>
      <c r="C116" s="31" t="str">
        <f>IFERROR(__xludf.DUMMYFUNCTION("""COMPUTED_VALUE"""),"月経移動")</f>
        <v>月経移動</v>
      </c>
      <c r="D116" s="31" t="str">
        <f>IFERROR(__xludf.DUMMYFUNCTION("""COMPUTED_VALUE"""),"アフターフォロー,LINE相談,月経移動")</f>
        <v>アフターフォロー,LINE相談,月経移動</v>
      </c>
      <c r="E116" s="32" t="str">
        <f>IFERROR(__xludf.DUMMYFUNCTION("""COMPUTED_VALUE"""),"https://luna-dr.com/subjects/menstrual-manipulation/")</f>
        <v>https://luna-dr.com/subjects/menstrual-manipulation/</v>
      </c>
    </row>
    <row r="117">
      <c r="A117" s="31" t="str">
        <f>IFERROR(__xludf.DUMMYFUNCTION("""COMPUTED_VALUE"""),"月経移動の相談はどうやって予約すればいいですか？")</f>
        <v>月経移動の相談はどうやって予約すればいいですか？</v>
      </c>
      <c r="B117" s="31" t="str">
        <f>IFERROR(__xludf.DUMMYFUNCTION("""COMPUTED_VALUE"""),"公式LINEから月経移動の診察予約が可能です。24時間いつでもご自身のタイミングで予約できます。
来院診療の場合は「月経移動ピル」のメニューでご予約ください。→https://cline-app.com/qr-codes/98ad6f149bfa20f4f2a9a2e91aac4187/preview
オンライン診療のご予約はこちら→https://liff-gateway.lineml.jp/landing?follow=%40590gpxrd&amp;lp=fX73yx&amp;liff_id=1657094566-"&amp;"LmjNPPbV")</f>
        <v>公式LINEから月経移動の診察予約が可能です。24時間いつでもご自身のタイミングで予約できます。
来院診療の場合は「月経移動ピル」のメニューでご予約ください。→https://cline-app.com/qr-codes/98ad6f149bfa20f4f2a9a2e91aac4187/preview
オンライン診療のご予約はこちら→https://liff-gateway.lineml.jp/landing?follow=%40590gpxrd&amp;lp=fX73yx&amp;liff_id=1657094566-LmjNPPbV</v>
      </c>
      <c r="C117" s="31" t="str">
        <f>IFERROR(__xludf.DUMMYFUNCTION("""COMPUTED_VALUE"""),"月経移動")</f>
        <v>月経移動</v>
      </c>
      <c r="D117" s="31" t="str">
        <f>IFERROR(__xludf.DUMMYFUNCTION("""COMPUTED_VALUE"""),"予約方法,LINE予約,電話予約,月経移動")</f>
        <v>予約方法,LINE予約,電話予約,月経移動</v>
      </c>
      <c r="E117" s="32" t="str">
        <f>IFERROR(__xludf.DUMMYFUNCTION("""COMPUTED_VALUE"""),"https://luna-dr.com/subjects/menstrual-manipulation/")</f>
        <v>https://luna-dr.com/subjects/menstrual-manipulation/</v>
      </c>
    </row>
    <row r="118">
      <c r="A118" s="31" t="str">
        <f>IFERROR(__xludf.DUMMYFUNCTION("""COMPUTED_VALUE"""),"月経移動はLINEから予約できますか？")</f>
        <v>月経移動はLINEから予約できますか？</v>
      </c>
      <c r="B118" s="31" t="str">
        <f>IFERROR(__xludf.DUMMYFUNCTION("""COMPUTED_VALUE"""),"公式LINEから月経移動の診察予約が可能です。24時間いつでもご自身のタイミングで予約できます。
来院診療の場合は「月経移動ピル」のメニューでご予約ください。→https://cline-app.com/qr-codes/98ad6f149bfa20f4f2a9a2e91aac4187/preview
オンライン診療のご予約はこちら→https://liff-gateway.lineml.jp/landing?follow=%40590gpxrd&amp;lp=fX73yx&amp;liff_id=1657094566-"&amp;"LmjNPPbV")</f>
        <v>公式LINEから月経移動の診察予約が可能です。24時間いつでもご自身のタイミングで予約できます。
来院診療の場合は「月経移動ピル」のメニューでご予約ください。→https://cline-app.com/qr-codes/98ad6f149bfa20f4f2a9a2e91aac4187/preview
オンライン診療のご予約はこちら→https://liff-gateway.lineml.jp/landing?follow=%40590gpxrd&amp;lp=fX73yx&amp;liff_id=1657094566-LmjNPPbV</v>
      </c>
      <c r="C118" s="31" t="str">
        <f>IFERROR(__xludf.DUMMYFUNCTION("""COMPUTED_VALUE"""),"月経移動")</f>
        <v>月経移動</v>
      </c>
      <c r="D118" s="31" t="str">
        <f>IFERROR(__xludf.DUMMYFUNCTION("""COMPUTED_VALUE"""),"LINE予約,婦人科予約,月経移動")</f>
        <v>LINE予約,婦人科予約,月経移動</v>
      </c>
      <c r="E118" s="32" t="str">
        <f>IFERROR(__xludf.DUMMYFUNCTION("""COMPUTED_VALUE"""),"https://luna-dr.com/subjects/menstrual-manipulation/")</f>
        <v>https://luna-dr.com/subjects/menstrual-manipulation/</v>
      </c>
    </row>
    <row r="119">
      <c r="A119" s="31" t="str">
        <f>IFERROR(__xludf.DUMMYFUNCTION("""COMPUTED_VALUE"""),"月経移動は電話でも予約できますか？")</f>
        <v>月経移動は電話でも予約できますか？</v>
      </c>
      <c r="B119" s="31" t="str">
        <f>IFERROR(__xludf.DUMMYFUNCTION("""COMPUTED_VALUE"""),"LINEでの予約後、事前問診等もLINEから行うことができ、スムーズに受診ができるため、当院ではLINEでのご予約を推奨しております。
来院診療の場合は「月経移動ピル」のメニューでご予約ください。→https://cline-app.com/qr-codes/98ad6f149bfa20f4f2a9a2e91aac4187/preview
オンライン診療のご予約はこちら→https://liff-gateway.lineml.jp/landing?follow=%40590gpxrd&amp;lp=fX73yx&amp;"&amp;"liff_id=1657094566-LmjNPPbV")</f>
        <v>LINEでの予約後、事前問診等もLINEから行うことができ、スムーズに受診ができるため、当院ではLINEでのご予約を推奨しております。
来院診療の場合は「月経移動ピル」のメニューでご予約ください。→https://cline-app.com/qr-codes/98ad6f149bfa20f4f2a9a2e91aac4187/preview
オンライン診療のご予約はこちら→https://liff-gateway.lineml.jp/landing?follow=%40590gpxrd&amp;lp=fX73yx&amp;liff_id=1657094566-LmjNPPbV</v>
      </c>
      <c r="C119" s="31" t="str">
        <f>IFERROR(__xludf.DUMMYFUNCTION("""COMPUTED_VALUE"""),"月経移動")</f>
        <v>月経移動</v>
      </c>
      <c r="D119" s="31" t="str">
        <f>IFERROR(__xludf.DUMMYFUNCTION("""COMPUTED_VALUE"""),"電話予約,問い合わせ,月経移動")</f>
        <v>電話予約,問い合わせ,月経移動</v>
      </c>
      <c r="E119" s="32" t="str">
        <f>IFERROR(__xludf.DUMMYFUNCTION("""COMPUTED_VALUE"""),"https://luna-dr.com/subjects/menstrual-manipulation/")</f>
        <v>https://luna-dr.com/subjects/menstrual-manipulation/</v>
      </c>
    </row>
    <row r="120">
      <c r="A120" s="31" t="str">
        <f>IFERROR(__xludf.DUMMYFUNCTION("""COMPUTED_VALUE"""),"月経移動は予約なしでも相談できますか？")</f>
        <v>月経移動は予約なしでも相談できますか？</v>
      </c>
      <c r="B120" s="31" t="str">
        <f>IFERROR(__xludf.DUMMYFUNCTION("""COMPUTED_VALUE"""),"来院治療の場合、予約外来院も可能です。スムーズなご案内のため、事前予約をおすすめしています。
来院診療の場合は「月経移動ピル」のメニューでご予約ください。→https://cline-app.com/qr-codes/98ad6f149bfa20f4f2a9a2e91aac4187/preview")</f>
        <v>来院治療の場合、予約外来院も可能です。スムーズなご案内のため、事前予約をおすすめしています。
来院診療の場合は「月経移動ピル」のメニューでご予約ください。→https://cline-app.com/qr-codes/98ad6f149bfa20f4f2a9a2e91aac4187/preview</v>
      </c>
      <c r="C120" s="31" t="str">
        <f>IFERROR(__xludf.DUMMYFUNCTION("""COMPUTED_VALUE"""),"月経移動")</f>
        <v>月経移動</v>
      </c>
      <c r="D120" s="31" t="str">
        <f>IFERROR(__xludf.DUMMYFUNCTION("""COMPUTED_VALUE"""),"予約なし,受診,月経移動")</f>
        <v>予約なし,受診,月経移動</v>
      </c>
      <c r="E120" s="32" t="str">
        <f>IFERROR(__xludf.DUMMYFUNCTION("""COMPUTED_VALUE"""),"https://luna-dr.com/subjects/menstrual-manipulation/")</f>
        <v>https://luna-dr.com/subjects/menstrual-manipulation/</v>
      </c>
    </row>
    <row r="121">
      <c r="A121" s="31" t="str">
        <f>IFERROR(__xludf.DUMMYFUNCTION("""COMPUTED_VALUE"""),"月経移動の予約前に準備しておくことはありますか？")</f>
        <v>月経移動の予約前に準備しておくことはありますか？</v>
      </c>
      <c r="B121" s="31" t="str">
        <f>IFERROR(__xludf.DUMMYFUNCTION("""COMPUTED_VALUE"""),"月経移動の診察前に、最終生理日やご予定日などをWEB問診にご入力いただくと、診察がスムーズに進みます。")</f>
        <v>月経移動の診察前に、最終生理日やご予定日などをWEB問診にご入力いただくと、診察がスムーズに進みます。</v>
      </c>
      <c r="C121" s="31" t="str">
        <f>IFERROR(__xludf.DUMMYFUNCTION("""COMPUTED_VALUE"""),"月経移動")</f>
        <v>月経移動</v>
      </c>
      <c r="D121" s="31" t="str">
        <f>IFERROR(__xludf.DUMMYFUNCTION("""COMPUTED_VALUE"""),"WEB問診,事前準備,月経移動")</f>
        <v>WEB問診,事前準備,月経移動</v>
      </c>
      <c r="E121" s="32" t="str">
        <f>IFERROR(__xludf.DUMMYFUNCTION("""COMPUTED_VALUE"""),"https://luna-dr.com/subjects/menstrual-manipulation/")</f>
        <v>https://luna-dr.com/subjects/menstrual-manipulation/</v>
      </c>
    </row>
    <row r="122">
      <c r="A122" s="31" t="str">
        <f>IFERROR(__xludf.DUMMYFUNCTION("""COMPUTED_VALUE"""),"月経移動は初診でも予約できますか？")</f>
        <v>月経移動は初診でも予約できますか？</v>
      </c>
      <c r="B122" s="31" t="str">
        <f>IFERROR(__xludf.DUMMYFUNCTION("""COMPUTED_VALUE"""),"月経移動は初診の方もご予約いただけます。ご予約は公式LINEから受け付けておりますので、友だち追加の上ご利用ください。
来院診療の場合は「月経移動ピル」のメニューでご予約ください。→https://cline-app.com/qr-codes/98ad6f149bfa20f4f2a9a2e91aac4187/preview
オンライン診療のご予約はこちら→https://liff-gateway.lineml.jp/landing?follow=%40590gpxrd&amp;lp=fX73yx&amp;liff_id="&amp;"1657094566-LmjNPPbV")</f>
        <v>月経移動は初診の方もご予約いただけます。ご予約は公式LINEから受け付けておりますので、友だち追加の上ご利用ください。
来院診療の場合は「月経移動ピル」のメニューでご予約ください。→https://cline-app.com/qr-codes/98ad6f149bfa20f4f2a9a2e91aac4187/preview
オンライン診療のご予約はこちら→https://liff-gateway.lineml.jp/landing?follow=%40590gpxrd&amp;lp=fX73yx&amp;liff_id=1657094566-LmjNPPbV</v>
      </c>
      <c r="C122" s="31" t="str">
        <f>IFERROR(__xludf.DUMMYFUNCTION("""COMPUTED_VALUE"""),"月経移動")</f>
        <v>月経移動</v>
      </c>
      <c r="D122" s="31" t="str">
        <f>IFERROR(__xludf.DUMMYFUNCTION("""COMPUTED_VALUE"""),"初診,予約,月経移動")</f>
        <v>初診,予約,月経移動</v>
      </c>
      <c r="E122" s="32" t="str">
        <f>IFERROR(__xludf.DUMMYFUNCTION("""COMPUTED_VALUE"""),"https://luna-dr.com/subjects/menstrual-manipulation/")</f>
        <v>https://luna-dr.com/subjects/menstrual-manipulation/</v>
      </c>
    </row>
    <row r="123">
      <c r="A123" s="31" t="str">
        <f>IFERROR(__xludf.DUMMYFUNCTION("""COMPUTED_VALUE"""),"月経移動は来院とオンライン、どちらで予約できますか？")</f>
        <v>月経移動は来院とオンライン、どちらで予約できますか？</v>
      </c>
      <c r="B123" s="31" t="str">
        <f>IFERROR(__xludf.DUMMYFUNCTION("""COMPUTED_VALUE"""),"月経移動のご相談は来院診療とオンライン診療のどちらでも予約が可能です。ご自身のライフスタイルに合わせて選べます。
来院診療の場合は「月経移動ピル」のメニューでご予約ください。→https://cline-app.com/qr-codes/98ad6f149bfa20f4f2a9a2e91aac4187/preview
オンライン診療のご予約はこちら→https://liff-gateway.lineml.jp/landing?follow=%40590gpxrd&amp;lp=fX73yx&amp;liff_id=165"&amp;"7094566-LmjNPPbV")</f>
        <v>月経移動のご相談は来院診療とオンライン診療のどちらでも予約が可能です。ご自身のライフスタイルに合わせて選べます。
来院診療の場合は「月経移動ピル」のメニューでご予約ください。→https://cline-app.com/qr-codes/98ad6f149bfa20f4f2a9a2e91aac4187/preview
オンライン診療のご予約はこちら→https://liff-gateway.lineml.jp/landing?follow=%40590gpxrd&amp;lp=fX73yx&amp;liff_id=1657094566-LmjNPPbV</v>
      </c>
      <c r="C123" s="31" t="str">
        <f>IFERROR(__xludf.DUMMYFUNCTION("""COMPUTED_VALUE"""),"月経移動")</f>
        <v>月経移動</v>
      </c>
      <c r="D123" s="31" t="str">
        <f>IFERROR(__xludf.DUMMYFUNCTION("""COMPUTED_VALUE"""),"来院診療,オンライン診療,月経移動")</f>
        <v>来院診療,オンライン診療,月経移動</v>
      </c>
      <c r="E123" s="32" t="str">
        <f>IFERROR(__xludf.DUMMYFUNCTION("""COMPUTED_VALUE"""),"https://luna-dr.com/subjects/menstrual-manipulation/")</f>
        <v>https://luna-dr.com/subjects/menstrual-manipulation/</v>
      </c>
    </row>
    <row r="124">
      <c r="A124" s="31" t="str">
        <f>IFERROR(__xludf.DUMMYFUNCTION("""COMPUTED_VALUE"""),"生理不順とは何ですか？")</f>
        <v>生理不順とは何ですか？</v>
      </c>
      <c r="B124" s="31" t="str">
        <f>IFERROR(__xludf.DUMMYFUNCTION("""COMPUTED_VALUE"""),"生理不順とは、生理周期が正常な範囲から外れ、不規則になっている状態を指します。健康な女性の生理周期は25日～38日とされており、この範囲を大きく外れる場合や、周期が毎回大きく変動する場合は注意が必要です。")</f>
        <v>生理不順とは、生理周期が正常な範囲から外れ、不規則になっている状態を指します。健康な女性の生理周期は25日～38日とされており、この範囲を大きく外れる場合や、周期が毎回大きく変動する場合は注意が必要です。</v>
      </c>
      <c r="C124" s="31" t="str">
        <f>IFERROR(__xludf.DUMMYFUNCTION("""COMPUTED_VALUE"""),"生理不順")</f>
        <v>生理不順</v>
      </c>
      <c r="D124" s="31" t="str">
        <f>IFERROR(__xludf.DUMMYFUNCTION("""COMPUTED_VALUE"""),"生理不順,月経不順,周期")</f>
        <v>生理不順,月経不順,周期</v>
      </c>
      <c r="E124" s="32" t="str">
        <f>IFERROR(__xludf.DUMMYFUNCTION("""COMPUTED_VALUE"""),"https://luna-dr.com/subjects/menstrual-irregularity/")</f>
        <v>https://luna-dr.com/subjects/menstrual-irregularity/</v>
      </c>
    </row>
    <row r="125">
      <c r="A125" s="31" t="str">
        <f>IFERROR(__xludf.DUMMYFUNCTION("""COMPUTED_VALUE"""),"生理不順はよくあることですか？")</f>
        <v>生理不順はよくあることですか？</v>
      </c>
      <c r="B125" s="31" t="str">
        <f>IFERROR(__xludf.DUMMYFUNCTION("""COMPUTED_VALUE"""),"生理不順は多くの女性が経験する身近な症状ですが、背景にホルモンバランスの乱れや病気が隠れている可能性もあるため、放置せずに相談することが大切です。")</f>
        <v>生理不順は多くの女性が経験する身近な症状ですが、背景にホルモンバランスの乱れや病気が隠れている可能性もあるため、放置せずに相談することが大切です。</v>
      </c>
      <c r="C125" s="31" t="str">
        <f>IFERROR(__xludf.DUMMYFUNCTION("""COMPUTED_VALUE"""),"生理不順")</f>
        <v>生理不順</v>
      </c>
      <c r="D125" s="31" t="str">
        <f>IFERROR(__xludf.DUMMYFUNCTION("""COMPUTED_VALUE"""),"よくある症状,不安,生理不順")</f>
        <v>よくある症状,不安,生理不順</v>
      </c>
      <c r="E125" s="32" t="str">
        <f>IFERROR(__xludf.DUMMYFUNCTION("""COMPUTED_VALUE"""),"https://luna-dr.com/subjects/menstrual-irregularity/")</f>
        <v>https://luna-dr.com/subjects/menstrual-irregularity/</v>
      </c>
    </row>
    <row r="126">
      <c r="A126" s="31" t="str">
        <f>IFERROR(__xludf.DUMMYFUNCTION("""COMPUTED_VALUE"""),"生理不順にはどんな種類がありますか？")</f>
        <v>生理不順にはどんな種類がありますか？</v>
      </c>
      <c r="B126" s="31" t="str">
        <f>IFERROR(__xludf.DUMMYFUNCTION("""COMPUTED_VALUE"""),"生理不順は、生理周期や出血の状態によっていくつかの種類に分けられます。ご自身の状態を知る目安として確認し、どのタイプであってもまずは専門医に相談することが大切です。")</f>
        <v>生理不順は、生理周期や出血の状態によっていくつかの種類に分けられます。ご自身の状態を知る目安として確認し、どのタイプであってもまずは専門医に相談することが大切です。</v>
      </c>
      <c r="C126" s="31" t="str">
        <f>IFERROR(__xludf.DUMMYFUNCTION("""COMPUTED_VALUE"""),"生理不順・概要")</f>
        <v>生理不順・概要</v>
      </c>
      <c r="D126" s="31" t="str">
        <f>IFERROR(__xludf.DUMMYFUNCTION("""COMPUTED_VALUE"""),"生理不順,種類,生理周期,婦人科")</f>
        <v>生理不順,種類,生理周期,婦人科</v>
      </c>
      <c r="E126" s="32" t="str">
        <f>IFERROR(__xludf.DUMMYFUNCTION("""COMPUTED_VALUE"""),"https://luna-dr.com/")</f>
        <v>https://luna-dr.com/</v>
      </c>
    </row>
    <row r="127">
      <c r="A127" s="31" t="str">
        <f>IFERROR(__xludf.DUMMYFUNCTION("""COMPUTED_VALUE"""),"生理周期が短いタイプの生理不順とはどんな状態ですか？/生理周期が短いです/すぐに生理がくる")</f>
        <v>生理周期が短いタイプの生理不順とはどんな状態ですか？/生理周期が短いです/すぐに生理がくる</v>
      </c>
      <c r="B127" s="31" t="str">
        <f>IFERROR(__xludf.DUMMYFUNCTION("""COMPUTED_VALUE"""),"生理周期が24日以内と短く、月に2回以上生理が来ることもある頻発月経（ひんぱつげっけい）という状態の可能性があります。ホルモンバランスの乱れや卵巣機能の低下が考えられます。まずは専門医に相談することが大切ですので、お気軽に当院にご相談ください。")</f>
        <v>生理周期が24日以内と短く、月に2回以上生理が来ることもある頻発月経（ひんぱつげっけい）という状態の可能性があります。ホルモンバランスの乱れや卵巣機能の低下が考えられます。まずは専門医に相談することが大切ですので、お気軽に当院にご相談ください。</v>
      </c>
      <c r="C127" s="31" t="str">
        <f>IFERROR(__xludf.DUMMYFUNCTION("""COMPUTED_VALUE"""),"生理不順・種類")</f>
        <v>生理不順・種類</v>
      </c>
      <c r="D127" s="31" t="str">
        <f>IFERROR(__xludf.DUMMYFUNCTION("""COMPUTED_VALUE"""),"生理不順,頻発月経,生理周期が短い")</f>
        <v>生理不順,頻発月経,生理周期が短い</v>
      </c>
      <c r="E127" s="32" t="str">
        <f>IFERROR(__xludf.DUMMYFUNCTION("""COMPUTED_VALUE"""),"https://luna-dr.com/")</f>
        <v>https://luna-dr.com/</v>
      </c>
    </row>
    <row r="128">
      <c r="A128" s="31" t="str">
        <f>IFERROR(__xludf.DUMMYFUNCTION("""COMPUTED_VALUE"""),"生理周期が長いタイプの生理不順とはどんな状態ですか？/生理周期がながいです/生理が来ない/生理が遅れている")</f>
        <v>生理周期が長いタイプの生理不順とはどんな状態ですか？/生理周期がながいです/生理が来ない/生理が遅れている</v>
      </c>
      <c r="B128" s="31" t="str">
        <f>IFERROR(__xludf.DUMMYFUNCTION("""COMPUTED_VALUE"""),"生理周期が39日以上と長く、なかなか次の生理が来ない稀発月経（きはつげっけい）という状態の可能性があります。排卵までに時間がかかっている可能性があり、無排卵になっているケースもあります。
また、妊娠していないのに3ヶ月以上生理が来ていない状態は、生理不順の中でも注意が必要です。ホルモン分泌に深刻な異常が起きている可能性があり、早期の受診が必要となります。まずは専門医に相談することが大切ですので、お気軽に当院にご相談ください。")</f>
        <v>生理周期が39日以上と長く、なかなか次の生理が来ない稀発月経（きはつげっけい）という状態の可能性があります。排卵までに時間がかかっている可能性があり、無排卵になっているケースもあります。
また、妊娠していないのに3ヶ月以上生理が来ていない状態は、生理不順の中でも注意が必要です。ホルモン分泌に深刻な異常が起きている可能性があり、早期の受診が必要となります。まずは専門医に相談することが大切ですので、お気軽に当院にご相談ください。</v>
      </c>
      <c r="C128" s="31" t="str">
        <f>IFERROR(__xludf.DUMMYFUNCTION("""COMPUTED_VALUE"""),"生理不順・種類")</f>
        <v>生理不順・種類</v>
      </c>
      <c r="D128" s="31" t="str">
        <f>IFERROR(__xludf.DUMMYFUNCTION("""COMPUTED_VALUE"""),"生理不順,稀発月経,生理が遅れる")</f>
        <v>生理不順,稀発月経,生理が遅れる</v>
      </c>
      <c r="E128" s="32" t="str">
        <f>IFERROR(__xludf.DUMMYFUNCTION("""COMPUTED_VALUE"""),"https://luna-dr.com/")</f>
        <v>https://luna-dr.com/</v>
      </c>
    </row>
    <row r="129">
      <c r="A129" s="31" t="str">
        <f>IFERROR(__xludf.DUMMYFUNCTION("""COMPUTED_VALUE"""),"出血が長い・量が多い生理不順とはどんな状態ですか？/生理の血が多い/生理の血の量が多い")</f>
        <v>出血が長い・量が多い生理不順とはどんな状態ですか？/生理の血が多い/生理の血の量が多い</v>
      </c>
      <c r="B129" s="31" t="str">
        <f>IFERROR(__xludf.DUMMYFUNCTION("""COMPUTED_VALUE"""),"出血が8日以上と長く続いたり、経血量が極端に多かったりする過長月経、過多月経という状態の可能性があります。子宮の病気などが隠れている可能性も考えられます。まずは専門医に相談することが大切ですので、お気軽に当院にご相談ください。")</f>
        <v>出血が8日以上と長く続いたり、経血量が極端に多かったりする過長月経、過多月経という状態の可能性があります。子宮の病気などが隠れている可能性も考えられます。まずは専門医に相談することが大切ですので、お気軽に当院にご相談ください。</v>
      </c>
      <c r="C129" s="31" t="str">
        <f>IFERROR(__xludf.DUMMYFUNCTION("""COMPUTED_VALUE"""),"生理不順・種類")</f>
        <v>生理不順・種類</v>
      </c>
      <c r="D129" s="31" t="str">
        <f>IFERROR(__xludf.DUMMYFUNCTION("""COMPUTED_VALUE"""),"生理不順,過多月経,出血が多い")</f>
        <v>生理不順,過多月経,出血が多い</v>
      </c>
      <c r="E129" s="32" t="str">
        <f>IFERROR(__xludf.DUMMYFUNCTION("""COMPUTED_VALUE"""),"https://luna-dr.com/")</f>
        <v>https://luna-dr.com/</v>
      </c>
    </row>
    <row r="130">
      <c r="A130" s="31" t="str">
        <f>IFERROR(__xludf.DUMMYFUNCTION("""COMPUTED_VALUE"""),"出血が少ない・期間が短い生理不順とはどんな状態ですか？/生理の血が少ない/生理の血の量が少ない")</f>
        <v>出血が少ない・期間が短い生理不順とはどんな状態ですか？/生理の血が少ない/生理の血の量が少ない</v>
      </c>
      <c r="B130" s="31" t="str">
        <f>IFERROR(__xludf.DUMMYFUNCTION("""COMPUTED_VALUE"""),"出血が2日以内で終わってしまったり、経血量が極端に少なかったりする過短月経、過少月経という状態の可能性があります。女性ホルモンの分泌不足や、子宮の発育に問題がある可能性も考えられます。まずは専門医に相談することが大切ですので、お気軽に当院にご相談ください。")</f>
        <v>出血が2日以内で終わってしまったり、経血量が極端に少なかったりする過短月経、過少月経という状態の可能性があります。女性ホルモンの分泌不足や、子宮の発育に問題がある可能性も考えられます。まずは専門医に相談することが大切ですので、お気軽に当院にご相談ください。</v>
      </c>
      <c r="C130" s="31" t="str">
        <f>IFERROR(__xludf.DUMMYFUNCTION("""COMPUTED_VALUE"""),"生理不順・種類")</f>
        <v>生理不順・種類</v>
      </c>
      <c r="D130" s="31" t="str">
        <f>IFERROR(__xludf.DUMMYFUNCTION("""COMPUTED_VALUE"""),"生理不順,過少月経,生理が少ない")</f>
        <v>生理不順,過少月経,生理が少ない</v>
      </c>
      <c r="E130" s="32" t="str">
        <f>IFERROR(__xludf.DUMMYFUNCTION("""COMPUTED_VALUE"""),"https://luna-dr.com/")</f>
        <v>https://luna-dr.com/</v>
      </c>
    </row>
    <row r="131">
      <c r="A131" s="31" t="str">
        <f>IFERROR(__xludf.DUMMYFUNCTION("""COMPUTED_VALUE"""),"3ヶ月以上生理が来ない場合は生理不順ですか？/生理周期がながいです/生理が来ない/生理が遅れている")</f>
        <v>3ヶ月以上生理が来ない場合は生理不順ですか？/生理周期がながいです/生理が来ない/生理が遅れている</v>
      </c>
      <c r="B131" s="31" t="str">
        <f>IFERROR(__xludf.DUMMYFUNCTION("""COMPUTED_VALUE"""),"妊娠していないのに3ヶ月以上生理が来ていない状態は、生理不順の中でも注意が必要です。ホルモン分泌に深刻な異常が起きている可能性があり、早期の受診が必要です。まずは専門医に相談することが大切ですので、お気軽に当院にご相談ください。")</f>
        <v>妊娠していないのに3ヶ月以上生理が来ていない状態は、生理不順の中でも注意が必要です。ホルモン分泌に深刻な異常が起きている可能性があり、早期の受診が必要です。まずは専門医に相談することが大切ですので、お気軽に当院にご相談ください。</v>
      </c>
      <c r="C131" s="31" t="str">
        <f>IFERROR(__xludf.DUMMYFUNCTION("""COMPUTED_VALUE"""),"生理不順・種類")</f>
        <v>生理不順・種類</v>
      </c>
      <c r="D131" s="31" t="str">
        <f>IFERROR(__xludf.DUMMYFUNCTION("""COMPUTED_VALUE"""),"生理不順,無月経,生理が来ない")</f>
        <v>生理不順,無月経,生理が来ない</v>
      </c>
      <c r="E131" s="32" t="str">
        <f>IFERROR(__xludf.DUMMYFUNCTION("""COMPUTED_VALUE"""),"https://luna-dr.com/")</f>
        <v>https://luna-dr.com/</v>
      </c>
    </row>
    <row r="132">
      <c r="A132" s="31" t="str">
        <f>IFERROR(__xludf.DUMMYFUNCTION("""COMPUTED_VALUE"""),"生理不順はどんな症状がありますか？")</f>
        <v>生理不順はどんな症状がありますか？</v>
      </c>
      <c r="B132" s="31" t="str">
        <f>IFERROR(__xludf.DUMMYFUNCTION("""COMPUTED_VALUE"""),"生理不順には、生理周期が短い、長い、出血が長く続く、経血量が多い・少ない、生理が数ヶ月来ないなど、さまざまな症状があります。")</f>
        <v>生理不順には、生理周期が短い、長い、出血が長く続く、経血量が多い・少ない、生理が数ヶ月来ないなど、さまざまな症状があります。</v>
      </c>
      <c r="C132" s="31" t="str">
        <f>IFERROR(__xludf.DUMMYFUNCTION("""COMPUTED_VALUE"""),"生理不順")</f>
        <v>生理不順</v>
      </c>
      <c r="D132" s="31" t="str">
        <f>IFERROR(__xludf.DUMMYFUNCTION("""COMPUTED_VALUE"""),"症状,タイプ,生理不順")</f>
        <v>症状,タイプ,生理不順</v>
      </c>
      <c r="E132" s="32" t="str">
        <f>IFERROR(__xludf.DUMMYFUNCTION("""COMPUTED_VALUE"""),"https://luna-dr.com/subjects/menstrual-irregularity/")</f>
        <v>https://luna-dr.com/subjects/menstrual-irregularity/</v>
      </c>
    </row>
    <row r="133">
      <c r="A133" s="31" t="str">
        <f>IFERROR(__xludf.DUMMYFUNCTION("""COMPUTED_VALUE"""),"生理周期が短いのも生理不順ですか？")</f>
        <v>生理周期が短いのも生理不順ですか？</v>
      </c>
      <c r="B133" s="31" t="str">
        <f>IFERROR(__xludf.DUMMYFUNCTION("""COMPUTED_VALUE"""),"生理周期が24日以内と短く、月に2回以上生理が来る場合は、生理不順に該当することがあります。ホルモンバランスの乱れや卵巣機能の低下が関係している場合があります。")</f>
        <v>生理周期が24日以内と短く、月に2回以上生理が来る場合は、生理不順に該当することがあります。ホルモンバランスの乱れや卵巣機能の低下が関係している場合があります。</v>
      </c>
      <c r="C133" s="31" t="str">
        <f>IFERROR(__xludf.DUMMYFUNCTION("""COMPUTED_VALUE"""),"生理不順")</f>
        <v>生理不順</v>
      </c>
      <c r="D133" s="31" t="str">
        <f>IFERROR(__xludf.DUMMYFUNCTION("""COMPUTED_VALUE"""),"頻発月経,周期が短い,生理不順")</f>
        <v>頻発月経,周期が短い,生理不順</v>
      </c>
      <c r="E133" s="32" t="str">
        <f>IFERROR(__xludf.DUMMYFUNCTION("""COMPUTED_VALUE"""),"https://luna-dr.com/subjects/menstrual-irregularity/")</f>
        <v>https://luna-dr.com/subjects/menstrual-irregularity/</v>
      </c>
    </row>
    <row r="134">
      <c r="A134" s="31" t="str">
        <f>IFERROR(__xludf.DUMMYFUNCTION("""COMPUTED_VALUE"""),"生理周期が長いのも生理不順ですか？")</f>
        <v>生理周期が長いのも生理不順ですか？</v>
      </c>
      <c r="B134" s="31" t="str">
        <f>IFERROR(__xludf.DUMMYFUNCTION("""COMPUTED_VALUE"""),"生理周期が39日以上と長く、次の生理がなかなか来ない状態は、生理不順に該当します。排卵までに時間がかかっている可能性があり、無排卵になっているケースもあります。")</f>
        <v>生理周期が39日以上と長く、次の生理がなかなか来ない状態は、生理不順に該当します。排卵までに時間がかかっている可能性があり、無排卵になっているケースもあります。</v>
      </c>
      <c r="C134" s="31" t="str">
        <f>IFERROR(__xludf.DUMMYFUNCTION("""COMPUTED_VALUE"""),"生理不順")</f>
        <v>生理不順</v>
      </c>
      <c r="D134" s="31" t="str">
        <f>IFERROR(__xludf.DUMMYFUNCTION("""COMPUTED_VALUE"""),"希発月経,周期が長い,生理不順")</f>
        <v>希発月経,周期が長い,生理不順</v>
      </c>
      <c r="E134" s="32" t="str">
        <f>IFERROR(__xludf.DUMMYFUNCTION("""COMPUTED_VALUE"""),"https://luna-dr.com/subjects/menstrual-irregularity/")</f>
        <v>https://luna-dr.com/subjects/menstrual-irregularity/</v>
      </c>
    </row>
    <row r="135">
      <c r="A135" s="31" t="str">
        <f>IFERROR(__xludf.DUMMYFUNCTION("""COMPUTED_VALUE"""),"生理の出血が長かったり多かったりするのも生理不順ですか？")</f>
        <v>生理の出血が長かったり多かったりするのも生理不順ですか？</v>
      </c>
      <c r="B135" s="31" t="str">
        <f>IFERROR(__xludf.DUMMYFUNCTION("""COMPUTED_VALUE"""),"出血が8日以上続いたり、経血量が極端に多い状態も生理不順の一つです。子宮の病気が隠れている可能性もあるため、早めの相談が大切です。")</f>
        <v>出血が8日以上続いたり、経血量が極端に多い状態も生理不順の一つです。子宮の病気が隠れている可能性もあるため、早めの相談が大切です。</v>
      </c>
      <c r="C135" s="31" t="str">
        <f>IFERROR(__xludf.DUMMYFUNCTION("""COMPUTED_VALUE"""),"生理不順")</f>
        <v>生理不順</v>
      </c>
      <c r="D135" s="31" t="str">
        <f>IFERROR(__xludf.DUMMYFUNCTION("""COMPUTED_VALUE"""),"過多月経,出血が多い,生理不順")</f>
        <v>過多月経,出血が多い,生理不順</v>
      </c>
      <c r="E135" s="32" t="str">
        <f>IFERROR(__xludf.DUMMYFUNCTION("""COMPUTED_VALUE"""),"https://luna-dr.com/subjects/menstrual-irregularity/")</f>
        <v>https://luna-dr.com/subjects/menstrual-irregularity/</v>
      </c>
    </row>
    <row r="136">
      <c r="A136" s="31" t="str">
        <f>IFERROR(__xludf.DUMMYFUNCTION("""COMPUTED_VALUE"""),"生理の量が少なかったり期間が短いのも問題ですか？")</f>
        <v>生理の量が少なかったり期間が短いのも問題ですか？</v>
      </c>
      <c r="B136" s="31" t="str">
        <f>IFERROR(__xludf.DUMMYFUNCTION("""COMPUTED_VALUE"""),"出血が2日以内で終わったり、経血量が極端に少ない状態も生理不順に含まれます。女性ホルモンの分泌不足などが関係している場合があります。")</f>
        <v>出血が2日以内で終わったり、経血量が極端に少ない状態も生理不順に含まれます。女性ホルモンの分泌不足などが関係している場合があります。</v>
      </c>
      <c r="C136" s="31" t="str">
        <f>IFERROR(__xludf.DUMMYFUNCTION("""COMPUTED_VALUE"""),"生理不順")</f>
        <v>生理不順</v>
      </c>
      <c r="D136" s="31" t="str">
        <f>IFERROR(__xludf.DUMMYFUNCTION("""COMPUTED_VALUE"""),"過少月経,出血が少ない,生理不順")</f>
        <v>過少月経,出血が少ない,生理不順</v>
      </c>
      <c r="E136" s="32" t="str">
        <f>IFERROR(__xludf.DUMMYFUNCTION("""COMPUTED_VALUE"""),"https://luna-dr.com/subjects/menstrual-irregularity/")</f>
        <v>https://luna-dr.com/subjects/menstrual-irregularity/</v>
      </c>
    </row>
    <row r="137">
      <c r="A137" s="31" t="str">
        <f>IFERROR(__xludf.DUMMYFUNCTION("""COMPUTED_VALUE"""),"どのくらい生理が来なかったら受診すべきですか？")</f>
        <v>どのくらい生理が来なかったら受診すべきですか？</v>
      </c>
      <c r="B137" s="31" t="str">
        <f>IFERROR(__xludf.DUMMYFUNCTION("""COMPUTED_VALUE"""),"3ヶ月以上生理が来ていない場合は、年齢にかかわらず早めの受診が必要です。また、これまで周期的だった生理が急に不順になった場合も相談をおすすめします。")</f>
        <v>3ヶ月以上生理が来ていない場合は、年齢にかかわらず早めの受診が必要です。また、これまで周期的だった生理が急に不順になった場合も相談をおすすめします。</v>
      </c>
      <c r="C137" s="31" t="str">
        <f>IFERROR(__xludf.DUMMYFUNCTION("""COMPUTED_VALUE"""),"生理不順")</f>
        <v>生理不順</v>
      </c>
      <c r="D137" s="31" t="str">
        <f>IFERROR(__xludf.DUMMYFUNCTION("""COMPUTED_VALUE"""),"無月経,受診目安,生理不順")</f>
        <v>無月経,受診目安,生理不順</v>
      </c>
      <c r="E137" s="32" t="str">
        <f>IFERROR(__xludf.DUMMYFUNCTION("""COMPUTED_VALUE"""),"https://luna-dr.com/subjects/menstrual-irregularity/")</f>
        <v>https://luna-dr.com/subjects/menstrual-irregularity/</v>
      </c>
    </row>
    <row r="138">
      <c r="A138" s="31" t="str">
        <f>IFERROR(__xludf.DUMMYFUNCTION("""COMPUTED_VALUE"""),"生理不順はなぜ起こるのですか？/生理不順の原因にはどんなものがありますか？")</f>
        <v>生理不順はなぜ起こるのですか？/生理不順の原因にはどんなものがありますか？</v>
      </c>
      <c r="B138" s="31" t="str">
        <f>IFERROR(__xludf.DUMMYFUNCTION("""COMPUTED_VALUE"""),"生理不順は、脳からのホルモン分泌の指令と卵巣の働きがうまく連携していないときに起こります。その背景には、生活習慣や体のホルモンバランスの乱れなど、さまざまな要因があります。")</f>
        <v>生理不順は、脳からのホルモン分泌の指令と卵巣の働きがうまく連携していないときに起こります。その背景には、生活習慣や体のホルモンバランスの乱れなど、さまざまな要因があります。</v>
      </c>
      <c r="C138" s="31" t="str">
        <f>IFERROR(__xludf.DUMMYFUNCTION("""COMPUTED_VALUE"""),"生理不順・原因")</f>
        <v>生理不順・原因</v>
      </c>
      <c r="D138" s="31" t="str">
        <f>IFERROR(__xludf.DUMMYFUNCTION("""COMPUTED_VALUE"""),"生理不順,原因,ホルモンバランス,婦人科")</f>
        <v>生理不順,原因,ホルモンバランス,婦人科</v>
      </c>
      <c r="E138" s="32" t="str">
        <f>IFERROR(__xludf.DUMMYFUNCTION("""COMPUTED_VALUE"""),"https://luna-dr.com/subjects/menstrual-irregularity/")</f>
        <v>https://luna-dr.com/subjects/menstrual-irregularity/</v>
      </c>
    </row>
    <row r="139">
      <c r="A139" s="31" t="str">
        <f>IFERROR(__xludf.DUMMYFUNCTION("""COMPUTED_VALUE"""),"生活習慣の乱れは生理不順の原因になりますか？")</f>
        <v>生活習慣の乱れは生理不順の原因になりますか？</v>
      </c>
      <c r="B139" s="31" t="str">
        <f>IFERROR(__xludf.DUMMYFUNCTION("""COMPUTED_VALUE"""),"なります。過度なストレス、睡眠不足、急激なダイエットなどの生活習慣の乱れは、ホルモン分泌に影響し、生理不順の引き金になることがあります。")</f>
        <v>なります。過度なストレス、睡眠不足、急激なダイエットなどの生活習慣の乱れは、ホルモン分泌に影響し、生理不順の引き金になることがあります。</v>
      </c>
      <c r="C139" s="31" t="str">
        <f>IFERROR(__xludf.DUMMYFUNCTION("""COMPUTED_VALUE"""),"生理不順・原因")</f>
        <v>生理不順・原因</v>
      </c>
      <c r="D139" s="31" t="str">
        <f>IFERROR(__xludf.DUMMYFUNCTION("""COMPUTED_VALUE"""),"生理不順,生活習慣,ストレス,睡眠不足,ダイエット")</f>
        <v>生理不順,生活習慣,ストレス,睡眠不足,ダイエット</v>
      </c>
      <c r="E139" s="32" t="str">
        <f>IFERROR(__xludf.DUMMYFUNCTION("""COMPUTED_VALUE"""),"https://luna-dr.com/subjects/menstrual-irregularity/")</f>
        <v>https://luna-dr.com/subjects/menstrual-irregularity/</v>
      </c>
    </row>
    <row r="140">
      <c r="A140" s="31" t="str">
        <f>IFERROR(__xludf.DUMMYFUNCTION("""COMPUTED_VALUE"""),"多嚢胞性卵巣症候群（PCOS）とは何ですか？")</f>
        <v>多嚢胞性卵巣症候群（PCOS）とは何ですか？</v>
      </c>
      <c r="B140" s="31" t="str">
        <f>IFERROR(__xludf.DUMMYFUNCTION("""COMPUTED_VALUE"""),"多嚢胞性卵巣症候群（PCOS）は、排卵が起こりにくくなる体質で、生理不順の患者様に多く見られる原因の一つです。")</f>
        <v>多嚢胞性卵巣症候群（PCOS）は、排卵が起こりにくくなる体質で、生理不順の患者様に多く見られる原因の一つです。</v>
      </c>
      <c r="C140" s="31" t="str">
        <f>IFERROR(__xludf.DUMMYFUNCTION("""COMPUTED_VALUE"""),"生理不順・原因")</f>
        <v>生理不順・原因</v>
      </c>
      <c r="D140" s="31" t="str">
        <f>IFERROR(__xludf.DUMMYFUNCTION("""COMPUTED_VALUE"""),"生理不順,多嚢胞性卵巣症候群,PCOS,排卵障害")</f>
        <v>生理不順,多嚢胞性卵巣症候群,PCOS,排卵障害</v>
      </c>
      <c r="E140" s="32" t="str">
        <f>IFERROR(__xludf.DUMMYFUNCTION("""COMPUTED_VALUE"""),"https://luna-dr.com/subjects/menstrual-irregularity/")</f>
        <v>https://luna-dr.com/subjects/menstrual-irregularity/</v>
      </c>
    </row>
    <row r="141">
      <c r="A141" s="31" t="str">
        <f>IFERROR(__xludf.DUMMYFUNCTION("""COMPUTED_VALUE"""),"甲状腺の病気は生理不順に関係しますか？")</f>
        <v>甲状腺の病気は生理不順に関係しますか？</v>
      </c>
      <c r="B141" s="31" t="str">
        <f>IFERROR(__xludf.DUMMYFUNCTION("""COMPUTED_VALUE"""),"関係します。甲状腺ホルモンのバランスが崩れると、体全体の代謝やホルモン調整に影響し、生理周期が乱れることがあります。")</f>
        <v>関係します。甲状腺ホルモンのバランスが崩れると、体全体の代謝やホルモン調整に影響し、生理周期が乱れることがあります。</v>
      </c>
      <c r="C141" s="31" t="str">
        <f>IFERROR(__xludf.DUMMYFUNCTION("""COMPUTED_VALUE"""),"生理不順・原因")</f>
        <v>生理不順・原因</v>
      </c>
      <c r="D141" s="31" t="str">
        <f>IFERROR(__xludf.DUMMYFUNCTION("""COMPUTED_VALUE"""),"生理不順,甲状腺機能異常,ホルモン異常")</f>
        <v>生理不順,甲状腺機能異常,ホルモン異常</v>
      </c>
      <c r="E141" s="32" t="str">
        <f>IFERROR(__xludf.DUMMYFUNCTION("""COMPUTED_VALUE"""),"https://luna-dr.com/subjects/menstrual-irregularity/")</f>
        <v>https://luna-dr.com/subjects/menstrual-irregularity/</v>
      </c>
    </row>
    <row r="142">
      <c r="A142" s="31" t="str">
        <f>IFERROR(__xludf.DUMMYFUNCTION("""COMPUTED_VALUE"""),"高プロラクチン血症とはどんな状態ですか？")</f>
        <v>高プロラクチン血症とはどんな状態ですか？</v>
      </c>
      <c r="B142" s="31" t="str">
        <f>IFERROR(__xludf.DUMMYFUNCTION("""COMPUTED_VALUE"""),"高プロラクチン血症とは、授乳中でないにもかかわらず母乳を出すホルモン（プロラクチン）の値が高くなり、排卵が抑制されてしまう状態です。生理不順の原因になることがあります。")</f>
        <v>高プロラクチン血症とは、授乳中でないにもかかわらず母乳を出すホルモン（プロラクチン）の値が高くなり、排卵が抑制されてしまう状態です。生理不順の原因になることがあります。</v>
      </c>
      <c r="C142" s="31" t="str">
        <f>IFERROR(__xludf.DUMMYFUNCTION("""COMPUTED_VALUE"""),"生理不順・原因")</f>
        <v>生理不順・原因</v>
      </c>
      <c r="D142" s="31" t="str">
        <f>IFERROR(__xludf.DUMMYFUNCTION("""COMPUTED_VALUE"""),"生理不順,高プロラクチン血症,排卵抑制")</f>
        <v>生理不順,高プロラクチン血症,排卵抑制</v>
      </c>
      <c r="E142" s="32" t="str">
        <f>IFERROR(__xludf.DUMMYFUNCTION("""COMPUTED_VALUE"""),"https://luna-dr.com/subjects/menstrual-irregularity/")</f>
        <v>https://luna-dr.com/subjects/menstrual-irregularity/</v>
      </c>
    </row>
    <row r="143">
      <c r="A143" s="31" t="str">
        <f>IFERROR(__xludf.DUMMYFUNCTION("""COMPUTED_VALUE"""),"生理不順を放置するとどんなリスクがありますか？")</f>
        <v>生理不順を放置するとどんなリスクがありますか？</v>
      </c>
      <c r="B143" s="31" t="str">
        <f>IFERROR(__xludf.DUMMYFUNCTION("""COMPUTED_VALUE"""),"生理不順を放置すると、将来の不妊につながる可能性があります。また、長期間排卵がない状態が続くことで、子宮体がんのリスクを高める可能性も指摘されています。")</f>
        <v>生理不順を放置すると、将来の不妊につながる可能性があります。また、長期間排卵がない状態が続くことで、子宮体がんのリスクを高める可能性も指摘されています。</v>
      </c>
      <c r="C143" s="31" t="str">
        <f>IFERROR(__xludf.DUMMYFUNCTION("""COMPUTED_VALUE"""),"生理不順・リスク")</f>
        <v>生理不順・リスク</v>
      </c>
      <c r="D143" s="31" t="str">
        <f>IFERROR(__xludf.DUMMYFUNCTION("""COMPUTED_VALUE"""),"生理不順,不妊,子宮体がん,リスク")</f>
        <v>生理不順,不妊,子宮体がん,リスク</v>
      </c>
      <c r="E143" s="32" t="str">
        <f>IFERROR(__xludf.DUMMYFUNCTION("""COMPUTED_VALUE"""),"https://luna-dr.com/subjects/menstrual-irregularity/")</f>
        <v>https://luna-dr.com/subjects/menstrual-irregularity/</v>
      </c>
    </row>
    <row r="144">
      <c r="A144" s="31" t="str">
        <f>IFERROR(__xludf.DUMMYFUNCTION("""COMPUTED_VALUE"""),"生理不順の診察ではどんな検査をしますか？")</f>
        <v>生理不順の診察ではどんな検査をしますか？</v>
      </c>
      <c r="B144" s="31" t="str">
        <f>IFERROR(__xludf.DUMMYFUNCTION("""COMPUTED_VALUE"""),"ルナレディースクリニックでは、生理不順の診察で、必要に応じて超音波（エコー）検査や血液検査を行います。")</f>
        <v>ルナレディースクリニックでは、生理不順の診察で、必要に応じて超音波（エコー）検査や血液検査を行います。</v>
      </c>
      <c r="C144" s="31" t="str">
        <f>IFERROR(__xludf.DUMMYFUNCTION("""COMPUTED_VALUE"""),"生理不順")</f>
        <v>生理不順</v>
      </c>
      <c r="D144" s="31" t="str">
        <f>IFERROR(__xludf.DUMMYFUNCTION("""COMPUTED_VALUE"""),"検査,エコー,血液検査,生理不順")</f>
        <v>検査,エコー,血液検査,生理不順</v>
      </c>
      <c r="E144" s="32" t="str">
        <f>IFERROR(__xludf.DUMMYFUNCTION("""COMPUTED_VALUE"""),"https://luna-dr.com/subjects/menstrual-irregularity/")</f>
        <v>https://luna-dr.com/subjects/menstrual-irregularity/</v>
      </c>
    </row>
    <row r="145">
      <c r="A145" s="31" t="str">
        <f>IFERROR(__xludf.DUMMYFUNCTION("""COMPUTED_VALUE"""),"生理不順の診察・検査の流れを教えてください")</f>
        <v>生理不順の診察・検査の流れを教えてください</v>
      </c>
      <c r="B145" s="31" t="str">
        <f>IFERROR(__xludf.DUMMYFUNCTION("""COMPUTED_VALUE"""),"ルナレディースクリニックでは、予約後に問診を行い、医師が生活習慣や生理の状況を確認します。その後、必要に応じて検査を行い、結果をもとに治療方針をご提案します。")</f>
        <v>ルナレディースクリニックでは、予約後に問診を行い、医師が生活習慣や生理の状況を確認します。その後、必要に応じて検査を行い、結果をもとに治療方針をご提案します。</v>
      </c>
      <c r="C145" s="31" t="str">
        <f>IFERROR(__xludf.DUMMYFUNCTION("""COMPUTED_VALUE"""),"生理不順")</f>
        <v>生理不順</v>
      </c>
      <c r="D145" s="31" t="str">
        <f>IFERROR(__xludf.DUMMYFUNCTION("""COMPUTED_VALUE"""),"診察の流れ,検査,生理不順")</f>
        <v>診察の流れ,検査,生理不順</v>
      </c>
      <c r="E145" s="32" t="str">
        <f>IFERROR(__xludf.DUMMYFUNCTION("""COMPUTED_VALUE"""),"https://luna-dr.com/subjects/menstrual-irregularity/")</f>
        <v>https://luna-dr.com/subjects/menstrual-irregularity/</v>
      </c>
    </row>
    <row r="146">
      <c r="A146" s="31" t="str">
        <f>IFERROR(__xludf.DUMMYFUNCTION("""COMPUTED_VALUE"""),"生理不順の治療にはどんな方法がありますか？")</f>
        <v>生理不順の治療にはどんな方法がありますか？</v>
      </c>
      <c r="B146" s="31" t="str">
        <f>IFERROR(__xludf.DUMMYFUNCTION("""COMPUTED_VALUE"""),"ルナレディースクリニックでは、生理不順の原因に応じて、低用量ピルによるホルモン治療、漢方薬、生活習慣の改善指導などをご提案します。")</f>
        <v>ルナレディースクリニックでは、生理不順の原因に応じて、低用量ピルによるホルモン治療、漢方薬、生活習慣の改善指導などをご提案します。</v>
      </c>
      <c r="C146" s="31" t="str">
        <f>IFERROR(__xludf.DUMMYFUNCTION("""COMPUTED_VALUE"""),"生理不順")</f>
        <v>生理不順</v>
      </c>
      <c r="D146" s="31" t="str">
        <f>IFERROR(__xludf.DUMMYFUNCTION("""COMPUTED_VALUE"""),"治療方法,ピル,漢方,生理不順")</f>
        <v>治療方法,ピル,漢方,生理不順</v>
      </c>
      <c r="E146" s="32" t="str">
        <f>IFERROR(__xludf.DUMMYFUNCTION("""COMPUTED_VALUE"""),"https://luna-dr.com/subjects/menstrual-irregularity/")</f>
        <v>https://luna-dr.com/subjects/menstrual-irregularity/</v>
      </c>
    </row>
    <row r="147">
      <c r="A147" s="31" t="str">
        <f>IFERROR(__xludf.DUMMYFUNCTION("""COMPUTED_VALUE"""),"生理不順の診察は保険適用ですか？")</f>
        <v>生理不順の診察は保険適用ですか？</v>
      </c>
      <c r="B147" s="31" t="str">
        <f>IFERROR(__xludf.DUMMYFUNCTION("""COMPUTED_VALUE"""),"ルナレディースクリニックでは、生理不順の診察や検査は保険診療を基本としています。")</f>
        <v>ルナレディースクリニックでは、生理不順の診察や検査は保険診療を基本としています。</v>
      </c>
      <c r="C147" s="31" t="str">
        <f>IFERROR(__xludf.DUMMYFUNCTION("""COMPUTED_VALUE"""),"生理不順")</f>
        <v>生理不順</v>
      </c>
      <c r="D147" s="31" t="str">
        <f>IFERROR(__xludf.DUMMYFUNCTION("""COMPUTED_VALUE"""),"保険診療,費用,生理不順")</f>
        <v>保険診療,費用,生理不順</v>
      </c>
      <c r="E147" s="32" t="str">
        <f>IFERROR(__xludf.DUMMYFUNCTION("""COMPUTED_VALUE"""),"https://luna-dr.com/subjects/menstrual-irregularity/")</f>
        <v>https://luna-dr.com/subjects/menstrual-irregularity/</v>
      </c>
    </row>
    <row r="148">
      <c r="A148" s="31" t="str">
        <f>IFERROR(__xludf.DUMMYFUNCTION("""COMPUTED_VALUE"""),"生理不順の診察や検査の費用はいくらくらいですか？")</f>
        <v>生理不順の診察や検査の費用はいくらくらいですか？</v>
      </c>
      <c r="B148" s="31" t="str">
        <f>IFERROR(__xludf.DUMMYFUNCTION("""COMPUTED_VALUE"""),"ルナレディースクリニックでは、生理を起こす薬の処方が約400円、ホルモン検査が約2,400円、超音波検査が約1,600円、保険適用ピル処方が約2,700円です。別途初診料・再診料がかかります。")</f>
        <v>ルナレディースクリニックでは、生理を起こす薬の処方が約400円、ホルモン検査が約2,400円、超音波検査が約1,600円、保険適用ピル処方が約2,700円です。別途初診料・再診料がかかります。</v>
      </c>
      <c r="C148" s="31" t="str">
        <f>IFERROR(__xludf.DUMMYFUNCTION("""COMPUTED_VALUE"""),"生理不順")</f>
        <v>生理不順</v>
      </c>
      <c r="D148" s="31" t="str">
        <f>IFERROR(__xludf.DUMMYFUNCTION("""COMPUTED_VALUE"""),"料金,費用目安,生理不順")</f>
        <v>料金,費用目安,生理不順</v>
      </c>
      <c r="E148" s="32" t="str">
        <f>IFERROR(__xludf.DUMMYFUNCTION("""COMPUTED_VALUE"""),"https://luna-dr.com/subjects/menstrual-irregularity/")</f>
        <v>https://luna-dr.com/subjects/menstrual-irregularity/</v>
      </c>
    </row>
    <row r="149">
      <c r="A149" s="31" t="str">
        <f>IFERROR(__xludf.DUMMYFUNCTION("""COMPUTED_VALUE"""),"生理不順の場合、基礎体温は測った方がいいですか？")</f>
        <v>生理不順の場合、基礎体温は測った方がいいですか？</v>
      </c>
      <c r="B149" s="31" t="str">
        <f>IFERROR(__xludf.DUMMYFUNCTION("""COMPUTED_VALUE"""),"基礎体温を記録すると排卵の有無を推測できるため、可能であれば測定をおすすめします。記録があると診察がスムーズに進みます。")</f>
        <v>基礎体温を記録すると排卵の有無を推測できるため、可能であれば測定をおすすめします。記録があると診察がスムーズに進みます。</v>
      </c>
      <c r="C149" s="31" t="str">
        <f>IFERROR(__xludf.DUMMYFUNCTION("""COMPUTED_VALUE"""),"生理不順")</f>
        <v>生理不順</v>
      </c>
      <c r="D149" s="31" t="str">
        <f>IFERROR(__xludf.DUMMYFUNCTION("""COMPUTED_VALUE"""),"基礎体温,排卵,生理不順")</f>
        <v>基礎体温,排卵,生理不順</v>
      </c>
      <c r="E149" s="32" t="str">
        <f>IFERROR(__xludf.DUMMYFUNCTION("""COMPUTED_VALUE"""),"https://luna-dr.com/subjects/menstrual-irregularity/")</f>
        <v>https://luna-dr.com/subjects/menstrual-irregularity/</v>
      </c>
    </row>
    <row r="150">
      <c r="A150" s="31" t="str">
        <f>IFERROR(__xludf.DUMMYFUNCTION("""COMPUTED_VALUE"""),"生理不順は治りますか？")</f>
        <v>生理不順は治りますか？</v>
      </c>
      <c r="B150" s="31" t="str">
        <f>IFERROR(__xludf.DUMMYFUNCTION("""COMPUTED_VALUE"""),"生理不順は原因によって治療法や期間は異なりますが、多くの場合、適切な治療で改善が見込めます。まずは原因を確認することが大切です。")</f>
        <v>生理不順は原因によって治療法や期間は異なりますが、多くの場合、適切な治療で改善が見込めます。まずは原因を確認することが大切です。</v>
      </c>
      <c r="C150" s="31" t="str">
        <f>IFERROR(__xludf.DUMMYFUNCTION("""COMPUTED_VALUE"""),"生理不順")</f>
        <v>生理不順</v>
      </c>
      <c r="D150" s="31" t="str">
        <f>IFERROR(__xludf.DUMMYFUNCTION("""COMPUTED_VALUE"""),"改善,治療,生理不順")</f>
        <v>改善,治療,生理不順</v>
      </c>
      <c r="E150" s="32" t="str">
        <f>IFERROR(__xludf.DUMMYFUNCTION("""COMPUTED_VALUE"""),"https://luna-dr.com/subjects/menstrual-irregularity/")</f>
        <v>https://luna-dr.com/subjects/menstrual-irregularity/</v>
      </c>
    </row>
    <row r="151">
      <c r="A151" s="31" t="str">
        <f>IFERROR(__xludf.DUMMYFUNCTION("""COMPUTED_VALUE"""),"生理不順でも生理日をずらすことはできますか？")</f>
        <v>生理不順でも生理日をずらすことはできますか？</v>
      </c>
      <c r="B151" s="31" t="str">
        <f>IFERROR(__xludf.DUMMYFUNCTION("""COMPUTED_VALUE"""),"生理不順の方でも、ピルを使って生理日を調整する月経移動という方法があります。大切なご予定がある場合はご相談ください。")</f>
        <v>生理不順の方でも、ピルを使って生理日を調整する月経移動という方法があります。大切なご予定がある場合はご相談ください。</v>
      </c>
      <c r="C151" s="31" t="str">
        <f>IFERROR(__xludf.DUMMYFUNCTION("""COMPUTED_VALUE"""),"生理不順")</f>
        <v>生理不順</v>
      </c>
      <c r="D151" s="31" t="str">
        <f>IFERROR(__xludf.DUMMYFUNCTION("""COMPUTED_VALUE"""),"月経移動,相談,生理不順")</f>
        <v>月経移動,相談,生理不順</v>
      </c>
      <c r="E151" s="32" t="str">
        <f>IFERROR(__xludf.DUMMYFUNCTION("""COMPUTED_VALUE"""),"https://luna-dr.com/subjects/menstrual-irregularity/")</f>
        <v>https://luna-dr.com/subjects/menstrual-irregularity/</v>
      </c>
    </row>
    <row r="152">
      <c r="A152" s="31" t="str">
        <f>IFERROR(__xludf.DUMMYFUNCTION("""COMPUTED_VALUE"""),"生理不順の相談はどうやって予約すればいいですか？ /生理不順の場合はどの項目を選べばいい？/生理不順のメニュー/生理不順の予約メニュー
")</f>
        <v>生理不順の相談はどうやって予約すればいいですか？ /生理不順の場合はどの項目を選べばいい？/生理不順のメニュー/生理不順の予約メニュー
</v>
      </c>
      <c r="B152" s="31" t="str">
        <f>IFERROR(__xludf.DUMMYFUNCTION("""COMPUTED_VALUE"""),"ルナレディースクリニックでは、公式LINEから生理不順の診察予約が可能です。24時間いつでもご自身のタイミングで予約できます。
来院診療の場合は「一般婦人科診療」のメニューでご予約ください。WEB問診票に症状をご入力いただくとスムーズです。→https://cline-app.com/qr-codes/98ad6f149bfa20f4f2a9a2e91aac4187/preview
オンライン診療のご予約はこちら→https://liff-gateway.lineml.jp/landing?follow="&amp;"%40590gpxrd&amp;lp=fX73yx&amp;liff_id=1657094566-LmjNPPbV")</f>
        <v>ルナレディースクリニックでは、公式LINEから生理不順の診察予約が可能です。24時間いつでもご自身のタイミングで予約できます。
来院診療の場合は「一般婦人科診療」のメニューでご予約ください。WEB問診票に症状をご入力いただくとスムーズです。→https://cline-app.com/qr-codes/98ad6f149bfa20f4f2a9a2e91aac4187/preview
オンライン診療のご予約はこちら→https://liff-gateway.lineml.jp/landing?follow=%40590gpxrd&amp;lp=fX73yx&amp;liff_id=1657094566-LmjNPPbV</v>
      </c>
      <c r="C152" s="31" t="str">
        <f>IFERROR(__xludf.DUMMYFUNCTION("""COMPUTED_VALUE"""),"生理不順")</f>
        <v>生理不順</v>
      </c>
      <c r="D152" s="31" t="str">
        <f>IFERROR(__xludf.DUMMYFUNCTION("""COMPUTED_VALUE"""),"予約方法,LINE予約,電話予約,生理不順")</f>
        <v>予約方法,LINE予約,電話予約,生理不順</v>
      </c>
      <c r="E152" s="32" t="str">
        <f>IFERROR(__xludf.DUMMYFUNCTION("""COMPUTED_VALUE"""),"https://luna-dr.com/subjects/menstrual-irregularity/")</f>
        <v>https://luna-dr.com/subjects/menstrual-irregularity/</v>
      </c>
    </row>
    <row r="153">
      <c r="A153" s="31" t="str">
        <f>IFERROR(__xludf.DUMMYFUNCTION("""COMPUTED_VALUE"""),"生理不順はLINEから予約できますか？")</f>
        <v>生理不順はLINEから予約できますか？</v>
      </c>
      <c r="B153" s="31" t="str">
        <f>IFERROR(__xludf.DUMMYFUNCTION("""COMPUTED_VALUE"""),"ルナレディースクリニックでは、公式LINEから生理不順の診察予約が可能です。24時間いつでもご自身のタイミングで予約できます。
来院診療の場合は「一般婦人科診療」のメニューでご予約ください。WEB問診票に症状をご入力いただくとスムーズです。→https://cline-app.com/qr-codes/98ad6f149bfa20f4f2a9a2e91aac4187/preview
オンライン診療のご予約はこちら→https://liff-gateway.lineml.jp/landing?follow="&amp;"%40590gpxrd&amp;lp=fX73yx&amp;liff_id=1657094566-LmjNPPbV")</f>
        <v>ルナレディースクリニックでは、公式LINEから生理不順の診察予約が可能です。24時間いつでもご自身のタイミングで予約できます。
来院診療の場合は「一般婦人科診療」のメニューでご予約ください。WEB問診票に症状をご入力いただくとスムーズです。→https://cline-app.com/qr-codes/98ad6f149bfa20f4f2a9a2e91aac4187/preview
オンライン診療のご予約はこちら→https://liff-gateway.lineml.jp/landing?follow=%40590gpxrd&amp;lp=fX73yx&amp;liff_id=1657094566-LmjNPPbV</v>
      </c>
      <c r="C153" s="31" t="str">
        <f>IFERROR(__xludf.DUMMYFUNCTION("""COMPUTED_VALUE"""),"生理不順")</f>
        <v>生理不順</v>
      </c>
      <c r="D153" s="31" t="str">
        <f>IFERROR(__xludf.DUMMYFUNCTION("""COMPUTED_VALUE"""),"LINE予約,婦人科予約,生理不順")</f>
        <v>LINE予約,婦人科予約,生理不順</v>
      </c>
      <c r="E153" s="32" t="str">
        <f>IFERROR(__xludf.DUMMYFUNCTION("""COMPUTED_VALUE"""),"https://luna-dr.com/subjects/menstrual-irregularity/")</f>
        <v>https://luna-dr.com/subjects/menstrual-irregularity/</v>
      </c>
    </row>
    <row r="154">
      <c r="A154" s="31" t="str">
        <f>IFERROR(__xludf.DUMMYFUNCTION("""COMPUTED_VALUE"""),"生理不順は電話でも予約できますか？")</f>
        <v>生理不順は電話でも予約できますか？</v>
      </c>
      <c r="B154" s="31" t="str">
        <f>IFERROR(__xludf.DUMMYFUNCTION("""COMPUTED_VALUE"""),"LINEでの予約後、事前問診等もLINEから行うことができ、スムーズに受診ができるため、当院ではLINEでのご予約を推奨しております。
来院診療の場合は「一般婦人科診療」のメニューでご予約ください→https://cline-app.com/qr-codes/98ad6f149bfa20f4f2a9a2e91aac4187/preview
オンライン診療のご予約はこちら→https://liff-gateway.lineml.jp/landing?follow=%40590gpxrd&amp;lp=fX73yx&amp;"&amp;"liff_id=1657094566-LmjNPPbV")</f>
        <v>LINEでの予約後、事前問診等もLINEから行うことができ、スムーズに受診ができるため、当院ではLINEでのご予約を推奨しております。
来院診療の場合は「一般婦人科診療」のメニューでご予約ください→https://cline-app.com/qr-codes/98ad6f149bfa20f4f2a9a2e91aac4187/preview
オンライン診療のご予約はこちら→https://liff-gateway.lineml.jp/landing?follow=%40590gpxrd&amp;lp=fX73yx&amp;liff_id=1657094566-LmjNPPbV</v>
      </c>
      <c r="C154" s="31" t="str">
        <f>IFERROR(__xludf.DUMMYFUNCTION("""COMPUTED_VALUE"""),"生理不順")</f>
        <v>生理不順</v>
      </c>
      <c r="D154" s="31" t="str">
        <f>IFERROR(__xludf.DUMMYFUNCTION("""COMPUTED_VALUE"""),"電話予約,問い合わせ,生理不順")</f>
        <v>電話予約,問い合わせ,生理不順</v>
      </c>
      <c r="E154" s="32" t="str">
        <f>IFERROR(__xludf.DUMMYFUNCTION("""COMPUTED_VALUE"""),"https://luna-dr.com/subjects/menstrual-irregularity/")</f>
        <v>https://luna-dr.com/subjects/menstrual-irregularity/</v>
      </c>
    </row>
    <row r="155">
      <c r="A155" s="31" t="str">
        <f>IFERROR(__xludf.DUMMYFUNCTION("""COMPUTED_VALUE"""),"生理不順は予約なしでも相談できますか？")</f>
        <v>生理不順は予約なしでも相談できますか？</v>
      </c>
      <c r="B155" s="31" t="str">
        <f>IFERROR(__xludf.DUMMYFUNCTION("""COMPUTED_VALUE"""),"来院治療の場合、予約外来院も可能です。スムーズなご案内のため、事前予約をおすすめしています。")</f>
        <v>来院治療の場合、予約外来院も可能です。スムーズなご案内のため、事前予約をおすすめしています。</v>
      </c>
      <c r="C155" s="31" t="str">
        <f>IFERROR(__xludf.DUMMYFUNCTION("""COMPUTED_VALUE"""),"生理不順")</f>
        <v>生理不順</v>
      </c>
      <c r="D155" s="31" t="str">
        <f>IFERROR(__xludf.DUMMYFUNCTION("""COMPUTED_VALUE"""),"予約なし,受診,生理不順")</f>
        <v>予約なし,受診,生理不順</v>
      </c>
      <c r="E155" s="32" t="str">
        <f>IFERROR(__xludf.DUMMYFUNCTION("""COMPUTED_VALUE"""),"https://luna-dr.com/subjects/menstrual-irregularity/")</f>
        <v>https://luna-dr.com/subjects/menstrual-irregularity/</v>
      </c>
    </row>
    <row r="156">
      <c r="A156" s="31" t="str">
        <f>IFERROR(__xludf.DUMMYFUNCTION("""COMPUTED_VALUE"""),"生理不順の予約前に準備しておくことはありますか？")</f>
        <v>生理不順の予約前に準備しておくことはありますか？</v>
      </c>
      <c r="B156" s="31" t="str">
        <f>IFERROR(__xludf.DUMMYFUNCTION("""COMPUTED_VALUE"""),"ルナレディースクリニックでは、生理不順の診察前に、最終生理日やご予定日などをWEB問診にご入力いただくと、診察がスムーズに進みます。")</f>
        <v>ルナレディースクリニックでは、生理不順の診察前に、最終生理日やご予定日などをWEB問診にご入力いただくと、診察がスムーズに進みます。</v>
      </c>
      <c r="C156" s="31" t="str">
        <f>IFERROR(__xludf.DUMMYFUNCTION("""COMPUTED_VALUE"""),"生理不順")</f>
        <v>生理不順</v>
      </c>
      <c r="D156" s="31" t="str">
        <f>IFERROR(__xludf.DUMMYFUNCTION("""COMPUTED_VALUE"""),"WEB問診,事前準備,生理不順")</f>
        <v>WEB問診,事前準備,生理不順</v>
      </c>
      <c r="E156" s="32" t="str">
        <f>IFERROR(__xludf.DUMMYFUNCTION("""COMPUTED_VALUE"""),"https://luna-dr.com/subjects/menstrual-irregularity/")</f>
        <v>https://luna-dr.com/subjects/menstrual-irregularity/</v>
      </c>
    </row>
    <row r="157">
      <c r="A157" s="31" t="str">
        <f>IFERROR(__xludf.DUMMYFUNCTION("""COMPUTED_VALUE"""),"生理不順は初診でも予約できますか？")</f>
        <v>生理不順は初診でも予約できますか？</v>
      </c>
      <c r="B157" s="31" t="str">
        <f>IFERROR(__xludf.DUMMYFUNCTION("""COMPUTED_VALUE"""),"生理不順は初診の方もご予約いただけます。ご予約は公式LINEから受け付けておりますので、友だち追加の上ご利用ください。
来院診療の場合は「一般婦人科診療」のメニューでご予約ください。WEB問診票に症状をご入力いただくとスムーズです。→https://cline-app.com/qr-codes/98ad6f149bfa20f4f2a9a2e91aac4187/preview
オンライン診療のご予約はこちら→https://liff-gateway.lineml.jp/landing?follow=%405"&amp;"90gpxrd&amp;lp=fX73yx&amp;liff_id=1657094566-LmjNPPbV")</f>
        <v>生理不順は初診の方もご予約いただけます。ご予約は公式LINEから受け付けておりますので、友だち追加の上ご利用ください。
来院診療の場合は「一般婦人科診療」のメニューでご予約ください。WEB問診票に症状をご入力いただくとスムーズです。→https://cline-app.com/qr-codes/98ad6f149bfa20f4f2a9a2e91aac4187/preview
オンライン診療のご予約はこちら→https://liff-gateway.lineml.jp/landing?follow=%40590gpxrd&amp;lp=fX73yx&amp;liff_id=1657094566-LmjNPPbV</v>
      </c>
      <c r="C157" s="31" t="str">
        <f>IFERROR(__xludf.DUMMYFUNCTION("""COMPUTED_VALUE"""),"生理不順")</f>
        <v>生理不順</v>
      </c>
      <c r="D157" s="31" t="str">
        <f>IFERROR(__xludf.DUMMYFUNCTION("""COMPUTED_VALUE"""),"初診,予約,生理不順")</f>
        <v>初診,予約,生理不順</v>
      </c>
      <c r="E157" s="32" t="str">
        <f>IFERROR(__xludf.DUMMYFUNCTION("""COMPUTED_VALUE"""),"https://luna-dr.com/subjects/menstrual-irregularity/")</f>
        <v>https://luna-dr.com/subjects/menstrual-irregularity/</v>
      </c>
    </row>
    <row r="158">
      <c r="A158" s="31" t="str">
        <f>IFERROR(__xludf.DUMMYFUNCTION("""COMPUTED_VALUE"""),"生理不順は来院とオンライン、どちらで予約できますか？")</f>
        <v>生理不順は来院とオンライン、どちらで予約できますか？</v>
      </c>
      <c r="B158" s="31" t="str">
        <f>IFERROR(__xludf.DUMMYFUNCTION("""COMPUTED_VALUE"""),"ルナレディースクリニックでは、生理不順のご相談は来院診療とオンライン診療のどちらでも予約が可能です。ご自身のライフスタイルに合わせて選べます。
来院診療の場合は「一般婦人科診療」のメニューでご予約ください。WEB問診票に症状をご入力いただくとスムーズです。→https://cline-app.com/qr-codes/98ad6f149bfa20f4f2a9a2e91aac4187/preview
オンライン診療のご予約はこちら→https://liff-gateway.lineml.jp/landing"&amp;"?follow=%40590gpxrd&amp;lp=fX73yx&amp;liff_id=1657094566-LmjNPPbV")</f>
        <v>ルナレディースクリニックでは、生理不順のご相談は来院診療とオンライン診療のどちらでも予約が可能です。ご自身のライフスタイルに合わせて選べます。
来院診療の場合は「一般婦人科診療」のメニューでご予約ください。WEB問診票に症状をご入力いただくとスムーズです。→https://cline-app.com/qr-codes/98ad6f149bfa20f4f2a9a2e91aac4187/preview
オンライン診療のご予約はこちら→https://liff-gateway.lineml.jp/landing?follow=%40590gpxrd&amp;lp=fX73yx&amp;liff_id=1657094566-LmjNPPbV</v>
      </c>
      <c r="C158" s="31" t="str">
        <f>IFERROR(__xludf.DUMMYFUNCTION("""COMPUTED_VALUE"""),"生理不順")</f>
        <v>生理不順</v>
      </c>
      <c r="D158" s="31" t="str">
        <f>IFERROR(__xludf.DUMMYFUNCTION("""COMPUTED_VALUE"""),"来院診療,オンライン診療,生理不順")</f>
        <v>来院診療,オンライン診療,生理不順</v>
      </c>
      <c r="E158" s="32" t="str">
        <f>IFERROR(__xludf.DUMMYFUNCTION("""COMPUTED_VALUE"""),"https://luna-dr.com/subjects/menstrual-irregularity/")</f>
        <v>https://luna-dr.com/subjects/menstrual-irregularity/</v>
      </c>
    </row>
    <row r="159">
      <c r="A159" s="31" t="str">
        <f>IFERROR(__xludf.DUMMYFUNCTION("""COMPUTED_VALUE"""),"生理痛とは何ですか？")</f>
        <v>生理痛とは何ですか？</v>
      </c>
      <c r="B159" s="31" t="str">
        <f>IFERROR(__xludf.DUMMYFUNCTION("""COMPUTED_VALUE"""),"生理痛とは、生理の前後や生理中に下腹部や腰に痛みを感じる症状のことです。軽い不快感から、日常生活に支障をきたす強い痛みまで程度には個人差があります。大切なのは、痛みを我慢しないこと。ルナレディースクリニックでは、痛みの原因を的確に診断し、患者さまのライフスタイルに合わせた最適な治療法を一緒に考えていきます。")</f>
        <v>生理痛とは、生理の前後や生理中に下腹部や腰に痛みを感じる症状のことです。軽い不快感から、日常生活に支障をきたす強い痛みまで程度には個人差があります。大切なのは、痛みを我慢しないこと。ルナレディースクリニックでは、痛みの原因を的確に診断し、患者さまのライフスタイルに合わせた最適な治療法を一緒に考えていきます。</v>
      </c>
      <c r="C159" s="31" t="str">
        <f>IFERROR(__xludf.DUMMYFUNCTION("""COMPUTED_VALUE"""),"生理痛")</f>
        <v>生理痛</v>
      </c>
      <c r="D159" s="31" t="str">
        <f>IFERROR(__xludf.DUMMYFUNCTION("""COMPUTED_VALUE"""),"生理痛,月経痛,生理痛")</f>
        <v>生理痛,月経痛,生理痛</v>
      </c>
      <c r="E159" s="32" t="str">
        <f>IFERROR(__xludf.DUMMYFUNCTION("""COMPUTED_VALUE"""),"https://luna-dr.com/subjects/menstrual-pain/")</f>
        <v>https://luna-dr.com/subjects/menstrual-pain/</v>
      </c>
    </row>
    <row r="160">
      <c r="A160" s="31" t="str">
        <f>IFERROR(__xludf.DUMMYFUNCTION("""COMPUTED_VALUE"""),"つらい生理痛は病気ですか？")</f>
        <v>つらい生理痛は病気ですか？</v>
      </c>
      <c r="B160" s="31" t="str">
        <f>IFERROR(__xludf.DUMMYFUNCTION("""COMPUTED_VALUE"""),"日常生活に支障をきたすほどの強い生理痛は、「月経困難症」と呼ばれ、体質だけでなく病気が隠れている場合もあります。生理痛は誰にでもあるもの、と思いがちですが、放置すると悪化したり、病気の発見が遅れたりすることもあります。以下の項目に一つでも当てはまる方は、我慢せずにご相談ください。
1. 毎月、市販の痛み止めを飲まないと過ごせない
2. 痛みで仕事や学校を休んでしまうことがある
3. 年々、生理痛がひどくなっている気がする
4. 経血の量が増えてきた（レバーのような塊が出る）
5. 生理期間以外にも下腹部"&amp;"痛や腰痛がある")</f>
        <v>日常生活に支障をきたすほどの強い生理痛は、「月経困難症」と呼ばれ、体質だけでなく病気が隠れている場合もあります。生理痛は誰にでもあるもの、と思いがちですが、放置すると悪化したり、病気の発見が遅れたりすることもあります。以下の項目に一つでも当てはまる方は、我慢せずにご相談ください。
1. 毎月、市販の痛み止めを飲まないと過ごせない
2. 痛みで仕事や学校を休んでしまうことがある
3. 年々、生理痛がひどくなっている気がする
4. 経血の量が増えてきた（レバーのような塊が出る）
5. 生理期間以外にも下腹部痛や腰痛がある</v>
      </c>
      <c r="C160" s="31" t="str">
        <f>IFERROR(__xludf.DUMMYFUNCTION("""COMPUTED_VALUE"""),"生理痛")</f>
        <v>生理痛</v>
      </c>
      <c r="D160" s="31" t="str">
        <f>IFERROR(__xludf.DUMMYFUNCTION("""COMPUTED_VALUE"""),"月経困難症,病気,生理痛")</f>
        <v>月経困難症,病気,生理痛</v>
      </c>
      <c r="E160" s="32" t="str">
        <f>IFERROR(__xludf.DUMMYFUNCTION("""COMPUTED_VALUE"""),"https://luna-dr.com/subjects/menstrual-pain/")</f>
        <v>https://luna-dr.com/subjects/menstrual-pain/</v>
      </c>
    </row>
    <row r="161">
      <c r="A161" s="31" t="str">
        <f>IFERROR(__xludf.DUMMYFUNCTION("""COMPUTED_VALUE"""),"生理痛は我慢するものですか？")</f>
        <v>生理痛は我慢するものですか？</v>
      </c>
      <c r="B161" s="31" t="str">
        <f>IFERROR(__xludf.DUMMYFUNCTION("""COMPUTED_VALUE"""),"生理痛は我慢する必要はありません。痛みが強い場合は、適切な治療によって症状が軽くなる可能性があります。生理痛は誰にでもあるもの、と思いがちですが、放置すると悪化したり、病気の発見が遅れたりすることもあります。以下の項目に一つでも当てはまる方は、我慢せずにご相談ください。
1. 毎月、市販の痛み止めを飲まないと過ごせない
2. 痛みで仕事や学校を休んでしまうことがある
3. 年々、生理痛がひどくなっている気がする
4. 経血の量が増えてきた（レバーのような塊が出る）
5. 生理期間以外にも下腹部痛や腰痛が"&amp;"ある")</f>
        <v>生理痛は我慢する必要はありません。痛みが強い場合は、適切な治療によって症状が軽くなる可能性があります。生理痛は誰にでもあるもの、と思いがちですが、放置すると悪化したり、病気の発見が遅れたりすることもあります。以下の項目に一つでも当てはまる方は、我慢せずにご相談ください。
1. 毎月、市販の痛み止めを飲まないと過ごせない
2. 痛みで仕事や学校を休んでしまうことがある
3. 年々、生理痛がひどくなっている気がする
4. 経血の量が増えてきた（レバーのような塊が出る）
5. 生理期間以外にも下腹部痛や腰痛がある</v>
      </c>
      <c r="C161" s="31" t="str">
        <f>IFERROR(__xludf.DUMMYFUNCTION("""COMPUTED_VALUE"""),"生理痛")</f>
        <v>生理痛</v>
      </c>
      <c r="D161" s="31" t="str">
        <f>IFERROR(__xludf.DUMMYFUNCTION("""COMPUTED_VALUE"""),"我慢,相談,生理痛")</f>
        <v>我慢,相談,生理痛</v>
      </c>
      <c r="E161" s="32" t="str">
        <f>IFERROR(__xludf.DUMMYFUNCTION("""COMPUTED_VALUE"""),"https://luna-dr.com/subjects/menstrual-pain/")</f>
        <v>https://luna-dr.com/subjects/menstrual-pain/</v>
      </c>
    </row>
    <row r="162">
      <c r="A162" s="31" t="str">
        <f>IFERROR(__xludf.DUMMYFUNCTION("""COMPUTED_VALUE"""),"どんな生理痛が受診の目安ですか？")</f>
        <v>どんな生理痛が受診の目安ですか？</v>
      </c>
      <c r="B162" s="31" t="str">
        <f>IFERROR(__xludf.DUMMYFUNCTION("""COMPUTED_VALUE"""),"以下の項目に一つでも当てはまる方は、我慢せずにご相談ください。
1. 毎月、市販の痛み止めを飲まないと過ごせない
2. 痛みで仕事や学校を休んでしまうことがある
3. 年々、生理痛がひどくなっている気がする
4. 経血の量が増えてきた（レバーのような塊が出る）
5. 生理期間以外にも下腹部痛や腰痛がある")</f>
        <v>以下の項目に一つでも当てはまる方は、我慢せずにご相談ください。
1. 毎月、市販の痛み止めを飲まないと過ごせない
2. 痛みで仕事や学校を休んでしまうことがある
3. 年々、生理痛がひどくなっている気がする
4. 経血の量が増えてきた（レバーのような塊が出る）
5. 生理期間以外にも下腹部痛や腰痛がある</v>
      </c>
      <c r="C162" s="31" t="str">
        <f>IFERROR(__xludf.DUMMYFUNCTION("""COMPUTED_VALUE"""),"生理痛")</f>
        <v>生理痛</v>
      </c>
      <c r="D162" s="31" t="str">
        <f>IFERROR(__xludf.DUMMYFUNCTION("""COMPUTED_VALUE"""),"受診目安,チェック,生理痛")</f>
        <v>受診目安,チェック,生理痛</v>
      </c>
      <c r="E162" s="32" t="str">
        <f>IFERROR(__xludf.DUMMYFUNCTION("""COMPUTED_VALUE"""),"https://luna-dr.com/subjects/menstrual-pain/")</f>
        <v>https://luna-dr.com/subjects/menstrual-pain/</v>
      </c>
    </row>
    <row r="163">
      <c r="A163" s="31" t="str">
        <f>IFERROR(__xludf.DUMMYFUNCTION("""COMPUTED_VALUE"""),"生理痛が年々ひどくなるのは問題ですか？")</f>
        <v>生理痛が年々ひどくなるのは問題ですか？</v>
      </c>
      <c r="B163" s="31" t="str">
        <f>IFERROR(__xludf.DUMMYFUNCTION("""COMPUTED_VALUE"""),"生理痛が徐々に強くなる場合、子宮内膜症や子宮筋腫などの病気が関係している可能性があります。早めの相談が大切です。")</f>
        <v>生理痛が徐々に強くなる場合、子宮内膜症や子宮筋腫などの病気が関係している可能性があります。早めの相談が大切です。</v>
      </c>
      <c r="C163" s="31" t="str">
        <f>IFERROR(__xludf.DUMMYFUNCTION("""COMPUTED_VALUE"""),"生理痛")</f>
        <v>生理痛</v>
      </c>
      <c r="D163" s="31" t="str">
        <f>IFERROR(__xludf.DUMMYFUNCTION("""COMPUTED_VALUE"""),"悪化,原因,生理痛")</f>
        <v>悪化,原因,生理痛</v>
      </c>
      <c r="E163" s="32" t="str">
        <f>IFERROR(__xludf.DUMMYFUNCTION("""COMPUTED_VALUE"""),"https://luna-dr.com/subjects/menstrual-pain/")</f>
        <v>https://luna-dr.com/subjects/menstrual-pain/</v>
      </c>
    </row>
    <row r="164">
      <c r="A164" s="31" t="str">
        <f>IFERROR(__xludf.DUMMYFUNCTION("""COMPUTED_VALUE"""),"経血量が多いと生理痛も重くなりますか？")</f>
        <v>経血量が多いと生理痛も重くなりますか？</v>
      </c>
      <c r="B164" s="31" t="str">
        <f>IFERROR(__xludf.DUMMYFUNCTION("""COMPUTED_VALUE"""),"経血量が多い場合、生理痛が強くなることがあります。子宮の病気が隠れている可能性もあるため、相談をおすすめします。")</f>
        <v>経血量が多い場合、生理痛が強くなることがあります。子宮の病気が隠れている可能性もあるため、相談をおすすめします。</v>
      </c>
      <c r="C164" s="31" t="str">
        <f>IFERROR(__xludf.DUMMYFUNCTION("""COMPUTED_VALUE"""),"生理痛")</f>
        <v>生理痛</v>
      </c>
      <c r="D164" s="31" t="str">
        <f>IFERROR(__xludf.DUMMYFUNCTION("""COMPUTED_VALUE"""),"経血量,過多月経,生理痛")</f>
        <v>経血量,過多月経,生理痛</v>
      </c>
      <c r="E164" s="32" t="str">
        <f>IFERROR(__xludf.DUMMYFUNCTION("""COMPUTED_VALUE"""),"https://luna-dr.com/subjects/menstrual-pain/")</f>
        <v>https://luna-dr.com/subjects/menstrual-pain/</v>
      </c>
    </row>
    <row r="165">
      <c r="A165" s="31" t="str">
        <f>IFERROR(__xludf.DUMMYFUNCTION("""COMPUTED_VALUE"""),"生理痛の原因にはどんなものがありますか？")</f>
        <v>生理痛の原因にはどんなものがありますか？</v>
      </c>
      <c r="B165" s="31" t="str">
        <f>IFERROR(__xludf.DUMMYFUNCTION("""COMPUTED_VALUE"""),"生理痛は、子宮を収縮させる物質の分泌が多いことや、子宮・卵巣の病気が原因となることがあります。")</f>
        <v>生理痛は、子宮を収縮させる物質の分泌が多いことや、子宮・卵巣の病気が原因となることがあります。</v>
      </c>
      <c r="C165" s="31" t="str">
        <f>IFERROR(__xludf.DUMMYFUNCTION("""COMPUTED_VALUE"""),"生理痛")</f>
        <v>生理痛</v>
      </c>
      <c r="D165" s="31" t="str">
        <f>IFERROR(__xludf.DUMMYFUNCTION("""COMPUTED_VALUE"""),"原因,ホルモン,生理痛")</f>
        <v>原因,ホルモン,生理痛</v>
      </c>
      <c r="E165" s="32" t="str">
        <f>IFERROR(__xludf.DUMMYFUNCTION("""COMPUTED_VALUE"""),"https://luna-dr.com/subjects/menstrual-pain/")</f>
        <v>https://luna-dr.com/subjects/menstrual-pain/</v>
      </c>
    </row>
    <row r="166">
      <c r="A166" s="31" t="str">
        <f>IFERROR(__xludf.DUMMYFUNCTION("""COMPUTED_VALUE"""),"月経困難症とは何ですか？")</f>
        <v>月経困難症とは何ですか？</v>
      </c>
      <c r="B166" s="31" t="str">
        <f>IFERROR(__xludf.DUMMYFUNCTION("""COMPUTED_VALUE"""),"月経困難症とは、生理期間中に起こる強い下腹部痛や腰痛、吐き気などにより、日常生活に支障をきたす状態を指します。")</f>
        <v>月経困難症とは、生理期間中に起こる強い下腹部痛や腰痛、吐き気などにより、日常生活に支障をきたす状態を指します。</v>
      </c>
      <c r="C166" s="31" t="str">
        <f>IFERROR(__xludf.DUMMYFUNCTION("""COMPUTED_VALUE"""),"生理痛")</f>
        <v>生理痛</v>
      </c>
      <c r="D166" s="31" t="str">
        <f>IFERROR(__xludf.DUMMYFUNCTION("""COMPUTED_VALUE"""),"月経困難症,定義,生理痛")</f>
        <v>月経困難症,定義,生理痛</v>
      </c>
      <c r="E166" s="32" t="str">
        <f>IFERROR(__xludf.DUMMYFUNCTION("""COMPUTED_VALUE"""),"https://luna-dr.com/subjects/menstrual-pain/")</f>
        <v>https://luna-dr.com/subjects/menstrual-pain/</v>
      </c>
    </row>
    <row r="167">
      <c r="A167" s="31" t="str">
        <f>IFERROR(__xludf.DUMMYFUNCTION("""COMPUTED_VALUE"""),"月経困難症には種類がありますか？")</f>
        <v>月経困難症には種類がありますか？</v>
      </c>
      <c r="B167" s="31" t="str">
        <f>IFERROR(__xludf.DUMMYFUNCTION("""COMPUTED_VALUE"""),"月経困難症には、病気が原因ではない「機能性月経困難症」と、子宮内膜症や子宮筋腫などが原因の「器質性月経困難症」があります。当院では、患者様一人ひとりの症状や原因、ライフプランに合わせて、様々な治療法をご提案しています。")</f>
        <v>月経困難症には、病気が原因ではない「機能性月経困難症」と、子宮内膜症や子宮筋腫などが原因の「器質性月経困難症」があります。当院では、患者様一人ひとりの症状や原因、ライフプランに合わせて、様々な治療法をご提案しています。</v>
      </c>
      <c r="C167" s="31" t="str">
        <f>IFERROR(__xludf.DUMMYFUNCTION("""COMPUTED_VALUE"""),"生理痛")</f>
        <v>生理痛</v>
      </c>
      <c r="D167" s="31" t="str">
        <f>IFERROR(__xludf.DUMMYFUNCTION("""COMPUTED_VALUE"""),"種類,機能性,器質性,生理痛")</f>
        <v>種類,機能性,器質性,生理痛</v>
      </c>
      <c r="E167" s="32" t="str">
        <f>IFERROR(__xludf.DUMMYFUNCTION("""COMPUTED_VALUE"""),"https://luna-dr.com/subjects/menstrual-pain/")</f>
        <v>https://luna-dr.com/subjects/menstrual-pain/</v>
      </c>
    </row>
    <row r="168">
      <c r="A168" s="31" t="str">
        <f>IFERROR(__xludf.DUMMYFUNCTION("""COMPUTED_VALUE"""),"子宮内膜症は生理痛の原因になりますか？")</f>
        <v>子宮内膜症は生理痛の原因になりますか？</v>
      </c>
      <c r="B168" s="31" t="str">
        <f>IFERROR(__xludf.DUMMYFUNCTION("""COMPUTED_VALUE"""),"子宮内膜症は強い生理痛や慢性的な下腹部痛の原因となることがあります。")</f>
        <v>子宮内膜症は強い生理痛や慢性的な下腹部痛の原因となることがあります。</v>
      </c>
      <c r="C168" s="31" t="str">
        <f>IFERROR(__xludf.DUMMYFUNCTION("""COMPUTED_VALUE"""),"生理痛")</f>
        <v>生理痛</v>
      </c>
      <c r="D168" s="31" t="str">
        <f>IFERROR(__xludf.DUMMYFUNCTION("""COMPUTED_VALUE"""),"子宮内膜症,原因,生理痛")</f>
        <v>子宮内膜症,原因,生理痛</v>
      </c>
      <c r="E168" s="32" t="str">
        <f>IFERROR(__xludf.DUMMYFUNCTION("""COMPUTED_VALUE"""),"https://luna-dr.com/subjects/menstrual-pain/")</f>
        <v>https://luna-dr.com/subjects/menstrual-pain/</v>
      </c>
    </row>
    <row r="169">
      <c r="A169" s="31" t="str">
        <f>IFERROR(__xludf.DUMMYFUNCTION("""COMPUTED_VALUE"""),"生理痛の診察ではどんな検査をしますか？")</f>
        <v>生理痛の診察ではどんな検査をしますか？</v>
      </c>
      <c r="B169" s="31" t="str">
        <f>IFERROR(__xludf.DUMMYFUNCTION("""COMPUTED_VALUE"""),"ルナレディースクリニックでは、生理痛の診察で必要に応じて超音波（エコー）検査を行い、子宮や卵巣の状態を確認します。")</f>
        <v>ルナレディースクリニックでは、生理痛の診察で必要に応じて超音波（エコー）検査を行い、子宮や卵巣の状態を確認します。</v>
      </c>
      <c r="C169" s="31" t="str">
        <f>IFERROR(__xludf.DUMMYFUNCTION("""COMPUTED_VALUE"""),"生理痛")</f>
        <v>生理痛</v>
      </c>
      <c r="D169" s="31" t="str">
        <f>IFERROR(__xludf.DUMMYFUNCTION("""COMPUTED_VALUE"""),"検査,エコー,生理痛")</f>
        <v>検査,エコー,生理痛</v>
      </c>
      <c r="E169" s="32" t="str">
        <f>IFERROR(__xludf.DUMMYFUNCTION("""COMPUTED_VALUE"""),"https://luna-dr.com/subjects/menstrual-pain/")</f>
        <v>https://luna-dr.com/subjects/menstrual-pain/</v>
      </c>
    </row>
    <row r="170">
      <c r="A170" s="31" t="str">
        <f>IFERROR(__xludf.DUMMYFUNCTION("""COMPUTED_VALUE"""),"生理痛の治療にはどんな方法がありますか？")</f>
        <v>生理痛の治療にはどんな方法がありますか？</v>
      </c>
      <c r="B170" s="31" t="str">
        <f>IFERROR(__xludf.DUMMYFUNCTION("""COMPUTED_VALUE"""),"生理痛の治療には、鎮痛剤、低用量ピル、漢方薬などがあります。ルナレディースクリニックでは、痛みの原因を的確に診断し、患者さまのライフスタイルに合わせた最適な治療法を一緒に考えていきます。")</f>
        <v>生理痛の治療には、鎮痛剤、低用量ピル、漢方薬などがあります。ルナレディースクリニックでは、痛みの原因を的確に診断し、患者さまのライフスタイルに合わせた最適な治療法を一緒に考えていきます。</v>
      </c>
      <c r="C170" s="31" t="str">
        <f>IFERROR(__xludf.DUMMYFUNCTION("""COMPUTED_VALUE"""),"生理痛")</f>
        <v>生理痛</v>
      </c>
      <c r="D170" s="31" t="str">
        <f>IFERROR(__xludf.DUMMYFUNCTION("""COMPUTED_VALUE"""),"治療方法,ピル,漢方,生理痛")</f>
        <v>治療方法,ピル,漢方,生理痛</v>
      </c>
      <c r="E170" s="32" t="str">
        <f>IFERROR(__xludf.DUMMYFUNCTION("""COMPUTED_VALUE"""),"https://luna-dr.com/subjects/menstrual-pain/")</f>
        <v>https://luna-dr.com/subjects/menstrual-pain/</v>
      </c>
    </row>
    <row r="171">
      <c r="A171" s="31" t="str">
        <f>IFERROR(__xludf.DUMMYFUNCTION("""COMPUTED_VALUE"""),"鎮痛剤とは？/NSAIDsとは？")</f>
        <v>鎮痛剤とは？/NSAIDsとは？</v>
      </c>
      <c r="B171" s="31" t="str">
        <f>IFERROR(__xludf.DUMMYFUNCTION("""COMPUTED_VALUE"""),"痛みの原因物質「プロスタグランジン」が作られるのを抑えるお薬です。ルナレディースクリニックでは、市販薬よりも効果の高いものを処方できます。")</f>
        <v>痛みの原因物質「プロスタグランジン」が作られるのを抑えるお薬です。ルナレディースクリニックでは、市販薬よりも効果の高いものを処方できます。</v>
      </c>
      <c r="C171" s="31" t="str">
        <f>IFERROR(__xludf.DUMMYFUNCTION("""COMPUTED_VALUE"""),"生理痛")</f>
        <v>生理痛</v>
      </c>
      <c r="D171" s="31" t="str">
        <f>IFERROR(__xludf.DUMMYFUNCTION("""COMPUTED_VALUE"""),"生理痛,鎮痛剤,NSAIDs,処方,生理痛")</f>
        <v>生理痛,鎮痛剤,NSAIDs,処方,生理痛</v>
      </c>
      <c r="E171" s="32" t="str">
        <f>IFERROR(__xludf.DUMMYFUNCTION("""COMPUTED_VALUE"""),"https://luna-dr.com/subjects/menstrual-pain/")</f>
        <v>https://luna-dr.com/subjects/menstrual-pain/</v>
      </c>
    </row>
    <row r="172">
      <c r="A172" s="31" t="str">
        <f>IFERROR(__xludf.DUMMYFUNCTION("""COMPUTED_VALUE"""),"鎮痛剤はいつ飲むのが効果的ですか？")</f>
        <v>鎮痛剤はいつ飲むのが効果的ですか？</v>
      </c>
      <c r="B172" s="31" t="str">
        <f>IFERROR(__xludf.DUMMYFUNCTION("""COMPUTED_VALUE"""),"鎮痛剤は、痛みが強くなる前や「痛くなりそう」と感じた初期の段階で服用すると効果的です。")</f>
        <v>鎮痛剤は、痛みが強くなる前や「痛くなりそう」と感じた初期の段階で服用すると効果的です。</v>
      </c>
      <c r="C172" s="31" t="str">
        <f>IFERROR(__xludf.DUMMYFUNCTION("""COMPUTED_VALUE"""),"生理痛")</f>
        <v>生理痛</v>
      </c>
      <c r="D172" s="31" t="str">
        <f>IFERROR(__xludf.DUMMYFUNCTION("""COMPUTED_VALUE"""),"鎮痛剤,飲むタイミング,生理痛")</f>
        <v>鎮痛剤,飲むタイミング,生理痛</v>
      </c>
      <c r="E172" s="32" t="str">
        <f>IFERROR(__xludf.DUMMYFUNCTION("""COMPUTED_VALUE"""),"https://luna-dr.com/subjects/menstrual-pain/")</f>
        <v>https://luna-dr.com/subjects/menstrual-pain/</v>
      </c>
    </row>
    <row r="173">
      <c r="A173" s="31" t="str">
        <f>IFERROR(__xludf.DUMMYFUNCTION("""COMPUTED_VALUE"""),"低用量ピルとは？/超低用量ピルとは？LEPとは？")</f>
        <v>低用量ピルとは？/超低用量ピルとは？LEPとは？</v>
      </c>
      <c r="B173" s="31" t="str">
        <f>IFERROR(__xludf.DUMMYFUNCTION("""COMPUTED_VALUE"""),"低用量ピルとは、毎日1錠ずつ服用して生理周期を安定させるお薬です。
排卵を抑え、子宮内膜が厚くなるのを根本から抑えることで、プロスタグランジンの産生を減らし、生理痛を劇的に改善します。経血量が減る、月経不順やPMS（月経前症候群）も改善するといった多くの良い副効用があります。
大きく2種類に分けることができます。
OC（自費ピル）：主に避妊に効果があり、個人差はありますが、ニキビ、生理痛、PMSにも効果が期待できます。
LEP（保険適用もあり）：月経困難症・子宮内膜症の治療")</f>
        <v>低用量ピルとは、毎日1錠ずつ服用して生理周期を安定させるお薬です。
排卵を抑え、子宮内膜が厚くなるのを根本から抑えることで、プロスタグランジンの産生を減らし、生理痛を劇的に改善します。経血量が減る、月経不順やPMS（月経前症候群）も改善するといった多くの良い副効用があります。
大きく2種類に分けることができます。
OC（自費ピル）：主に避妊に効果があり、個人差はありますが、ニキビ、生理痛、PMSにも効果が期待できます。
LEP（保険適用もあり）：月経困難症・子宮内膜症の治療</v>
      </c>
      <c r="C173" s="31" t="str">
        <f>IFERROR(__xludf.DUMMYFUNCTION("""COMPUTED_VALUE"""),"生理痛")</f>
        <v>生理痛</v>
      </c>
      <c r="D173" s="31" t="str">
        <f>IFERROR(__xludf.DUMMYFUNCTION("""COMPUTED_VALUE"""),"低用量,超低用量ピル,LEP,生理痛")</f>
        <v>低用量,超低用量ピル,LEP,生理痛</v>
      </c>
      <c r="E173" s="32" t="str">
        <f>IFERROR(__xludf.DUMMYFUNCTION("""COMPUTED_VALUE"""),"https://luna-dr.com/subjects/menstrual-pain/")</f>
        <v>https://luna-dr.com/subjects/menstrual-pain/</v>
      </c>
    </row>
    <row r="174">
      <c r="A174" s="31" t="str">
        <f>IFERROR(__xludf.DUMMYFUNCTION("""COMPUTED_VALUE"""),"ピルは生理痛に効果がありますか？")</f>
        <v>ピルは生理痛に効果がありますか？</v>
      </c>
      <c r="B174" s="31" t="str">
        <f>IFERROR(__xludf.DUMMYFUNCTION("""COMPUTED_VALUE"""),"低用量ピルは排卵を抑え、子宮内膜が厚くなるのを根本から抑えることで、プロスタグランジンの産生を減らし、生理痛を劇的に改善します。経血量が減る、月経不順やPMS（月経前症候群）も改善するといった多くの良い副効用があります。
保険適用で治療でき、中には生理の回数を年4回まで減らせるタイプのピルもあります。")</f>
        <v>低用量ピルは排卵を抑え、子宮内膜が厚くなるのを根本から抑えることで、プロスタグランジンの産生を減らし、生理痛を劇的に改善します。経血量が減る、月経不順やPMS（月経前症候群）も改善するといった多くの良い副効用があります。
保険適用で治療でき、中には生理の回数を年4回まで減らせるタイプのピルもあります。</v>
      </c>
      <c r="C174" s="31" t="str">
        <f>IFERROR(__xludf.DUMMYFUNCTION("""COMPUTED_VALUE"""),"生理痛")</f>
        <v>生理痛</v>
      </c>
      <c r="D174" s="31" t="str">
        <f>IFERROR(__xludf.DUMMYFUNCTION("""COMPUTED_VALUE"""),"低用量ピル,効果,生理痛")</f>
        <v>低用量ピル,効果,生理痛</v>
      </c>
      <c r="E174" s="32" t="str">
        <f>IFERROR(__xludf.DUMMYFUNCTION("""COMPUTED_VALUE"""),"https://luna-dr.com/subjects/menstrual-pain/")</f>
        <v>https://luna-dr.com/subjects/menstrual-pain/</v>
      </c>
    </row>
    <row r="175">
      <c r="A175" s="31" t="str">
        <f>IFERROR(__xludf.DUMMYFUNCTION("""COMPUTED_VALUE"""),"漢方薬で生理痛は改善しますか？")</f>
        <v>漢方薬で生理痛は改善しますか？</v>
      </c>
      <c r="B175" s="31" t="str">
        <f>IFERROR(__xludf.DUMMYFUNCTION("""COMPUTED_VALUE"""),"漢方薬は体質改善を目的とした治療で、生理痛の緩和につながる場合があります。ピルに抵抗がある方にも選択肢となります。")</f>
        <v>漢方薬は体質改善を目的とした治療で、生理痛の緩和につながる場合があります。ピルに抵抗がある方にも選択肢となります。</v>
      </c>
      <c r="C175" s="31" t="str">
        <f>IFERROR(__xludf.DUMMYFUNCTION("""COMPUTED_VALUE"""),"生理痛")</f>
        <v>生理痛</v>
      </c>
      <c r="D175" s="31" t="str">
        <f>IFERROR(__xludf.DUMMYFUNCTION("""COMPUTED_VALUE"""),"漢方薬,体質改善,生理痛")</f>
        <v>漢方薬,体質改善,生理痛</v>
      </c>
      <c r="E175" s="32" t="str">
        <f>IFERROR(__xludf.DUMMYFUNCTION("""COMPUTED_VALUE"""),"https://luna-dr.com/subjects/menstrual-pain/")</f>
        <v>https://luna-dr.com/subjects/menstrual-pain/</v>
      </c>
    </row>
    <row r="176">
      <c r="A176" s="31" t="str">
        <f>IFERROR(__xludf.DUMMYFUNCTION("""COMPUTED_VALUE"""),"生理痛の診察・検査の流れを教えてください")</f>
        <v>生理痛の診察・検査の流れを教えてください</v>
      </c>
      <c r="B176" s="31" t="str">
        <f>IFERROR(__xludf.DUMMYFUNCTION("""COMPUTED_VALUE"""),"ルナレディースクリニックでは、生理痛の診察は以下の流れで行っています。まず、公式LINEからご予約いただき、来院前にWEB問診で痛みの程度や始まった時期、月経周期などをご入力いただきます。次に、診察では医師が問診内容をもとに痛みの特徴や妊娠のご希望の有無などを確認し、必要な検査についてご説明します。病気が隠れている可能性がある場合は、超音波（エコー）検査で子宮や卵巣の状態を確認します。その後、診察・検査結果をもとに、症状やライフスタイルに合わせた治療方針をご提案し、ご納得いただいたうえで治療を開始します。")</f>
        <v>ルナレディースクリニックでは、生理痛の診察は以下の流れで行っています。まず、公式LINEからご予約いただき、来院前にWEB問診で痛みの程度や始まった時期、月経周期などをご入力いただきます。次に、診察では医師が問診内容をもとに痛みの特徴や妊娠のご希望の有無などを確認し、必要な検査についてご説明します。病気が隠れている可能性がある場合は、超音波（エコー）検査で子宮や卵巣の状態を確認します。その後、診察・検査結果をもとに、症状やライフスタイルに合わせた治療方針をご提案し、ご納得いただいたうえで治療を開始します。</v>
      </c>
      <c r="C176" s="31" t="str">
        <f>IFERROR(__xludf.DUMMYFUNCTION("""COMPUTED_VALUE"""),"生理痛")</f>
        <v>生理痛</v>
      </c>
      <c r="D176" s="31" t="str">
        <f>IFERROR(__xludf.DUMMYFUNCTION("""COMPUTED_VALUE"""),"診察の流れ,検査,エコー,治療,生理痛")</f>
        <v>診察の流れ,検査,エコー,治療,生理痛</v>
      </c>
      <c r="E176" s="32" t="str">
        <f>IFERROR(__xludf.DUMMYFUNCTION("""COMPUTED_VALUE"""),"https://luna-dr.com/subjects/menstrual-pain/")</f>
        <v>https://luna-dr.com/subjects/menstrual-pain/</v>
      </c>
    </row>
    <row r="177">
      <c r="A177" s="31" t="str">
        <f>IFERROR(__xludf.DUMMYFUNCTION("""COMPUTED_VALUE"""),"低用量ピルは初診からオンライン診療で処方できますか？")</f>
        <v>低用量ピルは初診からオンライン診療で処方できますか？</v>
      </c>
      <c r="B177" s="31" t="str">
        <f>IFERROR(__xludf.DUMMYFUNCTION("""COMPUTED_VALUE"""),"治療目的での初回処方は症状の診察や検査が必要なため、必ず【来院】での診療予約をお願いいたします。
※避妊目的の低用量ピル（OC）の場合は来院診療・オンライン診療のどちらも選択可能です。")</f>
        <v>治療目的での初回処方は症状の診察や検査が必要なため、必ず【来院】での診療予約をお願いいたします。
※避妊目的の低用量ピル（OC）の場合は来院診療・オンライン診療のどちらも選択可能です。</v>
      </c>
      <c r="C177" s="31" t="str">
        <f>IFERROR(__xludf.DUMMYFUNCTION("""COMPUTED_VALUE"""),"低用量ピル")</f>
        <v>低用量ピル</v>
      </c>
      <c r="D177" s="31" t="str">
        <f>IFERROR(__xludf.DUMMYFUNCTION("""COMPUTED_VALUE"""),"初診,来院診療,検査,生理痛")</f>
        <v>初診,来院診療,検査,生理痛</v>
      </c>
      <c r="E177" s="32" t="str">
        <f>IFERROR(__xludf.DUMMYFUNCTION("""COMPUTED_VALUE"""),"https://luna-dr.com/subjects/low-dose-pill/")</f>
        <v>https://luna-dr.com/subjects/low-dose-pill/</v>
      </c>
    </row>
    <row r="178">
      <c r="A178" s="31" t="str">
        <f>IFERROR(__xludf.DUMMYFUNCTION("""COMPUTED_VALUE"""),"アフターピルは初診でもオンライン診療を利用できますか？")</f>
        <v>アフターピルは初診でもオンライン診療を利用できますか？</v>
      </c>
      <c r="B178" s="31" t="str">
        <f>IFERROR(__xludf.DUMMYFUNCTION("""COMPUTED_VALUE"""),"アフターピルは初診の方でもオンライン診療をご利用いただけます。来院せずにご相談・処方が可能です。")</f>
        <v>アフターピルは初診の方でもオンライン診療をご利用いただけます。来院せずにご相談・処方が可能です。</v>
      </c>
      <c r="C178" s="31" t="str">
        <f>IFERROR(__xludf.DUMMYFUNCTION("""COMPUTED_VALUE"""),"アフターピル")</f>
        <v>アフターピル</v>
      </c>
      <c r="D178" s="31" t="str">
        <f>IFERROR(__xludf.DUMMYFUNCTION("""COMPUTED_VALUE"""),"初診,オンライン診療,緊急避妊")</f>
        <v>初診,オンライン診療,緊急避妊</v>
      </c>
      <c r="E178" s="32" t="str">
        <f>IFERROR(__xludf.DUMMYFUNCTION("""COMPUTED_VALUE"""),"https://luna-dr.com/subjects/after-pill/")</f>
        <v>https://luna-dr.com/subjects/after-pill/</v>
      </c>
    </row>
    <row r="179">
      <c r="A179" s="31" t="str">
        <f>IFERROR(__xludf.DUMMYFUNCTION("""COMPUTED_VALUE"""),"低用量ピルとアフターピルで診療方法が違うのはなぜですか？")</f>
        <v>低用量ピルとアフターピルで診療方法が違うのはなぜですか？</v>
      </c>
      <c r="B179" s="31" t="str">
        <f>IFERROR(__xludf.DUMMYFUNCTION("""COMPUTED_VALUE"""),"ルナレディースクリニックでは、安全に治療を行うため、薬の目的や性質に応じて診療方法を分けています。アフターピルは緊急性を考慮し初診からオンライン診療に対応していますが、低用量ピルの治療目的での初回処方は検査が必要なため来院診療をご案内しています。")</f>
        <v>ルナレディースクリニックでは、安全に治療を行うため、薬の目的や性質に応じて診療方法を分けています。アフターピルは緊急性を考慮し初診からオンライン診療に対応していますが、低用量ピルの治療目的での初回処方は検査が必要なため来院診療をご案内しています。</v>
      </c>
      <c r="C179" s="31" t="str">
        <f>IFERROR(__xludf.DUMMYFUNCTION("""COMPUTED_VALUE"""),"ピル共通")</f>
        <v>ピル共通</v>
      </c>
      <c r="D179" s="31" t="str">
        <f>IFERROR(__xludf.DUMMYFUNCTION("""COMPUTED_VALUE"""),"診療方法,オンライン,来院")</f>
        <v>診療方法,オンライン,来院</v>
      </c>
      <c r="E179" s="32" t="str">
        <f>IFERROR(__xludf.DUMMYFUNCTION("""COMPUTED_VALUE"""),"https://luna-dr.com/")</f>
        <v>https://luna-dr.com/</v>
      </c>
    </row>
    <row r="180">
      <c r="A180" s="31" t="str">
        <f>IFERROR(__xludf.DUMMYFUNCTION("""COMPUTED_VALUE"""),"生理痛の診察や検査はオンラインでも受けられますか？")</f>
        <v>生理痛の診察や検査はオンラインでも受けられますか？</v>
      </c>
      <c r="B180" s="31" t="str">
        <f>IFERROR(__xludf.DUMMYFUNCTION("""COMPUTED_VALUE"""),"治療目的での初回処方は検査が必要なため【来院診療】となります。2回目以降はオンライン診療でピルの処方が可能です。")</f>
        <v>治療目的での初回処方は検査が必要なため【来院診療】となります。2回目以降はオンライン診療でピルの処方が可能です。</v>
      </c>
      <c r="C180" s="31" t="str">
        <f>IFERROR(__xludf.DUMMYFUNCTION("""COMPUTED_VALUE"""),"生理痛")</f>
        <v>生理痛</v>
      </c>
      <c r="D180" s="31" t="str">
        <f>IFERROR(__xludf.DUMMYFUNCTION("""COMPUTED_VALUE"""),"オンライン診療,検査,来院診療")</f>
        <v>オンライン診療,検査,来院診療</v>
      </c>
      <c r="E180" s="32" t="str">
        <f>IFERROR(__xludf.DUMMYFUNCTION("""COMPUTED_VALUE"""),"https://luna-dr.com/subjects/menstrual-pain/")</f>
        <v>https://luna-dr.com/subjects/menstrual-pain/</v>
      </c>
    </row>
    <row r="181">
      <c r="A181" s="31" t="str">
        <f>IFERROR(__xludf.DUMMYFUNCTION("""COMPUTED_VALUE"""),"生理痛の診察は保険適用ですか？")</f>
        <v>生理痛の診察は保険適用ですか？</v>
      </c>
      <c r="B181" s="31" t="str">
        <f>IFERROR(__xludf.DUMMYFUNCTION("""COMPUTED_VALUE"""),"ルナレディースクリニックでは、生理痛の診察や治療は保険診療を基本としています。")</f>
        <v>ルナレディースクリニックでは、生理痛の診察や治療は保険診療を基本としています。</v>
      </c>
      <c r="C181" s="31" t="str">
        <f>IFERROR(__xludf.DUMMYFUNCTION("""COMPUTED_VALUE"""),"生理痛")</f>
        <v>生理痛</v>
      </c>
      <c r="D181" s="31" t="str">
        <f>IFERROR(__xludf.DUMMYFUNCTION("""COMPUTED_VALUE"""),"保険診療,費用,生理痛")</f>
        <v>保険診療,費用,生理痛</v>
      </c>
      <c r="E181" s="32" t="str">
        <f>IFERROR(__xludf.DUMMYFUNCTION("""COMPUTED_VALUE"""),"https://luna-dr.com/subjects/menstrual-pain/")</f>
        <v>https://luna-dr.com/subjects/menstrual-pain/</v>
      </c>
    </row>
    <row r="182">
      <c r="A182" s="31" t="str">
        <f>IFERROR(__xludf.DUMMYFUNCTION("""COMPUTED_VALUE"""),"生理痛の検査や治療の費用はいくらくらいですか？")</f>
        <v>生理痛の検査や治療の費用はいくらくらいですか？</v>
      </c>
      <c r="B182" s="31" t="str">
        <f>IFERROR(__xludf.DUMMYFUNCTION("""COMPUTED_VALUE"""),"子宮の超音波検査は約1,600円、鎮痛剤処方は約400円、保険適用ピル処方は約2,700円が目安です。別途初診料・再診料がかかります。")</f>
        <v>子宮の超音波検査は約1,600円、鎮痛剤処方は約400円、保険適用ピル処方は約2,700円が目安です。別途初診料・再診料がかかります。</v>
      </c>
      <c r="C182" s="31" t="str">
        <f>IFERROR(__xludf.DUMMYFUNCTION("""COMPUTED_VALUE"""),"生理痛")</f>
        <v>生理痛</v>
      </c>
      <c r="D182" s="31" t="str">
        <f>IFERROR(__xludf.DUMMYFUNCTION("""COMPUTED_VALUE"""),"料金,費用目安,生理痛")</f>
        <v>料金,費用目安,生理痛</v>
      </c>
      <c r="E182" s="32" t="str">
        <f>IFERROR(__xludf.DUMMYFUNCTION("""COMPUTED_VALUE"""),"https://luna-dr.com/subjects/menstrual-pain/")</f>
        <v>https://luna-dr.com/subjects/menstrual-pain/</v>
      </c>
    </row>
    <row r="183">
      <c r="A183" s="31" t="str">
        <f>IFERROR(__xludf.DUMMYFUNCTION("""COMPUTED_VALUE"""),"生理痛と生理不順は関係がありますか？")</f>
        <v>生理痛と生理不順は関係がありますか？</v>
      </c>
      <c r="B183" s="31" t="str">
        <f>IFERROR(__xludf.DUMMYFUNCTION("""COMPUTED_VALUE"""),"ホルモンバランスの乱れにより、生理不順と生理痛が同時に起こることがあります。気になる場合は相談をおすすめします。")</f>
        <v>ホルモンバランスの乱れにより、生理不順と生理痛が同時に起こることがあります。気になる場合は相談をおすすめします。</v>
      </c>
      <c r="C183" s="31" t="str">
        <f>IFERROR(__xludf.DUMMYFUNCTION("""COMPUTED_VALUE"""),"生理痛")</f>
        <v>生理痛</v>
      </c>
      <c r="D183" s="31" t="str">
        <f>IFERROR(__xludf.DUMMYFUNCTION("""COMPUTED_VALUE"""),"生理不順,ホルモン,生理痛")</f>
        <v>生理不順,ホルモン,生理痛</v>
      </c>
      <c r="E183" s="32" t="str">
        <f>IFERROR(__xludf.DUMMYFUNCTION("""COMPUTED_VALUE"""),"https://luna-dr.com/subjects/menstrual-pain/")</f>
        <v>https://luna-dr.com/subjects/menstrual-pain/</v>
      </c>
    </row>
    <row r="184">
      <c r="A184" s="31" t="str">
        <f>IFERROR(__xludf.DUMMYFUNCTION("""COMPUTED_VALUE"""),"生理痛がある場合、生理日をずらすことはできますか？")</f>
        <v>生理痛がある場合、生理日をずらすことはできますか？</v>
      </c>
      <c r="B184" s="31" t="str">
        <f>IFERROR(__xludf.DUMMYFUNCTION("""COMPUTED_VALUE"""),"生理痛がつらい場合、ピルを使って生理日を調整する月経移動という方法があります。ご予定がある場合はご相談ください。")</f>
        <v>生理痛がつらい場合、ピルを使って生理日を調整する月経移動という方法があります。ご予定がある場合はご相談ください。</v>
      </c>
      <c r="C184" s="31" t="str">
        <f>IFERROR(__xludf.DUMMYFUNCTION("""COMPUTED_VALUE"""),"生理痛")</f>
        <v>生理痛</v>
      </c>
      <c r="D184" s="31" t="str">
        <f>IFERROR(__xludf.DUMMYFUNCTION("""COMPUTED_VALUE"""),"月経移動,相談,生理痛")</f>
        <v>月経移動,相談,生理痛</v>
      </c>
      <c r="E184" s="32" t="str">
        <f>IFERROR(__xludf.DUMMYFUNCTION("""COMPUTED_VALUE"""),"https://luna-dr.com/subjects/menstrual-pain/")</f>
        <v>https://luna-dr.com/subjects/menstrual-pain/</v>
      </c>
    </row>
    <row r="185">
      <c r="A185" s="31" t="str">
        <f>IFERROR(__xludf.DUMMYFUNCTION("""COMPUTED_VALUE"""),"生理痛の相談はどうやって予約すればいいですか？")</f>
        <v>生理痛の相談はどうやって予約すればいいですか？</v>
      </c>
      <c r="B185" s="31" t="str">
        <f>IFERROR(__xludf.DUMMYFUNCTION("""COMPUTED_VALUE"""),"ルナレディースクリニックでは、公式LINEから生理痛の診察予約が可能です。24時間いつでもご自身のタイミングで予約できます。
来院診療の場合は「一般婦人科診療」のメニューでご予約ください。WEB問診票に症状をご入力いただくとスムーズです。→https://cline-app.com/qr-codes/98ad6f149bfa20f4f2a9a2e91aac4187/preview
オンライン診療のご予約はこちら→https://liff-gateway.lineml.jp/landing?follow=%"&amp;"40590gpxrd&amp;lp=fX73yx&amp;liff_id=1657094566-LmjNPPbV")</f>
        <v>ルナレディースクリニックでは、公式LINEから生理痛の診察予約が可能です。24時間いつでもご自身のタイミングで予約できます。
来院診療の場合は「一般婦人科診療」のメニューでご予約ください。WEB問診票に症状をご入力いただくとスムーズです。→https://cline-app.com/qr-codes/98ad6f149bfa20f4f2a9a2e91aac4187/preview
オンライン診療のご予約はこちら→https://liff-gateway.lineml.jp/landing?follow=%40590gpxrd&amp;lp=fX73yx&amp;liff_id=1657094566-LmjNPPbV</v>
      </c>
      <c r="C185" s="31" t="str">
        <f>IFERROR(__xludf.DUMMYFUNCTION("""COMPUTED_VALUE"""),"生理痛")</f>
        <v>生理痛</v>
      </c>
      <c r="D185" s="31" t="str">
        <f>IFERROR(__xludf.DUMMYFUNCTION("""COMPUTED_VALUE"""),"予約方法,LINE予約,電話予約,生理痛")</f>
        <v>予約方法,LINE予約,電話予約,生理痛</v>
      </c>
      <c r="E185" s="32" t="str">
        <f>IFERROR(__xludf.DUMMYFUNCTION("""COMPUTED_VALUE"""),"https://luna-dr.com/subjects/menstrual-pain/")</f>
        <v>https://luna-dr.com/subjects/menstrual-pain/</v>
      </c>
    </row>
    <row r="186">
      <c r="A186" s="31" t="str">
        <f>IFERROR(__xludf.DUMMYFUNCTION("""COMPUTED_VALUE"""),"生理痛はLINEから予約できますか？")</f>
        <v>生理痛はLINEから予約できますか？</v>
      </c>
      <c r="B186" s="31" t="str">
        <f>IFERROR(__xludf.DUMMYFUNCTION("""COMPUTED_VALUE"""),"ルナレディースクリニックでは、公式LINEから生理痛の診察予約が可能です。24時間いつでもご自身のタイミングで予約できます。
来院診療の場合は「一般婦人科診療」のメニューでご予約ください。WEB問診票に症状をご入力いただくとスムーズです。→https://cline-app.com/qr-codes/98ad6f149bfa20f4f2a9a2e91aac4187/preview
オンライン診療のご予約はこちら→https://liff-gateway.lineml.jp/landing?follow=%"&amp;"40590gpxrd&amp;lp=fX73yx&amp;liff_id=1657094566-LmjNPPbV")</f>
        <v>ルナレディースクリニックでは、公式LINEから生理痛の診察予約が可能です。24時間いつでもご自身のタイミングで予約できます。
来院診療の場合は「一般婦人科診療」のメニューでご予約ください。WEB問診票に症状をご入力いただくとスムーズです。→https://cline-app.com/qr-codes/98ad6f149bfa20f4f2a9a2e91aac4187/preview
オンライン診療のご予約はこちら→https://liff-gateway.lineml.jp/landing?follow=%40590gpxrd&amp;lp=fX73yx&amp;liff_id=1657094566-LmjNPPbV</v>
      </c>
      <c r="C186" s="31" t="str">
        <f>IFERROR(__xludf.DUMMYFUNCTION("""COMPUTED_VALUE"""),"生理痛")</f>
        <v>生理痛</v>
      </c>
      <c r="D186" s="31" t="str">
        <f>IFERROR(__xludf.DUMMYFUNCTION("""COMPUTED_VALUE"""),"LINE予約,婦人科予約,生理痛")</f>
        <v>LINE予約,婦人科予約,生理痛</v>
      </c>
      <c r="E186" s="32" t="str">
        <f>IFERROR(__xludf.DUMMYFUNCTION("""COMPUTED_VALUE"""),"https://luna-dr.com/subjects/menstrual-pain/")</f>
        <v>https://luna-dr.com/subjects/menstrual-pain/</v>
      </c>
    </row>
    <row r="187">
      <c r="A187" s="31" t="str">
        <f>IFERROR(__xludf.DUMMYFUNCTION("""COMPUTED_VALUE"""),"生理痛は電話でも予約できますか？")</f>
        <v>生理痛は電話でも予約できますか？</v>
      </c>
      <c r="B187" s="31" t="str">
        <f>IFERROR(__xludf.DUMMYFUNCTION("""COMPUTED_VALUE"""),"LINEでの予約後、事前問診等もLINEから行うことができ、スムーズに受診ができるため、当院ではLINEでのご予約を推奨しております。
来院診療の場合は「一般婦人科診療」のメニューでご予約ください→https://cline-app.com/qr-codes/98ad6f149bfa20f4f2a9a2e91aac4187/preview
オンライン診療のご予約はこちら→https://liff-gateway.lineml.jp/landing?follow=%40590gpxrd&amp;lp=fX73yx"&amp;"&amp;liff_id=1657094566-LmjNPPbV")</f>
        <v>LINEでの予約後、事前問診等もLINEから行うことができ、スムーズに受診ができるため、当院ではLINEでのご予約を推奨しております。
来院診療の場合は「一般婦人科診療」のメニューでご予約ください→https://cline-app.com/qr-codes/98ad6f149bfa20f4f2a9a2e91aac4187/preview
オンライン診療のご予約はこちら→https://liff-gateway.lineml.jp/landing?follow=%40590gpxrd&amp;lp=fX73yx&amp;liff_id=1657094566-LmjNPPbV</v>
      </c>
      <c r="C187" s="31" t="str">
        <f>IFERROR(__xludf.DUMMYFUNCTION("""COMPUTED_VALUE"""),"生理痛")</f>
        <v>生理痛</v>
      </c>
      <c r="D187" s="31" t="str">
        <f>IFERROR(__xludf.DUMMYFUNCTION("""COMPUTED_VALUE"""),"電話予約,問い合わせ,生理痛")</f>
        <v>電話予約,問い合わせ,生理痛</v>
      </c>
      <c r="E187" s="32" t="str">
        <f>IFERROR(__xludf.DUMMYFUNCTION("""COMPUTED_VALUE"""),"https://luna-dr.com/subjects/menstrual-pain/")</f>
        <v>https://luna-dr.com/subjects/menstrual-pain/</v>
      </c>
    </row>
    <row r="188">
      <c r="A188" s="31" t="str">
        <f>IFERROR(__xludf.DUMMYFUNCTION("""COMPUTED_VALUE"""),"生理痛は予約なしでも相談できますか？")</f>
        <v>生理痛は予約なしでも相談できますか？</v>
      </c>
      <c r="B188" s="31" t="str">
        <f>IFERROR(__xludf.DUMMYFUNCTION("""COMPUTED_VALUE"""),"来院治療の場合、予約外来院も可能です。スムーズなご案内のため、事前予約をおすすめしています。")</f>
        <v>来院治療の場合、予約外来院も可能です。スムーズなご案内のため、事前予約をおすすめしています。</v>
      </c>
      <c r="C188" s="31" t="str">
        <f>IFERROR(__xludf.DUMMYFUNCTION("""COMPUTED_VALUE"""),"生理痛")</f>
        <v>生理痛</v>
      </c>
      <c r="D188" s="31" t="str">
        <f>IFERROR(__xludf.DUMMYFUNCTION("""COMPUTED_VALUE"""),"予約なし,受診,生理痛")</f>
        <v>予約なし,受診,生理痛</v>
      </c>
      <c r="E188" s="32" t="str">
        <f>IFERROR(__xludf.DUMMYFUNCTION("""COMPUTED_VALUE"""),"https://luna-dr.com/subjects/menstrual-pain/")</f>
        <v>https://luna-dr.com/subjects/menstrual-pain/</v>
      </c>
    </row>
    <row r="189">
      <c r="A189" s="31" t="str">
        <f>IFERROR(__xludf.DUMMYFUNCTION("""COMPUTED_VALUE"""),"生理痛の予約前に準備しておくことはありますか？")</f>
        <v>生理痛の予約前に準備しておくことはありますか？</v>
      </c>
      <c r="B189" s="31" t="str">
        <f>IFERROR(__xludf.DUMMYFUNCTION("""COMPUTED_VALUE"""),"ルナレディースクリニックでは、診察前に、痛みの程度や月経周期などをWEB問診にご入力いただくと、診察がスムーズに進みます。")</f>
        <v>ルナレディースクリニックでは、診察前に、痛みの程度や月経周期などをWEB問診にご入力いただくと、診察がスムーズに進みます。</v>
      </c>
      <c r="C189" s="31" t="str">
        <f>IFERROR(__xludf.DUMMYFUNCTION("""COMPUTED_VALUE"""),"生理痛")</f>
        <v>生理痛</v>
      </c>
      <c r="D189" s="31" t="str">
        <f>IFERROR(__xludf.DUMMYFUNCTION("""COMPUTED_VALUE"""),"WEB問診,事前準備,生理痛")</f>
        <v>WEB問診,事前準備,生理痛</v>
      </c>
      <c r="E189" s="32" t="str">
        <f>IFERROR(__xludf.DUMMYFUNCTION("""COMPUTED_VALUE"""),"https://luna-dr.com/subjects/menstrual-pain/")</f>
        <v>https://luna-dr.com/subjects/menstrual-pain/</v>
      </c>
    </row>
    <row r="190">
      <c r="A190" s="31" t="str">
        <f>IFERROR(__xludf.DUMMYFUNCTION("""COMPUTED_VALUE"""),"生理痛は初診でも予約できますか？")</f>
        <v>生理痛は初診でも予約できますか？</v>
      </c>
      <c r="B190" s="31" t="str">
        <f>IFERROR(__xludf.DUMMYFUNCTION("""COMPUTED_VALUE"""),"生理痛は初診の方もご予約いただけます。ご予約は公式LINEから受け付けておりますので、友だち追加の上ご利用ください。
来院診療の場合は「一般婦人科診療」のメニューでご予約ください。WEB問診票に症状をご入力いただくとスムーズです。→https://cline-app.com/qr-codes/98ad6f149bfa20f4f2a9a2e91aac4187/preview
オンライン診療のご予約はこちら→https://liff-gateway.lineml.jp/landing?follow=%405"&amp;"90gpxrd&amp;lp=fX73yx&amp;liff_id=1657094566-LmjNPPbV")</f>
        <v>生理痛は初診の方もご予約いただけます。ご予約は公式LINEから受け付けておりますので、友だち追加の上ご利用ください。
来院診療の場合は「一般婦人科診療」のメニューでご予約ください。WEB問診票に症状をご入力いただくとスムーズです。→https://cline-app.com/qr-codes/98ad6f149bfa20f4f2a9a2e91aac4187/preview
オンライン診療のご予約はこちら→https://liff-gateway.lineml.jp/landing?follow=%40590gpxrd&amp;lp=fX73yx&amp;liff_id=1657094566-LmjNPPbV</v>
      </c>
      <c r="C190" s="31" t="str">
        <f>IFERROR(__xludf.DUMMYFUNCTION("""COMPUTED_VALUE"""),"生理痛")</f>
        <v>生理痛</v>
      </c>
      <c r="D190" s="31" t="str">
        <f>IFERROR(__xludf.DUMMYFUNCTION("""COMPUTED_VALUE"""),"初診,予約,生理痛")</f>
        <v>初診,予約,生理痛</v>
      </c>
      <c r="E190" s="32" t="str">
        <f>IFERROR(__xludf.DUMMYFUNCTION("""COMPUTED_VALUE"""),"https://luna-dr.com/subjects/menstrual-pain/")</f>
        <v>https://luna-dr.com/subjects/menstrual-pain/</v>
      </c>
    </row>
    <row r="191">
      <c r="A191" s="31" t="str">
        <f>IFERROR(__xludf.DUMMYFUNCTION("""COMPUTED_VALUE"""),"生理痛は来院とオンライン、どちらで予約できますか？")</f>
        <v>生理痛は来院とオンライン、どちらで予約できますか？</v>
      </c>
      <c r="B191" s="31" t="str">
        <f>IFERROR(__xludf.DUMMYFUNCTION("""COMPUTED_VALUE"""),"ルナレディースクリニックでは、生理痛のご相談は来院診療とオンライン診療のどちらでも予約が可能です。ご自身のライフスタイルに合わせて選べます。
来院診療の場合は「一般婦人科診療」のメニューでご予約ください。WEB問診票に症状をご入力いただくとスムーズです。→https://cline-app.com/qr-codes/98ad6f149bfa20f4f2a9a2e91aac4187/preview
オンライン診療のご予約はこちら→https://liff-gateway.lineml.jp/landing"&amp;"?follow=%40590gpxrd&amp;lp=fX73yx&amp;liff_id=1657094566-LmjNPPbV")</f>
        <v>ルナレディースクリニックでは、生理痛のご相談は来院診療とオンライン診療のどちらでも予約が可能です。ご自身のライフスタイルに合わせて選べます。
来院診療の場合は「一般婦人科診療」のメニューでご予約ください。WEB問診票に症状をご入力いただくとスムーズです。→https://cline-app.com/qr-codes/98ad6f149bfa20f4f2a9a2e91aac4187/preview
オンライン診療のご予約はこちら→https://liff-gateway.lineml.jp/landing?follow=%40590gpxrd&amp;lp=fX73yx&amp;liff_id=1657094566-LmjNPPbV</v>
      </c>
      <c r="C191" s="31" t="str">
        <f>IFERROR(__xludf.DUMMYFUNCTION("""COMPUTED_VALUE"""),"生理痛")</f>
        <v>生理痛</v>
      </c>
      <c r="D191" s="31" t="str">
        <f>IFERROR(__xludf.DUMMYFUNCTION("""COMPUTED_VALUE"""),"来院診療,オンライン診療,生理痛")</f>
        <v>来院診療,オンライン診療,生理痛</v>
      </c>
      <c r="E191" s="32" t="str">
        <f>IFERROR(__xludf.DUMMYFUNCTION("""COMPUTED_VALUE"""),"https://luna-dr.com/subjects/menstrual-pain/")</f>
        <v>https://luna-dr.com/subjects/menstrual-pain/</v>
      </c>
    </row>
    <row r="192">
      <c r="A192" s="31" t="str">
        <f>IFERROR(__xludf.DUMMYFUNCTION("""COMPUTED_VALUE"""),"ピルとは何ですか？")</f>
        <v>ピルとは何ですか？</v>
      </c>
      <c r="B192" s="31" t="str">
        <f>IFERROR(__xludf.DUMMYFUNCTION("""COMPUTED_VALUE"""),"ピルとは、女性ホルモンを含むお薬で、排卵を抑えるなどの作用により、避妊や生理に関するトラブルの改善を目的として使用されます。ルナレディースクリニックでは、目的に応じて低用量ピルやアフターピルの処方を行っています。また患者さまのライフスタイルに合わせて、ご自宅から受診できる「オンライン診療」と、直接相談できる「来院診療」をお選びいただけます。")</f>
        <v>ピルとは、女性ホルモンを含むお薬で、排卵を抑えるなどの作用により、避妊や生理に関するトラブルの改善を目的として使用されます。ルナレディースクリニックでは、目的に応じて低用量ピルやアフターピルの処方を行っています。また患者さまのライフスタイルに合わせて、ご自宅から受診できる「オンライン診療」と、直接相談できる「来院診療」をお選びいただけます。</v>
      </c>
      <c r="C192" s="31" t="str">
        <f>IFERROR(__xludf.DUMMYFUNCTION("""COMPUTED_VALUE"""),"ピル処方")</f>
        <v>ピル処方</v>
      </c>
      <c r="D192" s="31" t="str">
        <f>IFERROR(__xludf.DUMMYFUNCTION("""COMPUTED_VALUE"""),"ピル,定義")</f>
        <v>ピル,定義</v>
      </c>
      <c r="E192" s="32" t="str">
        <f>IFERROR(__xludf.DUMMYFUNCTION("""COMPUTED_VALUE"""),"https://luna-dr.com/subjects/pill-prescription/")</f>
        <v>https://luna-dr.com/subjects/pill-prescription/</v>
      </c>
    </row>
    <row r="193">
      <c r="A193" s="31" t="str">
        <f>IFERROR(__xludf.DUMMYFUNCTION("""COMPUTED_VALUE"""),"低用量ピルとは何ですか？")</f>
        <v>低用量ピルとは何ですか？</v>
      </c>
      <c r="B193" s="31" t="str">
        <f>IFERROR(__xludf.DUMMYFUNCTION("""COMPUTED_VALUE"""),"低用量ピルとは、毎日1錠を継続して服用することで、排卵を抑え、避妊や生理痛・生理不順・PMSの改善を目的としたお薬です。")</f>
        <v>低用量ピルとは、毎日1錠を継続して服用することで、排卵を抑え、避妊や生理痛・生理不順・PMSの改善を目的としたお薬です。</v>
      </c>
      <c r="C193" s="31" t="str">
        <f>IFERROR(__xludf.DUMMYFUNCTION("""COMPUTED_VALUE"""),"低用量ピル")</f>
        <v>低用量ピル</v>
      </c>
      <c r="D193" s="31" t="str">
        <f>IFERROR(__xludf.DUMMYFUNCTION("""COMPUTED_VALUE"""),"低用量ピル,定義")</f>
        <v>低用量ピル,定義</v>
      </c>
      <c r="E193" s="32" t="str">
        <f>IFERROR(__xludf.DUMMYFUNCTION("""COMPUTED_VALUE"""),"https://luna-dr.com/subjects/pill-prescription/")</f>
        <v>https://luna-dr.com/subjects/pill-prescription/</v>
      </c>
    </row>
    <row r="194">
      <c r="A194" s="31" t="str">
        <f>IFERROR(__xludf.DUMMYFUNCTION("""COMPUTED_VALUE"""),"アフターピルとは何ですか？")</f>
        <v>アフターピルとは何ですか？</v>
      </c>
      <c r="B194" s="31" t="str">
        <f>IFERROR(__xludf.DUMMYFUNCTION("""COMPUTED_VALUE"""),"アフターピルとは、避妊に失敗した場合などに、性行為後できるだけ早く服用することで、緊急的に妊娠を防ぐためのお薬です。")</f>
        <v>アフターピルとは、避妊に失敗した場合などに、性行為後できるだけ早く服用することで、緊急的に妊娠を防ぐためのお薬です。</v>
      </c>
      <c r="C194" s="31" t="str">
        <f>IFERROR(__xludf.DUMMYFUNCTION("""COMPUTED_VALUE"""),"アフターピル")</f>
        <v>アフターピル</v>
      </c>
      <c r="D194" s="31" t="str">
        <f>IFERROR(__xludf.DUMMYFUNCTION("""COMPUTED_VALUE"""),"アフターピル,定義,緊急避妊")</f>
        <v>アフターピル,定義,緊急避妊</v>
      </c>
      <c r="E194" s="32" t="str">
        <f>IFERROR(__xludf.DUMMYFUNCTION("""COMPUTED_VALUE"""),"https://luna-dr.com/subjects/pill-prescription/")</f>
        <v>https://luna-dr.com/subjects/pill-prescription/</v>
      </c>
    </row>
    <row r="195">
      <c r="A195" s="31" t="str">
        <f>IFERROR(__xludf.DUMMYFUNCTION("""COMPUTED_VALUE"""),"ピルにはどんな種類がありますか？")</f>
        <v>ピルにはどんな種類がありますか？</v>
      </c>
      <c r="B195" s="31" t="str">
        <f>IFERROR(__xludf.DUMMYFUNCTION("""COMPUTED_VALUE"""),"ピルには、毎日服用して避妊や生理トラブルの改善を行う低用量ピルと、緊急時に1回だけ服用するアフターピルがあります。目的によって使い分けます。")</f>
        <v>ピルには、毎日服用して避妊や生理トラブルの改善を行う低用量ピルと、緊急時に1回だけ服用するアフターピルがあります。目的によって使い分けます。</v>
      </c>
      <c r="C195" s="31" t="str">
        <f>IFERROR(__xludf.DUMMYFUNCTION("""COMPUTED_VALUE"""),"ピル処方")</f>
        <v>ピル処方</v>
      </c>
      <c r="D195" s="31" t="str">
        <f>IFERROR(__xludf.DUMMYFUNCTION("""COMPUTED_VALUE"""),"種類,低用量ピル,アフターピル")</f>
        <v>種類,低用量ピル,アフターピル</v>
      </c>
      <c r="E195" s="32" t="str">
        <f>IFERROR(__xludf.DUMMYFUNCTION("""COMPUTED_VALUE"""),"https://luna-dr.com/subjects/pill-prescription/")</f>
        <v>https://luna-dr.com/subjects/pill-prescription/</v>
      </c>
    </row>
    <row r="196">
      <c r="A196" s="31" t="str">
        <f>IFERROR(__xludf.DUMMYFUNCTION("""COMPUTED_VALUE"""),"自分には低用量ピルとアフターピル、どちらが合っていますか？")</f>
        <v>自分には低用量ピルとアフターピル、どちらが合っていますか？</v>
      </c>
      <c r="B196" s="31" t="str">
        <f>IFERROR(__xludf.DUMMYFUNCTION("""COMPUTED_VALUE"""),"継続的な避妊や生理痛・PMSの改善を目的とする場合は低用量ピル、避妊に失敗した場合の緊急対応にはアフターピルが適しています。診察時に医師が目的に合わせてご案内します。")</f>
        <v>継続的な避妊や生理痛・PMSの改善を目的とする場合は低用量ピル、避妊に失敗した場合の緊急対応にはアフターピルが適しています。診察時に医師が目的に合わせてご案内します。</v>
      </c>
      <c r="C196" s="31" t="str">
        <f>IFERROR(__xludf.DUMMYFUNCTION("""COMPUTED_VALUE"""),"ピル処方")</f>
        <v>ピル処方</v>
      </c>
      <c r="D196" s="31" t="str">
        <f>IFERROR(__xludf.DUMMYFUNCTION("""COMPUTED_VALUE"""),"選び方,相談,ピル")</f>
        <v>選び方,相談,ピル</v>
      </c>
      <c r="E196" s="32" t="str">
        <f>IFERROR(__xludf.DUMMYFUNCTION("""COMPUTED_VALUE"""),"https://luna-dr.com/subjects/pill-prescription/")</f>
        <v>https://luna-dr.com/subjects/pill-prescription/</v>
      </c>
    </row>
    <row r="197">
      <c r="A197" s="31" t="str">
        <f>IFERROR(__xludf.DUMMYFUNCTION("""COMPUTED_VALUE"""),"ピルは避妊以外にも使えますか？")</f>
        <v>ピルは避妊以外にも使えますか？</v>
      </c>
      <c r="B197" s="31" t="str">
        <f>IFERROR(__xludf.DUMMYFUNCTION("""COMPUTED_VALUE"""),"低用量ピルは、避妊だけでなく、生理痛や生理不順、PMSの改善、経血量の軽減などを目的として使用されることがあります。")</f>
        <v>低用量ピルは、避妊だけでなく、生理痛や生理不順、PMSの改善、経血量の軽減などを目的として使用されることがあります。</v>
      </c>
      <c r="C197" s="31" t="str">
        <f>IFERROR(__xludf.DUMMYFUNCTION("""COMPUTED_VALUE"""),"低用量ピル")</f>
        <v>低用量ピル</v>
      </c>
      <c r="D197" s="31" t="str">
        <f>IFERROR(__xludf.DUMMYFUNCTION("""COMPUTED_VALUE"""),"避妊以外,効果,ピル")</f>
        <v>避妊以外,効果,ピル</v>
      </c>
      <c r="E197" s="32" t="str">
        <f>IFERROR(__xludf.DUMMYFUNCTION("""COMPUTED_VALUE"""),"https://luna-dr.com/subjects/pill-prescription/")</f>
        <v>https://luna-dr.com/subjects/pill-prescription/</v>
      </c>
    </row>
    <row r="198">
      <c r="A198" s="31" t="str">
        <f>IFERROR(__xludf.DUMMYFUNCTION("""COMPUTED_VALUE"""),"生理痛や生理不順の改善にピルは使えますか？")</f>
        <v>生理痛や生理不順の改善にピルは使えますか？</v>
      </c>
      <c r="B198" s="31" t="str">
        <f>IFERROR(__xludf.DUMMYFUNCTION("""COMPUTED_VALUE"""),"低用量ピルは排卵を抑え、子宮内膜の増殖を抑えることで、生理痛や生理不順の改善が期待できます。")</f>
        <v>低用量ピルは排卵を抑え、子宮内膜の増殖を抑えることで、生理痛や生理不順の改善が期待できます。</v>
      </c>
      <c r="C198" s="31" t="str">
        <f>IFERROR(__xludf.DUMMYFUNCTION("""COMPUTED_VALUE"""),"低用量ピル")</f>
        <v>低用量ピル</v>
      </c>
      <c r="D198" s="31" t="str">
        <f>IFERROR(__xludf.DUMMYFUNCTION("""COMPUTED_VALUE"""),"生理痛,生理不順,ピル")</f>
        <v>生理痛,生理不順,ピル</v>
      </c>
      <c r="E198" s="32" t="str">
        <f>IFERROR(__xludf.DUMMYFUNCTION("""COMPUTED_VALUE"""),"https://luna-dr.com/subjects/pill-prescription/")</f>
        <v>https://luna-dr.com/subjects/pill-prescription/</v>
      </c>
    </row>
    <row r="199">
      <c r="A199" s="31" t="str">
        <f>IFERROR(__xludf.DUMMYFUNCTION("""COMPUTED_VALUE"""),"ピルはPMS（月経前症候群）にも効果がありますか？")</f>
        <v>ピルはPMS（月経前症候群）にも効果がありますか？</v>
      </c>
      <c r="B199" s="31" t="str">
        <f>IFERROR(__xludf.DUMMYFUNCTION("""COMPUTED_VALUE"""),"低用量ピルはホルモンの変動を抑えることで、PMSの症状が軽減する場合があります。")</f>
        <v>低用量ピルはホルモンの変動を抑えることで、PMSの症状が軽減する場合があります。</v>
      </c>
      <c r="C199" s="31" t="str">
        <f>IFERROR(__xludf.DUMMYFUNCTION("""COMPUTED_VALUE"""),"低用量ピル")</f>
        <v>低用量ピル</v>
      </c>
      <c r="D199" s="31" t="str">
        <f>IFERROR(__xludf.DUMMYFUNCTION("""COMPUTED_VALUE"""),"PMS,効果,ピル")</f>
        <v>PMS,効果,ピル</v>
      </c>
      <c r="E199" s="32" t="str">
        <f>IFERROR(__xludf.DUMMYFUNCTION("""COMPUTED_VALUE"""),"https://luna-dr.com/subjects/pill-prescription/")</f>
        <v>https://luna-dr.com/subjects/pill-prescription/</v>
      </c>
    </row>
    <row r="200">
      <c r="A200" s="31" t="str">
        <f>IFERROR(__xludf.DUMMYFUNCTION("""COMPUTED_VALUE"""),"ニキビや肌荒れにピルは効果がありますか？")</f>
        <v>ニキビや肌荒れにピルは効果がありますか？</v>
      </c>
      <c r="B200" s="31" t="str">
        <f>IFERROR(__xludf.DUMMYFUNCTION("""COMPUTED_VALUE"""),"低用量ピルは、ホルモンバランスを整えることで、ニキビや肌荒れの改善につながる場合があります。")</f>
        <v>低用量ピルは、ホルモンバランスを整えることで、ニキビや肌荒れの改善につながる場合があります。</v>
      </c>
      <c r="C200" s="31" t="str">
        <f>IFERROR(__xludf.DUMMYFUNCTION("""COMPUTED_VALUE"""),"低用量ピル")</f>
        <v>低用量ピル</v>
      </c>
      <c r="D200" s="31" t="str">
        <f>IFERROR(__xludf.DUMMYFUNCTION("""COMPUTED_VALUE"""),"ニキビ,肌荒れ,ピル")</f>
        <v>ニキビ,肌荒れ,ピル</v>
      </c>
      <c r="E200" s="32" t="str">
        <f>IFERROR(__xludf.DUMMYFUNCTION("""COMPUTED_VALUE"""),"https://luna-dr.com/subjects/pill-prescription/")</f>
        <v>https://luna-dr.com/subjects/pill-prescription/</v>
      </c>
    </row>
    <row r="201">
      <c r="A201" s="31" t="str">
        <f>IFERROR(__xludf.DUMMYFUNCTION("""COMPUTED_VALUE"""),"将来妊娠したい場合でもピルは飲めますか？")</f>
        <v>将来妊娠したい場合でもピルは飲めますか？</v>
      </c>
      <c r="B201" s="31" t="str">
        <f>IFERROR(__xludf.DUMMYFUNCTION("""COMPUTED_VALUE"""),"低用量ピルやアフターピルを服用しても、服用を中止すれば排卵は再開し、将来の妊娠に影響を与えることはありません。ご自身の身体の状態を知りたい方には、ブライダルチェックもおすすめです。")</f>
        <v>低用量ピルやアフターピルを服用しても、服用を中止すれば排卵は再開し、将来の妊娠に影響を与えることはありません。ご自身の身体の状態を知りたい方には、ブライダルチェックもおすすめです。</v>
      </c>
      <c r="C201" s="31" t="str">
        <f>IFERROR(__xludf.DUMMYFUNCTION("""COMPUTED_VALUE"""),"ピル共通")</f>
        <v>ピル共通</v>
      </c>
      <c r="D201" s="31" t="str">
        <f>IFERROR(__xludf.DUMMYFUNCTION("""COMPUTED_VALUE"""),"妊娠,将来,ピル")</f>
        <v>妊娠,将来,ピル</v>
      </c>
      <c r="E201" s="32" t="str">
        <f>IFERROR(__xludf.DUMMYFUNCTION("""COMPUTED_VALUE"""),"https://luna-dr.com/subjects/pill-prescription/")</f>
        <v>https://luna-dr.com/subjects/pill-prescription/</v>
      </c>
    </row>
    <row r="202">
      <c r="A202" s="31" t="str">
        <f>IFERROR(__xludf.DUMMYFUNCTION("""COMPUTED_VALUE"""),"ピルを飲むと将来、妊娠しにくくなりますか？")</f>
        <v>ピルを飲むと将来、妊娠しにくくなりますか？</v>
      </c>
      <c r="B202" s="31" t="str">
        <f>IFERROR(__xludf.DUMMYFUNCTION("""COMPUTED_VALUE"""),"低用量ピルもアフターピルも、服用をやめれば身体は元の状態に戻り、排卵が再開します。将来の妊娠能力に影響を与えることはありませんのでご安心ください。ご自身の身体の状態を知りたい方には、ブライダルチェックもおすすめです。")</f>
        <v>低用量ピルもアフターピルも、服用をやめれば身体は元の状態に戻り、排卵が再開します。将来の妊娠能力に影響を与えることはありませんのでご安心ください。ご自身の身体の状態を知りたい方には、ブライダルチェックもおすすめです。</v>
      </c>
      <c r="C202" s="31" t="str">
        <f>IFERROR(__xludf.DUMMYFUNCTION("""COMPUTED_VALUE"""),"ピル処方")</f>
        <v>ピル処方</v>
      </c>
      <c r="D202" s="31" t="str">
        <f>IFERROR(__xludf.DUMMYFUNCTION("""COMPUTED_VALUE"""),"妊娠,将来,不妊の不安,ピル")</f>
        <v>妊娠,将来,不妊の不安,ピル</v>
      </c>
      <c r="E202" s="32" t="str">
        <f>IFERROR(__xludf.DUMMYFUNCTION("""COMPUTED_VALUE"""),"https://luna-dr.com/subjects/pill-prescription/")</f>
        <v>https://luna-dr.com/subjects/pill-prescription/</v>
      </c>
    </row>
    <row r="203">
      <c r="A203" s="31" t="str">
        <f>IFERROR(__xludf.DUMMYFUNCTION("""COMPUTED_VALUE"""),"ピルを飲むと副作用はありますか？")</f>
        <v>ピルを飲むと副作用はありますか？</v>
      </c>
      <c r="B203" s="31" t="str">
        <f>IFERROR(__xludf.DUMMYFUNCTION("""COMPUTED_VALUE"""),"飲み始めに吐き気や頭痛、不正出血、むくみなどが起こることがありますが、3～6ヶ月ほど内服すると徐々に副作用は落ち着いてくるとされています。アフターピルの場合も同様の症状がみられますが、通常は24時間以内におさまります。ルナレディースクリニックでは、副作用についても丁寧に説明し、必要に応じて吐き気止めなども処方しますのでご安心ください。")</f>
        <v>飲み始めに吐き気や頭痛、不正出血、むくみなどが起こることがありますが、3～6ヶ月ほど内服すると徐々に副作用は落ち着いてくるとされています。アフターピルの場合も同様の症状がみられますが、通常は24時間以内におさまります。ルナレディースクリニックでは、副作用についても丁寧に説明し、必要に応じて吐き気止めなども処方しますのでご安心ください。</v>
      </c>
      <c r="C203" s="31" t="str">
        <f>IFERROR(__xludf.DUMMYFUNCTION("""COMPUTED_VALUE"""),"ピル処方")</f>
        <v>ピル処方</v>
      </c>
      <c r="D203" s="31" t="str">
        <f>IFERROR(__xludf.DUMMYFUNCTION("""COMPUTED_VALUE"""),"副作用,吐き気,頭痛,不正出血,ピル")</f>
        <v>副作用,吐き気,頭痛,不正出血,ピル</v>
      </c>
      <c r="E203" s="32" t="str">
        <f>IFERROR(__xludf.DUMMYFUNCTION("""COMPUTED_VALUE"""),"https://luna-dr.com/subjects/pill-prescription/")</f>
        <v>https://luna-dr.com/subjects/pill-prescription/</v>
      </c>
    </row>
    <row r="204">
      <c r="A204" s="31" t="str">
        <f>IFERROR(__xludf.DUMMYFUNCTION("""COMPUTED_VALUE"""),"ピルを飲むと太りますか？")</f>
        <v>ピルを飲むと太りますか？</v>
      </c>
      <c r="B204" s="31" t="str">
        <f>IFERROR(__xludf.DUMMYFUNCTION("""COMPUTED_VALUE"""),"ピルによって一時的にむくみを感じることはありますが、体脂肪が増えるわけではありません。")</f>
        <v>ピルによって一時的にむくみを感じることはありますが、体脂肪が増えるわけではありません。</v>
      </c>
      <c r="C204" s="31" t="str">
        <f>IFERROR(__xludf.DUMMYFUNCTION("""COMPUTED_VALUE"""),"低用量ピル")</f>
        <v>低用量ピル</v>
      </c>
      <c r="D204" s="31" t="str">
        <f>IFERROR(__xludf.DUMMYFUNCTION("""COMPUTED_VALUE"""),"体重増加,不安,ピル")</f>
        <v>体重増加,不安,ピル</v>
      </c>
      <c r="E204" s="32" t="str">
        <f>IFERROR(__xludf.DUMMYFUNCTION("""COMPUTED_VALUE"""),"https://luna-dr.com/subjects/pill-prescription/")</f>
        <v>https://luna-dr.com/subjects/pill-prescription/</v>
      </c>
    </row>
    <row r="205">
      <c r="A205" s="31" t="str">
        <f>IFERROR(__xludf.DUMMYFUNCTION("""COMPUTED_VALUE"""),"血栓症が心配なのですが、ピルを飲んでも大丈夫ですか？")</f>
        <v>血栓症が心配なのですが、ピルを飲んでも大丈夫ですか？</v>
      </c>
      <c r="B205" s="31" t="str">
        <f>IFERROR(__xludf.DUMMYFUNCTION("""COMPUTED_VALUE"""),"低用量ピルには血栓症のリスクがありますが、医師が体質や既往歴を確認した上で処方します。気になる場合は必ずご相談ください。")</f>
        <v>低用量ピルには血栓症のリスクがありますが、医師が体質や既往歴を確認した上で処方します。気になる場合は必ずご相談ください。</v>
      </c>
      <c r="C205" s="31" t="str">
        <f>IFERROR(__xludf.DUMMYFUNCTION("""COMPUTED_VALUE"""),"低用量ピル")</f>
        <v>低用量ピル</v>
      </c>
      <c r="D205" s="31" t="str">
        <f>IFERROR(__xludf.DUMMYFUNCTION("""COMPUTED_VALUE"""),"血栓症,安全性,ピル")</f>
        <v>血栓症,安全性,ピル</v>
      </c>
      <c r="E205" s="32" t="str">
        <f>IFERROR(__xludf.DUMMYFUNCTION("""COMPUTED_VALUE"""),"https://luna-dr.com/subjects/pill-prescription/")</f>
        <v>https://luna-dr.com/subjects/pill-prescription/</v>
      </c>
    </row>
    <row r="206">
      <c r="A206" s="31" t="str">
        <f>IFERROR(__xludf.DUMMYFUNCTION("""COMPUTED_VALUE"""),"ピルは長期間飲み続けても問題ありませんか？")</f>
        <v>ピルは長期間飲み続けても問題ありませんか？</v>
      </c>
      <c r="B206" s="31" t="str">
        <f>IFERROR(__xludf.DUMMYFUNCTION("""COMPUTED_VALUE"""),"医師の管理のもとであれば、低用量ピルを長期間服用することは可能です。定期的な診察をおすすめしています。")</f>
        <v>医師の管理のもとであれば、低用量ピルを長期間服用することは可能です。定期的な診察をおすすめしています。</v>
      </c>
      <c r="C206" s="31" t="str">
        <f>IFERROR(__xludf.DUMMYFUNCTION("""COMPUTED_VALUE"""),"低用量ピル")</f>
        <v>低用量ピル</v>
      </c>
      <c r="D206" s="31" t="str">
        <f>IFERROR(__xludf.DUMMYFUNCTION("""COMPUTED_VALUE"""),"長期服用,安全性,ピル")</f>
        <v>長期服用,安全性,ピル</v>
      </c>
      <c r="E206" s="32" t="str">
        <f>IFERROR(__xludf.DUMMYFUNCTION("""COMPUTED_VALUE"""),"https://luna-dr.com/subjects/pill-prescription/")</f>
        <v>https://luna-dr.com/subjects/pill-prescription/</v>
      </c>
    </row>
    <row r="207">
      <c r="A207" s="31" t="str">
        <f>IFERROR(__xludf.DUMMYFUNCTION("""COMPUTED_VALUE"""),"ピルをやめたら体は元に戻りますか？")</f>
        <v>ピルをやめたら体は元に戻りますか？</v>
      </c>
      <c r="B207" s="31" t="str">
        <f>IFERROR(__xludf.DUMMYFUNCTION("""COMPUTED_VALUE"""),"服用を中止すればホルモンバランスは元に戻り、排卵も再開します。")</f>
        <v>服用を中止すればホルモンバランスは元に戻り、排卵も再開します。</v>
      </c>
      <c r="C207" s="31" t="str">
        <f>IFERROR(__xludf.DUMMYFUNCTION("""COMPUTED_VALUE"""),"ピル共通")</f>
        <v>ピル共通</v>
      </c>
      <c r="D207" s="31" t="str">
        <f>IFERROR(__xludf.DUMMYFUNCTION("""COMPUTED_VALUE"""),"中止,影響,ピル")</f>
        <v>中止,影響,ピル</v>
      </c>
      <c r="E207" s="32" t="str">
        <f>IFERROR(__xludf.DUMMYFUNCTION("""COMPUTED_VALUE"""),"https://luna-dr.com/subjects/pill-prescription/")</f>
        <v>https://luna-dr.com/subjects/pill-prescription/</v>
      </c>
    </row>
    <row r="208">
      <c r="A208" s="31" t="str">
        <f>IFERROR(__xludf.DUMMYFUNCTION("""COMPUTED_VALUE"""),"低用量ピルはどのように飲みますか？")</f>
        <v>低用量ピルはどのように飲みますか？</v>
      </c>
      <c r="B208" s="31" t="str">
        <f>IFERROR(__xludf.DUMMYFUNCTION("""COMPUTED_VALUE"""),"低用量ピルは、毎日決まった時間に1錠ずつ服用します。21日または28日を1周期として継続します。")</f>
        <v>低用量ピルは、毎日決まった時間に1錠ずつ服用します。21日または28日を1周期として継続します。</v>
      </c>
      <c r="C208" s="31" t="str">
        <f>IFERROR(__xludf.DUMMYFUNCTION("""COMPUTED_VALUE"""),"低用量ピル")</f>
        <v>低用量ピル</v>
      </c>
      <c r="D208" s="31" t="str">
        <f>IFERROR(__xludf.DUMMYFUNCTION("""COMPUTED_VALUE"""),"飲み方,ピル")</f>
        <v>飲み方,ピル</v>
      </c>
      <c r="E208" s="32" t="str">
        <f>IFERROR(__xludf.DUMMYFUNCTION("""COMPUTED_VALUE"""),"https://luna-dr.com/subjects/pill-prescription/")</f>
        <v>https://luna-dr.com/subjects/pill-prescription/</v>
      </c>
    </row>
    <row r="209">
      <c r="A209" s="31" t="str">
        <f>IFERROR(__xludf.DUMMYFUNCTION("""COMPUTED_VALUE"""),"いつから避妊効果が出ますか？")</f>
        <v>いつから避妊効果が出ますか？</v>
      </c>
      <c r="B209" s="31" t="str">
        <f>IFERROR(__xludf.DUMMYFUNCTION("""COMPUTED_VALUE"""),"低用量ピルは、服用開始から約7〜8日で安定した避妊効果が得られるとされています。アフターピルは性行為から72時間（または120時間）以内の服用で、緊急的な妊娠を回避する高い効果が得られます。（服用が早ければ早いほど効果は高まります）")</f>
        <v>低用量ピルは、服用開始から約7〜8日で安定した避妊効果が得られるとされています。アフターピルは性行為から72時間（または120時間）以内の服用で、緊急的な妊娠を回避する高い効果が得られます。（服用が早ければ早いほど効果は高まります）</v>
      </c>
      <c r="C209" s="31" t="str">
        <f>IFERROR(__xludf.DUMMYFUNCTION("""COMPUTED_VALUE"""),"ピル共通")</f>
        <v>ピル共通</v>
      </c>
      <c r="D209" s="31" t="str">
        <f>IFERROR(__xludf.DUMMYFUNCTION("""COMPUTED_VALUE"""),"避妊効果,いつから,ピル")</f>
        <v>避妊効果,いつから,ピル</v>
      </c>
      <c r="E209" s="32" t="str">
        <f>IFERROR(__xludf.DUMMYFUNCTION("""COMPUTED_VALUE"""),"https://luna-dr.com/subjects/pill-prescription/")</f>
        <v>https://luna-dr.com/subjects/pill-prescription/</v>
      </c>
    </row>
    <row r="210">
      <c r="A210" s="31" t="str">
        <f>IFERROR(__xludf.DUMMYFUNCTION("""COMPUTED_VALUE"""),"生理はいつ来ますか？")</f>
        <v>生理はいつ来ますか？</v>
      </c>
      <c r="B210" s="31" t="str">
        <f>IFERROR(__xludf.DUMMYFUNCTION("""COMPUTED_VALUE"""),"低用量ピルでは、休薬期間中または偽薬期間中に生理のような出血が起こります。")</f>
        <v>低用量ピルでは、休薬期間中または偽薬期間中に生理のような出血が起こります。</v>
      </c>
      <c r="C210" s="31" t="str">
        <f>IFERROR(__xludf.DUMMYFUNCTION("""COMPUTED_VALUE"""),"低用量ピル")</f>
        <v>低用量ピル</v>
      </c>
      <c r="D210" s="31" t="str">
        <f>IFERROR(__xludf.DUMMYFUNCTION("""COMPUTED_VALUE"""),"生理,出血,ピル")</f>
        <v>生理,出血,ピル</v>
      </c>
      <c r="E210" s="32" t="str">
        <f>IFERROR(__xludf.DUMMYFUNCTION("""COMPUTED_VALUE"""),"https://luna-dr.com/subjects/pill-prescription/")</f>
        <v>https://luna-dr.com/subjects/pill-prescription/</v>
      </c>
    </row>
    <row r="211">
      <c r="A211" s="31" t="str">
        <f>IFERROR(__xludf.DUMMYFUNCTION("""COMPUTED_VALUE"""),"他の薬と一緒に飲んでも大丈夫ですか？")</f>
        <v>他の薬と一緒に飲んでも大丈夫ですか？</v>
      </c>
      <c r="B211" s="31" t="str">
        <f>IFERROR(__xludf.DUMMYFUNCTION("""COMPUTED_VALUE"""),"薬の飲み合わせに関しましては、お電話にてお問い合わせください。お電話は 050-1730-2768 となります。")</f>
        <v>薬の飲み合わせに関しましては、お電話にてお問い合わせください。お電話は 050-1730-2768 となります。</v>
      </c>
      <c r="C211" s="31" t="str">
        <f>IFERROR(__xludf.DUMMYFUNCTION("""COMPUTED_VALUE"""),"ピル共通")</f>
        <v>ピル共通</v>
      </c>
      <c r="D211" s="31" t="str">
        <f>IFERROR(__xludf.DUMMYFUNCTION("""COMPUTED_VALUE"""),"併用薬,注意,ピル")</f>
        <v>併用薬,注意,ピル</v>
      </c>
      <c r="E211" s="32" t="str">
        <f>IFERROR(__xludf.DUMMYFUNCTION("""COMPUTED_VALUE"""),"https://luna-dr.com/subjects/pill-prescription/")</f>
        <v>https://luna-dr.com/subjects/pill-prescription/</v>
      </c>
    </row>
    <row r="212">
      <c r="A212" s="31" t="str">
        <f>IFERROR(__xludf.DUMMYFUNCTION("""COMPUTED_VALUE"""),"低用量ピルとアフターピルの違いは何ですか？")</f>
        <v>低用量ピルとアフターピルの違いは何ですか？</v>
      </c>
      <c r="B212" s="31" t="str">
        <f>IFERROR(__xludf.DUMMYFUNCTION("""COMPUTED_VALUE"""),"低用量ピルは、毎日1錠ずつ計画的に服用することで排卵を抑制し、継続的な避妊や生理痛・PMSの改善を目指すお薬です。一方、アフターピルは、避妊に失敗した際などに、性行為後できるだけ早く1回だけ服用することで、緊急的に妊娠を防ぐためのお薬です。目的と飲み方が全く異なります。")</f>
        <v>低用量ピルは、毎日1錠ずつ計画的に服用することで排卵を抑制し、継続的な避妊や生理痛・PMSの改善を目指すお薬です。一方、アフターピルは、避妊に失敗した際などに、性行為後できるだけ早く1回だけ服用することで、緊急的に妊娠を防ぐためのお薬です。目的と飲み方が全く異なります。</v>
      </c>
      <c r="C212" s="31" t="str">
        <f>IFERROR(__xludf.DUMMYFUNCTION("""COMPUTED_VALUE"""),"ピル処方")</f>
        <v>ピル処方</v>
      </c>
      <c r="D212" s="31" t="str">
        <f>IFERROR(__xludf.DUMMYFUNCTION("""COMPUTED_VALUE"""),"低用量ピル,アフターピル,違い,比較,ピル")</f>
        <v>低用量ピル,アフターピル,違い,比較,ピル</v>
      </c>
      <c r="E212" s="32" t="str">
        <f>IFERROR(__xludf.DUMMYFUNCTION("""COMPUTED_VALUE"""),"https://luna-dr.com/subjects/pill-prescription/")</f>
        <v>https://luna-dr.com/subjects/pill-prescription/</v>
      </c>
    </row>
    <row r="213">
      <c r="A213" s="31" t="str">
        <f>IFERROR(__xludf.DUMMYFUNCTION("""COMPUTED_VALUE"""),"アフターピルはいつまでに飲めばいいですか？")</f>
        <v>アフターピルはいつまでに飲めばいいですか？</v>
      </c>
      <c r="B213" s="31" t="str">
        <f>IFERROR(__xludf.DUMMYFUNCTION("""COMPUTED_VALUE"""),"アフターピルは性行為から72時間（または120時間）以内の服用で、緊急的な妊娠を回避する高い効果が得られます。（服用が早ければ早いほど効果は高まります）")</f>
        <v>アフターピルは性行為から72時間（または120時間）以内の服用で、緊急的な妊娠を回避する高い効果が得られます。（服用が早ければ早いほど効果は高まります）</v>
      </c>
      <c r="C213" s="31" t="str">
        <f>IFERROR(__xludf.DUMMYFUNCTION("""COMPUTED_VALUE"""),"アフターピル")</f>
        <v>アフターピル</v>
      </c>
      <c r="D213" s="31" t="str">
        <f>IFERROR(__xludf.DUMMYFUNCTION("""COMPUTED_VALUE"""),"服用期限,ピル")</f>
        <v>服用期限,ピル</v>
      </c>
      <c r="E213" s="32" t="str">
        <f>IFERROR(__xludf.DUMMYFUNCTION("""COMPUTED_VALUE"""),"https://luna-dr.com/subjects/pill-prescription/")</f>
        <v>https://luna-dr.com/subjects/pill-prescription/</v>
      </c>
    </row>
    <row r="214">
      <c r="A214" s="31" t="str">
        <f>IFERROR(__xludf.DUMMYFUNCTION("""COMPUTED_VALUE"""),"アフターピルを飲んだ後、生理はどうなりますか？")</f>
        <v>アフターピルを飲んだ後、生理はどうなりますか？</v>
      </c>
      <c r="B214" s="31" t="str">
        <f>IFERROR(__xludf.DUMMYFUNCTION("""COMPUTED_VALUE"""),"服用後、数日から数週間で生理が来ることがあります。個人差があります。")</f>
        <v>服用後、数日から数週間で生理が来ることがあります。個人差があります。</v>
      </c>
      <c r="C214" s="31" t="str">
        <f>IFERROR(__xludf.DUMMYFUNCTION("""COMPUTED_VALUE"""),"アフターピル")</f>
        <v>アフターピル</v>
      </c>
      <c r="D214" s="31" t="str">
        <f>IFERROR(__xludf.DUMMYFUNCTION("""COMPUTED_VALUE"""),"生理,服用後,ピル")</f>
        <v>生理,服用後,ピル</v>
      </c>
      <c r="E214" s="32" t="str">
        <f>IFERROR(__xludf.DUMMYFUNCTION("""COMPUTED_VALUE"""),"https://luna-dr.com/subjects/pill-prescription/")</f>
        <v>https://luna-dr.com/subjects/pill-prescription/</v>
      </c>
    </row>
    <row r="215">
      <c r="A215" s="31" t="str">
        <f>IFERROR(__xludf.DUMMYFUNCTION("""COMPUTED_VALUE"""),"アフターピルを何度も使っても大丈夫ですか？")</f>
        <v>アフターピルを何度も使っても大丈夫ですか？</v>
      </c>
      <c r="B215" s="31" t="str">
        <f>IFERROR(__xludf.DUMMYFUNCTION("""COMPUTED_VALUE"""),"使用は可能ですが、継続的な避妊には低用量ピルをおすすめしています。")</f>
        <v>使用は可能ですが、継続的な避妊には低用量ピルをおすすめしています。</v>
      </c>
      <c r="C215" s="31" t="str">
        <f>IFERROR(__xludf.DUMMYFUNCTION("""COMPUTED_VALUE"""),"アフターピル")</f>
        <v>アフターピル</v>
      </c>
      <c r="D215" s="31" t="str">
        <f>IFERROR(__xludf.DUMMYFUNCTION("""COMPUTED_VALUE"""),"繰り返し使用,ピル")</f>
        <v>繰り返し使用,ピル</v>
      </c>
      <c r="E215" s="32" t="str">
        <f>IFERROR(__xludf.DUMMYFUNCTION("""COMPUTED_VALUE"""),"https://luna-dr.com/subjects/pill-prescription/")</f>
        <v>https://luna-dr.com/subjects/pill-prescription/</v>
      </c>
    </row>
    <row r="216">
      <c r="A216" s="31" t="str">
        <f>IFERROR(__xludf.DUMMYFUNCTION("""COMPUTED_VALUE"""),"ピル処方は来院とオンライン、どちらで受けられますか？")</f>
        <v>ピル処方は来院とオンライン、どちらで受けられますか？</v>
      </c>
      <c r="B216" s="31" t="str">
        <f>IFERROR(__xludf.DUMMYFUNCTION("""COMPUTED_VALUE"""),"ルナレディースクリニックでは、来院診療とオンライン診療の両方でピル処方を行っています。ただし、生理痛などの治療を目的とする低用量ピルは、初回は検査が必要なため来院診療をご案内しています。")</f>
        <v>ルナレディースクリニックでは、来院診療とオンライン診療の両方でピル処方を行っています。ただし、生理痛などの治療を目的とする低用量ピルは、初回は検査が必要なため来院診療をご案内しています。</v>
      </c>
      <c r="C216" s="31" t="str">
        <f>IFERROR(__xludf.DUMMYFUNCTION("""COMPUTED_VALUE"""),"ピル処方")</f>
        <v>ピル処方</v>
      </c>
      <c r="D216" s="31" t="str">
        <f>IFERROR(__xludf.DUMMYFUNCTION("""COMPUTED_VALUE"""),"来院,オンライン診療,ピル")</f>
        <v>来院,オンライン診療,ピル</v>
      </c>
      <c r="E216" s="32" t="str">
        <f>IFERROR(__xludf.DUMMYFUNCTION("""COMPUTED_VALUE"""),"https://luna-dr.com/subjects/pill-prescription/")</f>
        <v>https://luna-dr.com/subjects/pill-prescription/</v>
      </c>
    </row>
    <row r="217">
      <c r="A217" s="31" t="str">
        <f>IFERROR(__xludf.DUMMYFUNCTION("""COMPUTED_VALUE"""),"オンラインでもピルは処方してもらえますか？")</f>
        <v>オンラインでもピルは処方してもらえますか？</v>
      </c>
      <c r="B217" s="31" t="str">
        <f>IFERROR(__xludf.DUMMYFUNCTION("""COMPUTED_VALUE"""),"アフターピルは初診からオンライン診療で処方できます。ご自宅にいながら専門医の診察を受け、お薬を郵送でお受け取りいただけます。ただし、生理痛などの治療を目的とする低用量ピルは、初回は検査が必要なため来院診療をご案内しています。")</f>
        <v>アフターピルは初診からオンライン診療で処方できます。ご自宅にいながら専門医の診察を受け、お薬を郵送でお受け取りいただけます。ただし、生理痛などの治療を目的とする低用量ピルは、初回は検査が必要なため来院診療をご案内しています。</v>
      </c>
      <c r="C217" s="31" t="str">
        <f>IFERROR(__xludf.DUMMYFUNCTION("""COMPUTED_VALUE"""),"ピル処方")</f>
        <v>ピル処方</v>
      </c>
      <c r="D217" s="31" t="str">
        <f>IFERROR(__xludf.DUMMYFUNCTION("""COMPUTED_VALUE"""),"オンライン診療,初診,来院診療,ピル")</f>
        <v>オンライン診療,初診,来院診療,ピル</v>
      </c>
      <c r="E217" s="32" t="str">
        <f>IFERROR(__xludf.DUMMYFUNCTION("""COMPUTED_VALUE"""),"https://luna-dr.com/subjects/pill-prescription/")</f>
        <v>https://luna-dr.com/subjects/pill-prescription/</v>
      </c>
    </row>
    <row r="218">
      <c r="A218" s="31" t="str">
        <f>IFERROR(__xludf.DUMMYFUNCTION("""COMPUTED_VALUE"""),"アフターピルは初診でもオンライン診療できますか？")</f>
        <v>アフターピルは初診でもオンライン診療できますか？</v>
      </c>
      <c r="B218" s="31" t="str">
        <f>IFERROR(__xludf.DUMMYFUNCTION("""COMPUTED_VALUE"""),"アフターピルは初診の方でもオンライン診療をご利用いただけます。")</f>
        <v>アフターピルは初診の方でもオンライン診療をご利用いただけます。</v>
      </c>
      <c r="C218" s="31" t="str">
        <f>IFERROR(__xludf.DUMMYFUNCTION("""COMPUTED_VALUE"""),"アフターピル")</f>
        <v>アフターピル</v>
      </c>
      <c r="D218" s="31" t="str">
        <f>IFERROR(__xludf.DUMMYFUNCTION("""COMPUTED_VALUE"""),"初診,オンライン,ピル")</f>
        <v>初診,オンライン,ピル</v>
      </c>
      <c r="E218" s="32" t="str">
        <f>IFERROR(__xludf.DUMMYFUNCTION("""COMPUTED_VALUE"""),"https://luna-dr.com/subjects/pill-prescription/")</f>
        <v>https://luna-dr.com/subjects/pill-prescription/</v>
      </c>
    </row>
    <row r="219">
      <c r="A219" s="31" t="str">
        <f>IFERROR(__xludf.DUMMYFUNCTION("""COMPUTED_VALUE"""),"低用量ピルは初診からオンライン診療できますか？")</f>
        <v>低用量ピルは初診からオンライン診療できますか？</v>
      </c>
      <c r="B219" s="31" t="str">
        <f>IFERROR(__xludf.DUMMYFUNCTION("""COMPUTED_VALUE"""),"治療目的での初回処方は検査が必要なため、来院診療となります。")</f>
        <v>治療目的での初回処方は検査が必要なため、来院診療となります。</v>
      </c>
      <c r="C219" s="31" t="str">
        <f>IFERROR(__xludf.DUMMYFUNCTION("""COMPUTED_VALUE"""),"低用量ピル")</f>
        <v>低用量ピル</v>
      </c>
      <c r="D219" s="31" t="str">
        <f>IFERROR(__xludf.DUMMYFUNCTION("""COMPUTED_VALUE"""),"初診,来院診療,ピル")</f>
        <v>初診,来院診療,ピル</v>
      </c>
      <c r="E219" s="32" t="str">
        <f>IFERROR(__xludf.DUMMYFUNCTION("""COMPUTED_VALUE"""),"https://luna-dr.com/subjects/pill-prescription/")</f>
        <v>https://luna-dr.com/subjects/pill-prescription/</v>
      </c>
    </row>
    <row r="220">
      <c r="A220" s="31" t="str">
        <f>IFERROR(__xludf.DUMMYFUNCTION("""COMPUTED_VALUE"""),"なぜ低用量ピルは初回に来院が必要な場合があるのですか？")</f>
        <v>なぜ低用量ピルは初回に来院が必要な場合があるのですか？</v>
      </c>
      <c r="B220" s="31" t="str">
        <f>IFERROR(__xludf.DUMMYFUNCTION("""COMPUTED_VALUE"""),"安全に治療を行うため、治療目的の場合は検査が必要となるためです。")</f>
        <v>安全に治療を行うため、治療目的の場合は検査が必要となるためです。</v>
      </c>
      <c r="C220" s="31" t="str">
        <f>IFERROR(__xludf.DUMMYFUNCTION("""COMPUTED_VALUE"""),"低用量ピル")</f>
        <v>低用量ピル</v>
      </c>
      <c r="D220" s="31" t="str">
        <f>IFERROR(__xludf.DUMMYFUNCTION("""COMPUTED_VALUE"""),"検査,安全性,ピル")</f>
        <v>検査,安全性,ピル</v>
      </c>
      <c r="E220" s="32" t="str">
        <f>IFERROR(__xludf.DUMMYFUNCTION("""COMPUTED_VALUE"""),"https://luna-dr.com/subjects/pill-prescription/")</f>
        <v>https://luna-dr.com/subjects/pill-prescription/</v>
      </c>
    </row>
    <row r="221">
      <c r="A221" s="31" t="str">
        <f>IFERROR(__xludf.DUMMYFUNCTION("""COMPUTED_VALUE"""),"ピル処方は保険適用ですか？")</f>
        <v>ピル処方は保険適用ですか？</v>
      </c>
      <c r="B221" s="31" t="str">
        <f>IFERROR(__xludf.DUMMYFUNCTION("""COMPUTED_VALUE"""),"低用量ピルは治療目的の場合、保険適用となることがあります。アフターピルは自由診療です。")</f>
        <v>低用量ピルは治療目的の場合、保険適用となることがあります。アフターピルは自由診療です。</v>
      </c>
      <c r="C221" s="31" t="str">
        <f>IFERROR(__xludf.DUMMYFUNCTION("""COMPUTED_VALUE"""),"ピル処方")</f>
        <v>ピル処方</v>
      </c>
      <c r="D221" s="31" t="str">
        <f>IFERROR(__xludf.DUMMYFUNCTION("""COMPUTED_VALUE"""),"保険適用,費用,ピル")</f>
        <v>保険適用,費用,ピル</v>
      </c>
      <c r="E221" s="32" t="str">
        <f>IFERROR(__xludf.DUMMYFUNCTION("""COMPUTED_VALUE"""),"https://luna-dr.com/subjects/pill-prescription/")</f>
        <v>https://luna-dr.com/subjects/pill-prescription/</v>
      </c>
    </row>
    <row r="222">
      <c r="A222" s="31" t="str">
        <f>IFERROR(__xludf.DUMMYFUNCTION("""COMPUTED_VALUE"""),"ピル処方はどうやって予約すればいいですか？")</f>
        <v>ピル処方はどうやって予約すればいいですか？</v>
      </c>
      <c r="B222" s="31" t="str">
        <f>IFERROR(__xludf.DUMMYFUNCTION("""COMPUTED_VALUE"""),"ルナレディースクリニックでは、公式LINEからピル処方の診察予約が可能です。24時間いつでもご自身のタイミングで予約できます。
※アフターピルは初診からオンライン診療で処方できますが、生理痛などの治療を目的とする低用量ピルは、初回は検査が必要なため来院診療となりますので、ご注意ください。
来院診療の場合は「ピル処方」のメニューでご予約ください→https://cline-app.com/qr-codes/98ad6f149bfa20f4f2a9a2e91aac4187/preview
オンライン診療のご"&amp;"予約はこちら→https://liff-gateway.lineml.jp/landing?follow=%40590gpxrd&amp;lp=fX73yx&amp;liff_id=1657094566-LmjNPPbV")</f>
        <v>ルナレディースクリニックでは、公式LINEからピル処方の診察予約が可能です。24時間いつでもご自身のタイミングで予約できます。
※アフターピルは初診からオンライン診療で処方できますが、生理痛などの治療を目的とする低用量ピルは、初回は検査が必要なため来院診療となりますので、ご注意ください。
来院診療の場合は「ピル処方」のメニューでご予約ください→https://cline-app.com/qr-codes/98ad6f149bfa20f4f2a9a2e91aac4187/preview
オンライン診療のご予約はこちら→https://liff-gateway.lineml.jp/landing?follow=%40590gpxrd&amp;lp=fX73yx&amp;liff_id=1657094566-LmjNPPbV</v>
      </c>
      <c r="C222" s="31" t="str">
        <f>IFERROR(__xludf.DUMMYFUNCTION("""COMPUTED_VALUE"""),"ピル処方")</f>
        <v>ピル処方</v>
      </c>
      <c r="D222" s="31" t="str">
        <f>IFERROR(__xludf.DUMMYFUNCTION("""COMPUTED_VALUE"""),"予約方法,LINE,電話,ピル")</f>
        <v>予約方法,LINE,電話,ピル</v>
      </c>
      <c r="E222" s="32" t="str">
        <f>IFERROR(__xludf.DUMMYFUNCTION("""COMPUTED_VALUE"""),"https://luna-dr.com/subjects/pill-prescription/")</f>
        <v>https://luna-dr.com/subjects/pill-prescription/</v>
      </c>
    </row>
    <row r="223">
      <c r="A223" s="31" t="str">
        <f>IFERROR(__xludf.DUMMYFUNCTION("""COMPUTED_VALUE"""),"ピル処方はLINEから予約できますか？")</f>
        <v>ピル処方はLINEから予約できますか？</v>
      </c>
      <c r="B223" s="31" t="str">
        <f>IFERROR(__xludf.DUMMYFUNCTION("""COMPUTED_VALUE"""),"ルナレディースクリニックでは、公式LINEからピル処方の診察予約が可能です。24時間いつでもご自身のタイミングで予約できます。
※アフターピルは初診からオンライン診療で処方できますが、生理痛などの治療を目的とする低用量ピルは、初回は検査が必要なため来院診療となりますので、ご注意ください。
来院診療の場合は「ピル処方」のメニューでご予約ください→https://cline-app.com/qr-codes/98ad6f149bfa20f4f2a9a2e91aac4187/preview
オンライン診療のご"&amp;"予約はこちら→https://liff-gateway.lineml.jp/landing?follow=%40590gpxrd&amp;lp=fX73yx&amp;liff_id=1657094566-LmjNPPbV")</f>
        <v>ルナレディースクリニックでは、公式LINEからピル処方の診察予約が可能です。24時間いつでもご自身のタイミングで予約できます。
※アフターピルは初診からオンライン診療で処方できますが、生理痛などの治療を目的とする低用量ピルは、初回は検査が必要なため来院診療となりますので、ご注意ください。
来院診療の場合は「ピル処方」のメニューでご予約ください→https://cline-app.com/qr-codes/98ad6f149bfa20f4f2a9a2e91aac4187/preview
オンライン診療のご予約はこちら→https://liff-gateway.lineml.jp/landing?follow=%40590gpxrd&amp;lp=fX73yx&amp;liff_id=1657094566-LmjNPPbV</v>
      </c>
      <c r="C223" s="31" t="str">
        <f>IFERROR(__xludf.DUMMYFUNCTION("""COMPUTED_VALUE"""),"ピル処方")</f>
        <v>ピル処方</v>
      </c>
      <c r="D223" s="31" t="str">
        <f>IFERROR(__xludf.DUMMYFUNCTION("""COMPUTED_VALUE"""),"LINE予約,婦人科予約,ピル処方")</f>
        <v>LINE予約,婦人科予約,ピル処方</v>
      </c>
      <c r="E223" s="32" t="str">
        <f>IFERROR(__xludf.DUMMYFUNCTION("""COMPUTED_VALUE"""),"https://luna-dr.com/subjects/pill-prescription/")</f>
        <v>https://luna-dr.com/subjects/pill-prescription/</v>
      </c>
    </row>
    <row r="224">
      <c r="A224" s="31" t="str">
        <f>IFERROR(__xludf.DUMMYFUNCTION("""COMPUTED_VALUE"""),"ピル処方は電話でも予約できますか？")</f>
        <v>ピル処方は電話でも予約できますか？</v>
      </c>
      <c r="B224" s="31" t="str">
        <f>IFERROR(__xludf.DUMMYFUNCTION("""COMPUTED_VALUE"""),"LINEでの予約後、事前問診等もLINEから行うことができ、スムーズに受診ができるため、当院ではLINEでのご予約を推奨しております。
来院診療の場合は「ピル処方」のメニューでご予約ください→https://cline-app.com/qr-codes/98ad6f149bfa20f4f2a9a2e91aac4187/preview
オンライン診療のご予約はこちら→https://liff-gateway.lineml.jp/landing?follow=%40590gpxrd&amp;lp=fX73yx&amp;li"&amp;"ff_id=1657094566-LmjNPPbV")</f>
        <v>LINEでの予約後、事前問診等もLINEから行うことができ、スムーズに受診ができるため、当院ではLINEでのご予約を推奨しております。
来院診療の場合は「ピル処方」のメニューでご予約ください→https://cline-app.com/qr-codes/98ad6f149bfa20f4f2a9a2e91aac4187/preview
オンライン診療のご予約はこちら→https://liff-gateway.lineml.jp/landing?follow=%40590gpxrd&amp;lp=fX73yx&amp;liff_id=1657094566-LmjNPPbV</v>
      </c>
      <c r="C224" s="31" t="str">
        <f>IFERROR(__xludf.DUMMYFUNCTION("""COMPUTED_VALUE"""),"ピル処方")</f>
        <v>ピル処方</v>
      </c>
      <c r="D224" s="31" t="str">
        <f>IFERROR(__xludf.DUMMYFUNCTION("""COMPUTED_VALUE"""),"電話予約,問い合わせ,ピル処方")</f>
        <v>電話予約,問い合わせ,ピル処方</v>
      </c>
      <c r="E224" s="32" t="str">
        <f>IFERROR(__xludf.DUMMYFUNCTION("""COMPUTED_VALUE"""),"https://luna-dr.com/subjects/pill-prescription/")</f>
        <v>https://luna-dr.com/subjects/pill-prescription/</v>
      </c>
    </row>
    <row r="225">
      <c r="A225" s="31" t="str">
        <f>IFERROR(__xludf.DUMMYFUNCTION("""COMPUTED_VALUE"""),"ピル処方は予約なしでも相談できますか？")</f>
        <v>ピル処方は予約なしでも相談できますか？</v>
      </c>
      <c r="B225" s="31" t="str">
        <f>IFERROR(__xludf.DUMMYFUNCTION("""COMPUTED_VALUE"""),"来院治療の場合、予約外来院も可能です。スムーズなご案内のため、事前予約をおすすめしています。")</f>
        <v>来院治療の場合、予約外来院も可能です。スムーズなご案内のため、事前予約をおすすめしています。</v>
      </c>
      <c r="C225" s="31" t="str">
        <f>IFERROR(__xludf.DUMMYFUNCTION("""COMPUTED_VALUE"""),"ピル処方")</f>
        <v>ピル処方</v>
      </c>
      <c r="D225" s="31" t="str">
        <f>IFERROR(__xludf.DUMMYFUNCTION("""COMPUTED_VALUE"""),"予約なし,受診,ピル処方")</f>
        <v>予約なし,受診,ピル処方</v>
      </c>
      <c r="E225" s="32" t="str">
        <f>IFERROR(__xludf.DUMMYFUNCTION("""COMPUTED_VALUE"""),"https://luna-dr.com/subjects/pill-prescription/")</f>
        <v>https://luna-dr.com/subjects/pill-prescription/</v>
      </c>
    </row>
    <row r="226">
      <c r="A226" s="31" t="str">
        <f>IFERROR(__xludf.DUMMYFUNCTION("""COMPUTED_VALUE"""),"ピル処方の予約前に準備しておくことはありますか？")</f>
        <v>ピル処方の予約前に準備しておくことはありますか？</v>
      </c>
      <c r="B226" s="31" t="str">
        <f>IFERROR(__xludf.DUMMYFUNCTION("""COMPUTED_VALUE"""),"ルナレディースクリニックでは、ピル処方の診察前に、最終生理日やご予定日などをWEB問診にご入力いただくと、診察がスムーズに進みます。")</f>
        <v>ルナレディースクリニックでは、ピル処方の診察前に、最終生理日やご予定日などをWEB問診にご入力いただくと、診察がスムーズに進みます。</v>
      </c>
      <c r="C226" s="31" t="str">
        <f>IFERROR(__xludf.DUMMYFUNCTION("""COMPUTED_VALUE"""),"ピル処方")</f>
        <v>ピル処方</v>
      </c>
      <c r="D226" s="31" t="str">
        <f>IFERROR(__xludf.DUMMYFUNCTION("""COMPUTED_VALUE"""),"WEB問診,事前準備,ピル処方")</f>
        <v>WEB問診,事前準備,ピル処方</v>
      </c>
      <c r="E226" s="32" t="str">
        <f>IFERROR(__xludf.DUMMYFUNCTION("""COMPUTED_VALUE"""),"https://luna-dr.com/subjects/pill-prescription/")</f>
        <v>https://luna-dr.com/subjects/pill-prescription/</v>
      </c>
    </row>
    <row r="227">
      <c r="A227" s="31" t="str">
        <f>IFERROR(__xludf.DUMMYFUNCTION("""COMPUTED_VALUE"""),"ピル処方は初診でも予約できますか？")</f>
        <v>ピル処方は初診でも予約できますか？</v>
      </c>
      <c r="B227" s="31" t="str">
        <f>IFERROR(__xludf.DUMMYFUNCTION("""COMPUTED_VALUE"""),"ピル処方は初診の方もご予約いただけます。ご予約は公式LINEから受け付けておりますので、友だち追加の上ご利用ください。
※アフターピルは初診からオンライン診療で処方できますが、生理痛などの治療を目的とする低用量ピルは、初回は検査が必要なため来院診療となりますので、ご注意ください。
来院診療の場合は「ピル処方」のメニューでご予約ください→https://cline-app.com/qr-codes/98ad6f149bfa20f4f2a9a2e91aac4187/preview
オンライン診療のご予約はこ"&amp;"ちら→https://liff-gateway.lineml.jp/landing?follow=%40590gpxrd&amp;lp=fX73yx&amp;liff_id=1657094566-LmjNPPbV")</f>
        <v>ピル処方は初診の方もご予約いただけます。ご予約は公式LINEから受け付けておりますので、友だち追加の上ご利用ください。
※アフターピルは初診からオンライン診療で処方できますが、生理痛などの治療を目的とする低用量ピルは、初回は検査が必要なため来院診療となりますので、ご注意ください。
来院診療の場合は「ピル処方」のメニューでご予約ください→https://cline-app.com/qr-codes/98ad6f149bfa20f4f2a9a2e91aac4187/preview
オンライン診療のご予約はこちら→https://liff-gateway.lineml.jp/landing?follow=%40590gpxrd&amp;lp=fX73yx&amp;liff_id=1657094566-LmjNPPbV</v>
      </c>
      <c r="C227" s="31" t="str">
        <f>IFERROR(__xludf.DUMMYFUNCTION("""COMPUTED_VALUE"""),"ピル処方")</f>
        <v>ピル処方</v>
      </c>
      <c r="D227" s="31" t="str">
        <f>IFERROR(__xludf.DUMMYFUNCTION("""COMPUTED_VALUE"""),"初診,予約,ピル処方")</f>
        <v>初診,予約,ピル処方</v>
      </c>
      <c r="E227" s="32" t="str">
        <f>IFERROR(__xludf.DUMMYFUNCTION("""COMPUTED_VALUE"""),"https://luna-dr.com/subjects/pill-prescription/")</f>
        <v>https://luna-dr.com/subjects/pill-prescription/</v>
      </c>
    </row>
    <row r="228">
      <c r="A228" s="31" t="str">
        <f>IFERROR(__xludf.DUMMYFUNCTION("""COMPUTED_VALUE"""),"ピル処方は来院とオンライン、どちらで予約できますか？")</f>
        <v>ピル処方は来院とオンライン、どちらで予約できますか？</v>
      </c>
      <c r="B228" s="31" t="str">
        <f>IFERROR(__xludf.DUMMYFUNCTION("""COMPUTED_VALUE"""),"ルナレディースクリニックでは、ピル処方のご相談は来院診療とオンライン診療のどちらでも予約が可能です。ご自身のライフスタイルに合わせて選べます。初診の場合、アフターピルは初診からオンライン診療で処方できますが、生理痛などの治療を目的とする低用量ピルは、初回は検査が必要なため来院診療となりますので、ご注意ください。
来院診療の場合は「ピル処方」のメニューでご予約ください→https://cline-app.com/qr-codes/98ad6f149bfa20f4f2a9a2e91aac4187/previ"&amp;"ew
オンライン診療のご予約はこちら→https://liff-gateway.lineml.jp/landing?follow=%40590gpxrd&amp;lp=fX73yx&amp;liff_id=1657094566-LmjNPPbV")</f>
        <v>ルナレディースクリニックでは、ピル処方のご相談は来院診療とオンライン診療のどちらでも予約が可能です。ご自身のライフスタイルに合わせて選べます。初診の場合、アフターピルは初診からオンライン診療で処方できますが、生理痛などの治療を目的とする低用量ピルは、初回は検査が必要なため来院診療となりますので、ご注意ください。
来院診療の場合は「ピル処方」のメニューでご予約ください→https://cline-app.com/qr-codes/98ad6f149bfa20f4f2a9a2e91aac4187/preview
オンライン診療のご予約はこちら→https://liff-gateway.lineml.jp/landing?follow=%40590gpxrd&amp;lp=fX73yx&amp;liff_id=1657094566-LmjNPPbV</v>
      </c>
      <c r="C228" s="31" t="str">
        <f>IFERROR(__xludf.DUMMYFUNCTION("""COMPUTED_VALUE"""),"ピル処方")</f>
        <v>ピル処方</v>
      </c>
      <c r="D228" s="31" t="str">
        <f>IFERROR(__xludf.DUMMYFUNCTION("""COMPUTED_VALUE"""),"来院診療,オンライン診療,ピル処方")</f>
        <v>来院診療,オンライン診療,ピル処方</v>
      </c>
      <c r="E228" s="32" t="str">
        <f>IFERROR(__xludf.DUMMYFUNCTION("""COMPUTED_VALUE"""),"https://luna-dr.com/subjects/pill-prescription/")</f>
        <v>https://luna-dr.com/subjects/pill-prescription/</v>
      </c>
    </row>
    <row r="229">
      <c r="A229" s="31" t="str">
        <f>IFERROR(__xludf.DUMMYFUNCTION("""COMPUTED_VALUE"""),"低用量ピルはどんな悩みに使われますか？")</f>
        <v>低用量ピルはどんな悩みに使われますか？</v>
      </c>
      <c r="B229" s="31" t="str">
        <f>IFERROR(__xludf.DUMMYFUNCTION("""COMPUTED_VALUE"""),"低用量ピル（ピル）は、避妊、生理痛の軽減、生理不順の改善、PMS（月経前症候群）の緩和、ニキビ改善など幅広い目的で使用されます。")</f>
        <v>低用量ピル（ピル）は、避妊、生理痛の軽減、生理不順の改善、PMS（月経前症候群）の緩和、ニキビ改善など幅広い目的で使用されます。</v>
      </c>
      <c r="C229" s="31" t="str">
        <f>IFERROR(__xludf.DUMMYFUNCTION("""COMPUTED_VALUE"""),"低用量ピル（ピル）")</f>
        <v>低用量ピル（ピル）</v>
      </c>
      <c r="D229" s="31" t="str">
        <f>IFERROR(__xludf.DUMMYFUNCTION("""COMPUTED_VALUE"""),"低用量ピル,悩み,改善")</f>
        <v>低用量ピル,悩み,改善</v>
      </c>
      <c r="E229" s="32" t="str">
        <f>IFERROR(__xludf.DUMMYFUNCTION("""COMPUTED_VALUE"""),"https://luna-dr.com/subjects/low-dose-contraceptive/")</f>
        <v>https://luna-dr.com/subjects/low-dose-contraceptive/</v>
      </c>
    </row>
    <row r="230">
      <c r="A230" s="31" t="str">
        <f>IFERROR(__xludf.DUMMYFUNCTION("""COMPUTED_VALUE"""),"OCピルとLEPピルの違いは何ですか？")</f>
        <v>OCピルとLEPピルの違いは何ですか？</v>
      </c>
      <c r="B230" s="31" t="str">
        <f>IFERROR(__xludf.DUMMYFUNCTION("""COMPUTED_VALUE"""),"OC（経口避妊薬）は避妊目的で使用される低用量ピルで自由診療です。LEP（低用量エストロゲン・プロゲスチン製剤）は生理痛や子宮内膜症など治療目的で使用され、保険適用となります。")</f>
        <v>OC（経口避妊薬）は避妊目的で使用される低用量ピルで自由診療です。LEP（低用量エストロゲン・プロゲスチン製剤）は生理痛や子宮内膜症など治療目的で使用され、保険適用となります。</v>
      </c>
      <c r="C230" s="31" t="str">
        <f>IFERROR(__xludf.DUMMYFUNCTION("""COMPUTED_VALUE"""),"低用量ピル（OC／LEP）")</f>
        <v>低用量ピル（OC／LEP）</v>
      </c>
      <c r="D230" s="31" t="str">
        <f>IFERROR(__xludf.DUMMYFUNCTION("""COMPUTED_VALUE"""),"OC,LEP,違い,治療")</f>
        <v>OC,LEP,違い,治療</v>
      </c>
      <c r="E230" s="32" t="str">
        <f>IFERROR(__xludf.DUMMYFUNCTION("""COMPUTED_VALUE"""),"https://luna-dr.com/subjects/low-dose-contraceptive/")</f>
        <v>https://luna-dr.com/subjects/low-dose-contraceptive/</v>
      </c>
    </row>
    <row r="231">
      <c r="A231" s="31" t="str">
        <f>IFERROR(__xludf.DUMMYFUNCTION("""COMPUTED_VALUE"""),"低用量ピルは避妊以外にも効果がありますか？")</f>
        <v>低用量ピルは避妊以外にも効果がありますか？</v>
      </c>
      <c r="B231" s="31" t="str">
        <f>IFERROR(__xludf.DUMMYFUNCTION("""COMPUTED_VALUE"""),"低用量ピル（ピル）は、生理痛の軽減、PMS改善、経血量の減少、月経周期の安定、ニキビ改善などの副効用も期待できます。")</f>
        <v>低用量ピル（ピル）は、生理痛の軽減、PMS改善、経血量の減少、月経周期の安定、ニキビ改善などの副効用も期待できます。</v>
      </c>
      <c r="C231" s="31" t="str">
        <f>IFERROR(__xludf.DUMMYFUNCTION("""COMPUTED_VALUE"""),"低用量ピル（ピル）")</f>
        <v>低用量ピル（ピル）</v>
      </c>
      <c r="D231" s="31" t="str">
        <f>IFERROR(__xludf.DUMMYFUNCTION("""COMPUTED_VALUE"""),"低用量ピル,効果,生理痛")</f>
        <v>低用量ピル,効果,生理痛</v>
      </c>
      <c r="E231" s="32" t="str">
        <f>IFERROR(__xludf.DUMMYFUNCTION("""COMPUTED_VALUE"""),"https://luna-dr.com/subjects/low-dose-contraceptive/")</f>
        <v>https://luna-dr.com/subjects/low-dose-contraceptive/</v>
      </c>
    </row>
    <row r="232">
      <c r="A232" s="31" t="str">
        <f>IFERROR(__xludf.DUMMYFUNCTION("""COMPUTED_VALUE"""),"ピルを飲み始めてすぐに避妊効果はありますか？")</f>
        <v>ピルを飲み始めてすぐに避妊効果はありますか？</v>
      </c>
      <c r="B232" s="31" t="str">
        <f>IFERROR(__xludf.DUMMYFUNCTION("""COMPUTED_VALUE"""),"低用量ピル（ピル）は、最初の1シート目では避妊効果が安定しません。2シート目以降から避妊効果が期待できるため、最初の1シート目は他の避妊法を併用してください。飲み忘れなく服用を続け、2シート目からは避妊効果が期待できます。")</f>
        <v>低用量ピル（ピル）は、最初の1シート目では避妊効果が安定しません。2シート目以降から避妊効果が期待できるため、最初の1シート目は他の避妊法を併用してください。飲み忘れなく服用を続け、2シート目からは避妊効果が期待できます。</v>
      </c>
      <c r="C232" s="31" t="str">
        <f>IFERROR(__xludf.DUMMYFUNCTION("""COMPUTED_VALUE"""),"低用量ピル（ピル）")</f>
        <v>低用量ピル（ピル）</v>
      </c>
      <c r="D232" s="31" t="str">
        <f>IFERROR(__xludf.DUMMYFUNCTION("""COMPUTED_VALUE"""),"ピル,避妊効果,いつから")</f>
        <v>ピル,避妊効果,いつから</v>
      </c>
      <c r="E232" s="32" t="str">
        <f>IFERROR(__xludf.DUMMYFUNCTION("""COMPUTED_VALUE"""),"https://luna-dr.com/subjects/low-dose-contraceptive/")</f>
        <v>https://luna-dr.com/subjects/low-dose-contraceptive/</v>
      </c>
    </row>
    <row r="233">
      <c r="A233" s="31" t="str">
        <f>IFERROR(__xludf.DUMMYFUNCTION("""COMPUTED_VALUE"""),"ピルを飲み忘れたらどうなりますか？")</f>
        <v>ピルを飲み忘れたらどうなりますか？</v>
      </c>
      <c r="B233" s="31" t="str">
        <f>IFERROR(__xludf.DUMMYFUNCTION("""COMPUTED_VALUE"""),"ピルの飲み忘れが続くと避妊効果が低下するため、ご注意ください。低用量ピルを飲み忘れた場合は、飲み忘れた日数によって対応が異なります。異変を感じた場合はすぐにご相談ください。
・1日飲み忘れた場合
気づいた時点ですぐ1錠服用し、その後は通常通り同じ時間に服用してください。
1日の飲み忘れであれば、避妊効果への影響はほとんどありません。
・2日飲み忘れた場合
気づいた時点で飲み忘れた2錠を服用し、その後は通常通り続けてください。
ホルモン低下により不正出血が起こることがありますが、軽度であれば継続可能です"&amp;"。
強い腹痛や鮮血の出血がある場合は服用を中止し、ご相談ください。
・3日以上飲み忘れた場合
服用を中止し、生理が来たら5日以内に新しいシートを開始してください。
新しいシートを7日間連続で服用するまでは、必ず別の避妊方法を併用してください。
※休薬期間前後の飲み忘れは妊娠リスクが高まるため、特に注意が必要です。
""回答が遅れ申し訳ございません。
低用量ピルのなかでも、保険診療のものと自費診療のもので飲み忘れた際の服用方法や注意事項が異なるため、下記にて反映いただけますと幸いです。
こちらの件は当"&amp;"院勤務の看護師確認内容となります。
●自費診療の低用量ピル（ラベルフィーユやファボワールなど）
《1日飲み忘れの場合》
低用量ピルの服用を中止する必要はありません。
飲み忘れに気づいた時点で前日の分を服用し、本日分はいつも服用している時間に服用します。
本日分を服用する時に前日の飲み忘れに気づいた場合は、その時に前日分と合わせて2錠内服してください。
飲み忘れが1日なら避妊効果に影響はないと言われています。
《2日以上飲み忘れの場合》
2日以上内服を忘れた場合は一度内服を中止していただき、次回の自然"&amp;"な月経が来るのを待ってから内服再開していただきます。月経開始5日以内に内服再開するようにしてください。避妊効果は7日以上連続で内服をしてから出ますので内服再開したシートの最初の1列目は別の方法で避妊を兼ねるようにしてください。
ただし、4列目の偽薬で忘れた場合は元々ホルモン剤が入っていない錠剤のため、追加で服用は不要です。
●保険診療の低用量ピル（ヤーズフレックスなど）
《1日飲み忘れの場合》
低用量ピルの服用を中止する必要はありません。
飲み忘れに気づいた時点で前日の分を服用し、本日分はいつも服用"&amp;"している時間に服用します。
本日分を服用する時に前日の飲み忘れに気づいた場合は、その時に前日分と合わせて2錠内服してください。
《2日以上飲み忘れの場合》
気付いた時点で飲み忘れた分の直近の錠剤を内服、本日分はいつもの時間に内服して下さい。
本日分を服用する時に飲み忘れに気づいた場合は、その時に前日分と合わせて2錠内服して下さい。
その後は今までのスケジュール通り内服を続けて下さい。
※個人差はありますが、ホルモンの低下により不正出血が起こる可能性があります。
茶褐色の不正出血なら、ほとんどの場合ピル"&amp;"の服用を続けるとホルモンの量が正常に戻り収まります。
しかし、鮮血の出血や量が多い場合はピルの服用を続けても不正出血が続く可能性があります。
もし鮮血の出血が起きてしまった場合は現在のシートを中断していただき、次回月経が開始して5日以内に新しいシートの1錠目から内服再開してください。
《4日以上飲み忘れた場合》
医師への確認が必要です。
処方された医療機関を受診してご相談ください。""")</f>
        <v>ピルの飲み忘れが続くと避妊効果が低下するため、ご注意ください。低用量ピルを飲み忘れた場合は、飲み忘れた日数によって対応が異なります。異変を感じた場合はすぐにご相談ください。
・1日飲み忘れた場合
気づいた時点ですぐ1錠服用し、その後は通常通り同じ時間に服用してください。
1日の飲み忘れであれば、避妊効果への影響はほとんどありません。
・2日飲み忘れた場合
気づいた時点で飲み忘れた2錠を服用し、その後は通常通り続けてください。
ホルモン低下により不正出血が起こることがありますが、軽度であれば継続可能です。
強い腹痛や鮮血の出血がある場合は服用を中止し、ご相談ください。
・3日以上飲み忘れた場合
服用を中止し、生理が来たら5日以内に新しいシートを開始してください。
新しいシートを7日間連続で服用するまでは、必ず別の避妊方法を併用してください。
※休薬期間前後の飲み忘れは妊娠リスクが高まるため、特に注意が必要です。
"回答が遅れ申し訳ございません。
低用量ピルのなかでも、保険診療のものと自費診療のもので飲み忘れた際の服用方法や注意事項が異なるため、下記にて反映いただけますと幸いです。
こちらの件は当院勤務の看護師確認内容となります。
●自費診療の低用量ピル（ラベルフィーユやファボワールなど）
《1日飲み忘れの場合》
低用量ピルの服用を中止する必要はありません。
飲み忘れに気づいた時点で前日の分を服用し、本日分はいつも服用している時間に服用します。
本日分を服用する時に前日の飲み忘れに気づいた場合は、その時に前日分と合わせて2錠内服してください。
飲み忘れが1日なら避妊効果に影響はないと言われています。
《2日以上飲み忘れの場合》
2日以上内服を忘れた場合は一度内服を中止していただき、次回の自然な月経が来るのを待ってから内服再開していただきます。月経開始5日以内に内服再開するようにしてください。避妊効果は7日以上連続で内服をしてから出ますので内服再開したシートの最初の1列目は別の方法で避妊を兼ねるようにしてください。
ただし、4列目の偽薬で忘れた場合は元々ホルモン剤が入っていない錠剤のため、追加で服用は不要です。
●保険診療の低用量ピル（ヤーズフレックスなど）
《1日飲み忘れの場合》
低用量ピルの服用を中止する必要はありません。
飲み忘れに気づいた時点で前日の分を服用し、本日分はいつも服用している時間に服用します。
本日分を服用する時に前日の飲み忘れに気づいた場合は、その時に前日分と合わせて2錠内服してください。
《2日以上飲み忘れの場合》
気付いた時点で飲み忘れた分の直近の錠剤を内服、本日分はいつもの時間に内服して下さい。
本日分を服用する時に飲み忘れに気づいた場合は、その時に前日分と合わせて2錠内服して下さい。
その後は今までのスケジュール通り内服を続けて下さい。
※個人差はありますが、ホルモンの低下により不正出血が起こる可能性があります。
茶褐色の不正出血なら、ほとんどの場合ピルの服用を続けるとホルモンの量が正常に戻り収まります。
しかし、鮮血の出血や量が多い場合はピルの服用を続けても不正出血が続く可能性があります。
もし鮮血の出血が起きてしまった場合は現在のシートを中断していただき、次回月経が開始して5日以内に新しいシートの1錠目から内服再開してください。
《4日以上飲み忘れた場合》
医師への確認が必要です。
処方された医療機関を受診してご相談ください。"</v>
      </c>
      <c r="C233" s="31" t="str">
        <f>IFERROR(__xludf.DUMMYFUNCTION("""COMPUTED_VALUE"""),"低用量ピル（ピル）")</f>
        <v>低用量ピル（ピル）</v>
      </c>
      <c r="D233" s="31" t="str">
        <f>IFERROR(__xludf.DUMMYFUNCTION("""COMPUTED_VALUE"""),"ピル,飲み忘れ,対処")</f>
        <v>ピル,飲み忘れ,対処</v>
      </c>
      <c r="E233" s="32" t="str">
        <f>IFERROR(__xludf.DUMMYFUNCTION("""COMPUTED_VALUE"""),"https://luna-dr.com/subjects/low-dose-contraceptive/")</f>
        <v>https://luna-dr.com/subjects/low-dose-contraceptive/</v>
      </c>
    </row>
    <row r="234">
      <c r="A234" s="31" t="str">
        <f>IFERROR(__xludf.DUMMYFUNCTION("""COMPUTED_VALUE"""),"ピルを飲むと太りますか？")</f>
        <v>ピルを飲むと太りますか？</v>
      </c>
      <c r="B234" s="31" t="str">
        <f>IFERROR(__xludf.DUMMYFUNCTION("""COMPUTED_VALUE"""),"個人差はありますが、飲み始めにピルのホルモンの影響で食欲が増したり、むくみやすくなったりする方がいらっしゃいます。しかし、多くの場合、体が慣れてホルモンの状態が整ってくると、むくみや食欲も落ち着いてきます。まずは3ヶ月ほど、様子を見ながら服用を続けることをお勧めしています。")</f>
        <v>個人差はありますが、飲み始めにピルのホルモンの影響で食欲が増したり、むくみやすくなったりする方がいらっしゃいます。しかし、多くの場合、体が慣れてホルモンの状態が整ってくると、むくみや食欲も落ち着いてきます。まずは3ヶ月ほど、様子を見ながら服用を続けることをお勧めしています。</v>
      </c>
      <c r="C234" s="31" t="str">
        <f>IFERROR(__xludf.DUMMYFUNCTION("""COMPUTED_VALUE"""),"低用量ピル（ピル）")</f>
        <v>低用量ピル（ピル）</v>
      </c>
      <c r="D234" s="31" t="str">
        <f>IFERROR(__xludf.DUMMYFUNCTION("""COMPUTED_VALUE"""),"ピル,太る,副作用")</f>
        <v>ピル,太る,副作用</v>
      </c>
      <c r="E234" s="32" t="str">
        <f>IFERROR(__xludf.DUMMYFUNCTION("""COMPUTED_VALUE"""),"https://luna-dr.com/subjects/low-dose-contraceptive/")</f>
        <v>https://luna-dr.com/subjects/low-dose-contraceptive/</v>
      </c>
    </row>
    <row r="235">
      <c r="A235" s="31" t="str">
        <f>IFERROR(__xludf.DUMMYFUNCTION("""COMPUTED_VALUE"""),"ピルを飲むと将来妊娠しにくくなりますか？")</f>
        <v>ピルを飲むと将来妊娠しにくくなりますか？</v>
      </c>
      <c r="B235" s="31" t="str">
        <f>IFERROR(__xludf.DUMMYFUNCTION("""COMPUTED_VALUE"""),"低用量ピル（ピル）やアフターピル（緊急避妊薬）は、服用をやめれば排卵が再開し、将来の妊娠能力に影響することはありません。")</f>
        <v>低用量ピル（ピル）やアフターピル（緊急避妊薬）は、服用をやめれば排卵が再開し、将来の妊娠能力に影響することはありません。</v>
      </c>
      <c r="C235" s="31" t="str">
        <f>IFERROR(__xludf.DUMMYFUNCTION("""COMPUTED_VALUE"""),"低用量ピル（ピル）")</f>
        <v>低用量ピル（ピル）</v>
      </c>
      <c r="D235" s="31" t="str">
        <f>IFERROR(__xludf.DUMMYFUNCTION("""COMPUTED_VALUE"""),"ピル,妊娠,将来")</f>
        <v>ピル,妊娠,将来</v>
      </c>
      <c r="E235" s="32" t="str">
        <f>IFERROR(__xludf.DUMMYFUNCTION("""COMPUTED_VALUE"""),"https://luna-dr.com/subjects/low-dose-contraceptive/")</f>
        <v>https://luna-dr.com/subjects/low-dose-contraceptive/</v>
      </c>
    </row>
    <row r="236">
      <c r="A236" s="31" t="str">
        <f>IFERROR(__xludf.DUMMYFUNCTION("""COMPUTED_VALUE"""),"ピルの副作用にはどんなものがありますか？")</f>
        <v>ピルの副作用にはどんなものがありますか？</v>
      </c>
      <c r="B236" s="31" t="str">
        <f>IFERROR(__xludf.DUMMYFUNCTION("""COMPUTED_VALUE"""),"低用量ピル（ピル）の副作用として、吐き気、頭痛、不正出血、むくみなどが起こることがありますが、多くは3〜6ヶ月で軽快します。")</f>
        <v>低用量ピル（ピル）の副作用として、吐き気、頭痛、不正出血、むくみなどが起こることがありますが、多くは3〜6ヶ月で軽快します。</v>
      </c>
      <c r="C236" s="31" t="str">
        <f>IFERROR(__xludf.DUMMYFUNCTION("""COMPUTED_VALUE"""),"低用量ピル（ピル）")</f>
        <v>低用量ピル（ピル）</v>
      </c>
      <c r="D236" s="31" t="str">
        <f>IFERROR(__xludf.DUMMYFUNCTION("""COMPUTED_VALUE"""),"ピル,副作用,吐き気")</f>
        <v>ピル,副作用,吐き気</v>
      </c>
      <c r="E236" s="32" t="str">
        <f>IFERROR(__xludf.DUMMYFUNCTION("""COMPUTED_VALUE"""),"https://luna-dr.com/subjects/low-dose-contraceptive/")</f>
        <v>https://luna-dr.com/subjects/low-dose-contraceptive/</v>
      </c>
    </row>
    <row r="237">
      <c r="A237" s="31" t="str">
        <f>IFERROR(__xludf.DUMMYFUNCTION("""COMPUTED_VALUE"""),"ピルで血栓症になることはありますか？")</f>
        <v>ピルで血栓症になることはありますか？</v>
      </c>
      <c r="B237" s="31" t="str">
        <f>IFERROR(__xludf.DUMMYFUNCTION("""COMPUTED_VALUE"""),"ピルを服用していない人と比べると、血栓症（血管の中に血の塊が詰まる病気）のリスクは高まります。しかし、その頻度は「自動車を運転する人が事故に遭うリスク」とよく比較されます。私たちは、車の運転が危険だからといって、その利便性を手放したりはしませんよね。それと同じで、ピルにも避妊やQOL向上といった、リスクを上回る大きなメリットがあります。当院では、このリスクとメリットを丁寧にご説明し、ご理解いただいた上で処方しています。")</f>
        <v>ピルを服用していない人と比べると、血栓症（血管の中に血の塊が詰まる病気）のリスクは高まります。しかし、その頻度は「自動車を運転する人が事故に遭うリスク」とよく比較されます。私たちは、車の運転が危険だからといって、その利便性を手放したりはしませんよね。それと同じで、ピルにも避妊やQOL向上といった、リスクを上回る大きなメリットがあります。当院では、このリスクとメリットを丁寧にご説明し、ご理解いただいた上で処方しています。</v>
      </c>
      <c r="C237" s="31" t="str">
        <f>IFERROR(__xludf.DUMMYFUNCTION("""COMPUTED_VALUE"""),"低用量ピル（ピル）")</f>
        <v>低用量ピル（ピル）</v>
      </c>
      <c r="D237" s="31" t="str">
        <f>IFERROR(__xludf.DUMMYFUNCTION("""COMPUTED_VALUE"""),"ピル,血栓症,リスク")</f>
        <v>ピル,血栓症,リスク</v>
      </c>
      <c r="E237" s="32" t="str">
        <f>IFERROR(__xludf.DUMMYFUNCTION("""COMPUTED_VALUE"""),"https://luna-dr.com/subjects/low-dose-contraceptive/")</f>
        <v>https://luna-dr.com/subjects/low-dose-contraceptive/</v>
      </c>
    </row>
    <row r="238">
      <c r="A238" s="31" t="str">
        <f>IFERROR(__xludf.DUMMYFUNCTION("""COMPUTED_VALUE"""),"低用量ピルは誰でも飲めますか？")</f>
        <v>低用量ピルは誰でも飲めますか？</v>
      </c>
      <c r="B238" s="31" t="str">
        <f>IFERROR(__xludf.DUMMYFUNCTION("""COMPUTED_VALUE"""),"以下に該当する方は原則としてピルを服用できません。
・50歳以上の方、または初経前の方
・BMIが30以上の方
・35歳以上で1日に15本以上タバコを吸う方
・その他、重い持病をお持ちの方 など
当院では、国のガイドラインに加え、より安全にピルを服用いただくために以下の基準を設けております。
・40歳以上で初めてピルの服用を開始される方
・40歳以上で、喫煙されている方、BMIが25以上の方、高血圧のいずれかに該当する方
上記に当てはまる場合、ピルを処方できない可能性がございます。安全な処方のため"&amp;"、診察時に医師が詳しくお話を伺い、丁寧に判断させていただきます。")</f>
        <v>以下に該当する方は原則としてピルを服用できません。
・50歳以上の方、または初経前の方
・BMIが30以上の方
・35歳以上で1日に15本以上タバコを吸う方
・その他、重い持病をお持ちの方 など
当院では、国のガイドラインに加え、より安全にピルを服用いただくために以下の基準を設けております。
・40歳以上で初めてピルの服用を開始される方
・40歳以上で、喫煙されている方、BMIが25以上の方、高血圧のいずれかに該当する方
上記に当てはまる場合、ピルを処方できない可能性がございます。安全な処方のため、診察時に医師が詳しくお話を伺い、丁寧に判断させていただきます。</v>
      </c>
      <c r="C238" s="31" t="str">
        <f>IFERROR(__xludf.DUMMYFUNCTION("""COMPUTED_VALUE"""),"低用量ピル（ピル）")</f>
        <v>低用量ピル（ピル）</v>
      </c>
      <c r="D238" s="31" t="str">
        <f>IFERROR(__xludf.DUMMYFUNCTION("""COMPUTED_VALUE"""),"ピル,飲めない,人")</f>
        <v>ピル,飲めない,人</v>
      </c>
      <c r="E238" s="32" t="str">
        <f>IFERROR(__xludf.DUMMYFUNCTION("""COMPUTED_VALUE"""),"https://luna-dr.com/subjects/low-dose-contraceptive/")</f>
        <v>https://luna-dr.com/subjects/low-dose-contraceptive/</v>
      </c>
    </row>
    <row r="239">
      <c r="A239" s="31" t="str">
        <f>IFERROR(__xludf.DUMMYFUNCTION("""COMPUTED_VALUE"""),"生理の回数を減らしても体に影響はありませんか？")</f>
        <v>生理の回数を減らしても体に影響はありませんか？</v>
      </c>
      <c r="B239" s="31" t="str">
        <f>IFERROR(__xludf.DUMMYFUNCTION("""COMPUTED_VALUE"""),"大きな害はありませんのでご安心ください。むしろ、生理の回数が減ることで、排卵や月経に伴う身体的・精神的な負担が軽減されます。また、子宮筋腫や子宮内膜症といった、生理がある間は進行しやすい病気の進行を遅らせる効果も期待できます。")</f>
        <v>大きな害はありませんのでご安心ください。むしろ、生理の回数が減ることで、排卵や月経に伴う身体的・精神的な負担が軽減されます。また、子宮筋腫や子宮内膜症といった、生理がある間は進行しやすい病気の進行を遅らせる効果も期待できます。</v>
      </c>
      <c r="C239" s="31" t="str">
        <f>IFERROR(__xludf.DUMMYFUNCTION("""COMPUTED_VALUE"""),"低用量ピル（ピル）")</f>
        <v>低用量ピル（ピル）</v>
      </c>
      <c r="D239" s="31" t="str">
        <f>IFERROR(__xludf.DUMMYFUNCTION("""COMPUTED_VALUE"""),"ピル,生理の回数,影響")</f>
        <v>ピル,生理の回数,影響</v>
      </c>
      <c r="E239" s="32" t="str">
        <f>IFERROR(__xludf.DUMMYFUNCTION("""COMPUTED_VALUE"""),"https://luna-dr.com/subjects/low-dose-contraceptive/")</f>
        <v>https://luna-dr.com/subjects/low-dose-contraceptive/</v>
      </c>
    </row>
    <row r="240">
      <c r="A240" s="31" t="str">
        <f>IFERROR(__xludf.DUMMYFUNCTION("""COMPUTED_VALUE"""),"低用量ピルは初診からオンライン診療で処方できますか？")</f>
        <v>低用量ピルは初診からオンライン診療で処方できますか？</v>
      </c>
      <c r="B240" s="31" t="str">
        <f>IFERROR(__xludf.DUMMYFUNCTION("""COMPUTED_VALUE"""),"避妊目的の低用量ピル（OC）は初診からオンライン診療が可能です。治療目的の低用量ピル（LEP）は初回は検査が必要なため来院診療となります。")</f>
        <v>避妊目的の低用量ピル（OC）は初診からオンライン診療が可能です。治療目的の低用量ピル（LEP）は初回は検査が必要なため来院診療となります。</v>
      </c>
      <c r="C240" s="31" t="str">
        <f>IFERROR(__xludf.DUMMYFUNCTION("""COMPUTED_VALUE"""),"低用量ピル（ピル）")</f>
        <v>低用量ピル（ピル）</v>
      </c>
      <c r="D240" s="31" t="str">
        <f>IFERROR(__xludf.DUMMYFUNCTION("""COMPUTED_VALUE"""),"ピル,初診,オンライン")</f>
        <v>ピル,初診,オンライン</v>
      </c>
      <c r="E240" s="32" t="str">
        <f>IFERROR(__xludf.DUMMYFUNCTION("""COMPUTED_VALUE"""),"https://luna-dr.com/subjects/low-dose-contraceptive/")</f>
        <v>https://luna-dr.com/subjects/low-dose-contraceptive/</v>
      </c>
    </row>
    <row r="241">
      <c r="A241" s="31" t="str">
        <f>IFERROR(__xludf.DUMMYFUNCTION("""COMPUTED_VALUE"""),"アフターピルは初診でもオンライン診療できますか？")</f>
        <v>アフターピルは初診でもオンライン診療できますか？</v>
      </c>
      <c r="B241" s="31" t="str">
        <f>IFERROR(__xludf.DUMMYFUNCTION("""COMPUTED_VALUE"""),"アフターピル（緊急避妊薬）は初診の方でもオンライン診療で相談・処方が可能です。")</f>
        <v>アフターピル（緊急避妊薬）は初診の方でもオンライン診療で相談・処方が可能です。</v>
      </c>
      <c r="C241" s="31" t="str">
        <f>IFERROR(__xludf.DUMMYFUNCTION("""COMPUTED_VALUE"""),"アフターピル（緊急避妊薬）")</f>
        <v>アフターピル（緊急避妊薬）</v>
      </c>
      <c r="D241" s="31" t="str">
        <f>IFERROR(__xludf.DUMMYFUNCTION("""COMPUTED_VALUE"""),"アフターピル,初診,オンライン")</f>
        <v>アフターピル,初診,オンライン</v>
      </c>
      <c r="E241" s="32" t="str">
        <f>IFERROR(__xludf.DUMMYFUNCTION("""COMPUTED_VALUE"""),"https://luna-dr.com/subjects/low-dose-contraceptive/")</f>
        <v>https://luna-dr.com/subjects/low-dose-contraceptive/</v>
      </c>
    </row>
    <row r="242">
      <c r="A242" s="31" t="str">
        <f>IFERROR(__xludf.DUMMYFUNCTION("""COMPUTED_VALUE"""),"ピルの処方には内診がありますか？")</f>
        <v>ピルの処方には内診がありますか？</v>
      </c>
      <c r="B242" s="31" t="str">
        <f>IFERROR(__xludf.DUMMYFUNCTION("""COMPUTED_VALUE"""),"避妊目的の低用量ピル（OC）は問診が中心で、基本的に内診はありません。治療目的（LEP）の場合は検査が必要です。")</f>
        <v>避妊目的の低用量ピル（OC）は問診が中心で、基本的に内診はありません。治療目的（LEP）の場合は検査が必要です。</v>
      </c>
      <c r="C242" s="31" t="str">
        <f>IFERROR(__xludf.DUMMYFUNCTION("""COMPUTED_VALUE"""),"低用量ピル（ピル）")</f>
        <v>低用量ピル（ピル）</v>
      </c>
      <c r="D242" s="31" t="str">
        <f>IFERROR(__xludf.DUMMYFUNCTION("""COMPUTED_VALUE"""),"ピル,内診,不安")</f>
        <v>ピル,内診,不安</v>
      </c>
      <c r="E242" s="32" t="str">
        <f>IFERROR(__xludf.DUMMYFUNCTION("""COMPUTED_VALUE"""),"https://luna-dr.com/subjects/low-dose-contraceptive/")</f>
        <v>https://luna-dr.com/subjects/low-dose-contraceptive/</v>
      </c>
    </row>
    <row r="243">
      <c r="A243" s="31" t="str">
        <f>IFERROR(__xludf.DUMMYFUNCTION("""COMPUTED_VALUE"""),"ピルは保険適用されますか？")</f>
        <v>ピルは保険適用されますか？</v>
      </c>
      <c r="B243" s="31" t="str">
        <f>IFERROR(__xludf.DUMMYFUNCTION("""COMPUTED_VALUE"""),"治療目的の低用量ピル（LEP）は保険適用です。避妊目的の低用量ピル（OC）とアフターピルは自由診療となります。")</f>
        <v>治療目的の低用量ピル（LEP）は保険適用です。避妊目的の低用量ピル（OC）とアフターピルは自由診療となります。</v>
      </c>
      <c r="C243" s="31" t="str">
        <f>IFERROR(__xludf.DUMMYFUNCTION("""COMPUTED_VALUE"""),"低用量ピル（ピル）")</f>
        <v>低用量ピル（ピル）</v>
      </c>
      <c r="D243" s="31" t="str">
        <f>IFERROR(__xludf.DUMMYFUNCTION("""COMPUTED_VALUE"""),"ピル,保険,適用")</f>
        <v>ピル,保険,適用</v>
      </c>
      <c r="E243" s="32" t="str">
        <f>IFERROR(__xludf.DUMMYFUNCTION("""COMPUTED_VALUE"""),"https://luna-dr.com/subjects/low-dose-contraceptive/")</f>
        <v>https://luna-dr.com/subjects/low-dose-contraceptive/</v>
      </c>
    </row>
    <row r="244">
      <c r="A244" s="31" t="str">
        <f>IFERROR(__xludf.DUMMYFUNCTION("""COMPUTED_VALUE"""),"ピルの費用はいくらくらいですか？")</f>
        <v>ピルの費用はいくらくらいですか？</v>
      </c>
      <c r="B244" s="31" t="str">
        <f>IFERROR(__xludf.DUMMYFUNCTION("""COMPUTED_VALUE"""),"低用量ピル（ピル）は1シート3,000円前後から、定期配送プランもあります。診察料が別途かかります。")</f>
        <v>低用量ピル（ピル）は1シート3,000円前後から、定期配送プランもあります。診察料が別途かかります。</v>
      </c>
      <c r="C244" s="31" t="str">
        <f>IFERROR(__xludf.DUMMYFUNCTION("""COMPUTED_VALUE"""),"低用量ピル（ピル）")</f>
        <v>低用量ピル（ピル）</v>
      </c>
      <c r="D244" s="31" t="str">
        <f>IFERROR(__xludf.DUMMYFUNCTION("""COMPUTED_VALUE"""),"ピル,費用,料金")</f>
        <v>ピル,費用,料金</v>
      </c>
      <c r="E244" s="32" t="str">
        <f>IFERROR(__xludf.DUMMYFUNCTION("""COMPUTED_VALUE"""),"https://luna-dr.com/subjects/low-dose-contraceptive/")</f>
        <v>https://luna-dr.com/subjects/low-dose-contraceptive/</v>
      </c>
    </row>
    <row r="245">
      <c r="A245" s="31" t="str">
        <f>IFERROR(__xludf.DUMMYFUNCTION("""COMPUTED_VALUE"""),"ピルの処方はどれくらいまとめてもらえますか？/低用量ピルは何ヶ月分まとめて処方してもらえますか？")</f>
        <v>ピルの処方はどれくらいまとめてもらえますか？/低用量ピルは何ヶ月分まとめて処方してもらえますか？</v>
      </c>
      <c r="B245" s="31" t="str">
        <f>IFERROR(__xludf.DUMMYFUNCTION("""COMPUTED_VALUE"""),"低用量ピル（OC）は最大6ヶ月分、治療目的のLEPは最大3ヶ月分まで処方可能です。")</f>
        <v>低用量ピル（OC）は最大6ヶ月分、治療目的のLEPは最大3ヶ月分まで処方可能です。</v>
      </c>
      <c r="C245" s="31" t="str">
        <f>IFERROR(__xludf.DUMMYFUNCTION("""COMPUTED_VALUE"""),"低用量ピル（ピル）")</f>
        <v>低用量ピル（ピル）</v>
      </c>
      <c r="D245" s="31" t="str">
        <f>IFERROR(__xludf.DUMMYFUNCTION("""COMPUTED_VALUE"""),"ピル,処方,何ヶ月")</f>
        <v>ピル,処方,何ヶ月</v>
      </c>
      <c r="E245" s="32" t="str">
        <f>IFERROR(__xludf.DUMMYFUNCTION("""COMPUTED_VALUE"""),"https://luna-dr.com/subjects/low-dose-contraceptive/")</f>
        <v>https://luna-dr.com/subjects/low-dose-contraceptive/</v>
      </c>
    </row>
    <row r="246">
      <c r="A246" s="31" t="str">
        <f>IFERROR(__xludf.DUMMYFUNCTION("""COMPUTED_VALUE"""),"低用量ピルの処方の流れを教えてください")</f>
        <v>低用量ピルの処方の流れを教えてください</v>
      </c>
      <c r="B246" s="31" t="str">
        <f>IFERROR(__xludf.DUMMYFUNCTION("""COMPUTED_VALUE"""),"ルナレディースクリニックでは、低用量ピルの処方は「来院診療」または「オンライン診療」から選べます。まずは公式LINEからご予約いただき、WEB問診にご回答ください。来院診療の場合は、医師が目的に応じた診察を行い、避妊目的（OCピル）の場合は主に問診のみ、治療目的（LEPピル）の場合は超音波（エコー）検査を行うことがあります。診察後にお薬を処方し、お会計となります。初診時は1シートのみの処方となり、2回目以降はOCピルは最大6ヶ月分、LEPピルは最大3ヶ月分まで処方可能です。オンライン診療は避妊目的の低用量"&amp;"ピル（OC・自費診療）のみ対象で、LINE予約後にWEB問診、電話またはチャットでの診察、決済確認後にお薬を発送します。服用中に不安がある場合は、LINEでいつでもご相談いただけます。")</f>
        <v>ルナレディースクリニックでは、低用量ピルの処方は「来院診療」または「オンライン診療」から選べます。まずは公式LINEからご予約いただき、WEB問診にご回答ください。来院診療の場合は、医師が目的に応じた診察を行い、避妊目的（OCピル）の場合は主に問診のみ、治療目的（LEPピル）の場合は超音波（エコー）検査を行うことがあります。診察後にお薬を処方し、お会計となります。初診時は1シートのみの処方となり、2回目以降はOCピルは最大6ヶ月分、LEPピルは最大3ヶ月分まで処方可能です。オンライン診療は避妊目的の低用量ピル（OC・自費診療）のみ対象で、LINE予約後にWEB問診、電話またはチャットでの診察、決済確認後にお薬を発送します。服用中に不安がある場合は、LINEでいつでもご相談いただけます。</v>
      </c>
      <c r="C246" s="31" t="str">
        <f>IFERROR(__xludf.DUMMYFUNCTION("""COMPUTED_VALUE"""),"低用量ピル（OC,LEP）")</f>
        <v>低用量ピル（OC,LEP）</v>
      </c>
      <c r="D246" s="31" t="str">
        <f>IFERROR(__xludf.DUMMYFUNCTION("""COMPUTED_VALUE"""),"低用量ピル,ピル処方,診察の流れ,来院診療,オンライン診療,避妊,生理痛")</f>
        <v>低用量ピル,ピル処方,診察の流れ,来院診療,オンライン診療,避妊,生理痛</v>
      </c>
      <c r="E246" s="32" t="str">
        <f>IFERROR(__xludf.DUMMYFUNCTION("""COMPUTED_VALUE"""),"https://luna-dr.com/subjects/low-dose-contraceptive/")</f>
        <v>https://luna-dr.com/subjects/low-dose-contraceptive/</v>
      </c>
    </row>
    <row r="247">
      <c r="A247" s="31" t="str">
        <f>IFERROR(__xludf.DUMMYFUNCTION("""COMPUTED_VALUE"""),"ピルの相談はどうやって予約しますか？")</f>
        <v>ピルの相談はどうやって予約しますか？</v>
      </c>
      <c r="B247" s="31" t="str">
        <f>IFERROR(__xludf.DUMMYFUNCTION("""COMPUTED_VALUE"""),"ルナレディースクリニックでは、低用量ピルの診察は公式LINEまたはお電話からご予約いただけます。避妊目的の低用量ピル（OC）の場合は来院診療・オンライン診療のどちらも選択可能です。治療目的の低用量ピル（LEP）の場合は、症状の診察や検査が必要なため、初診・再診にかかわらず必ず【来院】での診療予約をお願いいたします。
来院診療の場合は「ピル処方」のメニューでご予約ください→https://cline-app.com/qr-codes/98ad6f149bfa20f4f2a9a2e91aac4187/pre"&amp;"view
オンライン診療のご予約はこちら→https://liff-gateway.lineml.jp/landing?follow=%40590gpxrd&amp;lp=fX73yx&amp;liff_id=1657094566-LmjNPPbV")</f>
        <v>ルナレディースクリニックでは、低用量ピルの診察は公式LINEまたはお電話からご予約いただけます。避妊目的の低用量ピル（OC）の場合は来院診療・オンライン診療のどちらも選択可能です。治療目的の低用量ピル（LEP）の場合は、症状の診察や検査が必要なため、初診・再診にかかわらず必ず【来院】での診療予約をお願いいたします。
来院診療の場合は「ピル処方」のメニューでご予約ください→https://cline-app.com/qr-codes/98ad6f149bfa20f4f2a9a2e91aac4187/preview
オンライン診療のご予約はこちら→https://liff-gateway.lineml.jp/landing?follow=%40590gpxrd&amp;lp=fX73yx&amp;liff_id=1657094566-LmjNPPbV</v>
      </c>
      <c r="C247" s="31" t="str">
        <f>IFERROR(__xludf.DUMMYFUNCTION("""COMPUTED_VALUE"""),"低用量ピル（ピル）")</f>
        <v>低用量ピル（ピル）</v>
      </c>
      <c r="D247" s="31" t="str">
        <f>IFERROR(__xludf.DUMMYFUNCTION("""COMPUTED_VALUE"""),"ピル,予約,方法")</f>
        <v>ピル,予約,方法</v>
      </c>
      <c r="E247" s="32" t="str">
        <f>IFERROR(__xludf.DUMMYFUNCTION("""COMPUTED_VALUE"""),"https://luna-dr.com/subjects/low-dose-contraceptive/")</f>
        <v>https://luna-dr.com/subjects/low-dose-contraceptive/</v>
      </c>
    </row>
    <row r="248">
      <c r="A248" s="31" t="str">
        <f>IFERROR(__xludf.DUMMYFUNCTION("""COMPUTED_VALUE"""),"低用量ピルはどうやって予約すればいいですか？")</f>
        <v>低用量ピルはどうやって予約すればいいですか？</v>
      </c>
      <c r="B248" s="31" t="str">
        <f>IFERROR(__xludf.DUMMYFUNCTION("""COMPUTED_VALUE"""),"ルナレディースクリニックでは、低用量ピルの診察は公式LINEまたはお電話からご予約いただけます。避妊目的の低用量ピル（OC）の場合は来院診療・オンライン診療のどちらも選択可能です。治療目的の低用量ピル（LEP）の場合は、症状の診察や検査が必要なため、初診・再診にかかわらず必ず【来院】での診療予約をお願いいたします。
来院診療の場合は「ピル処方」のメニューでご予約ください→https://cline-app.com/qr-codes/98ad6f149bfa20f4f2a9a2e91aac4187/pre"&amp;"view
オンライン診療のご予約はこちら→https://liff-gateway.lineml.jp/landing?follow=%40590gpxrd&amp;lp=fX73yx&amp;liff_id=1657094566-LmjNPPbV")</f>
        <v>ルナレディースクリニックでは、低用量ピルの診察は公式LINEまたはお電話からご予約いただけます。避妊目的の低用量ピル（OC）の場合は来院診療・オンライン診療のどちらも選択可能です。治療目的の低用量ピル（LEP）の場合は、症状の診察や検査が必要なため、初診・再診にかかわらず必ず【来院】での診療予約をお願いいたします。
来院診療の場合は「ピル処方」のメニューでご予約ください→https://cline-app.com/qr-codes/98ad6f149bfa20f4f2a9a2e91aac4187/preview
オンライン診療のご予約はこちら→https://liff-gateway.lineml.jp/landing?follow=%40590gpxrd&amp;lp=fX73yx&amp;liff_id=1657094566-LmjNPPbV</v>
      </c>
      <c r="C248" s="31" t="str">
        <f>IFERROR(__xludf.DUMMYFUNCTION("""COMPUTED_VALUE"""),"低用量ピル（OC,LEP）")</f>
        <v>低用量ピル（OC,LEP）</v>
      </c>
      <c r="D248" s="31" t="str">
        <f>IFERROR(__xludf.DUMMYFUNCTION("""COMPUTED_VALUE"""),"予約方法,LINE,電話,ピル")</f>
        <v>予約方法,LINE,電話,ピル</v>
      </c>
      <c r="E248" s="32" t="str">
        <f>IFERROR(__xludf.DUMMYFUNCTION("""COMPUTED_VALUE"""),"https://luna-dr.com/subjects/low-dose-contraceptive/")</f>
        <v>https://luna-dr.com/subjects/low-dose-contraceptive/</v>
      </c>
    </row>
    <row r="249">
      <c r="A249" s="31" t="str">
        <f>IFERROR(__xludf.DUMMYFUNCTION("""COMPUTED_VALUE"""),"低用量ピルはLINEから予約できますか？")</f>
        <v>低用量ピルはLINEから予約できますか？</v>
      </c>
      <c r="B249" s="31" t="str">
        <f>IFERROR(__xludf.DUMMYFUNCTION("""COMPUTED_VALUE"""),"ルナレディースクリニックでは、低用量ピルの診察は公式LINEまたはお電話からご予約いただけます。避妊目的の低用量ピル（OC）の場合は来院診療・オンライン診療のどちらも選択可能です。治療目的の低用量ピル（LEP）の場合は、症状の診察や検査が必要なため、初診・再診にかかわらず必ず【来院】での診療予約をお願いいたします。
来院診療の場合は「ピル処方」のメニューでご予約ください→https://cline-app.com/qr-codes/98ad6f149bfa20f4f2a9a2e91aac4187/pre"&amp;"view
オンライン診療のご予約はこちら→https://liff-gateway.lineml.jp/landing?follow=%40590gpxrd&amp;lp=fX73yx&amp;liff_id=1657094566-LmjNPPbV")</f>
        <v>ルナレディースクリニックでは、低用量ピルの診察は公式LINEまたはお電話からご予約いただけます。避妊目的の低用量ピル（OC）の場合は来院診療・オンライン診療のどちらも選択可能です。治療目的の低用量ピル（LEP）の場合は、症状の診察や検査が必要なため、初診・再診にかかわらず必ず【来院】での診療予約をお願いいたします。
来院診療の場合は「ピル処方」のメニューでご予約ください→https://cline-app.com/qr-codes/98ad6f149bfa20f4f2a9a2e91aac4187/preview
オンライン診療のご予約はこちら→https://liff-gateway.lineml.jp/landing?follow=%40590gpxrd&amp;lp=fX73yx&amp;liff_id=1657094566-LmjNPPbV</v>
      </c>
      <c r="C249" s="31" t="str">
        <f>IFERROR(__xludf.DUMMYFUNCTION("""COMPUTED_VALUE"""),"低用量ピル（OC,LEP）")</f>
        <v>低用量ピル（OC,LEP）</v>
      </c>
      <c r="D249" s="31" t="str">
        <f>IFERROR(__xludf.DUMMYFUNCTION("""COMPUTED_VALUE"""),"LINE予約,婦人科予約,低用量ピル")</f>
        <v>LINE予約,婦人科予約,低用量ピル</v>
      </c>
      <c r="E249" s="32" t="str">
        <f>IFERROR(__xludf.DUMMYFUNCTION("""COMPUTED_VALUE"""),"https://luna-dr.com/subjects/low-dose-contraceptive/")</f>
        <v>https://luna-dr.com/subjects/low-dose-contraceptive/</v>
      </c>
    </row>
    <row r="250">
      <c r="A250" s="31" t="str">
        <f>IFERROR(__xludf.DUMMYFUNCTION("""COMPUTED_VALUE"""),"低用量ピルは電話でも予約できますか？")</f>
        <v>低用量ピルは電話でも予約できますか？</v>
      </c>
      <c r="B250" s="31" t="str">
        <f>IFERROR(__xludf.DUMMYFUNCTION("""COMPUTED_VALUE"""),"LINEでの予約後、事前問診等もLINEから行うことができ、スムーズに受診ができるため、当院ではLINEでのご予約を推奨しております。
来院診療の場合は「ピル処方」のメニューでご予約ください→https://cline-app.com/qr-codes/98ad6f149bfa20f4f2a9a2e91aac4187/preview
オンライン診療のご予約はこちら→https://liff-gateway.lineml.jp/landing?follow=%40590gpxrd&amp;lp=fX73yx&amp;li"&amp;"ff_id=1657094566-LmjNPPbV")</f>
        <v>LINEでの予約後、事前問診等もLINEから行うことができ、スムーズに受診ができるため、当院ではLINEでのご予約を推奨しております。
来院診療の場合は「ピル処方」のメニューでご予約ください→https://cline-app.com/qr-codes/98ad6f149bfa20f4f2a9a2e91aac4187/preview
オンライン診療のご予約はこちら→https://liff-gateway.lineml.jp/landing?follow=%40590gpxrd&amp;lp=fX73yx&amp;liff_id=1657094566-LmjNPPbV</v>
      </c>
      <c r="C250" s="31" t="str">
        <f>IFERROR(__xludf.DUMMYFUNCTION("""COMPUTED_VALUE"""),"低用量ピル（OC,LEP）")</f>
        <v>低用量ピル（OC,LEP）</v>
      </c>
      <c r="D250" s="31" t="str">
        <f>IFERROR(__xludf.DUMMYFUNCTION("""COMPUTED_VALUE"""),"電話予約,問い合わせ,低用量ピル")</f>
        <v>電話予約,問い合わせ,低用量ピル</v>
      </c>
      <c r="E250" s="32" t="str">
        <f>IFERROR(__xludf.DUMMYFUNCTION("""COMPUTED_VALUE"""),"https://luna-dr.com/subjects/low-dose-contraceptive/")</f>
        <v>https://luna-dr.com/subjects/low-dose-contraceptive/</v>
      </c>
    </row>
    <row r="251">
      <c r="A251" s="31" t="str">
        <f>IFERROR(__xludf.DUMMYFUNCTION("""COMPUTED_VALUE"""),"低用量ピルは予約なしでも相談できますか？")</f>
        <v>低用量ピルは予約なしでも相談できますか？</v>
      </c>
      <c r="B251" s="31" t="str">
        <f>IFERROR(__xludf.DUMMYFUNCTION("""COMPUTED_VALUE"""),"来院治療の場合、予約外来院も可能です。スムーズなご案内のため、事前予約をおすすめしています。")</f>
        <v>来院治療の場合、予約外来院も可能です。スムーズなご案内のため、事前予約をおすすめしています。</v>
      </c>
      <c r="C251" s="31" t="str">
        <f>IFERROR(__xludf.DUMMYFUNCTION("""COMPUTED_VALUE"""),"低用量ピル（OC,LEP）")</f>
        <v>低用量ピル（OC,LEP）</v>
      </c>
      <c r="D251" s="31" t="str">
        <f>IFERROR(__xludf.DUMMYFUNCTION("""COMPUTED_VALUE"""),"予約なし,受診,低用量ピル")</f>
        <v>予約なし,受診,低用量ピル</v>
      </c>
      <c r="E251" s="32" t="str">
        <f>IFERROR(__xludf.DUMMYFUNCTION("""COMPUTED_VALUE"""),"https://luna-dr.com/subjects/low-dose-contraceptive/")</f>
        <v>https://luna-dr.com/subjects/low-dose-contraceptive/</v>
      </c>
    </row>
    <row r="252">
      <c r="A252" s="31" t="str">
        <f>IFERROR(__xludf.DUMMYFUNCTION("""COMPUTED_VALUE"""),"低用量ピルの予約前に準備しておくことはありますか？")</f>
        <v>低用量ピルの予約前に準備しておくことはありますか？</v>
      </c>
      <c r="B252" s="31" t="str">
        <f>IFERROR(__xludf.DUMMYFUNCTION("""COMPUTED_VALUE"""),"低用量ピルの診察前にはWEB問診へのご回答をお願いしています。避妊目的（OC）の場合は主に服用目的や体調について、治療目的（LEP）の場合は生理痛や月経状況などについてご入力いただきます。事前に回答いただくことで診察がスムーズに進みます。")</f>
        <v>低用量ピルの診察前にはWEB問診へのご回答をお願いしています。避妊目的（OC）の場合は主に服用目的や体調について、治療目的（LEP）の場合は生理痛や月経状況などについてご入力いただきます。事前に回答いただくことで診察がスムーズに進みます。</v>
      </c>
      <c r="C252" s="31" t="str">
        <f>IFERROR(__xludf.DUMMYFUNCTION("""COMPUTED_VALUE"""),"低用量ピル（OC,LEP）")</f>
        <v>低用量ピル（OC,LEP）</v>
      </c>
      <c r="D252" s="31" t="str">
        <f>IFERROR(__xludf.DUMMYFUNCTION("""COMPUTED_VALUE"""),"WEB問診,事前準備,低用量ピル")</f>
        <v>WEB問診,事前準備,低用量ピル</v>
      </c>
      <c r="E252" s="32" t="str">
        <f>IFERROR(__xludf.DUMMYFUNCTION("""COMPUTED_VALUE"""),"https://luna-dr.com/subjects/low-dose-contraceptive/")</f>
        <v>https://luna-dr.com/subjects/low-dose-contraceptive/</v>
      </c>
    </row>
    <row r="253">
      <c r="A253" s="31" t="str">
        <f>IFERROR(__xludf.DUMMYFUNCTION("""COMPUTED_VALUE"""),"低用量ピルは初診でも予約できますか？")</f>
        <v>低用量ピルは初診でも予約できますか？</v>
      </c>
      <c r="B253" s="31" t="str">
        <f>IFERROR(__xludf.DUMMYFUNCTION("""COMPUTED_VALUE"""),"低用量ピルは初診の方もご予約いただけます。ご予約は公式LINEから受け付けておりますので、友だち追加の上ご利用ください。
※避妊目的の低用量ピル（OC）の場合は来院診療・オンライン診療のどちらも選択可能です。治療目的の低用量ピル（LEP）の場合は、検査が必要なため来院診療での予約をお願いします。
来院診療の場合は「ピル処方」のメニューでご予約ください→https://cline-app.com/qr-codes/98ad6f149bfa20f4f2a9a2e91aac4187/preview
オンライン"&amp;"診療のご予約はこちら→https://liff-gateway.lineml.jp/landing?follow=%40590gpxrd&amp;lp=fX73yx&amp;liff_id=1657094566-LmjNPPbV")</f>
        <v>低用量ピルは初診の方もご予約いただけます。ご予約は公式LINEから受け付けておりますので、友だち追加の上ご利用ください。
※避妊目的の低用量ピル（OC）の場合は来院診療・オンライン診療のどちらも選択可能です。治療目的の低用量ピル（LEP）の場合は、検査が必要なため来院診療での予約をお願いします。
来院診療の場合は「ピル処方」のメニューでご予約ください→https://cline-app.com/qr-codes/98ad6f149bfa20f4f2a9a2e91aac4187/preview
オンライン診療のご予約はこちら→https://liff-gateway.lineml.jp/landing?follow=%40590gpxrd&amp;lp=fX73yx&amp;liff_id=1657094566-LmjNPPbV</v>
      </c>
      <c r="C253" s="31" t="str">
        <f>IFERROR(__xludf.DUMMYFUNCTION("""COMPUTED_VALUE"""),"低用量ピル（OC,LEP）")</f>
        <v>低用量ピル（OC,LEP）</v>
      </c>
      <c r="D253" s="31" t="str">
        <f>IFERROR(__xludf.DUMMYFUNCTION("""COMPUTED_VALUE"""),"初診,予約,低用量ピル")</f>
        <v>初診,予約,低用量ピル</v>
      </c>
      <c r="E253" s="32" t="str">
        <f>IFERROR(__xludf.DUMMYFUNCTION("""COMPUTED_VALUE"""),"https://luna-dr.com/subjects/low-dose-contraceptive/")</f>
        <v>https://luna-dr.com/subjects/low-dose-contraceptive/</v>
      </c>
    </row>
    <row r="254">
      <c r="A254" s="31" t="str">
        <f>IFERROR(__xludf.DUMMYFUNCTION("""COMPUTED_VALUE"""),"低用量ピルは来院とオンライン、どちらで予約できますか？")</f>
        <v>低用量ピルは来院とオンライン、どちらで予約できますか？</v>
      </c>
      <c r="B254" s="31" t="str">
        <f>IFERROR(__xludf.DUMMYFUNCTION("""COMPUTED_VALUE"""),"ルナレディースクリニックでは、低用量ピルのご相談は来院診療とオンライン診療のどちらでも予約が可能です。ご自身のライフスタイルに合わせて選べます。避妊目的の低用量ピル（OC）の場合は来院診療・オンライン診療のどちらも選択可能です。保険適用のピル（LEP）をご希望の場合は、症状の診察や検査が必要なため、初診・再診にかかわらず必ず【来院】での診療予約をお願いいたします。
来院診療の場合は「ピル処方」のメニューでご予約ください→https://cline-app.com/qr-codes/98ad6f149bf"&amp;"a20f4f2a9a2e91aac4187/preview
オンライン診療のご予約はこちら→https://liff-gateway.lineml.jp/landing?follow=%40590gpxrd&amp;lp=fX73yx&amp;liff_id=1657094566-LmjNPPbV")</f>
        <v>ルナレディースクリニックでは、低用量ピルのご相談は来院診療とオンライン診療のどちらでも予約が可能です。ご自身のライフスタイルに合わせて選べます。避妊目的の低用量ピル（OC）の場合は来院診療・オンライン診療のどちらも選択可能です。保険適用のピル（LEP）をご希望の場合は、症状の診察や検査が必要なため、初診・再診にかかわらず必ず【来院】での診療予約をお願いいたします。
来院診療の場合は「ピル処方」のメニューでご予約ください→https://cline-app.com/qr-codes/98ad6f149bfa20f4f2a9a2e91aac4187/preview
オンライン診療のご予約はこちら→https://liff-gateway.lineml.jp/landing?follow=%40590gpxrd&amp;lp=fX73yx&amp;liff_id=1657094566-LmjNPPbV</v>
      </c>
      <c r="C254" s="31" t="str">
        <f>IFERROR(__xludf.DUMMYFUNCTION("""COMPUTED_VALUE"""),"低用量ピル（OC,LEP）")</f>
        <v>低用量ピル（OC,LEP）</v>
      </c>
      <c r="D254" s="31" t="str">
        <f>IFERROR(__xludf.DUMMYFUNCTION("""COMPUTED_VALUE"""),"来院診療,オンライン診療,低用量ピル")</f>
        <v>来院診療,オンライン診療,低用量ピル</v>
      </c>
      <c r="E254" s="32" t="str">
        <f>IFERROR(__xludf.DUMMYFUNCTION("""COMPUTED_VALUE"""),"https://luna-dr.com/subjects/low-dose-contraceptive/")</f>
        <v>https://luna-dr.com/subjects/low-dose-contraceptive/</v>
      </c>
    </row>
    <row r="255">
      <c r="A255" s="31" t="str">
        <f>IFERROR(__xludf.DUMMYFUNCTION("""COMPUTED_VALUE"""),"低用量ピルの診察前にWEB問診は必要ですか？")</f>
        <v>低用量ピルの診察前にWEB問診は必要ですか？</v>
      </c>
      <c r="B255" s="31" t="str">
        <f>IFERROR(__xludf.DUMMYFUNCTION("""COMPUTED_VALUE"""),"低用量ピルの診察前にはWEB問診へのご回答をお願いしています。避妊目的（OC）の場合は主に服用目的や体調について、治療目的（LEP）の場合は生理痛や月経状況などについてご入力いただきます。事前に回答いただくことで診察がスムーズに進みます。")</f>
        <v>低用量ピルの診察前にはWEB問診へのご回答をお願いしています。避妊目的（OC）の場合は主に服用目的や体調について、治療目的（LEP）の場合は生理痛や月経状況などについてご入力いただきます。事前に回答いただくことで診察がスムーズに進みます。</v>
      </c>
      <c r="C255" s="31" t="str">
        <f>IFERROR(__xludf.DUMMYFUNCTION("""COMPUTED_VALUE"""),"低用量ピル（OC,LEP）")</f>
        <v>低用量ピル（OC,LEP）</v>
      </c>
      <c r="D255" s="31" t="str">
        <f>IFERROR(__xludf.DUMMYFUNCTION("""COMPUTED_VALUE"""),"低用量ピル,WEB問診,診察準備,避妊,生理痛")</f>
        <v>低用量ピル,WEB問診,診察準備,避妊,生理痛</v>
      </c>
      <c r="E255" s="32" t="str">
        <f>IFERROR(__xludf.DUMMYFUNCTION("""COMPUTED_VALUE"""),"https://luna-dr.com/subjects/low-dose-contraceptive/")</f>
        <v>https://luna-dr.com/subjects/low-dose-contraceptive/</v>
      </c>
    </row>
    <row r="256">
      <c r="A256" s="31" t="str">
        <f>IFERROR(__xludf.DUMMYFUNCTION("""COMPUTED_VALUE"""),"低用量ピルの診察では何を聞かれますか？")</f>
        <v>低用量ピルの診察では何を聞かれますか？</v>
      </c>
      <c r="B256" s="31" t="str">
        <f>IFERROR(__xludf.DUMMYFUNCTION("""COMPUTED_VALUE"""),"低用量ピルの診察では、服用の目的（避妊か治療か）、これまでの月経状況、体調、既往歴などを確認します。避妊目的（OC）の場合は問診が中心となり、治療目的（LEP）の場合は生理痛や症状の経過について詳しくお伺いします。")</f>
        <v>低用量ピルの診察では、服用の目的（避妊か治療か）、これまでの月経状況、体調、既往歴などを確認します。避妊目的（OC）の場合は問診が中心となり、治療目的（LEP）の場合は生理痛や症状の経過について詳しくお伺いします。</v>
      </c>
      <c r="C256" s="31" t="str">
        <f>IFERROR(__xludf.DUMMYFUNCTION("""COMPUTED_VALUE"""),"低用量ピル（OC,LEP）")</f>
        <v>低用量ピル（OC,LEP）</v>
      </c>
      <c r="D256" s="31" t="str">
        <f>IFERROR(__xludf.DUMMYFUNCTION("""COMPUTED_VALUE"""),"低用量ピル,診察内容,避妊,生理痛")</f>
        <v>低用量ピル,診察内容,避妊,生理痛</v>
      </c>
      <c r="E256" s="32" t="str">
        <f>IFERROR(__xludf.DUMMYFUNCTION("""COMPUTED_VALUE"""),"https://luna-dr.com/subjects/low-dose-contraceptive/")</f>
        <v>https://luna-dr.com/subjects/low-dose-contraceptive/</v>
      </c>
    </row>
    <row r="257">
      <c r="A257" s="31" t="str">
        <f>IFERROR(__xludf.DUMMYFUNCTION("""COMPUTED_VALUE"""),"避妊目的の低用量ピルの診察の流れを教えてください/OCの診察の流れを教えてください")</f>
        <v>避妊目的の低用量ピルの診察の流れを教えてください/OCの診察の流れを教えてください</v>
      </c>
      <c r="B257" s="31" t="str">
        <f>IFERROR(__xludf.DUMMYFUNCTION("""COMPUTED_VALUE"""),"避妊目的の低用量ピル（OC）は、公式LINEまたは電話で予約後、WEB問診に回答し、医師が問診を中心に診察を行います。基本的に内診はありません。ピルの効果や正しい飲み方について説明を受けた後、お薬を処方し、お会計となります。来院診療・オンライン診療のどちらも選択可能です。")</f>
        <v>避妊目的の低用量ピル（OC）は、公式LINEまたは電話で予約後、WEB問診に回答し、医師が問診を中心に診察を行います。基本的に内診はありません。ピルの効果や正しい飲み方について説明を受けた後、お薬を処方し、お会計となります。来院診療・オンライン診療のどちらも選択可能です。</v>
      </c>
      <c r="C257" s="31" t="str">
        <f>IFERROR(__xludf.DUMMYFUNCTION("""COMPUTED_VALUE"""),"低用量ピル（OC）")</f>
        <v>低用量ピル（OC）</v>
      </c>
      <c r="D257" s="31" t="str">
        <f>IFERROR(__xludf.DUMMYFUNCTION("""COMPUTED_VALUE"""),"低用量ピル,OC,避妊,診察の流れ")</f>
        <v>低用量ピル,OC,避妊,診察の流れ</v>
      </c>
      <c r="E257" s="32" t="str">
        <f>IFERROR(__xludf.DUMMYFUNCTION("""COMPUTED_VALUE"""),"https://luna-dr.com/subjects/low-dose-contraceptive/")</f>
        <v>https://luna-dr.com/subjects/low-dose-contraceptive/</v>
      </c>
    </row>
    <row r="258">
      <c r="A258" s="31" t="str">
        <f>IFERROR(__xludf.DUMMYFUNCTION("""COMPUTED_VALUE"""),"治療目的の低用量ピルの診察の流れを教えてください/LEPの診察の流れを教えてください")</f>
        <v>治療目的の低用量ピルの診察の流れを教えてください/LEPの診察の流れを教えてください</v>
      </c>
      <c r="B258" s="31" t="str">
        <f>IFERROR(__xludf.DUMMYFUNCTION("""COMPUTED_VALUE"""),"治療目的の低用量ピル（LEP）は、公式LINEで来院予約後、WEB問診に回答し、医師が診察を行います。生理痛などの原因を確認するため、必要に応じて超音波（エコー）検査を行います。検査結果をもとに症状に合ったピルを提案し、処方・お会計となります。")</f>
        <v>治療目的の低用量ピル（LEP）は、公式LINEで来院予約後、WEB問診に回答し、医師が診察を行います。生理痛などの原因を確認するため、必要に応じて超音波（エコー）検査を行います。検査結果をもとに症状に合ったピルを提案し、処方・お会計となります。</v>
      </c>
      <c r="C258" s="31" t="str">
        <f>IFERROR(__xludf.DUMMYFUNCTION("""COMPUTED_VALUE"""),"低用量ピル（LEP）")</f>
        <v>低用量ピル（LEP）</v>
      </c>
      <c r="D258" s="31" t="str">
        <f>IFERROR(__xludf.DUMMYFUNCTION("""COMPUTED_VALUE"""),"低用量ピル,LEP,生理痛,治療,診察の流れ")</f>
        <v>低用量ピル,LEP,生理痛,治療,診察の流れ</v>
      </c>
      <c r="E258" s="32" t="str">
        <f>IFERROR(__xludf.DUMMYFUNCTION("""COMPUTED_VALUE"""),"https://luna-dr.com/subjects/low-dose-contraceptive/")</f>
        <v>https://luna-dr.com/subjects/low-dose-contraceptive/</v>
      </c>
    </row>
    <row r="259">
      <c r="A259" s="31" t="str">
        <f>IFERROR(__xludf.DUMMYFUNCTION("""COMPUTED_VALUE"""),"低用量ピルの初診当日はどこまで進みますか？")</f>
        <v>低用量ピルの初診当日はどこまで進みますか？</v>
      </c>
      <c r="B259" s="31" t="str">
        <f>IFERROR(__xludf.DUMMYFUNCTION("""COMPUTED_VALUE"""),"低用量ピルの初診当日は、問診・診察（治療目的の場合は検査）まで行い、その日のうちにお薬を処方します。初診時はお薬が体に合うか確認するため、1シートのみの処方となります。")</f>
        <v>低用量ピルの初診当日は、問診・診察（治療目的の場合は検査）まで行い、その日のうちにお薬を処方します。初診時はお薬が体に合うか確認するため、1シートのみの処方となります。</v>
      </c>
      <c r="C259" s="31" t="str">
        <f>IFERROR(__xludf.DUMMYFUNCTION("""COMPUTED_VALUE"""),"低用量ピル（OC,LEP）")</f>
        <v>低用量ピル（OC,LEP）</v>
      </c>
      <c r="D259" s="31" t="str">
        <f>IFERROR(__xludf.DUMMYFUNCTION("""COMPUTED_VALUE"""),"低用量ピル,初診,当日の流れ")</f>
        <v>低用量ピル,初診,当日の流れ</v>
      </c>
      <c r="E259" s="32" t="str">
        <f>IFERROR(__xludf.DUMMYFUNCTION("""COMPUTED_VALUE"""),"https://luna-dr.com/subjects/low-dose-contraceptive/")</f>
        <v>https://luna-dr.com/subjects/low-dose-contraceptive/</v>
      </c>
    </row>
    <row r="260">
      <c r="A260" s="31" t="str">
        <f>IFERROR(__xludf.DUMMYFUNCTION("""COMPUTED_VALUE"""),"低用量ピルは何ヶ月分まとめて処方してもらえますか？")</f>
        <v>低用量ピルは何ヶ月分まとめて処方してもらえますか？</v>
      </c>
      <c r="B260" s="31" t="str">
        <f>IFERROR(__xludf.DUMMYFUNCTION("""COMPUTED_VALUE"""),"2回目以降は、避妊目的の低用量ピル（OC）は最大6ヶ月分、治療目的の低用量ピル（LEP）は最大3ヶ月分までまとめて処方することが可能です。")</f>
        <v>2回目以降は、避妊目的の低用量ピル（OC）は最大6ヶ月分、治療目的の低用量ピル（LEP）は最大3ヶ月分までまとめて処方することが可能です。</v>
      </c>
      <c r="C260" s="31" t="str">
        <f>IFERROR(__xludf.DUMMYFUNCTION("""COMPUTED_VALUE"""),"低用量ピル（OC,LEP）")</f>
        <v>低用量ピル（OC,LEP）</v>
      </c>
      <c r="D260" s="31" t="str">
        <f>IFERROR(__xludf.DUMMYFUNCTION("""COMPUTED_VALUE"""),"低用量ピル,処方日数,継続")</f>
        <v>低用量ピル,処方日数,継続</v>
      </c>
      <c r="E260" s="32" t="str">
        <f>IFERROR(__xludf.DUMMYFUNCTION("""COMPUTED_VALUE"""),"https://luna-dr.com/subjects/low-dose-contraceptive/")</f>
        <v>https://luna-dr.com/subjects/low-dose-contraceptive/</v>
      </c>
    </row>
    <row r="261">
      <c r="A261" s="31" t="str">
        <f>IFERROR(__xludf.DUMMYFUNCTION("""COMPUTED_VALUE"""),"低用量ピルの診察後の支払いはいつ行いますか？")</f>
        <v>低用量ピルの診察後の支払いはいつ行いますか？</v>
      </c>
      <c r="B261" s="31" t="str">
        <f>IFERROR(__xludf.DUMMYFUNCTION("""COMPUTED_VALUE"""),"低用量ピルの診察後、処方内容が決まった時点でお会計となります。オンライン診療の場合は、診察後に送付される決済リンクからお支払いください。")</f>
        <v>低用量ピルの診察後、処方内容が決まった時点でお会計となります。オンライン診療の場合は、診察後に送付される決済リンクからお支払いください。</v>
      </c>
      <c r="C261" s="31" t="str">
        <f>IFERROR(__xludf.DUMMYFUNCTION("""COMPUTED_VALUE"""),"低用量ピル（OC,LEP）")</f>
        <v>低用量ピル（OC,LEP）</v>
      </c>
      <c r="D261" s="31" t="str">
        <f>IFERROR(__xludf.DUMMYFUNCTION("""COMPUTED_VALUE"""),"低用量ピル,支払い,会計")</f>
        <v>低用量ピル,支払い,会計</v>
      </c>
      <c r="E261" s="32" t="str">
        <f>IFERROR(__xludf.DUMMYFUNCTION("""COMPUTED_VALUE"""),"https://luna-dr.com/subjects/low-dose-contraceptive/")</f>
        <v>https://luna-dr.com/subjects/low-dose-contraceptive/</v>
      </c>
    </row>
    <row r="262">
      <c r="A262" s="31" t="str">
        <f>IFERROR(__xludf.DUMMYFUNCTION("""COMPUTED_VALUE"""),"低用量ピルはオンライン診療でも処方できますか？")</f>
        <v>低用量ピルはオンライン診療でも処方できますか？</v>
      </c>
      <c r="B262" s="31" t="str">
        <f>IFERROR(__xludf.DUMMYFUNCTION("""COMPUTED_VALUE"""),"避妊目的の低用量ピル（OC）は初診からオンライン診療で処方可能です。一方、治療目的の低用量ピル（LEP）は検査が必要なため、初診・再診にかかわらず来院診療となります。")</f>
        <v>避妊目的の低用量ピル（OC）は初診からオンライン診療で処方可能です。一方、治療目的の低用量ピル（LEP）は検査が必要なため、初診・再診にかかわらず来院診療となります。</v>
      </c>
      <c r="C262" s="31" t="str">
        <f>IFERROR(__xludf.DUMMYFUNCTION("""COMPUTED_VALUE"""),"低用量ピル（OC,LEP）")</f>
        <v>低用量ピル（OC,LEP）</v>
      </c>
      <c r="D262" s="31" t="str">
        <f>IFERROR(__xludf.DUMMYFUNCTION("""COMPUTED_VALUE"""),"低用量ピル,オンライン診療,避妊,生理痛")</f>
        <v>低用量ピル,オンライン診療,避妊,生理痛</v>
      </c>
      <c r="E262" s="32" t="str">
        <f>IFERROR(__xludf.DUMMYFUNCTION("""COMPUTED_VALUE"""),"https://luna-dr.com/subjects/low-dose-contraceptive/")</f>
        <v>https://luna-dr.com/subjects/low-dose-contraceptive/</v>
      </c>
    </row>
    <row r="263">
      <c r="A263" s="31" t="str">
        <f>IFERROR(__xludf.DUMMYFUNCTION("""COMPUTED_VALUE"""),"オンライン診療で低用量ピルを処方してもらう流れを教えてください")</f>
        <v>オンライン診療で低用量ピルを処方してもらう流れを教えてください</v>
      </c>
      <c r="B263" s="31" t="str">
        <f>IFERROR(__xludf.DUMMYFUNCTION("""COMPUTED_VALUE"""),"オンライン診療は避妊目的の低用量ピル（OC）のみ対象です。公式LINEからオンライン診療を予約し、WEB問診に回答後、予約時間に医師が電話またはチャットで診察を行います。診察後に決済を行い、確認後にお薬を発送します。")</f>
        <v>オンライン診療は避妊目的の低用量ピル（OC）のみ対象です。公式LINEからオンライン診療を予約し、WEB問診に回答後、予約時間に医師が電話またはチャットで診察を行います。診察後に決済を行い、確認後にお薬を発送します。</v>
      </c>
      <c r="C263" s="31" t="str">
        <f>IFERROR(__xludf.DUMMYFUNCTION("""COMPUTED_VALUE"""),"低用量ピル（OC）")</f>
        <v>低用量ピル（OC）</v>
      </c>
      <c r="D263" s="31" t="str">
        <f>IFERROR(__xludf.DUMMYFUNCTION("""COMPUTED_VALUE"""),"低用量ピル,オンライン診療,OC,処方の流れ")</f>
        <v>低用量ピル,オンライン診療,OC,処方の流れ</v>
      </c>
      <c r="E263" s="32" t="str">
        <f>IFERROR(__xludf.DUMMYFUNCTION("""COMPUTED_VALUE"""),"https://luna-dr.com/subjects/low-dose-contraceptive/")</f>
        <v>https://luna-dr.com/subjects/low-dose-contraceptive/</v>
      </c>
    </row>
    <row r="264">
      <c r="A264" s="31" t="str">
        <f>IFERROR(__xludf.DUMMYFUNCTION("""COMPUTED_VALUE"""),"低用量ピルの処方後、相談はできますか？")</f>
        <v>低用量ピルの処方後、相談はできますか？</v>
      </c>
      <c r="B264" s="31" t="str">
        <f>IFERROR(__xludf.DUMMYFUNCTION("""COMPUTED_VALUE"""),"低用量ピルの服用中に不安なことや副作用について気になる点があれば、LINEでいつでもご相談いただけます。")</f>
        <v>低用量ピルの服用中に不安なことや副作用について気になる点があれば、LINEでいつでもご相談いただけます。</v>
      </c>
      <c r="C264" s="31" t="str">
        <f>IFERROR(__xludf.DUMMYFUNCTION("""COMPUTED_VALUE"""),"低用量ピル（OC,LEP）")</f>
        <v>低用量ピル（OC,LEP）</v>
      </c>
      <c r="D264" s="31" t="str">
        <f>IFERROR(__xludf.DUMMYFUNCTION("""COMPUTED_VALUE"""),"低用量ピル,アフターフォロー,相談")</f>
        <v>低用量ピル,アフターフォロー,相談</v>
      </c>
      <c r="E264" s="32" t="str">
        <f>IFERROR(__xludf.DUMMYFUNCTION("""COMPUTED_VALUE"""),"https://luna-dr.com/subjects/low-dose-contraceptive/")</f>
        <v>https://luna-dr.com/subjects/low-dose-contraceptive/</v>
      </c>
    </row>
    <row r="265">
      <c r="A265" s="31" t="str">
        <f>IFERROR(__xludf.DUMMYFUNCTION("""COMPUTED_VALUE"""),"低用量ピルの診察では何を聞かれますか？")</f>
        <v>低用量ピルの診察では何を聞かれますか？</v>
      </c>
      <c r="B265" s="31" t="str">
        <f>IFERROR(__xludf.DUMMYFUNCTION("""COMPUTED_VALUE"""),"低用量ピルの診察では、服用目的（避妊・生理痛・PMSなど）、月経周期、体調、既往歴、喫煙の有無などについて確認します。目的に応じて診察内容が異なります。")</f>
        <v>低用量ピルの診察では、服用目的（避妊・生理痛・PMSなど）、月経周期、体調、既往歴、喫煙の有無などについて確認します。目的に応じて診察内容が異なります。</v>
      </c>
      <c r="C265" s="31" t="str">
        <f>IFERROR(__xludf.DUMMYFUNCTION("""COMPUTED_VALUE"""),"低用量ピル（OC,LEP）")</f>
        <v>低用量ピル（OC,LEP）</v>
      </c>
      <c r="D265" s="31" t="str">
        <f>IFERROR(__xludf.DUMMYFUNCTION("""COMPUTED_VALUE"""),"低用量ピル,診察内容,問診,ピル相談")</f>
        <v>低用量ピル,診察内容,問診,ピル相談</v>
      </c>
      <c r="E265" s="32" t="str">
        <f>IFERROR(__xludf.DUMMYFUNCTION("""COMPUTED_VALUE"""),"https://luna-dr.com/subjects/low-dose-contraceptive/")</f>
        <v>https://luna-dr.com/subjects/low-dose-contraceptive/</v>
      </c>
    </row>
    <row r="266">
      <c r="A266" s="31" t="str">
        <f>IFERROR(__xludf.DUMMYFUNCTION("""COMPUTED_VALUE"""),"避妊目的の低用量ピル（OC）の診察の流れを教えてください")</f>
        <v>避妊目的の低用量ピル（OC）の診察の流れを教えてください</v>
      </c>
      <c r="B266" s="31" t="str">
        <f>IFERROR(__xludf.DUMMYFUNCTION("""COMPUTED_VALUE"""),"避妊目的の低用量ピル（OC）は、主に問診を中心とした診察で処方します。基本的に内診や検査は行わず、医師がピルの効果や飲み方、副作用について説明したうえで処方します。")</f>
        <v>避妊目的の低用量ピル（OC）は、主に問診を中心とした診察で処方します。基本的に内診や検査は行わず、医師がピルの効果や飲み方、副作用について説明したうえで処方します。</v>
      </c>
      <c r="C266" s="31" t="str">
        <f>IFERROR(__xludf.DUMMYFUNCTION("""COMPUTED_VALUE"""),"低用量ピル（OC）")</f>
        <v>低用量ピル（OC）</v>
      </c>
      <c r="D266" s="31" t="str">
        <f>IFERROR(__xludf.DUMMYFUNCTION("""COMPUTED_VALUE"""),"低用量ピル,OC,避妊,診察の流れ")</f>
        <v>低用量ピル,OC,避妊,診察の流れ</v>
      </c>
      <c r="E266" s="32" t="str">
        <f>IFERROR(__xludf.DUMMYFUNCTION("""COMPUTED_VALUE"""),"https://luna-dr.com/subjects/low-dose-contraceptive/")</f>
        <v>https://luna-dr.com/subjects/low-dose-contraceptive/</v>
      </c>
    </row>
    <row r="267">
      <c r="A267" s="31" t="str">
        <f>IFERROR(__xludf.DUMMYFUNCTION("""COMPUTED_VALUE"""),"治療目的の低用量ピル（LEP）の診察の流れを教えてください")</f>
        <v>治療目的の低用量ピル（LEP）の診察の流れを教えてください</v>
      </c>
      <c r="B267" s="31" t="str">
        <f>IFERROR(__xludf.DUMMYFUNCTION("""COMPUTED_VALUE"""),"生理痛やPMSなど治療目的の低用量ピル（LEP）の場合、問診に加えて超音波（エコー）検査などを行い、症状の原因を確認したうえで処方します。")</f>
        <v>生理痛やPMSなど治療目的の低用量ピル（LEP）の場合、問診に加えて超音波（エコー）検査などを行い、症状の原因を確認したうえで処方します。</v>
      </c>
      <c r="C267" s="31" t="str">
        <f>IFERROR(__xludf.DUMMYFUNCTION("""COMPUTED_VALUE"""),"低用量ピル（LEP）")</f>
        <v>低用量ピル（LEP）</v>
      </c>
      <c r="D267" s="31" t="str">
        <f>IFERROR(__xludf.DUMMYFUNCTION("""COMPUTED_VALUE"""),"低用量ピル,LEP,生理痛,診察の流れ")</f>
        <v>低用量ピル,LEP,生理痛,診察の流れ</v>
      </c>
      <c r="E267" s="32" t="str">
        <f>IFERROR(__xludf.DUMMYFUNCTION("""COMPUTED_VALUE"""),"https://luna-dr.com/subjects/low-dose-contraceptive/")</f>
        <v>https://luna-dr.com/subjects/low-dose-contraceptive/</v>
      </c>
    </row>
    <row r="268">
      <c r="A268" s="31" t="str">
        <f>IFERROR(__xludf.DUMMYFUNCTION("""COMPUTED_VALUE"""),"低用量ピルの診察後の支払いはいつ行いますか？")</f>
        <v>低用量ピルの診察後の支払いはいつ行いますか？</v>
      </c>
      <c r="B268" s="31" t="str">
        <f>IFERROR(__xludf.DUMMYFUNCTION("""COMPUTED_VALUE"""),"低用量ピルの診察後に、お会計となります。来院診療の場合はその場で、オンライン診療の場合は決済リンクからお支払いを行います。")</f>
        <v>低用量ピルの診察後に、お会計となります。来院診療の場合はその場で、オンライン診療の場合は決済リンクからお支払いを行います。</v>
      </c>
      <c r="C268" s="31" t="str">
        <f>IFERROR(__xludf.DUMMYFUNCTION("""COMPUTED_VALUE"""),"低用量ピル（OC,LEP）")</f>
        <v>低用量ピル（OC,LEP）</v>
      </c>
      <c r="D268" s="31" t="str">
        <f>IFERROR(__xludf.DUMMYFUNCTION("""COMPUTED_VALUE"""),"低用量ピル,支払い,会計,ピル処方")</f>
        <v>低用量ピル,支払い,会計,ピル処方</v>
      </c>
      <c r="E268" s="32" t="str">
        <f>IFERROR(__xludf.DUMMYFUNCTION("""COMPUTED_VALUE"""),"https://luna-dr.com/subjects/low-dose-contraceptive/")</f>
        <v>https://luna-dr.com/subjects/low-dose-contraceptive/</v>
      </c>
    </row>
    <row r="269">
      <c r="A269" s="31" t="str">
        <f>IFERROR(__xludf.DUMMYFUNCTION("""COMPUTED_VALUE"""),"低用量ピルはオンライン診療でも処方できますか？")</f>
        <v>低用量ピルはオンライン診療でも処方できますか？</v>
      </c>
      <c r="B269" s="31" t="str">
        <f>IFERROR(__xludf.DUMMYFUNCTION("""COMPUTED_VALUE"""),"避妊目的の低用量ピル（OC）は、初診からオンライン診療で処方が可能です。一方、治療目的の低用量ピル（LEP）は検査が必要なため、来院診療となります。")</f>
        <v>避妊目的の低用量ピル（OC）は、初診からオンライン診療で処方が可能です。一方、治療目的の低用量ピル（LEP）は検査が必要なため、来院診療となります。</v>
      </c>
      <c r="C269" s="31" t="str">
        <f>IFERROR(__xludf.DUMMYFUNCTION("""COMPUTED_VALUE"""),"低用量ピル（OC,LEP）")</f>
        <v>低用量ピル（OC,LEP）</v>
      </c>
      <c r="D269" s="31" t="str">
        <f>IFERROR(__xludf.DUMMYFUNCTION("""COMPUTED_VALUE"""),"低用量ピル,オンライン診療,来院診療,ピル処方")</f>
        <v>低用量ピル,オンライン診療,来院診療,ピル処方</v>
      </c>
      <c r="E269" s="32" t="str">
        <f>IFERROR(__xludf.DUMMYFUNCTION("""COMPUTED_VALUE"""),"https://luna-dr.com/subjects/low-dose-contraceptive/")</f>
        <v>https://luna-dr.com/subjects/low-dose-contraceptive/</v>
      </c>
    </row>
    <row r="270">
      <c r="A270" s="31" t="str">
        <f>IFERROR(__xludf.DUMMYFUNCTION("""COMPUTED_VALUE"""),"オンライン診療で低用量ピルを処方してもらう流れを教えてください")</f>
        <v>オンライン診療で低用量ピルを処方してもらう流れを教えてください</v>
      </c>
      <c r="B270" s="31" t="str">
        <f>IFERROR(__xludf.DUMMYFUNCTION("""COMPUTED_VALUE"""),"公式LINEからオンライン診療を予約し、WEB問診に回答後、医師が電話またはチャットで診察を行います。診察後は決済確認後にお薬を発送します。避妊目的の低用量ピル（OC）は、初診からオンライン診療で処方が可能ですが、治療目的の低用量ピル（LEP）は検査が必要なため、来院診療となりますのでご注意ください。")</f>
        <v>公式LINEからオンライン診療を予約し、WEB問診に回答後、医師が電話またはチャットで診察を行います。診察後は決済確認後にお薬を発送します。避妊目的の低用量ピル（OC）は、初診からオンライン診療で処方が可能ですが、治療目的の低用量ピル（LEP）は検査が必要なため、来院診療となりますのでご注意ください。</v>
      </c>
      <c r="C270" s="31" t="str">
        <f>IFERROR(__xludf.DUMMYFUNCTION("""COMPUTED_VALUE"""),"低用量ピル（OC）")</f>
        <v>低用量ピル（OC）</v>
      </c>
      <c r="D270" s="31" t="str">
        <f>IFERROR(__xludf.DUMMYFUNCTION("""COMPUTED_VALUE"""),"低用量ピル,オンライン診療,診察の流れ,ピル郵送")</f>
        <v>低用量ピル,オンライン診療,診察の流れ,ピル郵送</v>
      </c>
      <c r="E270" s="32" t="str">
        <f>IFERROR(__xludf.DUMMYFUNCTION("""COMPUTED_VALUE"""),"https://luna-dr.com/subjects/low-dose-contraceptive/")</f>
        <v>https://luna-dr.com/subjects/low-dose-contraceptive/</v>
      </c>
    </row>
    <row r="271">
      <c r="A271" s="31" t="str">
        <f>IFERROR(__xludf.DUMMYFUNCTION("""COMPUTED_VALUE"""),"低用量ピルの処方後、相談はできますか？")</f>
        <v>低用量ピルの処方後、相談はできますか？</v>
      </c>
      <c r="B271" s="31" t="str">
        <f>IFERROR(__xludf.DUMMYFUNCTION("""COMPUTED_VALUE"""),"低用量ピルの服用中に不安なことがある場合は、LINEからいつでもご相談いただけます。")</f>
        <v>低用量ピルの服用中に不安なことがある場合は、LINEからいつでもご相談いただけます。</v>
      </c>
      <c r="C271" s="31" t="str">
        <f>IFERROR(__xludf.DUMMYFUNCTION("""COMPUTED_VALUE"""),"低用量ピル（OC,LEP）")</f>
        <v>低用量ピル（OC,LEP）</v>
      </c>
      <c r="D271" s="31" t="str">
        <f>IFERROR(__xludf.DUMMYFUNCTION("""COMPUTED_VALUE"""),"低用量ピル,アフターフォロー,LINE相談,ピル不安")</f>
        <v>低用量ピル,アフターフォロー,LINE相談,ピル不安</v>
      </c>
      <c r="E271" s="32" t="str">
        <f>IFERROR(__xludf.DUMMYFUNCTION("""COMPUTED_VALUE"""),"https://luna-dr.com/subjects/low-dose-contraceptive/")</f>
        <v>https://luna-dr.com/subjects/low-dose-contraceptive/</v>
      </c>
    </row>
    <row r="272">
      <c r="A272" s="31" t="str">
        <f>IFERROR(__xludf.DUMMYFUNCTION("""COMPUTED_VALUE"""),"アフターピルとは何ですか？")</f>
        <v>アフターピルとは何ですか？</v>
      </c>
      <c r="B272" s="31" t="str">
        <f>IFERROR(__xludf.DUMMYFUNCTION("""COMPUTED_VALUE"""),"アフターピル（緊急避妊薬）とは、避妊に失敗した、または避妊をせずに性行為をしてしまった後に、妊娠を防ぐために服用するお薬です。性行為後できるだけ早く服用することで、高い避妊効果が期待できます。")</f>
        <v>アフターピル（緊急避妊薬）とは、避妊に失敗した、または避妊をせずに性行為をしてしまった後に、妊娠を防ぐために服用するお薬です。性行為後できるだけ早く服用することで、高い避妊効果が期待できます。</v>
      </c>
      <c r="C272" s="31" t="str">
        <f>IFERROR(__xludf.DUMMYFUNCTION("""COMPUTED_VALUE"""),"アフターピル（緊急避妊薬）")</f>
        <v>アフターピル（緊急避妊薬）</v>
      </c>
      <c r="D272" s="31" t="str">
        <f>IFERROR(__xludf.DUMMYFUNCTION("""COMPUTED_VALUE"""),"アフターピル,緊急避妊薬,妊娠防止")</f>
        <v>アフターピル,緊急避妊薬,妊娠防止</v>
      </c>
      <c r="E272" s="32" t="str">
        <f>IFERROR(__xludf.DUMMYFUNCTION("""COMPUTED_VALUE"""),"https://luna-dr.com/subjects/after-pill_page/")</f>
        <v>https://luna-dr.com/subjects/after-pill_page/</v>
      </c>
    </row>
    <row r="273">
      <c r="A273" s="31" t="str">
        <f>IFERROR(__xludf.DUMMYFUNCTION("""COMPUTED_VALUE"""),"緊急避妊とは何ですか？")</f>
        <v>緊急避妊とは何ですか？</v>
      </c>
      <c r="B273" s="31" t="str">
        <f>IFERROR(__xludf.DUMMYFUNCTION("""COMPUTED_VALUE"""),"緊急避妊とは、性行為後に妊娠を防ぐために行う避妊方法のことです。主にアフターピル（緊急避妊薬）を服用する方法があります。")</f>
        <v>緊急避妊とは、性行為後に妊娠を防ぐために行う避妊方法のことです。主にアフターピル（緊急避妊薬）を服用する方法があります。</v>
      </c>
      <c r="C273" s="31" t="str">
        <f>IFERROR(__xludf.DUMMYFUNCTION("""COMPUTED_VALUE"""),"アフターピル（緊急避妊薬）")</f>
        <v>アフターピル（緊急避妊薬）</v>
      </c>
      <c r="D273" s="31" t="str">
        <f>IFERROR(__xludf.DUMMYFUNCTION("""COMPUTED_VALUE"""),"緊急避妊,アフターピル,妊娠回避")</f>
        <v>緊急避妊,アフターピル,妊娠回避</v>
      </c>
      <c r="E273" s="32" t="str">
        <f>IFERROR(__xludf.DUMMYFUNCTION("""COMPUTED_VALUE"""),"https://luna-dr.com/subjects/after-pill_page/")</f>
        <v>https://luna-dr.com/subjects/after-pill_page/</v>
      </c>
    </row>
    <row r="274">
      <c r="A274" s="31" t="str">
        <f>IFERROR(__xludf.DUMMYFUNCTION("""COMPUTED_VALUE"""),"どんなときにアフターピルを使いますか？")</f>
        <v>どんなときにアフターピルを使いますか？</v>
      </c>
      <c r="B274" s="31" t="str">
        <f>IFERROR(__xludf.DUMMYFUNCTION("""COMPUTED_VALUE"""),"避妊をしなかった場合や、コンドームが破れた・外れたなど、妊娠の可能性がある性行為があった場合に使用します。")</f>
        <v>避妊をしなかった場合や、コンドームが破れた・外れたなど、妊娠の可能性がある性行為があった場合に使用します。</v>
      </c>
      <c r="C274" s="31" t="str">
        <f>IFERROR(__xludf.DUMMYFUNCTION("""COMPUTED_VALUE"""),"アフターピル（緊急避妊薬）")</f>
        <v>アフターピル（緊急避妊薬）</v>
      </c>
      <c r="D274" s="31" t="str">
        <f>IFERROR(__xludf.DUMMYFUNCTION("""COMPUTED_VALUE"""),"アフターピル,避妊失敗,妊娠不安")</f>
        <v>アフターピル,避妊失敗,妊娠不安</v>
      </c>
      <c r="E274" s="32" t="str">
        <f>IFERROR(__xludf.DUMMYFUNCTION("""COMPUTED_VALUE"""),"https://luna-dr.com/subjects/after-pill_page/")</f>
        <v>https://luna-dr.com/subjects/after-pill_page/</v>
      </c>
    </row>
    <row r="275">
      <c r="A275" s="31" t="str">
        <f>IFERROR(__xludf.DUMMYFUNCTION("""COMPUTED_VALUE"""),"低用量ピルとアフターピルの違いは何ですか？")</f>
        <v>低用量ピルとアフターピルの違いは何ですか？</v>
      </c>
      <c r="B275" s="31" t="str">
        <f>IFERROR(__xludf.DUMMYFUNCTION("""COMPUTED_VALUE"""),"低用量ピルは毎日服用して妊娠を防ぐお薬であるのに対し、アフターピルは性行為後に緊急的に服用するお薬です。目的と飲み方が異なります。")</f>
        <v>低用量ピルは毎日服用して妊娠を防ぐお薬であるのに対し、アフターピルは性行為後に緊急的に服用するお薬です。目的と飲み方が異なります。</v>
      </c>
      <c r="C275" s="31" t="str">
        <f>IFERROR(__xludf.DUMMYFUNCTION("""COMPUTED_VALUE"""),"アフターピル（緊急避妊薬）")</f>
        <v>アフターピル（緊急避妊薬）</v>
      </c>
      <c r="D275" s="31" t="str">
        <f>IFERROR(__xludf.DUMMYFUNCTION("""COMPUTED_VALUE"""),"アフターピル,低用量ピル,違い")</f>
        <v>アフターピル,低用量ピル,違い</v>
      </c>
      <c r="E275" s="32" t="str">
        <f>IFERROR(__xludf.DUMMYFUNCTION("""COMPUTED_VALUE"""),"https://luna-dr.com/subjects/after-pill_page/")</f>
        <v>https://luna-dr.com/subjects/after-pill_page/</v>
      </c>
    </row>
    <row r="276">
      <c r="A276" s="31" t="str">
        <f>IFERROR(__xludf.DUMMYFUNCTION("""COMPUTED_VALUE"""),"アフターピルは何回使っても大丈夫ですか？")</f>
        <v>アフターピルは何回使っても大丈夫ですか？</v>
      </c>
      <c r="B276" s="31" t="str">
        <f>IFERROR(__xludf.DUMMYFUNCTION("""COMPUTED_VALUE"""),"アフターピルは緊急時の避妊法として使用されるお薬で、将来の妊娠能力に影響するという報告はありません。ただし、繰り返し使用する場合は、継続的な避妊方法についての相談をおすすめします。")</f>
        <v>アフターピルは緊急時の避妊法として使用されるお薬で、将来の妊娠能力に影響するという報告はありません。ただし、繰り返し使用する場合は、継続的な避妊方法についての相談をおすすめします。</v>
      </c>
      <c r="C276" s="31" t="str">
        <f>IFERROR(__xludf.DUMMYFUNCTION("""COMPUTED_VALUE"""),"アフターピル（緊急避妊薬）")</f>
        <v>アフターピル（緊急避妊薬）</v>
      </c>
      <c r="D276" s="31" t="str">
        <f>IFERROR(__xludf.DUMMYFUNCTION("""COMPUTED_VALUE"""),"アフターピル,繰り返し使用,安全性")</f>
        <v>アフターピル,繰り返し使用,安全性</v>
      </c>
      <c r="E276" s="32" t="str">
        <f>IFERROR(__xludf.DUMMYFUNCTION("""COMPUTED_VALUE"""),"https://luna-dr.com/subjects/after-pill_page/")</f>
        <v>https://luna-dr.com/subjects/after-pill_page/</v>
      </c>
    </row>
    <row r="277">
      <c r="A277" s="31" t="str">
        <f>IFERROR(__xludf.DUMMYFUNCTION("""COMPUTED_VALUE"""),"アフターピルは性行為から何時間以内に飲めばいいですか？")</f>
        <v>アフターピルは性行為から何時間以内に飲めばいいですか？</v>
      </c>
      <c r="B277" s="31" t="str">
        <f>IFERROR(__xludf.DUMMYFUNCTION("""COMPUTED_VALUE"""),"アフターピルは、性行為後できるだけ早く服用するほど効果が高くなります。種類によって72時間以内、または120時間以内まで服用可能です。")</f>
        <v>アフターピルは、性行為後できるだけ早く服用するほど効果が高くなります。種類によって72時間以内、または120時間以内まで服用可能です。</v>
      </c>
      <c r="C277" s="31" t="str">
        <f>IFERROR(__xludf.DUMMYFUNCTION("""COMPUTED_VALUE"""),"アフターピル（緊急避妊薬）")</f>
        <v>アフターピル（緊急避妊薬）</v>
      </c>
      <c r="D277" s="31" t="str">
        <f>IFERROR(__xludf.DUMMYFUNCTION("""COMPUTED_VALUE"""),"アフターピル,何時間以内,服用タイミング")</f>
        <v>アフターピル,何時間以内,服用タイミング</v>
      </c>
      <c r="E277" s="32" t="str">
        <f>IFERROR(__xludf.DUMMYFUNCTION("""COMPUTED_VALUE"""),"https://luna-dr.com/subjects/after-pill_page/")</f>
        <v>https://luna-dr.com/subjects/after-pill_page/</v>
      </c>
    </row>
    <row r="278">
      <c r="A278" s="31" t="str">
        <f>IFERROR(__xludf.DUMMYFUNCTION("""COMPUTED_VALUE"""),"アフターピルは72時間を過ぎたらもう間に合いませんか？")</f>
        <v>アフターピルは72時間を過ぎたらもう間に合いませんか？</v>
      </c>
      <c r="B278" s="31" t="str">
        <f>IFERROR(__xludf.DUMMYFUNCTION("""COMPUTED_VALUE"""),"72時間を過ぎた場合でも、120時間以内であればエラ（エラワン）やジョセイといったアフターピルを服用できる場合があります。")</f>
        <v>72時間を過ぎた場合でも、120時間以内であればエラ（エラワン）やジョセイといったアフターピルを服用できる場合があります。</v>
      </c>
      <c r="C278" s="31" t="str">
        <f>IFERROR(__xludf.DUMMYFUNCTION("""COMPUTED_VALUE"""),"アフターピル（緊急避妊薬）")</f>
        <v>アフターピル（緊急避妊薬）</v>
      </c>
      <c r="D278" s="31" t="str">
        <f>IFERROR(__xludf.DUMMYFUNCTION("""COMPUTED_VALUE"""),"アフターピル,72時間以上,120時間")</f>
        <v>アフターピル,72時間以上,120時間</v>
      </c>
      <c r="E278" s="32" t="str">
        <f>IFERROR(__xludf.DUMMYFUNCTION("""COMPUTED_VALUE"""),"https://luna-dr.com/subjects/after-pill_page/")</f>
        <v>https://luna-dr.com/subjects/after-pill_page/</v>
      </c>
    </row>
    <row r="279">
      <c r="A279" s="31" t="str">
        <f>IFERROR(__xludf.DUMMYFUNCTION("""COMPUTED_VALUE"""),"アフターピルは120時間以内なら必ず効きますか？")</f>
        <v>アフターピルは120時間以内なら必ず効きますか？</v>
      </c>
      <c r="B279" s="31" t="str">
        <f>IFERROR(__xludf.DUMMYFUNCTION("""COMPUTED_VALUE"""),"120時間以内であっても、避妊効果は100%ではありません。早く服用するほど効果が高いため、できるだけ早い受診と服用が大切です。")</f>
        <v>120時間以内であっても、避妊効果は100%ではありません。早く服用するほど効果が高いため、できるだけ早い受診と服用が大切です。</v>
      </c>
      <c r="C279" s="31" t="str">
        <f>IFERROR(__xludf.DUMMYFUNCTION("""COMPUTED_VALUE"""),"アフターピル（緊急避妊薬）")</f>
        <v>アフターピル（緊急避妊薬）</v>
      </c>
      <c r="D279" s="31" t="str">
        <f>IFERROR(__xludf.DUMMYFUNCTION("""COMPUTED_VALUE"""),"アフターピル,120時間,避妊効果")</f>
        <v>アフターピル,120時間,避妊効果</v>
      </c>
      <c r="E279" s="32" t="str">
        <f>IFERROR(__xludf.DUMMYFUNCTION("""COMPUTED_VALUE"""),"https://luna-dr.com/subjects/after-pill_page/")</f>
        <v>https://luna-dr.com/subjects/after-pill_page/</v>
      </c>
    </row>
    <row r="280">
      <c r="A280" s="31" t="str">
        <f>IFERROR(__xludf.DUMMYFUNCTION("""COMPUTED_VALUE"""),"アフターピルは排卵後でも効果はありますか？")</f>
        <v>アフターピルは排卵後でも効果はありますか？</v>
      </c>
      <c r="B280" s="31" t="str">
        <f>IFERROR(__xludf.DUMMYFUNCTION("""COMPUTED_VALUE"""),"アフターピルは排卵を遅らせる作用が主ですが、排卵直前でも効果が期待できる種類があります。状況により医師が判断します。")</f>
        <v>アフターピルは排卵を遅らせる作用が主ですが、排卵直前でも効果が期待できる種類があります。状況により医師が判断します。</v>
      </c>
      <c r="C280" s="31" t="str">
        <f>IFERROR(__xludf.DUMMYFUNCTION("""COMPUTED_VALUE"""),"アフターピル（緊急避妊薬）")</f>
        <v>アフターピル（緊急避妊薬）</v>
      </c>
      <c r="D280" s="31" t="str">
        <f>IFERROR(__xludf.DUMMYFUNCTION("""COMPUTED_VALUE"""),"アフターピル,排卵後,効果")</f>
        <v>アフターピル,排卵後,効果</v>
      </c>
      <c r="E280" s="32" t="str">
        <f>IFERROR(__xludf.DUMMYFUNCTION("""COMPUTED_VALUE"""),"https://luna-dr.com/subjects/after-pill_page/")</f>
        <v>https://luna-dr.com/subjects/after-pill_page/</v>
      </c>
    </row>
    <row r="281">
      <c r="A281" s="31" t="str">
        <f>IFERROR(__xludf.DUMMYFUNCTION("""COMPUTED_VALUE"""),"レボノルゲストレルとは何ですか？")</f>
        <v>レボノルゲストレルとは何ですか？</v>
      </c>
      <c r="B281" s="31" t="str">
        <f>IFERROR(__xludf.DUMMYFUNCTION("""COMPUTED_VALUE"""),"レボノルゲストレルは、黄体ホルモン作用の成分が、排卵を遅らせ、子宮内膜の状態を変化させて着床を妨げます。
国内で認可されているため、処方可能な医療機関が多く、エラワンやエラ、ジョセイに比べて安いというメリットがあります。
一方で、性行為後24時間以内に服用した場合の避妊成功率は約95%、72時間以内では約85%と時間が経つほど効果は低下します。")</f>
        <v>レボノルゲストレルは、黄体ホルモン作用の成分が、排卵を遅らせ、子宮内膜の状態を変化させて着床を妨げます。
国内で認可されているため、処方可能な医療機関が多く、エラワンやエラ、ジョセイに比べて安いというメリットがあります。
一方で、性行為後24時間以内に服用した場合の避妊成功率は約95%、72時間以内では約85%と時間が経つほど効果は低下します。</v>
      </c>
      <c r="C281" s="31" t="str">
        <f>IFERROR(__xludf.DUMMYFUNCTION("""COMPUTED_VALUE"""),"アフターピル（緊急避妊薬）")</f>
        <v>アフターピル（緊急避妊薬）</v>
      </c>
      <c r="D281" s="31" t="str">
        <f>IFERROR(__xludf.DUMMYFUNCTION("""COMPUTED_VALUE"""),"レボノルゲストレル,アフターピル,72時間")</f>
        <v>レボノルゲストレル,アフターピル,72時間</v>
      </c>
      <c r="E281" s="32" t="str">
        <f>IFERROR(__xludf.DUMMYFUNCTION("""COMPUTED_VALUE"""),"https://luna-dr.com/subjects/after-pill_page/")</f>
        <v>https://luna-dr.com/subjects/after-pill_page/</v>
      </c>
    </row>
    <row r="282">
      <c r="A282" s="31" t="str">
        <f>IFERROR(__xludf.DUMMYFUNCTION("""COMPUTED_VALUE"""),"エラとは何ですか？/エラワンとは何ですか？")</f>
        <v>エラとは何ですか？/エラワンとは何ですか？</v>
      </c>
      <c r="B282" s="31" t="str">
        <f>IFERROR(__xludf.DUMMYFUNCTION("""COMPUTED_VALUE"""),"エラ（エラワン）はウリプリスタル製剤とも呼ばれ、黄体ホルモンへの感度を調節することで避妊効果を発揮します。
最大のメリットは性交後120時間以内まで98%という高い避妊効果を維持できる点で、時間が経ってしまった場合の強い味方です。
特に、排卵直前でも強い排卵抑制効果を示し、BMIが30以上の肥満女性でも効果が低下しにくいというメリットがあります。
一方で、国内では未承認薬のため、価格が高い傾向があるというデメリットがあります。
また、取り扱っている医療機関が限られ、オンライン診療による処方が主流です。")</f>
        <v>エラ（エラワン）はウリプリスタル製剤とも呼ばれ、黄体ホルモンへの感度を調節することで避妊効果を発揮します。
最大のメリットは性交後120時間以内まで98%という高い避妊効果を維持できる点で、時間が経ってしまった場合の強い味方です。
特に、排卵直前でも強い排卵抑制効果を示し、BMIが30以上の肥満女性でも効果が低下しにくいというメリットがあります。
一方で、国内では未承認薬のため、価格が高い傾向があるというデメリットがあります。
また、取り扱っている医療機関が限られ、オンライン診療による処方が主流です。</v>
      </c>
      <c r="C282" s="31" t="str">
        <f>IFERROR(__xludf.DUMMYFUNCTION("""COMPUTED_VALUE"""),"アフターピル（緊急避妊薬）")</f>
        <v>アフターピル（緊急避妊薬）</v>
      </c>
      <c r="D282" s="31" t="str">
        <f>IFERROR(__xludf.DUMMYFUNCTION("""COMPUTED_VALUE"""),"エラ,エラワン,アフターピル")</f>
        <v>エラ,エラワン,アフターピル</v>
      </c>
      <c r="E282" s="32" t="str">
        <f>IFERROR(__xludf.DUMMYFUNCTION("""COMPUTED_VALUE"""),"https://luna-dr.com/subjects/after-pill_page/")</f>
        <v>https://luna-dr.com/subjects/after-pill_page/</v>
      </c>
    </row>
    <row r="283">
      <c r="A283" s="31" t="str">
        <f>IFERROR(__xludf.DUMMYFUNCTION("""COMPUTED_VALUE"""),"ジョセイとは何ですか？")</f>
        <v>ジョセイとは何ですか？</v>
      </c>
      <c r="B283" s="31" t="str">
        <f>IFERROR(__xludf.DUMMYFUNCTION("""COMPUTED_VALUE"""),"ジョセイはエラ（エラワン）と同じウリプリスタル製剤で、ジェネリック（後発）医薬品です。
取り扱っている医療機関が限られるため、オンライン診療が主流です。
ルナレディースクリニックでは、対面診療でもエラ（エラワン）とジョセイの処方に対応しています。
時間的な余裕がなく郵送が心配な方でも、確実かつ安全にエラ（エラワン）やジョセイを服用していただくことができます。")</f>
        <v>ジョセイはエラ（エラワン）と同じウリプリスタル製剤で、ジェネリック（後発）医薬品です。
取り扱っている医療機関が限られるため、オンライン診療が主流です。
ルナレディースクリニックでは、対面診療でもエラ（エラワン）とジョセイの処方に対応しています。
時間的な余裕がなく郵送が心配な方でも、確実かつ安全にエラ（エラワン）やジョセイを服用していただくことができます。</v>
      </c>
      <c r="C283" s="31" t="str">
        <f>IFERROR(__xludf.DUMMYFUNCTION("""COMPUTED_VALUE"""),"アフターピル（緊急避妊薬）")</f>
        <v>アフターピル（緊急避妊薬）</v>
      </c>
      <c r="D283" s="31" t="str">
        <f>IFERROR(__xludf.DUMMYFUNCTION("""COMPUTED_VALUE"""),"ジョセイ,アフターピル,120時間")</f>
        <v>ジョセイ,アフターピル,120時間</v>
      </c>
      <c r="E283" s="32" t="str">
        <f>IFERROR(__xludf.DUMMYFUNCTION("""COMPUTED_VALUE"""),"https://luna-dr.com/subjects/after-pill_page/")</f>
        <v>https://luna-dr.com/subjects/after-pill_page/</v>
      </c>
    </row>
    <row r="284">
      <c r="A284" s="31" t="str">
        <f>IFERROR(__xludf.DUMMYFUNCTION("""COMPUTED_VALUE"""),"アフターピルの副作用には何がありますか？")</f>
        <v>アフターピルの副作用には何がありますか？</v>
      </c>
      <c r="B284" s="31" t="str">
        <f>IFERROR(__xludf.DUMMYFUNCTION("""COMPUTED_VALUE"""),"吐き気、頭痛、めまい、下痢、腹痛、不正出血、どがみられることがありますが、
ほとんどの副作用は、安静にしていれば数時間〜1日程度でおさまることがほとんどです。
当クリニックでは吐き気止めも処方しています。ご希望があれば、遠慮なく医師にお伝えください。")</f>
        <v>吐き気、頭痛、めまい、下痢、腹痛、不正出血、どがみられることがありますが、
ほとんどの副作用は、安静にしていれば数時間〜1日程度でおさまることがほとんどです。
当クリニックでは吐き気止めも処方しています。ご希望があれば、遠慮なく医師にお伝えください。</v>
      </c>
      <c r="C284" s="31" t="str">
        <f>IFERROR(__xludf.DUMMYFUNCTION("""COMPUTED_VALUE"""),"アフターピル（緊急避妊薬）")</f>
        <v>アフターピル（緊急避妊薬）</v>
      </c>
      <c r="D284" s="31" t="str">
        <f>IFERROR(__xludf.DUMMYFUNCTION("""COMPUTED_VALUE"""),"アフターピル,副作用,吐き気")</f>
        <v>アフターピル,副作用,吐き気</v>
      </c>
      <c r="E284" s="32" t="str">
        <f>IFERROR(__xludf.DUMMYFUNCTION("""COMPUTED_VALUE"""),"https://luna-dr.com/subjects/after-pill_page/")</f>
        <v>https://luna-dr.com/subjects/after-pill_page/</v>
      </c>
    </row>
    <row r="285">
      <c r="A285" s="31" t="str">
        <f>IFERROR(__xludf.DUMMYFUNCTION("""COMPUTED_VALUE"""),"アフターピルの飲み方は？")</f>
        <v>アフターピルの飲み方は？</v>
      </c>
      <c r="B285" s="31" t="str">
        <f>IFERROR(__xludf.DUMMYFUNCTION("""COMPUTED_VALUE"""),"当クリニックで処方しているアフターピル（レボノルゲストレル、エラ、ジョセイ）は、全て1回1錠のみで服用が完了します。
アフターピルは時間の経過とともに避妊率が低下するため、食前・食後を問わず、処方後すぐに服用してください。
万一、服用後2時間以内に吐いてしまった場合は、薬の成分が体に吸収されていない可能性があるため、もう一度服用する必要があります。
その場合は、すぐに当クリニックへご連絡ください。")</f>
        <v>当クリニックで処方しているアフターピル（レボノルゲストレル、エラ、ジョセイ）は、全て1回1錠のみで服用が完了します。
アフターピルは時間の経過とともに避妊率が低下するため、食前・食後を問わず、処方後すぐに服用してください。
万一、服用後2時間以内に吐いてしまった場合は、薬の成分が体に吸収されていない可能性があるため、もう一度服用する必要があります。
その場合は、すぐに当クリニックへご連絡ください。</v>
      </c>
      <c r="C285" s="31" t="str">
        <f>IFERROR(__xludf.DUMMYFUNCTION("""COMPUTED_VALUE"""),"アフターピル（緊急避妊薬）")</f>
        <v>アフターピル（緊急避妊薬）</v>
      </c>
      <c r="D285" s="31" t="str">
        <f>IFERROR(__xludf.DUMMYFUNCTION("""COMPUTED_VALUE"""),"アフターピル,飲み方,食前,食後,副作用,吐き気")</f>
        <v>アフターピル,飲み方,食前,食後,副作用,吐き気</v>
      </c>
      <c r="E285" s="32" t="str">
        <f>IFERROR(__xludf.DUMMYFUNCTION("""COMPUTED_VALUE"""),"https://luna-dr.com/subjects/after-pill_page/")</f>
        <v>https://luna-dr.com/subjects/after-pill_page/</v>
      </c>
    </row>
    <row r="286">
      <c r="A286" s="31" t="str">
        <f>IFERROR(__xludf.DUMMYFUNCTION("""COMPUTED_VALUE"""),"アフターピルの服用後に吐いてしまったらどうなりますか？")</f>
        <v>アフターピルの服用後に吐いてしまったらどうなりますか？</v>
      </c>
      <c r="B286" s="31" t="str">
        <f>IFERROR(__xludf.DUMMYFUNCTION("""COMPUTED_VALUE"""),"服用後2時間以内に嘔吐した場合、薬が十分に吸収されていない可能性があるため、早めにご相談ください。")</f>
        <v>服用後2時間以内に嘔吐した場合、薬が十分に吸収されていない可能性があるため、早めにご相談ください。</v>
      </c>
      <c r="C286" s="31" t="str">
        <f>IFERROR(__xludf.DUMMYFUNCTION("""COMPUTED_VALUE"""),"アフターピル（緊急避妊薬）")</f>
        <v>アフターピル（緊急避妊薬）</v>
      </c>
      <c r="D286" s="31" t="str">
        <f>IFERROR(__xludf.DUMMYFUNCTION("""COMPUTED_VALUE"""),"アフターピル,嘔吐,飲み直し")</f>
        <v>アフターピル,嘔吐,飲み直し</v>
      </c>
      <c r="E286" s="32" t="str">
        <f>IFERROR(__xludf.DUMMYFUNCTION("""COMPUTED_VALUE"""),"https://luna-dr.com/subjects/after-pill_page/")</f>
        <v>https://luna-dr.com/subjects/after-pill_page/</v>
      </c>
    </row>
    <row r="287">
      <c r="A287" s="31" t="str">
        <f>IFERROR(__xludf.DUMMYFUNCTION("""COMPUTED_VALUE"""),"アフターピルを飲むと不妊になりますか？")</f>
        <v>アフターピルを飲むと不妊になりますか？</v>
      </c>
      <c r="B287" s="31" t="str">
        <f>IFERROR(__xludf.DUMMYFUNCTION("""COMPUTED_VALUE"""),"アフターピルは一時的に作用するお薬で、将来の妊娠能力に影響するという報告はありません。")</f>
        <v>アフターピルは一時的に作用するお薬で、将来の妊娠能力に影響するという報告はありません。</v>
      </c>
      <c r="C287" s="31" t="str">
        <f>IFERROR(__xludf.DUMMYFUNCTION("""COMPUTED_VALUE"""),"アフターピル（緊急避妊薬）")</f>
        <v>アフターピル（緊急避妊薬）</v>
      </c>
      <c r="D287" s="31" t="str">
        <f>IFERROR(__xludf.DUMMYFUNCTION("""COMPUTED_VALUE"""),"アフターピル,不妊,将来妊娠")</f>
        <v>アフターピル,不妊,将来妊娠</v>
      </c>
      <c r="E287" s="32" t="str">
        <f>IFERROR(__xludf.DUMMYFUNCTION("""COMPUTED_VALUE"""),"https://luna-dr.com/subjects/after-pill_page/")</f>
        <v>https://luna-dr.com/subjects/after-pill_page/</v>
      </c>
    </row>
    <row r="288">
      <c r="A288" s="31" t="str">
        <f>IFERROR(__xludf.DUMMYFUNCTION("""COMPUTED_VALUE"""),"アフターピルを飲んだ後、生理はいつ来ますか？")</f>
        <v>アフターピルを飲んだ後、生理はいつ来ますか？</v>
      </c>
      <c r="B288" s="31" t="str">
        <f>IFERROR(__xludf.DUMMYFUNCTION("""COMPUTED_VALUE"""),"服用後1〜3週間以内に生理が来ることが多いですが、個人差があります。3週間以上来ない場合は妊娠検査薬の使用をおすすめします。")</f>
        <v>服用後1〜3週間以内に生理が来ることが多いですが、個人差があります。3週間以上来ない場合は妊娠検査薬の使用をおすすめします。</v>
      </c>
      <c r="C288" s="31" t="str">
        <f>IFERROR(__xludf.DUMMYFUNCTION("""COMPUTED_VALUE"""),"アフターピル（緊急避妊薬）")</f>
        <v>アフターピル（緊急避妊薬）</v>
      </c>
      <c r="D288" s="31" t="str">
        <f>IFERROR(__xludf.DUMMYFUNCTION("""COMPUTED_VALUE"""),"アフターピル,生理いつ,妊娠検査")</f>
        <v>アフターピル,生理いつ,妊娠検査</v>
      </c>
      <c r="E288" s="32" t="str">
        <f>IFERROR(__xludf.DUMMYFUNCTION("""COMPUTED_VALUE"""),"https://luna-dr.com/subjects/after-pill_page/")</f>
        <v>https://luna-dr.com/subjects/after-pill_page/</v>
      </c>
    </row>
    <row r="289">
      <c r="A289" s="31" t="str">
        <f>IFERROR(__xludf.DUMMYFUNCTION("""COMPUTED_VALUE"""),"アフターピル服用後、生理が来たら避妊は成功ですか？")</f>
        <v>アフターピル服用後、生理が来たら避妊は成功ですか？</v>
      </c>
      <c r="B289" s="31" t="str">
        <f>IFERROR(__xludf.DUMMYFUNCTION("""COMPUTED_VALUE"""),"生理が来た場合、多くは避妊が成功していますが、判断に迷う場合はご相談ください。")</f>
        <v>生理が来た場合、多くは避妊が成功していますが、判断に迷う場合はご相談ください。</v>
      </c>
      <c r="C289" s="31" t="str">
        <f>IFERROR(__xludf.DUMMYFUNCTION("""COMPUTED_VALUE"""),"アフターピル（緊急避妊薬）")</f>
        <v>アフターピル（緊急避妊薬）</v>
      </c>
      <c r="D289" s="31" t="str">
        <f>IFERROR(__xludf.DUMMYFUNCTION("""COMPUTED_VALUE"""),"アフターピル,生理,避妊成功")</f>
        <v>アフターピル,生理,避妊成功</v>
      </c>
      <c r="E289" s="32" t="str">
        <f>IFERROR(__xludf.DUMMYFUNCTION("""COMPUTED_VALUE"""),"https://luna-dr.com/subjects/after-pill_page/")</f>
        <v>https://luna-dr.com/subjects/after-pill_page/</v>
      </c>
    </row>
    <row r="290">
      <c r="A290" s="31" t="str">
        <f>IFERROR(__xludf.DUMMYFUNCTION("""COMPUTED_VALUE"""),"アフターピル服用後、妊娠検査薬はいつ使えばいいですか？")</f>
        <v>アフターピル服用後、妊娠検査薬はいつ使えばいいですか？</v>
      </c>
      <c r="B290" s="31" t="str">
        <f>IFERROR(__xludf.DUMMYFUNCTION("""COMPUTED_VALUE"""),"性行為から3週間以上経過してから使用することをおすすめします。")</f>
        <v>性行為から3週間以上経過してから使用することをおすすめします。</v>
      </c>
      <c r="C290" s="31" t="str">
        <f>IFERROR(__xludf.DUMMYFUNCTION("""COMPUTED_VALUE"""),"アフターピル（緊急避妊薬）")</f>
        <v>アフターピル（緊急避妊薬）</v>
      </c>
      <c r="D290" s="31" t="str">
        <f>IFERROR(__xludf.DUMMYFUNCTION("""COMPUTED_VALUE"""),"アフターピル,妊娠検査薬,いつ")</f>
        <v>アフターピル,妊娠検査薬,いつ</v>
      </c>
      <c r="E290" s="32" t="str">
        <f>IFERROR(__xludf.DUMMYFUNCTION("""COMPUTED_VALUE"""),"https://luna-dr.com/subjects/after-pill_page/")</f>
        <v>https://luna-dr.com/subjects/after-pill_page/</v>
      </c>
    </row>
    <row r="291">
      <c r="A291" s="31" t="str">
        <f>IFERROR(__xludf.DUMMYFUNCTION("""COMPUTED_VALUE"""),"アフターピルは初診でもオンライン診療で処方できますか？")</f>
        <v>アフターピルは初診でもオンライン診療で処方できますか？</v>
      </c>
      <c r="B291" s="31" t="str">
        <f>IFERROR(__xludf.DUMMYFUNCTION("""COMPUTED_VALUE"""),"アフターピルは初診の方でもオンライン診療をご利用いただけます。")</f>
        <v>アフターピルは初診の方でもオンライン診療をご利用いただけます。</v>
      </c>
      <c r="C291" s="31" t="str">
        <f>IFERROR(__xludf.DUMMYFUNCTION("""COMPUTED_VALUE"""),"アフターピル（緊急避妊薬）")</f>
        <v>アフターピル（緊急避妊薬）</v>
      </c>
      <c r="D291" s="31" t="str">
        <f>IFERROR(__xludf.DUMMYFUNCTION("""COMPUTED_VALUE"""),"アフターピル,オンライン診療,初診")</f>
        <v>アフターピル,オンライン診療,初診</v>
      </c>
      <c r="E291" s="32" t="str">
        <f>IFERROR(__xludf.DUMMYFUNCTION("""COMPUTED_VALUE"""),"https://luna-dr.com/subjects/after-pill_page/")</f>
        <v>https://luna-dr.com/subjects/after-pill_page/</v>
      </c>
    </row>
    <row r="292">
      <c r="A292" s="31" t="str">
        <f>IFERROR(__xludf.DUMMYFUNCTION("""COMPUTED_VALUE"""),"アフターピルのWEB問診では何を聞かれますか？")</f>
        <v>アフターピルのWEB問診では何を聞かれますか？</v>
      </c>
      <c r="B292" s="31" t="str">
        <f>IFERROR(__xludf.DUMMYFUNCTION("""COMPUTED_VALUE"""),"最終月経日、性行為の日時、避妊状況、服用歴などをお伺いします。")</f>
        <v>最終月経日、性行為の日時、避妊状況、服用歴などをお伺いします。</v>
      </c>
      <c r="C292" s="31" t="str">
        <f>IFERROR(__xludf.DUMMYFUNCTION("""COMPUTED_VALUE"""),"アフターピル（緊急避妊薬）")</f>
        <v>アフターピル（緊急避妊薬）</v>
      </c>
      <c r="D292" s="31" t="str">
        <f>IFERROR(__xludf.DUMMYFUNCTION("""COMPUTED_VALUE"""),"アフターピル,WEB問診,質問内容")</f>
        <v>アフターピル,WEB問診,質問内容</v>
      </c>
      <c r="E292" s="32" t="str">
        <f>IFERROR(__xludf.DUMMYFUNCTION("""COMPUTED_VALUE"""),"https://luna-dr.com/subjects/after-pill_page/")</f>
        <v>https://luna-dr.com/subjects/after-pill_page/</v>
      </c>
    </row>
    <row r="293">
      <c r="A293" s="31" t="str">
        <f>IFERROR(__xludf.DUMMYFUNCTION("""COMPUTED_VALUE"""),"アフターピルの内診はありますか？")</f>
        <v>アフターピルの内診はありますか？</v>
      </c>
      <c r="B293" s="31" t="str">
        <f>IFERROR(__xludf.DUMMYFUNCTION("""COMPUTED_VALUE"""),"多くの場合、内診なしで処方可能ですが、必要に応じて行うことがあります。")</f>
        <v>多くの場合、内診なしで処方可能ですが、必要に応じて行うことがあります。</v>
      </c>
      <c r="C293" s="31" t="str">
        <f>IFERROR(__xludf.DUMMYFUNCTION("""COMPUTED_VALUE"""),"アフターピル（緊急避妊薬）")</f>
        <v>アフターピル（緊急避妊薬）</v>
      </c>
      <c r="D293" s="31" t="str">
        <f>IFERROR(__xludf.DUMMYFUNCTION("""COMPUTED_VALUE"""),"アフターピル,内診,診察内容")</f>
        <v>アフターピル,内診,診察内容</v>
      </c>
      <c r="E293" s="32" t="str">
        <f>IFERROR(__xludf.DUMMYFUNCTION("""COMPUTED_VALUE"""),"https://luna-dr.com/subjects/after-pill_page/")</f>
        <v>https://luna-dr.com/subjects/after-pill_page/</v>
      </c>
    </row>
    <row r="294">
      <c r="A294" s="31" t="str">
        <f>IFERROR(__xludf.DUMMYFUNCTION("""COMPUTED_VALUE"""),"アフターピルの診察は当日どこまで進みますか？")</f>
        <v>アフターピルの診察は当日どこまで進みますか？</v>
      </c>
      <c r="B294" s="31" t="str">
        <f>IFERROR(__xludf.DUMMYFUNCTION("""COMPUTED_VALUE"""),"診察・説明後、適応があればその場で処方、またはオンライン診療の場合は発送手続きまで進みます。
来院治療の場合の処方の流れはこちらの動画でも説明をしておりますので、よろしければご参考ください。https://www.youtube.com/watch?v=vujdrnpks7Q&amp;t=4s")</f>
        <v>診察・説明後、適応があればその場で処方、またはオンライン診療の場合は発送手続きまで進みます。
来院治療の場合の処方の流れはこちらの動画でも説明をしておりますので、よろしければご参考ください。https://www.youtube.com/watch?v=vujdrnpks7Q&amp;t=4s</v>
      </c>
      <c r="C294" s="31" t="str">
        <f>IFERROR(__xludf.DUMMYFUNCTION("""COMPUTED_VALUE"""),"アフターピル（緊急避妊薬）")</f>
        <v>アフターピル（緊急避妊薬）</v>
      </c>
      <c r="D294" s="31" t="str">
        <f>IFERROR(__xludf.DUMMYFUNCTION("""COMPUTED_VALUE"""),"アフターピル,当日,流れ")</f>
        <v>アフターピル,当日,流れ</v>
      </c>
      <c r="E294" s="32" t="str">
        <f>IFERROR(__xludf.DUMMYFUNCTION("""COMPUTED_VALUE"""),"https://luna-dr.com/subjects/after-pill_page/")</f>
        <v>https://luna-dr.com/subjects/after-pill_page/</v>
      </c>
    </row>
    <row r="295">
      <c r="A295" s="31" t="str">
        <f>IFERROR(__xludf.DUMMYFUNCTION("""COMPUTED_VALUE"""),"アフターピル服用後に相談はできますか？")</f>
        <v>アフターピル服用後に相談はできますか？</v>
      </c>
      <c r="B295" s="31" t="str">
        <f>IFERROR(__xludf.DUMMYFUNCTION("""COMPUTED_VALUE"""),"服用後の体調変化や不安についても、LINEなどでご相談いただけます。")</f>
        <v>服用後の体調変化や不安についても、LINEなどでご相談いただけます。</v>
      </c>
      <c r="C295" s="31" t="str">
        <f>IFERROR(__xludf.DUMMYFUNCTION("""COMPUTED_VALUE"""),"アフターピル（緊急避妊薬）")</f>
        <v>アフターピル（緊急避妊薬）</v>
      </c>
      <c r="D295" s="31" t="str">
        <f>IFERROR(__xludf.DUMMYFUNCTION("""COMPUTED_VALUE"""),"アフターピル,服用後相談,副作用不安")</f>
        <v>アフターピル,服用後相談,副作用不安</v>
      </c>
      <c r="E295" s="32" t="str">
        <f>IFERROR(__xludf.DUMMYFUNCTION("""COMPUTED_VALUE"""),"https://luna-dr.com/subjects/after-pill_page/")</f>
        <v>https://luna-dr.com/subjects/after-pill_page/</v>
      </c>
    </row>
    <row r="296">
      <c r="A296" s="31" t="str">
        <f>IFERROR(__xludf.DUMMYFUNCTION("""COMPUTED_VALUE"""),"アフターピルの診察の流れを教えてください")</f>
        <v>アフターピルの診察の流れを教えてください</v>
      </c>
      <c r="B296" s="31" t="str">
        <f>IFERROR(__xludf.DUMMYFUNCTION("""COMPUTED_VALUE"""),"ルナレディースクリニックでは、アフターピルは来院診療とオンライン診療の2つの方法で処方しています。来院の場合は、公式LINEから予約・WEB問診後に受付、医師の診察を行い、その場でお薬をお渡しします。オンライン診療の場合は、LINE予約後にWEB問診、医師の電話・チャット診察、決済確認後にお薬を発送します。
来院治療の場合の処方の流れはこちらの動画でも説明をしておりますので、よろしければご参考ください。https://www.youtube.com/watch?v=vujdrnpks7Q&amp;t=4s")</f>
        <v>ルナレディースクリニックでは、アフターピルは来院診療とオンライン診療の2つの方法で処方しています。来院の場合は、公式LINEから予約・WEB問診後に受付、医師の診察を行い、その場でお薬をお渡しします。オンライン診療の場合は、LINE予約後にWEB問診、医師の電話・チャット診察、決済確認後にお薬を発送します。
来院治療の場合の処方の流れはこちらの動画でも説明をしておりますので、よろしければご参考ください。https://www.youtube.com/watch?v=vujdrnpks7Q&amp;t=4s</v>
      </c>
      <c r="C296" s="31" t="str">
        <f>IFERROR(__xludf.DUMMYFUNCTION("""COMPUTED_VALUE"""),"アフターピル")</f>
        <v>アフターピル</v>
      </c>
      <c r="D296" s="31" t="str">
        <f>IFERROR(__xludf.DUMMYFUNCTION("""COMPUTED_VALUE"""),"アフターピル,診察の流れ,来院,オンライン診療")</f>
        <v>アフターピル,診察の流れ,来院,オンライン診療</v>
      </c>
      <c r="E296" s="32" t="str">
        <f>IFERROR(__xludf.DUMMYFUNCTION("""COMPUTED_VALUE"""),"https://luna-dr.com/subjects/after-pill_page/")</f>
        <v>https://luna-dr.com/subjects/after-pill_page/</v>
      </c>
    </row>
    <row r="297">
      <c r="A297" s="31" t="str">
        <f>IFERROR(__xludf.DUMMYFUNCTION("""COMPUTED_VALUE"""),"アフターピルは来院しなくても処方してもらえますか？")</f>
        <v>アフターピルは来院しなくても処方してもらえますか？</v>
      </c>
      <c r="B297" s="31" t="str">
        <f>IFERROR(__xludf.DUMMYFUNCTION("""COMPUTED_VALUE"""),"ルナレディースクリニックでは、初診の方でもオンライン診療でアフターピルの処方が可能です。LINEから予約・WEB問診・医師の診察・決済まで完結し、ご自宅へお薬をお届けします。")</f>
        <v>ルナレディースクリニックでは、初診の方でもオンライン診療でアフターピルの処方が可能です。LINEから予約・WEB問診・医師の診察・決済まで完結し、ご自宅へお薬をお届けします。</v>
      </c>
      <c r="C297" s="31" t="str">
        <f>IFERROR(__xludf.DUMMYFUNCTION("""COMPUTED_VALUE"""),"アフターピル")</f>
        <v>アフターピル</v>
      </c>
      <c r="D297" s="31" t="str">
        <f>IFERROR(__xludf.DUMMYFUNCTION("""COMPUTED_VALUE"""),"アフターピル,オンライン診療,初診")</f>
        <v>アフターピル,オンライン診療,初診</v>
      </c>
      <c r="E297" s="32" t="str">
        <f>IFERROR(__xludf.DUMMYFUNCTION("""COMPUTED_VALUE"""),"https://luna-dr.com/subjects/after-pill_page/")</f>
        <v>https://luna-dr.com/subjects/after-pill_page/</v>
      </c>
    </row>
    <row r="298">
      <c r="A298" s="31" t="str">
        <f>IFERROR(__xludf.DUMMYFUNCTION("""COMPUTED_VALUE"""),"アフターピルの予約はどうすればいいですか？")</f>
        <v>アフターピルの予約はどうすればいいですか？</v>
      </c>
      <c r="B298" s="31" t="str">
        <f>IFERROR(__xludf.DUMMYFUNCTION("""COMPUTED_VALUE"""),"ルナレディースクリニックでは、アフターピルの予約は24時間対応の公式LINEから行えます。予約外でも待ち時間が最小限になるよう対応いたします。公式LINEからのご予約とWEB問診での来院が最もスムーズです。女性医師の診察を希望される方は、診療時間内にお電話（050-1730-2768）でご予約ください。
アフターピルは、来院診療・オンライン診療どちらも対応をしております。ご希望の診療方法をご選択ください。
来院診療のご予約：こちらのLINEをご利用ください→https://cline-app.com/q"&amp;"r-codes/98ad6f149bfa20f4f2a9a2e91aac4187/preview
オンライン診療のご予約：こちらのオンライン診療LINEページをご利用ください→https://liff-gateway.lineml.jp/landing?follow=%40590gpxrd&amp;lp=fX73yx&amp;liff_id=1657094566-LmjNPPbVr")</f>
        <v>ルナレディースクリニックでは、アフターピルの予約は24時間対応の公式LINEから行えます。予約外でも待ち時間が最小限になるよう対応いたします。公式LINEからのご予約とWEB問診での来院が最もスムーズです。女性医師の診察を希望される方は、診療時間内にお電話（050-1730-2768）でご予約ください。
アフターピルは、来院診療・オンライン診療どちらも対応をしております。ご希望の診療方法をご選択ください。
来院診療のご予約：こちらのLINEをご利用ください→https://cline-app.com/qr-codes/98ad6f149bfa20f4f2a9a2e91aac4187/preview
オンライン診療のご予約：こちらのオンライン診療LINEページをご利用ください→https://liff-gateway.lineml.jp/landing?follow=%40590gpxrd&amp;lp=fX73yx&amp;liff_id=1657094566-LmjNPPbVr</v>
      </c>
      <c r="C298" s="31" t="str">
        <f>IFERROR(__xludf.DUMMYFUNCTION("""COMPUTED_VALUE"""),"アフターピル")</f>
        <v>アフターピル</v>
      </c>
      <c r="D298" s="31" t="str">
        <f>IFERROR(__xludf.DUMMYFUNCTION("""COMPUTED_VALUE"""),"予約方法,LINE,電話,アフターピル")</f>
        <v>予約方法,LINE,電話,アフターピル</v>
      </c>
      <c r="E298" s="32" t="str">
        <f>IFERROR(__xludf.DUMMYFUNCTION("""COMPUTED_VALUE"""),"https://luna-dr.com/subjects/after-pill_page/")</f>
        <v>https://luna-dr.com/subjects/after-pill_page/</v>
      </c>
    </row>
    <row r="299">
      <c r="A299" s="31" t="str">
        <f>IFERROR(__xludf.DUMMYFUNCTION("""COMPUTED_VALUE"""),"アフターピルはLINEから予約できますか？")</f>
        <v>アフターピルはLINEから予約できますか？</v>
      </c>
      <c r="B299" s="31" t="str">
        <f>IFERROR(__xludf.DUMMYFUNCTION("""COMPUTED_VALUE"""),"ルナレディースクリニックでは、公式LINEからアフターピルの診察予約が可能です。24時間いつでもご自身のタイミングで予約できます。
来院診療のご予約：こちらのLINEをご利用ください→https://cline-app.com/qr-codes/98ad6f149bfa20f4f2a9a2e91aac4187/preview
オンライン診療のご予約：こちらのオンライン診療LINEページをご利用ください→https://liff-gateway.lineml.jp/landing?follow=%4059"&amp;"0gpxrd&amp;lp=fX73yx&amp;liff_id=1657094566-LmjNPPbV")</f>
        <v>ルナレディースクリニックでは、公式LINEからアフターピルの診察予約が可能です。24時間いつでもご自身のタイミングで予約できます。
来院診療のご予約：こちらのLINEをご利用ください→https://cline-app.com/qr-codes/98ad6f149bfa20f4f2a9a2e91aac4187/preview
オンライン診療のご予約：こちらのオンライン診療LINEページをご利用ください→https://liff-gateway.lineml.jp/landing?follow=%40590gpxrd&amp;lp=fX73yx&amp;liff_id=1657094566-LmjNPPbV</v>
      </c>
      <c r="C299" s="31" t="str">
        <f>IFERROR(__xludf.DUMMYFUNCTION("""COMPUTED_VALUE"""),"アフターピル")</f>
        <v>アフターピル</v>
      </c>
      <c r="D299" s="31" t="str">
        <f>IFERROR(__xludf.DUMMYFUNCTION("""COMPUTED_VALUE"""),"LINE予約,婦人科予約,アフターピル")</f>
        <v>LINE予約,婦人科予約,アフターピル</v>
      </c>
      <c r="E299" s="32" t="str">
        <f>IFERROR(__xludf.DUMMYFUNCTION("""COMPUTED_VALUE"""),"https://luna-dr.com/subjects/after-pill_page/")</f>
        <v>https://luna-dr.com/subjects/after-pill_page/</v>
      </c>
    </row>
    <row r="300">
      <c r="A300" s="31" t="str">
        <f>IFERROR(__xludf.DUMMYFUNCTION("""COMPUTED_VALUE"""),"アフターピルは電話でも予約できますか？")</f>
        <v>アフターピルは電話でも予約できますか？</v>
      </c>
      <c r="B300" s="31" t="str">
        <f>IFERROR(__xludf.DUMMYFUNCTION("""COMPUTED_VALUE"""),"LINEでの予約後、事前問診等もLINEから行うことができ、スムーズに受診ができるため、当院ではLINEでのご予約を推奨しております。
来院診療のご予約：こちらのLINEをご利用ください→https://cline-app.com/qr-codes/98ad6f149bfa20f4f2a9a2e91aac4187/preview
オンライン診療のご予約：こちらのオンライン診療LINEページをご利用ください→https://liff-gateway.lineml.jp/landing?follow=%40"&amp;"590gpxrd&amp;lp=fX73yx&amp;liff_id=1657094566-LmjNPPbV")</f>
        <v>LINEでの予約後、事前問診等もLINEから行うことができ、スムーズに受診ができるため、当院ではLINEでのご予約を推奨しております。
来院診療のご予約：こちらのLINEをご利用ください→https://cline-app.com/qr-codes/98ad6f149bfa20f4f2a9a2e91aac4187/preview
オンライン診療のご予約：こちらのオンライン診療LINEページをご利用ください→https://liff-gateway.lineml.jp/landing?follow=%40590gpxrd&amp;lp=fX73yx&amp;liff_id=1657094566-LmjNPPbV</v>
      </c>
      <c r="C300" s="31" t="str">
        <f>IFERROR(__xludf.DUMMYFUNCTION("""COMPUTED_VALUE"""),"アフターピル")</f>
        <v>アフターピル</v>
      </c>
      <c r="D300" s="31" t="str">
        <f>IFERROR(__xludf.DUMMYFUNCTION("""COMPUTED_VALUE"""),"電話予約,問い合わせ,アフターピル")</f>
        <v>電話予約,問い合わせ,アフターピル</v>
      </c>
      <c r="E300" s="32" t="str">
        <f>IFERROR(__xludf.DUMMYFUNCTION("""COMPUTED_VALUE"""),"https://luna-dr.com/subjects/after-pill_page/")</f>
        <v>https://luna-dr.com/subjects/after-pill_page/</v>
      </c>
    </row>
    <row r="301">
      <c r="A301" s="31" t="str">
        <f>IFERROR(__xludf.DUMMYFUNCTION("""COMPUTED_VALUE"""),"アフターピルは予約なしでも相談できますか？")</f>
        <v>アフターピルは予約なしでも相談できますか？</v>
      </c>
      <c r="B301" s="31" t="str">
        <f>IFERROR(__xludf.DUMMYFUNCTION("""COMPUTED_VALUE"""),"来院治療の場合、予約外来院も可能です。スムーズなご案内のため、事前予約をおすすめしています。")</f>
        <v>来院治療の場合、予約外来院も可能です。スムーズなご案内のため、事前予約をおすすめしています。</v>
      </c>
      <c r="C301" s="31" t="str">
        <f>IFERROR(__xludf.DUMMYFUNCTION("""COMPUTED_VALUE"""),"アフターピル")</f>
        <v>アフターピル</v>
      </c>
      <c r="D301" s="31" t="str">
        <f>IFERROR(__xludf.DUMMYFUNCTION("""COMPUTED_VALUE"""),"予約なし,受診,アフターピル")</f>
        <v>予約なし,受診,アフターピル</v>
      </c>
      <c r="E301" s="32" t="str">
        <f>IFERROR(__xludf.DUMMYFUNCTION("""COMPUTED_VALUE"""),"https://luna-dr.com/subjects/after-pill_page/")</f>
        <v>https://luna-dr.com/subjects/after-pill_page/</v>
      </c>
    </row>
    <row r="302">
      <c r="A302" s="31" t="str">
        <f>IFERROR(__xludf.DUMMYFUNCTION("""COMPUTED_VALUE"""),"アフターピルの予約前に準備しておくことはありますか？")</f>
        <v>アフターピルの予約前に準備しておくことはありますか？</v>
      </c>
      <c r="B302" s="31" t="str">
        <f>IFERROR(__xludf.DUMMYFUNCTION("""COMPUTED_VALUE"""),"ルナレディースクリニックでは、アフターピルの診察前にWEB問診の入力をお願いしています。最終月経日や性行為の日時などを事前に入力することで、診察がスムーズになります。みます。")</f>
        <v>ルナレディースクリニックでは、アフターピルの診察前にWEB問診の入力をお願いしています。最終月経日や性行為の日時などを事前に入力することで、診察がスムーズになります。みます。</v>
      </c>
      <c r="C302" s="31" t="str">
        <f>IFERROR(__xludf.DUMMYFUNCTION("""COMPUTED_VALUE"""),"アフターピル")</f>
        <v>アフターピル</v>
      </c>
      <c r="D302" s="31" t="str">
        <f>IFERROR(__xludf.DUMMYFUNCTION("""COMPUTED_VALUE"""),"WEB問診,事前準備,アフターピル")</f>
        <v>WEB問診,事前準備,アフターピル</v>
      </c>
      <c r="E302" s="32" t="str">
        <f>IFERROR(__xludf.DUMMYFUNCTION("""COMPUTED_VALUE"""),"https://luna-dr.com/subjects/after-pill_page/")</f>
        <v>https://luna-dr.com/subjects/after-pill_page/</v>
      </c>
    </row>
    <row r="303">
      <c r="A303" s="31" t="str">
        <f>IFERROR(__xludf.DUMMYFUNCTION("""COMPUTED_VALUE"""),"アフターピルは初診でも予約できますか？")</f>
        <v>アフターピルは初診でも予約できますか？</v>
      </c>
      <c r="B303" s="31" t="str">
        <f>IFERROR(__xludf.DUMMYFUNCTION("""COMPUTED_VALUE"""),"アフターピルは初診の方もご予約いただけます。ご予約は公式LINEから受け付けておりますので、友だち追加の上ご利用ください。
来院診療のご予約：こちらのLINEをご利用ください→https://cline-app.com/qr-codes/98ad6f149bfa20f4f2a9a2e91aac4187/preview
オンライン診療のご予約：こちらのオンライン診療LINEページをご利用ください→https://liff-gateway.lineml.jp/landing?follow=%40590gpx"&amp;"rd&amp;lp=fX73yx&amp;liff_id=1657094566-LmjNPPbV")</f>
        <v>アフターピルは初診の方もご予約いただけます。ご予約は公式LINEから受け付けておりますので、友だち追加の上ご利用ください。
来院診療のご予約：こちらのLINEをご利用ください→https://cline-app.com/qr-codes/98ad6f149bfa20f4f2a9a2e91aac4187/preview
オンライン診療のご予約：こちらのオンライン診療LINEページをご利用ください→https://liff-gateway.lineml.jp/landing?follow=%40590gpxrd&amp;lp=fX73yx&amp;liff_id=1657094566-LmjNPPbV</v>
      </c>
      <c r="C303" s="31" t="str">
        <f>IFERROR(__xludf.DUMMYFUNCTION("""COMPUTED_VALUE"""),"アフターピル")</f>
        <v>アフターピル</v>
      </c>
      <c r="D303" s="31" t="str">
        <f>IFERROR(__xludf.DUMMYFUNCTION("""COMPUTED_VALUE"""),"初診,予約,アフターピル")</f>
        <v>初診,予約,アフターピル</v>
      </c>
      <c r="E303" s="32" t="str">
        <f>IFERROR(__xludf.DUMMYFUNCTION("""COMPUTED_VALUE"""),"https://luna-dr.com/subjects/after-pill_page/")</f>
        <v>https://luna-dr.com/subjects/after-pill_page/</v>
      </c>
    </row>
    <row r="304">
      <c r="A304" s="31" t="str">
        <f>IFERROR(__xludf.DUMMYFUNCTION("""COMPUTED_VALUE"""),"アフターピルは来院とオンライン、どちらで予約できますか？")</f>
        <v>アフターピルは来院とオンライン、どちらで予約できますか？</v>
      </c>
      <c r="B304" s="31" t="str">
        <f>IFERROR(__xludf.DUMMYFUNCTION("""COMPUTED_VALUE"""),"ルナレディースクリニックでは、アフターピルのご相談は来院診療とオンライン診療のどちらでも予約が可能です。ご自身のライフスタイルに合わせて選べます。
来院診療のご予約：こちらのLINEをご利用ください→https://cline-app.com/qr-codes/98ad6f149bfa20f4f2a9a2e91aac4187/preview
オンライン診療のご予約：こちらのオンライン診療LINEページをご利用ください→https://liff-gateway.lineml.jp/landing?foll"&amp;"ow=%40590gpxrd&amp;lp=fX73yx&amp;liff_id=1657094566-LmjNPPbV")</f>
        <v>ルナレディースクリニックでは、アフターピルのご相談は来院診療とオンライン診療のどちらでも予約が可能です。ご自身のライフスタイルに合わせて選べます。
来院診療のご予約：こちらのLINEをご利用ください→https://cline-app.com/qr-codes/98ad6f149bfa20f4f2a9a2e91aac4187/preview
オンライン診療のご予約：こちらのオンライン診療LINEページをご利用ください→https://liff-gateway.lineml.jp/landing?follow=%40590gpxrd&amp;lp=fX73yx&amp;liff_id=1657094566-LmjNPPbV</v>
      </c>
      <c r="C304" s="31" t="str">
        <f>IFERROR(__xludf.DUMMYFUNCTION("""COMPUTED_VALUE"""),"アフターピル")</f>
        <v>アフターピル</v>
      </c>
      <c r="D304" s="31" t="str">
        <f>IFERROR(__xludf.DUMMYFUNCTION("""COMPUTED_VALUE"""),"来院診療,オンライン診療,アフターピル")</f>
        <v>来院診療,オンライン診療,アフターピル</v>
      </c>
      <c r="E304" s="32" t="str">
        <f>IFERROR(__xludf.DUMMYFUNCTION("""COMPUTED_VALUE"""),"https://luna-dr.com/subjects/after-pill_page/")</f>
        <v>https://luna-dr.com/subjects/after-pill_page/</v>
      </c>
    </row>
    <row r="305">
      <c r="A305" s="31" t="str">
        <f>IFERROR(__xludf.DUMMYFUNCTION("""COMPUTED_VALUE"""),"アフターピルの診察前にWEB問診は必要ですか？")</f>
        <v>アフターピルの診察前にWEB問診は必要ですか？</v>
      </c>
      <c r="B305" s="31" t="str">
        <f>IFERROR(__xludf.DUMMYFUNCTION("""COMPUTED_VALUE"""),"ルナレディースクリニックでは、アフターピルの診察前にWEB問診の入力をお願いしています。最終月経日や性行為の日時などを事前に入力することで、診察がスムーズになります。")</f>
        <v>ルナレディースクリニックでは、アフターピルの診察前にWEB問診の入力をお願いしています。最終月経日や性行為の日時などを事前に入力することで、診察がスムーズになります。</v>
      </c>
      <c r="C305" s="31" t="str">
        <f>IFERROR(__xludf.DUMMYFUNCTION("""COMPUTED_VALUE"""),"アフターピル")</f>
        <v>アフターピル</v>
      </c>
      <c r="D305" s="31" t="str">
        <f>IFERROR(__xludf.DUMMYFUNCTION("""COMPUTED_VALUE"""),"アフターピル,WEB問診,事前準備")</f>
        <v>アフターピル,WEB問診,事前準備</v>
      </c>
      <c r="E305" s="32" t="str">
        <f>IFERROR(__xludf.DUMMYFUNCTION("""COMPUTED_VALUE"""),"https://luna-dr.com/subjects/after-pill_page/")</f>
        <v>https://luna-dr.com/subjects/after-pill_page/</v>
      </c>
    </row>
    <row r="306">
      <c r="A306" s="31" t="str">
        <f>IFERROR(__xludf.DUMMYFUNCTION("""COMPUTED_VALUE"""),"アフターピルの診察では何を聞かれますか？")</f>
        <v>アフターピルの診察では何を聞かれますか？</v>
      </c>
      <c r="B306" s="31" t="str">
        <f>IFERROR(__xludf.DUMMYFUNCTION("""COMPUTED_VALUE"""),"ルナレディースクリニックのアフターピル診察では、最終月経日、心配な性行為の日時、避妊状況、過去のアフターピル服用歴、アレルギーや持病などを確認します。")</f>
        <v>ルナレディースクリニックのアフターピル診察では、最終月経日、心配な性行為の日時、避妊状況、過去のアフターピル服用歴、アレルギーや持病などを確認します。</v>
      </c>
      <c r="C306" s="31" t="str">
        <f>IFERROR(__xludf.DUMMYFUNCTION("""COMPUTED_VALUE"""),"アフターピル")</f>
        <v>アフターピル</v>
      </c>
      <c r="D306" s="31" t="str">
        <f>IFERROR(__xludf.DUMMYFUNCTION("""COMPUTED_VALUE"""),"アフターピル,診察内容,問診")</f>
        <v>アフターピル,診察内容,問診</v>
      </c>
      <c r="E306" s="32" t="str">
        <f>IFERROR(__xludf.DUMMYFUNCTION("""COMPUTED_VALUE"""),"https://luna-dr.com/subjects/after-pill_page/")</f>
        <v>https://luna-dr.com/subjects/after-pill_page/</v>
      </c>
    </row>
    <row r="307">
      <c r="A307" s="31" t="str">
        <f>IFERROR(__xludf.DUMMYFUNCTION("""COMPUTED_VALUE"""),"アフターピルの診察で内診はありますか？")</f>
        <v>アフターピルの診察で内診はありますか？</v>
      </c>
      <c r="B307" s="31" t="str">
        <f>IFERROR(__xludf.DUMMYFUNCTION("""COMPUTED_VALUE"""),"アフターピルの診察は、原則として内診なしで処方可能な場合がほとんどです。ただし、医師が必要と判断した場合には内診や超音波検査を行うことがあります。")</f>
        <v>アフターピルの診察は、原則として内診なしで処方可能な場合がほとんどです。ただし、医師が必要と判断した場合には内診や超音波検査を行うことがあります。</v>
      </c>
      <c r="C307" s="31" t="str">
        <f>IFERROR(__xludf.DUMMYFUNCTION("""COMPUTED_VALUE"""),"アフターピル")</f>
        <v>アフターピル</v>
      </c>
      <c r="D307" s="31" t="str">
        <f>IFERROR(__xludf.DUMMYFUNCTION("""COMPUTED_VALUE"""),"アフターピル,内診,検査")</f>
        <v>アフターピル,内診,検査</v>
      </c>
      <c r="E307" s="32" t="str">
        <f>IFERROR(__xludf.DUMMYFUNCTION("""COMPUTED_VALUE"""),"https://luna-dr.com/subjects/after-pill_page/")</f>
        <v>https://luna-dr.com/subjects/after-pill_page/</v>
      </c>
    </row>
    <row r="308">
      <c r="A308" s="31" t="str">
        <f>IFERROR(__xludf.DUMMYFUNCTION("""COMPUTED_VALUE"""),"アフターピルは初診当日に処方されますか？")</f>
        <v>アフターピルは初診当日に処方されますか？</v>
      </c>
      <c r="B308" s="31" t="str">
        <f>IFERROR(__xludf.DUMMYFUNCTION("""COMPUTED_VALUE"""),"ルナレディースクリニックでは、診察後すぐにアフターピルを処方しています。来院診療の場合は当日お渡し、オンライン診療の場合は決済確認後に当日または翌日に発送します。")</f>
        <v>ルナレディースクリニックでは、診察後すぐにアフターピルを処方しています。来院診療の場合は当日お渡し、オンライン診療の場合は決済確認後に当日または翌日に発送します。</v>
      </c>
      <c r="C308" s="31" t="str">
        <f>IFERROR(__xludf.DUMMYFUNCTION("""COMPUTED_VALUE"""),"アフターピル")</f>
        <v>アフターピル</v>
      </c>
      <c r="D308" s="31" t="str">
        <f>IFERROR(__xludf.DUMMYFUNCTION("""COMPUTED_VALUE"""),"アフターピル,即日処方,初診")</f>
        <v>アフターピル,即日処方,初診</v>
      </c>
      <c r="E308" s="32" t="str">
        <f>IFERROR(__xludf.DUMMYFUNCTION("""COMPUTED_VALUE"""),"https://luna-dr.com/subjects/after-pill_page/")</f>
        <v>https://luna-dr.com/subjects/after-pill_page/</v>
      </c>
    </row>
    <row r="309">
      <c r="A309" s="31" t="str">
        <f>IFERROR(__xludf.DUMMYFUNCTION("""COMPUTED_VALUE"""),"アフターピルの支払いはいつ行いますか？")</f>
        <v>アフターピルの支払いはいつ行いますか？</v>
      </c>
      <c r="B309" s="31" t="str">
        <f>IFERROR(__xludf.DUMMYFUNCTION("""COMPUTED_VALUE"""),"アフターピルの支払いは、診察後に行います。来院診療では受付でのお会計、オンライン診療では決済リンクからクレジットカード決済となります。")</f>
        <v>アフターピルの支払いは、診察後に行います。来院診療では受付でのお会計、オンライン診療では決済リンクからクレジットカード決済となります。</v>
      </c>
      <c r="C309" s="31" t="str">
        <f>IFERROR(__xludf.DUMMYFUNCTION("""COMPUTED_VALUE"""),"アフターピル")</f>
        <v>アフターピル</v>
      </c>
      <c r="D309" s="31" t="str">
        <f>IFERROR(__xludf.DUMMYFUNCTION("""COMPUTED_VALUE"""),"アフターピル,支払い,決済方法")</f>
        <v>アフターピル,支払い,決済方法</v>
      </c>
      <c r="E309" s="32" t="str">
        <f>IFERROR(__xludf.DUMMYFUNCTION("""COMPUTED_VALUE"""),"https://luna-dr.com/subjects/after-pill_page/")</f>
        <v>https://luna-dr.com/subjects/after-pill_page/</v>
      </c>
    </row>
    <row r="310">
      <c r="A310" s="31" t="str">
        <f>IFERROR(__xludf.DUMMYFUNCTION("""COMPUTED_VALUE"""),"アフターピル処方後に相談はできますか？")</f>
        <v>アフターピル処方後に相談はできますか？</v>
      </c>
      <c r="B310" s="31" t="str">
        <f>IFERROR(__xludf.DUMMYFUNCTION("""COMPUTED_VALUE"""),"ルナレディースクリニックでは、アフターピル服用後の体調不安やご質問について、LINEでの相談が可能です。服用後2時間以内の嘔吐などがあった場合も早めにご相談ください。")</f>
        <v>ルナレディースクリニックでは、アフターピル服用後の体調不安やご質問について、LINEでの相談が可能です。服用後2時間以内の嘔吐などがあった場合も早めにご相談ください。</v>
      </c>
      <c r="C310" s="31" t="str">
        <f>IFERROR(__xludf.DUMMYFUNCTION("""COMPUTED_VALUE"""),"アフターピル")</f>
        <v>アフターピル</v>
      </c>
      <c r="D310" s="31" t="str">
        <f>IFERROR(__xludf.DUMMYFUNCTION("""COMPUTED_VALUE"""),"アフターピル,アフターケア,相談")</f>
        <v>アフターピル,アフターケア,相談</v>
      </c>
      <c r="E310" s="32" t="str">
        <f>IFERROR(__xludf.DUMMYFUNCTION("""COMPUTED_VALUE"""),"https://luna-dr.com/subjects/after-pill_page/")</f>
        <v>https://luna-dr.com/subjects/after-pill_page/</v>
      </c>
    </row>
    <row r="311">
      <c r="A311" s="31" t="str">
        <f>IFERROR(__xludf.DUMMYFUNCTION("""COMPUTED_VALUE"""),"アフターピル服用後は何に注意すればいいですか？")</f>
        <v>アフターピル服用後は何に注意すればいいですか？</v>
      </c>
      <c r="B311" s="31" t="str">
        <f>IFERROR(__xludf.DUMMYFUNCTION("""COMPUTED_VALUE"""),"アフターピル服用後は避妊を継続し、3週間後に妊娠検査薬を使用することをおすすめしています。体調不良がある場合は、ルナレディースクリニックへご相談ください。")</f>
        <v>アフターピル服用後は避妊を継続し、3週間後に妊娠検査薬を使用することをおすすめしています。体調不良がある場合は、ルナレディースクリニックへご相談ください。</v>
      </c>
      <c r="C311" s="31" t="str">
        <f>IFERROR(__xludf.DUMMYFUNCTION("""COMPUTED_VALUE"""),"アフターピル")</f>
        <v>アフターピル</v>
      </c>
      <c r="D311" s="31" t="str">
        <f>IFERROR(__xludf.DUMMYFUNCTION("""COMPUTED_VALUE"""),"アフターピル,服用後,注意点")</f>
        <v>アフターピル,服用後,注意点</v>
      </c>
      <c r="E311" s="32" t="str">
        <f>IFERROR(__xludf.DUMMYFUNCTION("""COMPUTED_VALUE"""),"https://luna-dr.com/subjects/after-pill_page/")</f>
        <v>https://luna-dr.com/subjects/after-pill_page/</v>
      </c>
    </row>
    <row r="312">
      <c r="A312" s="31" t="str">
        <f>IFERROR(__xludf.DUMMYFUNCTION("""COMPUTED_VALUE"""),"ミレーナとは何ですか？")</f>
        <v>ミレーナとは何ですか？</v>
      </c>
      <c r="B312" s="31" t="str">
        <f>IFERROR(__xludf.DUMMYFUNCTION("""COMPUTED_VALUE"""),"ミレーナ（Mirena／子宮内システム・IUS）は、子宮内に装着するT字型の医療器具で、黄体ホルモンを持続的に放出することで、生理痛や経血量の多さを改善したり、長期的な避妊効果を得る治療法です。")</f>
        <v>ミレーナ（Mirena／子宮内システム・IUS）は、子宮内に装着するT字型の医療器具で、黄体ホルモンを持続的に放出することで、生理痛や経血量の多さを改善したり、長期的な避妊効果を得る治療法です。</v>
      </c>
      <c r="C312" s="31" t="str">
        <f>IFERROR(__xludf.DUMMYFUNCTION("""COMPUTED_VALUE"""),"ミレーナ")</f>
        <v>ミレーナ</v>
      </c>
      <c r="D312" s="31" t="str">
        <f>IFERROR(__xludf.DUMMYFUNCTION("""COMPUTED_VALUE"""),"ミレーナ 子宮内システム,ミレーナ とは,ミレーナ 治療")</f>
        <v>ミレーナ 子宮内システム,ミレーナ とは,ミレーナ 治療</v>
      </c>
      <c r="E312" s="32" t="str">
        <f>IFERROR(__xludf.DUMMYFUNCTION("""COMPUTED_VALUE"""),"https://luna-dr.com/subjects/ius-treatment/")</f>
        <v>https://luna-dr.com/subjects/ius-treatment/</v>
      </c>
    </row>
    <row r="313">
      <c r="A313" s="31" t="str">
        <f>IFERROR(__xludf.DUMMYFUNCTION("""COMPUTED_VALUE"""),"ミレーナはどんな人が対象ですか？")</f>
        <v>ミレーナはどんな人が対象ですか？</v>
      </c>
      <c r="B313" s="31" t="str">
        <f>IFERROR(__xludf.DUMMYFUNCTION("""COMPUTED_VALUE"""),"ミレーナ（Mirena／子宮内システム・IUS）は、毎月の生理痛や経血量の多さに悩んでいる方、低用量ピルが体質に合わない方、毎日の服薬管理が負担な方などが対象です。")</f>
        <v>ミレーナ（Mirena／子宮内システム・IUS）は、毎月の生理痛や経血量の多さに悩んでいる方、低用量ピルが体質に合わない方、毎日の服薬管理が負担な方などが対象です。</v>
      </c>
      <c r="C313" s="31" t="str">
        <f>IFERROR(__xludf.DUMMYFUNCTION("""COMPUTED_VALUE"""),"ミレーナ")</f>
        <v>ミレーナ</v>
      </c>
      <c r="D313" s="31" t="str">
        <f>IFERROR(__xludf.DUMMYFUNCTION("""COMPUTED_VALUE"""),"ミレーナ 対象,ミレーナ ピル 合わない")</f>
        <v>ミレーナ 対象,ミレーナ ピル 合わない</v>
      </c>
      <c r="E313" s="32" t="str">
        <f>IFERROR(__xludf.DUMMYFUNCTION("""COMPUTED_VALUE"""),"https://luna-dr.com/subjects/ius-treatment/")</f>
        <v>https://luna-dr.com/subjects/ius-treatment/</v>
      </c>
    </row>
    <row r="314">
      <c r="A314" s="31" t="str">
        <f>IFERROR(__xludf.DUMMYFUNCTION("""COMPUTED_VALUE"""),"ミレーナはどのような仕組みで効果を発揮しますか？")</f>
        <v>ミレーナはどのような仕組みで効果を発揮しますか？</v>
      </c>
      <c r="B314" s="31" t="str">
        <f>IFERROR(__xludf.DUMMYFUNCTION("""COMPUTED_VALUE"""),"ミレーナは、子宮内に装着した器具から黄体ホルモンを持続的に放出し、月経症状の原因となる子宮内膜が厚くなるのを抑制する仕組みです。")</f>
        <v>ミレーナは、子宮内に装着した器具から黄体ホルモンを持続的に放出し、月経症状の原因となる子宮内膜が厚くなるのを抑制する仕組みです。</v>
      </c>
      <c r="C314" s="31" t="str">
        <f>IFERROR(__xludf.DUMMYFUNCTION("""COMPUTED_VALUE"""),"ミレーナ仕組み")</f>
        <v>ミレーナ仕組み</v>
      </c>
      <c r="D314" s="31" t="str">
        <f>IFERROR(__xludf.DUMMYFUNCTION("""COMPUTED_VALUE"""),"ミレーナ,仕組み,黄体ホルモン")</f>
        <v>ミレーナ,仕組み,黄体ホルモン</v>
      </c>
      <c r="E314" s="32" t="str">
        <f>IFERROR(__xludf.DUMMYFUNCTION("""COMPUTED_VALUE"""),"https://luna-dr.com/subjects/ius-treatment/")</f>
        <v>https://luna-dr.com/subjects/ius-treatment/</v>
      </c>
    </row>
    <row r="315">
      <c r="A315" s="31" t="str">
        <f>IFERROR(__xludf.DUMMYFUNCTION("""COMPUTED_VALUE"""),"ミレーナはどんな悩みに使われますか？")</f>
        <v>ミレーナはどんな悩みに使われますか？</v>
      </c>
      <c r="B315" s="31" t="str">
        <f>IFERROR(__xludf.DUMMYFUNCTION("""COMPUTED_VALUE"""),"ミレーナは、ひどい生理痛や経血量の多さといった月経に関する症状の治療や、長期的な避妊を目的として使用されます。")</f>
        <v>ミレーナは、ひどい生理痛や経血量の多さといった月経に関する症状の治療や、長期的な避妊を目的として使用されます。</v>
      </c>
      <c r="C315" s="31" t="str">
        <f>IFERROR(__xludf.DUMMYFUNCTION("""COMPUTED_VALUE"""),"ミレーナ適応")</f>
        <v>ミレーナ適応</v>
      </c>
      <c r="D315" s="31" t="str">
        <f>IFERROR(__xludf.DUMMYFUNCTION("""COMPUTED_VALUE"""),"ミレーナ,生理痛,過多月経,避妊")</f>
        <v>ミレーナ,生理痛,過多月経,避妊</v>
      </c>
      <c r="E315" s="32" t="str">
        <f>IFERROR(__xludf.DUMMYFUNCTION("""COMPUTED_VALUE"""),"https://luna-dr.com/subjects/ius-treatment/")</f>
        <v>https://luna-dr.com/subjects/ius-treatment/</v>
      </c>
    </row>
    <row r="316">
      <c r="A316" s="31" t="str">
        <f>IFERROR(__xludf.DUMMYFUNCTION("""COMPUTED_VALUE"""),"ミレーナは保険適用になりますか？")</f>
        <v>ミレーナは保険適用になりますか？</v>
      </c>
      <c r="B316" s="31" t="str">
        <f>IFERROR(__xludf.DUMMYFUNCTION("""COMPUTED_VALUE"""),"ミレーナは使用目的によって保険適用の有無が異なります。生理痛や経血量の多さなどの治療目的の場合は保険が適用されます。")</f>
        <v>ミレーナは使用目的によって保険適用の有無が異なります。生理痛や経血量の多さなどの治療目的の場合は保険が適用されます。</v>
      </c>
      <c r="C316" s="31" t="str">
        <f>IFERROR(__xludf.DUMMYFUNCTION("""COMPUTED_VALUE"""),"ミレーナ保険")</f>
        <v>ミレーナ保険</v>
      </c>
      <c r="D316" s="31" t="str">
        <f>IFERROR(__xludf.DUMMYFUNCTION("""COMPUTED_VALUE"""),"ミレーナ,保険適用,治療目的")</f>
        <v>ミレーナ,保険適用,治療目的</v>
      </c>
      <c r="E316" s="32" t="str">
        <f>IFERROR(__xludf.DUMMYFUNCTION("""COMPUTED_VALUE"""),"https://luna-dr.com/subjects/ius-treatment/")</f>
        <v>https://luna-dr.com/subjects/ius-treatment/</v>
      </c>
    </row>
    <row r="317">
      <c r="A317" s="31" t="str">
        <f>IFERROR(__xludf.DUMMYFUNCTION("""COMPUTED_VALUE"""),"治療目的でミレーナを使用する場合の特徴は何ですか？")</f>
        <v>治療目的でミレーナを使用する場合の特徴は何ですか？</v>
      </c>
      <c r="B317" s="31" t="str">
        <f>IFERROR(__xludf.DUMMYFUNCTION("""COMPUTED_VALUE"""),"治療目的でミレーナを使用する場合、保険診療となり、経血量の減少や生理痛の緩和が主な効果です。症状の原因を診断するため、超音波（エコー）検査などを行います。")</f>
        <v>治療目的でミレーナを使用する場合、保険診療となり、経血量の減少や生理痛の緩和が主な効果です。症状の原因を診断するため、超音波（エコー）検査などを行います。</v>
      </c>
      <c r="C317" s="31" t="str">
        <f>IFERROR(__xludf.DUMMYFUNCTION("""COMPUTED_VALUE"""),"ミレーナ治療目的")</f>
        <v>ミレーナ治療目的</v>
      </c>
      <c r="D317" s="31" t="str">
        <f>IFERROR(__xludf.DUMMYFUNCTION("""COMPUTED_VALUE"""),"ミレーナ,治療,生理痛,経血量")</f>
        <v>ミレーナ,治療,生理痛,経血量</v>
      </c>
      <c r="E317" s="32" t="str">
        <f>IFERROR(__xludf.DUMMYFUNCTION("""COMPUTED_VALUE"""),"https://luna-dr.com/subjects/ius-treatment/")</f>
        <v>https://luna-dr.com/subjects/ius-treatment/</v>
      </c>
    </row>
    <row r="318">
      <c r="A318" s="31" t="str">
        <f>IFERROR(__xludf.DUMMYFUNCTION("""COMPUTED_VALUE"""),"避妊目的でミレーナを使用する場合は保険適用されますか？")</f>
        <v>避妊目的でミレーナを使用する場合は保険適用されますか？</v>
      </c>
      <c r="B318" s="31" t="str">
        <f>IFERROR(__xludf.DUMMYFUNCTION("""COMPUTED_VALUE"""),"長期的な避妊を主な目的としてミレーナを使用する場合は、自費診療となり、保険は適用されません。")</f>
        <v>長期的な避妊を主な目的としてミレーナを使用する場合は、自費診療となり、保険は適用されません。</v>
      </c>
      <c r="C318" s="31" t="str">
        <f>IFERROR(__xludf.DUMMYFUNCTION("""COMPUTED_VALUE"""),"ミレーナ避妊目的")</f>
        <v>ミレーナ避妊目的</v>
      </c>
      <c r="D318" s="31" t="str">
        <f>IFERROR(__xludf.DUMMYFUNCTION("""COMPUTED_VALUE"""),"ミレーナ,避妊,自費診療")</f>
        <v>ミレーナ,避妊,自費診療</v>
      </c>
      <c r="E318" s="32" t="str">
        <f>IFERROR(__xludf.DUMMYFUNCTION("""COMPUTED_VALUE"""),"https://luna-dr.com/subjects/ius-treatment/")</f>
        <v>https://luna-dr.com/subjects/ius-treatment/</v>
      </c>
    </row>
    <row r="319">
      <c r="A319" s="31" t="str">
        <f>IFERROR(__xludf.DUMMYFUNCTION("""COMPUTED_VALUE"""),"避妊目的のミレーナにはどんな効果がありますか？")</f>
        <v>避妊目的のミレーナにはどんな効果がありますか？</v>
      </c>
      <c r="B319" s="31" t="str">
        <f>IFERROR(__xludf.DUMMYFUNCTION("""COMPUTED_VALUE"""),"避妊目的で使用するミレーナには、最長5年間の高い避妊効果（99.8%以上）が期待できます。")</f>
        <v>避妊目的で使用するミレーナには、最長5年間の高い避妊効果（99.8%以上）が期待できます。</v>
      </c>
      <c r="C319" s="31" t="str">
        <f>IFERROR(__xludf.DUMMYFUNCTION("""COMPUTED_VALUE"""),"ミレーナ避妊効果")</f>
        <v>ミレーナ避妊効果</v>
      </c>
      <c r="D319" s="31" t="str">
        <f>IFERROR(__xludf.DUMMYFUNCTION("""COMPUTED_VALUE"""),"ミレーナ,避妊効果,5年間")</f>
        <v>ミレーナ,避妊効果,5年間</v>
      </c>
      <c r="E319" s="32" t="str">
        <f>IFERROR(__xludf.DUMMYFUNCTION("""COMPUTED_VALUE"""),"https://luna-dr.com/subjects/ius-treatment/")</f>
        <v>https://luna-dr.com/subjects/ius-treatment/</v>
      </c>
    </row>
    <row r="320">
      <c r="A320" s="31" t="str">
        <f>IFERROR(__xludf.DUMMYFUNCTION("""COMPUTED_VALUE"""),"避妊目的でミレーナを使用する場合、検査は必要ですか？")</f>
        <v>避妊目的でミレーナを使用する場合、検査は必要ですか？</v>
      </c>
      <c r="B320" s="31" t="str">
        <f>IFERROR(__xludf.DUMMYFUNCTION("""COMPUTED_VALUE"""),"避妊目的でミレーナを使用する場合は、主に問診が中心となり、安全性が確認できれば内診や検査は必須ではありません。")</f>
        <v>避妊目的でミレーナを使用する場合は、主に問診が中心となり、安全性が確認できれば内診や検査は必須ではありません。</v>
      </c>
      <c r="C320" s="31" t="str">
        <f>IFERROR(__xludf.DUMMYFUNCTION("""COMPUTED_VALUE"""),"ミレーナ検査")</f>
        <v>ミレーナ検査</v>
      </c>
      <c r="D320" s="31" t="str">
        <f>IFERROR(__xludf.DUMMYFUNCTION("""COMPUTED_VALUE"""),"ミレーナ,問診,検査")</f>
        <v>ミレーナ,問診,検査</v>
      </c>
      <c r="E320" s="32" t="str">
        <f>IFERROR(__xludf.DUMMYFUNCTION("""COMPUTED_VALUE"""),"https://luna-dr.com/subjects/ius-treatment/")</f>
        <v>https://luna-dr.com/subjects/ius-treatment/</v>
      </c>
    </row>
    <row r="321">
      <c r="A321" s="31" t="str">
        <f>IFERROR(__xludf.DUMMYFUNCTION("""COMPUTED_VALUE"""),"ミレーナの効果はどれくらい続きますか？")</f>
        <v>ミレーナの効果はどれくらい続きますか？</v>
      </c>
      <c r="B321" s="31" t="str">
        <f>IFERROR(__xludf.DUMMYFUNCTION("""COMPUTED_VALUE"""),"ミレーナは、治療目的・避妊目的のいずれの場合でも、一度装着すれば最長5年間効果が持続します。")</f>
        <v>ミレーナは、治療目的・避妊目的のいずれの場合でも、一度装着すれば最長5年間効果が持続します。</v>
      </c>
      <c r="C321" s="31" t="str">
        <f>IFERROR(__xludf.DUMMYFUNCTION("""COMPUTED_VALUE"""),"ミレーナ期間")</f>
        <v>ミレーナ期間</v>
      </c>
      <c r="D321" s="31" t="str">
        <f>IFERROR(__xludf.DUMMYFUNCTION("""COMPUTED_VALUE"""),"ミレーナ,効果期間,5年")</f>
        <v>ミレーナ,効果期間,5年</v>
      </c>
      <c r="E321" s="32" t="str">
        <f>IFERROR(__xludf.DUMMYFUNCTION("""COMPUTED_VALUE"""),"https://luna-dr.com/subjects/ius-treatment/")</f>
        <v>https://luna-dr.com/subjects/ius-treatment/</v>
      </c>
    </row>
    <row r="322">
      <c r="A322" s="31" t="str">
        <f>IFERROR(__xludf.DUMMYFUNCTION("""COMPUTED_VALUE"""),"治療目的でミレーナを使っても避妊効果はありますか？")</f>
        <v>治療目的でミレーナを使っても避妊効果はありますか？</v>
      </c>
      <c r="B322" s="31" t="str">
        <f>IFERROR(__xludf.DUMMYFUNCTION("""COMPUTED_VALUE"""),"治療目的でミレーナを装着した場合でも、副次的に高い避妊効果が得られます。")</f>
        <v>治療目的でミレーナを装着した場合でも、副次的に高い避妊効果が得られます。</v>
      </c>
      <c r="C322" s="31" t="str">
        <f>IFERROR(__xludf.DUMMYFUNCTION("""COMPUTED_VALUE"""),"ミレーナ副次効果")</f>
        <v>ミレーナ副次効果</v>
      </c>
      <c r="D322" s="31" t="str">
        <f>IFERROR(__xludf.DUMMYFUNCTION("""COMPUTED_VALUE"""),"ミレーナ,治療,避妊効果")</f>
        <v>ミレーナ,治療,避妊効果</v>
      </c>
      <c r="E322" s="32" t="str">
        <f>IFERROR(__xludf.DUMMYFUNCTION("""COMPUTED_VALUE"""),"https://luna-dr.com/subjects/ius-treatment/")</f>
        <v>https://luna-dr.com/subjects/ius-treatment/</v>
      </c>
    </row>
    <row r="323">
      <c r="A323" s="31" t="str">
        <f>IFERROR(__xludf.DUMMYFUNCTION("""COMPUTED_VALUE"""),"ミレーナの効果はいつから実感できますか？")</f>
        <v>ミレーナの効果はいつから実感できますか？</v>
      </c>
      <c r="B323" s="31" t="str">
        <f>IFERROR(__xludf.DUMMYFUNCTION("""COMPUTED_VALUE"""),"ミレーナ（Mirena／子宮内システム・IUS）の効果は、装着後1〜3か月ほどで徐々に実感されることが多いです。")</f>
        <v>ミレーナ（Mirena／子宮内システム・IUS）の効果は、装着後1〜3か月ほどで徐々に実感されることが多いです。</v>
      </c>
      <c r="C323" s="31" t="str">
        <f>IFERROR(__xludf.DUMMYFUNCTION("""COMPUTED_VALUE"""),"ミレーナ")</f>
        <v>ミレーナ</v>
      </c>
      <c r="D323" s="31" t="str">
        <f>IFERROR(__xludf.DUMMYFUNCTION("""COMPUTED_VALUE"""),"ミレーナ 効果 いつ,ミレーナ 生理 改善")</f>
        <v>ミレーナ 効果 いつ,ミレーナ 生理 改善</v>
      </c>
      <c r="E323" s="32" t="str">
        <f>IFERROR(__xludf.DUMMYFUNCTION("""COMPUTED_VALUE"""),"https://luna-dr.com/subjects/ius-treatment/")</f>
        <v>https://luna-dr.com/subjects/ius-treatment/</v>
      </c>
    </row>
    <row r="324">
      <c r="A324" s="31" t="str">
        <f>IFERROR(__xludf.DUMMYFUNCTION("""COMPUTED_VALUE"""),"ミレーナの効果はどれくらい続きますか？/ミレーナは何年間使えますか？")</f>
        <v>ミレーナの効果はどれくらい続きますか？/ミレーナは何年間使えますか？</v>
      </c>
      <c r="B324" s="31" t="str">
        <f>IFERROR(__xludf.DUMMYFUNCTION("""COMPUTED_VALUE"""),"ミレーナ（Mirena／子宮内システム・IUS）は、1回の装着で最長5年間効果が持続します。")</f>
        <v>ミレーナ（Mirena／子宮内システム・IUS）は、1回の装着で最長5年間効果が持続します。</v>
      </c>
      <c r="C324" s="31" t="str">
        <f>IFERROR(__xludf.DUMMYFUNCTION("""COMPUTED_VALUE"""),"ミレーナ")</f>
        <v>ミレーナ</v>
      </c>
      <c r="D324" s="31" t="str">
        <f>IFERROR(__xludf.DUMMYFUNCTION("""COMPUTED_VALUE"""),"ミレーナ 効果 期間,ミレーナ 5年")</f>
        <v>ミレーナ 効果 期間,ミレーナ 5年</v>
      </c>
      <c r="E324" s="32" t="str">
        <f>IFERROR(__xludf.DUMMYFUNCTION("""COMPUTED_VALUE"""),"https://luna-dr.com/subjects/ius-treatment/")</f>
        <v>https://luna-dr.com/subjects/ius-treatment/</v>
      </c>
    </row>
    <row r="325">
      <c r="A325" s="31" t="str">
        <f>IFERROR(__xludf.DUMMYFUNCTION("""COMPUTED_VALUE"""),"ミレーナを継続したい場合はどうしますか？")</f>
        <v>ミレーナを継続したい場合はどうしますか？</v>
      </c>
      <c r="B325" s="31" t="str">
        <f>IFERROR(__xludf.DUMMYFUNCTION("""COMPUTED_VALUE"""),"5年経過時に抜去し、同日に新しいミレーナを再装着することも可能です。")</f>
        <v>5年経過時に抜去し、同日に新しいミレーナを再装着することも可能です。</v>
      </c>
      <c r="C325" s="31" t="str">
        <f>IFERROR(__xludf.DUMMYFUNCTION("""COMPUTED_VALUE"""),"ミレーナ")</f>
        <v>ミレーナ</v>
      </c>
      <c r="D325" s="31" t="str">
        <f>IFERROR(__xludf.DUMMYFUNCTION("""COMPUTED_VALUE"""),"ミレーナ,継続,交換")</f>
        <v>ミレーナ,継続,交換</v>
      </c>
      <c r="E325" s="32" t="str">
        <f>IFERROR(__xludf.DUMMYFUNCTION("""COMPUTED_VALUE"""),"https://luna-dr.com/subjects/ius-treatment/")</f>
        <v>https://luna-dr.com/subjects/ius-treatment/</v>
      </c>
    </row>
    <row r="326">
      <c r="A326" s="31" t="str">
        <f>IFERROR(__xludf.DUMMYFUNCTION("""COMPUTED_VALUE"""),"ミレーナ装着時の痛みはどの程度でしょうか？")</f>
        <v>ミレーナ装着時の痛みはどの程度でしょうか？</v>
      </c>
      <c r="B326" s="31" t="str">
        <f>IFERROR(__xludf.DUMMYFUNCTION("""COMPUTED_VALUE"""),"痛みを心配されるのは当然のことです。痛みの感じ方には個人差があり、特に出産経験の有無によって異なります。出産経験のない方は生理痛のような痛みを感じやすい傾向にありますが、当院では、患者様の状態を確認しながら、痛みを最小限に抑えるよう細心の注意を払って処置を行います。")</f>
        <v>痛みを心配されるのは当然のことです。痛みの感じ方には個人差があり、特に出産経験の有無によって異なります。出産経験のない方は生理痛のような痛みを感じやすい傾向にありますが、当院では、患者様の状態を確認しながら、痛みを最小限に抑えるよう細心の注意を払って処置を行います。</v>
      </c>
      <c r="C326" s="31" t="str">
        <f>IFERROR(__xludf.DUMMYFUNCTION("""COMPUTED_VALUE"""),"ミレーナ")</f>
        <v>ミレーナ</v>
      </c>
      <c r="D326" s="31" t="str">
        <f>IFERROR(__xludf.DUMMYFUNCTION("""COMPUTED_VALUE"""),"ミレーナ,痛み,装着時")</f>
        <v>ミレーナ,痛み,装着時</v>
      </c>
      <c r="E326" s="32" t="str">
        <f>IFERROR(__xludf.DUMMYFUNCTION("""COMPUTED_VALUE"""),"https://luna-dr.com/subjects/ius-treatment/")</f>
        <v>https://luna-dr.com/subjects/ius-treatment/</v>
      </c>
    </row>
    <row r="327">
      <c r="A327" s="31" t="str">
        <f>IFERROR(__xludf.DUMMYFUNCTION("""COMPUTED_VALUE"""),"ミレーナの副作用にはどんなものがありますか？")</f>
        <v>ミレーナの副作用にはどんなものがありますか？</v>
      </c>
      <c r="B327" s="31" t="str">
        <f>IFERROR(__xludf.DUMMYFUNCTION("""COMPUTED_VALUE"""),"最も多いのは、装着後数ヶ月間にわたる不正出血です。これはミレーナが子宮に馴染む過程で起こるもので、多くの場合、時間の経過とともにおさまります。その他、下腹部痛などが起こることもありますが、ご不安な症状があれば、検診を待たずにいつでもご相談ください。")</f>
        <v>最も多いのは、装着後数ヶ月間にわたる不正出血です。これはミレーナが子宮に馴染む過程で起こるもので、多くの場合、時間の経過とともにおさまります。その他、下腹部痛などが起こることもありますが、ご不安な症状があれば、検診を待たずにいつでもご相談ください。</v>
      </c>
      <c r="C327" s="31" t="str">
        <f>IFERROR(__xludf.DUMMYFUNCTION("""COMPUTED_VALUE"""),"ミレーナ")</f>
        <v>ミレーナ</v>
      </c>
      <c r="D327" s="31" t="str">
        <f>IFERROR(__xludf.DUMMYFUNCTION("""COMPUTED_VALUE"""),"ミレーナ 副作用,ミレーナ 不正出血")</f>
        <v>ミレーナ 副作用,ミレーナ 不正出血</v>
      </c>
      <c r="E327" s="32" t="str">
        <f>IFERROR(__xludf.DUMMYFUNCTION("""COMPUTED_VALUE"""),"https://luna-dr.com/subjects/ius-treatment/")</f>
        <v>https://luna-dr.com/subjects/ius-treatment/</v>
      </c>
    </row>
    <row r="328">
      <c r="A328" s="31" t="str">
        <f>IFERROR(__xludf.DUMMYFUNCTION("""COMPUTED_VALUE"""),"低用量ピルとミレーナはどちらが良いですか？")</f>
        <v>低用量ピルとミレーナはどちらが良いですか？</v>
      </c>
      <c r="B328" s="31" t="str">
        <f>IFERROR(__xludf.DUMMYFUNCTION("""COMPUTED_VALUE"""),"低用量ピルとミレーナはそれぞれに利点があり、どちらが適しているかは患者様のご希望やライフスタイルによって異なります。大きな違いは、ピルが全身に作用するのに対し、ミレーナはホルモンの作用が子宮内に限定される点です。そのため、血栓症のリスクが極めて低く、全身的な副作用も起こりにくいのが特徴です。")</f>
        <v>低用量ピルとミレーナはそれぞれに利点があり、どちらが適しているかは患者様のご希望やライフスタイルによって異なります。大きな違いは、ピルが全身に作用するのに対し、ミレーナはホルモンの作用が子宮内に限定される点です。そのため、血栓症のリスクが極めて低く、全身的な副作用も起こりにくいのが特徴です。</v>
      </c>
      <c r="C328" s="31" t="str">
        <f>IFERROR(__xludf.DUMMYFUNCTION("""COMPUTED_VALUE"""),"ミレーナ")</f>
        <v>ミレーナ</v>
      </c>
      <c r="D328" s="31" t="str">
        <f>IFERROR(__xludf.DUMMYFUNCTION("""COMPUTED_VALUE"""),"ミレーナ ピル 比較,ミレーナ 低用量ピル 違い")</f>
        <v>ミレーナ ピル 比較,ミレーナ 低用量ピル 違い</v>
      </c>
      <c r="E328" s="32" t="str">
        <f>IFERROR(__xludf.DUMMYFUNCTION("""COMPUTED_VALUE"""),"https://luna-dr.com/subjects/ius-treatment/")</f>
        <v>https://luna-dr.com/subjects/ius-treatment/</v>
      </c>
    </row>
    <row r="329">
      <c r="A329" s="31" t="str">
        <f>IFERROR(__xludf.DUMMYFUNCTION("""COMPUTED_VALUE"""),"ミレーナを使えない人はいますか？")</f>
        <v>ミレーナを使えない人はいますか？</v>
      </c>
      <c r="B329" s="31" t="str">
        <f>IFERROR(__xludf.DUMMYFUNCTION("""COMPUTED_VALUE"""),"妊娠中の方、子宮の形に大きな異常がある方、活動性の感染症がある方などは使用できません。")</f>
        <v>妊娠中の方、子宮の形に大きな異常がある方、活動性の感染症がある方などは使用できません。</v>
      </c>
      <c r="C329" s="31" t="str">
        <f>IFERROR(__xludf.DUMMYFUNCTION("""COMPUTED_VALUE"""),"ミレーナ")</f>
        <v>ミレーナ</v>
      </c>
      <c r="D329" s="31" t="str">
        <f>IFERROR(__xludf.DUMMYFUNCTION("""COMPUTED_VALUE"""),"ミレーナ 禁忌,ミレーナ 使えない人")</f>
        <v>ミレーナ 禁忌,ミレーナ 使えない人</v>
      </c>
      <c r="E329" s="32" t="str">
        <f>IFERROR(__xludf.DUMMYFUNCTION("""COMPUTED_VALUE"""),"https://luna-dr.com/subjects/ius-treatment/")</f>
        <v>https://luna-dr.com/subjects/ius-treatment/</v>
      </c>
    </row>
    <row r="330">
      <c r="A330" s="31" t="str">
        <f>IFERROR(__xludf.DUMMYFUNCTION("""COMPUTED_VALUE"""),"ミレーナの診察・装着の流れを教えてください")</f>
        <v>ミレーナの診察・装着の流れを教えてください</v>
      </c>
      <c r="B330" s="31" t="str">
        <f>IFERROR(__xludf.DUMMYFUNCTION("""COMPUTED_VALUE"""),"ルナレディースクリニックでは、ミレーナ（Mirena／子宮内システム・IUS）の診察・装着は以下の流れで行います。まず、公式LINEまたはお電話でご予約のうえご来院ください。事前にWEB問診へご入力いただくと受付がスムーズです。次に、医師が問診内容をもとに診察を行い、安全に装着できるか確認するため、内診台で超音波（エコー）検査を行います。問題がなければ、月経4〜7日目頃に装着日を予約します。装着当日は、腟鏡で子宮の入口を確認・消毒し、子宮の大きさを測定したうえで専用器具を使ってミレーナを子宮内に挿入します"&amp;"。処置は数分で終了します。装着後は、1か月後・半年後・1年後、その後は年1回の定期検診で位置確認を行います。")</f>
        <v>ルナレディースクリニックでは、ミレーナ（Mirena／子宮内システム・IUS）の診察・装着は以下の流れで行います。まず、公式LINEまたはお電話でご予約のうえご来院ください。事前にWEB問診へご入力いただくと受付がスムーズです。次に、医師が問診内容をもとに診察を行い、安全に装着できるか確認するため、内診台で超音波（エコー）検査を行います。問題がなければ、月経4〜7日目頃に装着日を予約します。装着当日は、腟鏡で子宮の入口を確認・消毒し、子宮の大きさを測定したうえで専用器具を使ってミレーナを子宮内に挿入します。処置は数分で終了します。装着後は、1か月後・半年後・1年後、その後は年1回の定期検診で位置確認を行います。</v>
      </c>
      <c r="C330" s="31" t="str">
        <f>IFERROR(__xludf.DUMMYFUNCTION("""COMPUTED_VALUE"""),"ミレーナ")</f>
        <v>ミレーナ</v>
      </c>
      <c r="D330" s="31" t="str">
        <f>IFERROR(__xludf.DUMMYFUNCTION("""COMPUTED_VALUE"""),"ミレーナ 診察 流れ,ミレーナ 装着 流れ,ミレーナ エコー検査,ミレーナ 定期検診")</f>
        <v>ミレーナ 診察 流れ,ミレーナ 装着 流れ,ミレーナ エコー検査,ミレーナ 定期検診</v>
      </c>
      <c r="E330" s="32" t="str">
        <f>IFERROR(__xludf.DUMMYFUNCTION("""COMPUTED_VALUE"""),"https://luna-dr.com/subjects/ius-treatment/")</f>
        <v>https://luna-dr.com/subjects/ius-treatment/</v>
      </c>
    </row>
    <row r="331">
      <c r="A331" s="31" t="str">
        <f>IFERROR(__xludf.DUMMYFUNCTION("""COMPUTED_VALUE"""),"ミレーナはいつ装着しますか？")</f>
        <v>ミレーナはいつ装着しますか？</v>
      </c>
      <c r="B331" s="31" t="str">
        <f>IFERROR(__xludf.DUMMYFUNCTION("""COMPUTED_VALUE"""),"ミレーナ（Mirena／子宮内システム・IUS）は、月経4〜7日目頃に装着することが一般的です。")</f>
        <v>ミレーナ（Mirena／子宮内システム・IUS）は、月経4〜7日目頃に装着することが一般的です。</v>
      </c>
      <c r="C331" s="31" t="str">
        <f>IFERROR(__xludf.DUMMYFUNCTION("""COMPUTED_VALUE"""),"ミレーナ")</f>
        <v>ミレーナ</v>
      </c>
      <c r="D331" s="31" t="str">
        <f>IFERROR(__xludf.DUMMYFUNCTION("""COMPUTED_VALUE"""),"ミレーナ 装着 時期,ミレーナ いつ")</f>
        <v>ミレーナ 装着 時期,ミレーナ いつ</v>
      </c>
      <c r="E331" s="32" t="str">
        <f>IFERROR(__xludf.DUMMYFUNCTION("""COMPUTED_VALUE"""),"https://luna-dr.com/subjects/ius-treatment/")</f>
        <v>https://luna-dr.com/subjects/ius-treatment/</v>
      </c>
    </row>
    <row r="332">
      <c r="A332" s="31" t="str">
        <f>IFERROR(__xludf.DUMMYFUNCTION("""COMPUTED_VALUE"""),"ミレーナ装着後の注意点はありますか？")</f>
        <v>ミレーナ装着後の注意点はありますか？</v>
      </c>
      <c r="B332" s="31" t="str">
        <f>IFERROR(__xludf.DUMMYFUNCTION("""COMPUTED_VALUE"""),"装着当日からシャワーは可能で、日常生活に大きな制限はありません。ただし、感染予防の観点から、装着後数日間はタンポンの使用、性交渉、湯船での入浴はお控えいただくようご案内しています。")</f>
        <v>装着当日からシャワーは可能で、日常生活に大きな制限はありません。ただし、感染予防の観点から、装着後数日間はタンポンの使用、性交渉、湯船での入浴はお控えいただくようご案内しています。</v>
      </c>
      <c r="C332" s="31" t="str">
        <f>IFERROR(__xludf.DUMMYFUNCTION("""COMPUTED_VALUE"""),"ミレーナ")</f>
        <v>ミレーナ</v>
      </c>
      <c r="D332" s="31" t="str">
        <f>IFERROR(__xludf.DUMMYFUNCTION("""COMPUTED_VALUE"""),"ミレーナ 注意点,ミレーナ 装着後")</f>
        <v>ミレーナ 注意点,ミレーナ 装着後</v>
      </c>
      <c r="E332" s="32" t="str">
        <f>IFERROR(__xludf.DUMMYFUNCTION("""COMPUTED_VALUE"""),"https://luna-dr.com/subjects/ius-treatment/")</f>
        <v>https://luna-dr.com/subjects/ius-treatment/</v>
      </c>
    </row>
    <row r="333">
      <c r="A333" s="31" t="str">
        <f>IFERROR(__xludf.DUMMYFUNCTION("""COMPUTED_VALUE"""),"ミレーナは来院で診察できますか？")</f>
        <v>ミレーナは来院で診察できますか？</v>
      </c>
      <c r="B333" s="31" t="str">
        <f>IFERROR(__xludf.DUMMYFUNCTION("""COMPUTED_VALUE"""),"ミレーナ（Mirena／子宮内システム・IUS）は来院診療で行います。")</f>
        <v>ミレーナ（Mirena／子宮内システム・IUS）は来院診療で行います。</v>
      </c>
      <c r="C333" s="31" t="str">
        <f>IFERROR(__xludf.DUMMYFUNCTION("""COMPUTED_VALUE"""),"ミレーナ")</f>
        <v>ミレーナ</v>
      </c>
      <c r="D333" s="31" t="str">
        <f>IFERROR(__xludf.DUMMYFUNCTION("""COMPUTED_VALUE"""),"ミレーナ 来院診療,ミレーナ 婦人科")</f>
        <v>ミレーナ 来院診療,ミレーナ 婦人科</v>
      </c>
      <c r="E333" s="32" t="str">
        <f>IFERROR(__xludf.DUMMYFUNCTION("""COMPUTED_VALUE"""),"https://luna-dr.com/subjects/ius-treatment/")</f>
        <v>https://luna-dr.com/subjects/ius-treatment/</v>
      </c>
    </row>
    <row r="334">
      <c r="A334" s="31" t="str">
        <f>IFERROR(__xludf.DUMMYFUNCTION("""COMPUTED_VALUE"""),"ミレーナはオンライン診療でできますか？")</f>
        <v>ミレーナはオンライン診療でできますか？</v>
      </c>
      <c r="B334" s="31" t="str">
        <f>IFERROR(__xludf.DUMMYFUNCTION("""COMPUTED_VALUE"""),"ミレーナ（Mirena／子宮内システム・IUS）の装着は医療行為のため、オンライン診療のみでは対応できません。")</f>
        <v>ミレーナ（Mirena／子宮内システム・IUS）の装着は医療行為のため、オンライン診療のみでは対応できません。</v>
      </c>
      <c r="C334" s="31" t="str">
        <f>IFERROR(__xludf.DUMMYFUNCTION("""COMPUTED_VALUE"""),"ミレーナ")</f>
        <v>ミレーナ</v>
      </c>
      <c r="D334" s="31" t="str">
        <f>IFERROR(__xludf.DUMMYFUNCTION("""COMPUTED_VALUE"""),"ミレーナ オンライン 不可,ミレーナ 診療方法")</f>
        <v>ミレーナ オンライン 不可,ミレーナ 診療方法</v>
      </c>
      <c r="E334" s="32" t="str">
        <f>IFERROR(__xludf.DUMMYFUNCTION("""COMPUTED_VALUE"""),"https://luna-dr.com/subjects/ius-treatment/")</f>
        <v>https://luna-dr.com/subjects/ius-treatment/</v>
      </c>
    </row>
    <row r="335">
      <c r="A335" s="31" t="str">
        <f>IFERROR(__xludf.DUMMYFUNCTION("""COMPUTED_VALUE"""),"初診でもミレーナの相談はできますか？")</f>
        <v>初診でもミレーナの相談はできますか？</v>
      </c>
      <c r="B335" s="31" t="str">
        <f>IFERROR(__xludf.DUMMYFUNCTION("""COMPUTED_VALUE"""),"ミレーナ（Mirena／子宮内システム・IUS）は初診の方でもご相談いただけます。")</f>
        <v>ミレーナ（Mirena／子宮内システム・IUS）は初診の方でもご相談いただけます。</v>
      </c>
      <c r="C335" s="31" t="str">
        <f>IFERROR(__xludf.DUMMYFUNCTION("""COMPUTED_VALUE"""),"ミレーナ")</f>
        <v>ミレーナ</v>
      </c>
      <c r="D335" s="31" t="str">
        <f>IFERROR(__xludf.DUMMYFUNCTION("""COMPUTED_VALUE"""),"ミレーナ 初診,ミレーナ 相談")</f>
        <v>ミレーナ 初診,ミレーナ 相談</v>
      </c>
      <c r="E335" s="32" t="str">
        <f>IFERROR(__xludf.DUMMYFUNCTION("""COMPUTED_VALUE"""),"https://luna-dr.com/subjects/ius-treatment/")</f>
        <v>https://luna-dr.com/subjects/ius-treatment/</v>
      </c>
    </row>
    <row r="336">
      <c r="A336" s="31" t="str">
        <f>IFERROR(__xludf.DUMMYFUNCTION("""COMPUTED_VALUE"""),"ミレーナの診察では内診や検査はありますか？")</f>
        <v>ミレーナの診察では内診や検査はありますか？</v>
      </c>
      <c r="B336" s="31" t="str">
        <f>IFERROR(__xludf.DUMMYFUNCTION("""COMPUTED_VALUE"""),"装着前に安全確認のため、超音波（エコー）検査などを行います。")</f>
        <v>装着前に安全確認のため、超音波（エコー）検査などを行います。</v>
      </c>
      <c r="C336" s="31" t="str">
        <f>IFERROR(__xludf.DUMMYFUNCTION("""COMPUTED_VALUE"""),"ミレーナ")</f>
        <v>ミレーナ</v>
      </c>
      <c r="D336" s="31" t="str">
        <f>IFERROR(__xludf.DUMMYFUNCTION("""COMPUTED_VALUE"""),"ミレーナ 内診,ミレーナ エコー検査")</f>
        <v>ミレーナ 内診,ミレーナ エコー検査</v>
      </c>
      <c r="E336" s="32" t="str">
        <f>IFERROR(__xludf.DUMMYFUNCTION("""COMPUTED_VALUE"""),"https://luna-dr.com/subjects/ius-treatment/")</f>
        <v>https://luna-dr.com/subjects/ius-treatment/</v>
      </c>
    </row>
    <row r="337">
      <c r="A337" s="31" t="str">
        <f>IFERROR(__xludf.DUMMYFUNCTION("""COMPUTED_VALUE"""),"ミレーナは保険適用されますか？")</f>
        <v>ミレーナは保険適用されますか？</v>
      </c>
      <c r="B337" s="31" t="str">
        <f>IFERROR(__xludf.DUMMYFUNCTION("""COMPUTED_VALUE"""),"過多月経や月経困難症の治療目的で使用する場合は保険適用となります。避妊目的の場合は、自費診療となります。")</f>
        <v>過多月経や月経困難症の治療目的で使用する場合は保険適用となります。避妊目的の場合は、自費診療となります。</v>
      </c>
      <c r="C337" s="31" t="str">
        <f>IFERROR(__xludf.DUMMYFUNCTION("""COMPUTED_VALUE"""),"ミレーナ")</f>
        <v>ミレーナ</v>
      </c>
      <c r="D337" s="31" t="str">
        <f>IFERROR(__xludf.DUMMYFUNCTION("""COMPUTED_VALUE"""),"ミレーナ 保険適用,ミレーナ 治療目的")</f>
        <v>ミレーナ 保険適用,ミレーナ 治療目的</v>
      </c>
      <c r="E337" s="32" t="str">
        <f>IFERROR(__xludf.DUMMYFUNCTION("""COMPUTED_VALUE"""),"https://luna-dr.com/subjects/ius-treatment/")</f>
        <v>https://luna-dr.com/subjects/ius-treatment/</v>
      </c>
    </row>
    <row r="338">
      <c r="A338" s="31" t="str">
        <f>IFERROR(__xludf.DUMMYFUNCTION("""COMPUTED_VALUE"""),"ミレーナの費用はいくらくらいですか？")</f>
        <v>ミレーナの費用はいくらくらいですか？</v>
      </c>
      <c r="B338" s="31" t="str">
        <f>IFERROR(__xludf.DUMMYFUNCTION("""COMPUTED_VALUE"""),"治療目的（3割負担）の場合は約10,000〜12,000円、避妊目的の自費診療では約75,500円が目安です。")</f>
        <v>治療目的（3割負担）の場合は約10,000〜12,000円、避妊目的の自費診療では約75,500円が目安です。</v>
      </c>
      <c r="C338" s="31" t="str">
        <f>IFERROR(__xludf.DUMMYFUNCTION("""COMPUTED_VALUE"""),"ミレーナ")</f>
        <v>ミレーナ</v>
      </c>
      <c r="D338" s="31" t="str">
        <f>IFERROR(__xludf.DUMMYFUNCTION("""COMPUTED_VALUE"""),"ミレーナ 費用,ミレーナ 料金")</f>
        <v>ミレーナ 費用,ミレーナ 料金</v>
      </c>
      <c r="E338" s="32" t="str">
        <f>IFERROR(__xludf.DUMMYFUNCTION("""COMPUTED_VALUE"""),"https://luna-dr.com/subjects/ius-treatment/")</f>
        <v>https://luna-dr.com/subjects/ius-treatment/</v>
      </c>
    </row>
    <row r="339">
      <c r="A339" s="31" t="str">
        <f>IFERROR(__xludf.DUMMYFUNCTION("""COMPUTED_VALUE"""),"ミレーナの支払い方法は何がありますか？")</f>
        <v>ミレーナの支払い方法は何がありますか？</v>
      </c>
      <c r="B339" s="31" t="str">
        <f>IFERROR(__xludf.DUMMYFUNCTION("""COMPUTED_VALUE"""),"現金、クレジットカード、電子マネーでのお支払いが可能です。")</f>
        <v>現金、クレジットカード、電子マネーでのお支払いが可能です。</v>
      </c>
      <c r="C339" s="31" t="str">
        <f>IFERROR(__xludf.DUMMYFUNCTION("""COMPUTED_VALUE"""),"ミレーナ")</f>
        <v>ミレーナ</v>
      </c>
      <c r="D339" s="31" t="str">
        <f>IFERROR(__xludf.DUMMYFUNCTION("""COMPUTED_VALUE"""),"ミレーナ 支払い方法,ミレーナ クレジットカード")</f>
        <v>ミレーナ 支払い方法,ミレーナ クレジットカード</v>
      </c>
      <c r="E339" s="32" t="str">
        <f>IFERROR(__xludf.DUMMYFUNCTION("""COMPUTED_VALUE"""),"https://luna-dr.com/subjects/ius-treatment/")</f>
        <v>https://luna-dr.com/subjects/ius-treatment/</v>
      </c>
    </row>
    <row r="340">
      <c r="A340" s="31" t="str">
        <f>IFERROR(__xludf.DUMMYFUNCTION("""COMPUTED_VALUE"""),"ミレーナの予約はどうすればいいですか？")</f>
        <v>ミレーナの予約はどうすればいいですか？</v>
      </c>
      <c r="B340" s="31" t="str">
        <f>IFERROR(__xludf.DUMMYFUNCTION("""COMPUTED_VALUE"""),"公式LINEからご予約いただけます。メニューは「一般婦人科診療」をご選択いただき、ご予約ください。LINEはこちら→https://cline-app.com/qr-codes/98ad6f149bfa20f4f2a9a2e91aac4187/preview")</f>
        <v>公式LINEからご予約いただけます。メニューは「一般婦人科診療」をご選択いただき、ご予約ください。LINEはこちら→https://cline-app.com/qr-codes/98ad6f149bfa20f4f2a9a2e91aac4187/preview</v>
      </c>
      <c r="C340" s="31" t="str">
        <f>IFERROR(__xludf.DUMMYFUNCTION("""COMPUTED_VALUE"""),"ミレーナ")</f>
        <v>ミレーナ</v>
      </c>
      <c r="D340" s="31" t="str">
        <f>IFERROR(__xludf.DUMMYFUNCTION("""COMPUTED_VALUE"""),"予約方法,LINE,電話,ミレーナ")</f>
        <v>予約方法,LINE,電話,ミレーナ</v>
      </c>
      <c r="E340" s="32" t="str">
        <f>IFERROR(__xludf.DUMMYFUNCTION("""COMPUTED_VALUE"""),"https://luna-dr.com/subjects/ius-treatment/")</f>
        <v>https://luna-dr.com/subjects/ius-treatment/</v>
      </c>
    </row>
    <row r="341">
      <c r="A341" s="31" t="str">
        <f>IFERROR(__xludf.DUMMYFUNCTION("""COMPUTED_VALUE"""),"ミレーナはLINEから予約できますか？")</f>
        <v>ミレーナはLINEから予約できますか？</v>
      </c>
      <c r="B341" s="31" t="str">
        <f>IFERROR(__xludf.DUMMYFUNCTION("""COMPUTED_VALUE"""),"ルナレディースクリニックでは、公式LINEからミレーナの診察予約が可能です。24時間いつでもご自身のタイミングで予約できます。メニューは「一般婦人科診療」をご選択いただき、ご予約ください。
こちらのLINEをご利用ください→https://cline-app.com/qr-codes/98ad6f149bfa20f4f2a9a2e91aac4187/preview")</f>
        <v>ルナレディースクリニックでは、公式LINEからミレーナの診察予約が可能です。24時間いつでもご自身のタイミングで予約できます。メニューは「一般婦人科診療」をご選択いただき、ご予約ください。
こちらのLINEをご利用ください→https://cline-app.com/qr-codes/98ad6f149bfa20f4f2a9a2e91aac4187/preview</v>
      </c>
      <c r="C341" s="31" t="str">
        <f>IFERROR(__xludf.DUMMYFUNCTION("""COMPUTED_VALUE"""),"ミレーナ")</f>
        <v>ミレーナ</v>
      </c>
      <c r="D341" s="31" t="str">
        <f>IFERROR(__xludf.DUMMYFUNCTION("""COMPUTED_VALUE"""),"LINE予約,婦人科予約,ミレーナ")</f>
        <v>LINE予約,婦人科予約,ミレーナ</v>
      </c>
      <c r="E341" s="32" t="str">
        <f>IFERROR(__xludf.DUMMYFUNCTION("""COMPUTED_VALUE"""),"https://luna-dr.com/subjects/ius-treatment/")</f>
        <v>https://luna-dr.com/subjects/ius-treatment/</v>
      </c>
    </row>
    <row r="342">
      <c r="A342" s="31" t="str">
        <f>IFERROR(__xludf.DUMMYFUNCTION("""COMPUTED_VALUE"""),"ミレーナは電話でも予約できますか？")</f>
        <v>ミレーナは電話でも予約できますか？</v>
      </c>
      <c r="B342" s="31" t="str">
        <f>IFERROR(__xludf.DUMMYFUNCTION("""COMPUTED_VALUE"""),"LINEでの予約後、事前問診等もLINEから行うことができ、スムーズに受診ができるため、当院ではLINEでのご予約を推奨しております。
来院診療のご予約：こちらのLINEをご利用ください→https://cline-app.com/qr-codes/98ad6f149bfa20f4f2a9a2e91aac4187/preview
オンライン診療のご予約：こちらのオンライン診療LINEページをご利用ください→https://liff-gateway.lineml.jp/landing?follow=%40"&amp;"590gpxrd&amp;lp=fX73yx&amp;liff_id=1657094566-LmjNPPbV")</f>
        <v>LINEでの予約後、事前問診等もLINEから行うことができ、スムーズに受診ができるため、当院ではLINEでのご予約を推奨しております。
来院診療のご予約：こちらのLINEをご利用ください→https://cline-app.com/qr-codes/98ad6f149bfa20f4f2a9a2e91aac4187/preview
オンライン診療のご予約：こちらのオンライン診療LINEページをご利用ください→https://liff-gateway.lineml.jp/landing?follow=%40590gpxrd&amp;lp=fX73yx&amp;liff_id=1657094566-LmjNPPbV</v>
      </c>
      <c r="C342" s="31" t="str">
        <f>IFERROR(__xludf.DUMMYFUNCTION("""COMPUTED_VALUE"""),"ミレーナ")</f>
        <v>ミレーナ</v>
      </c>
      <c r="D342" s="31" t="str">
        <f>IFERROR(__xludf.DUMMYFUNCTION("""COMPUTED_VALUE"""),"電話予約,問い合わせ,ミレーナ")</f>
        <v>電話予約,問い合わせ,ミレーナ</v>
      </c>
      <c r="E342" s="32" t="str">
        <f>IFERROR(__xludf.DUMMYFUNCTION("""COMPUTED_VALUE"""),"https://luna-dr.com/subjects/ius-treatment/")</f>
        <v>https://luna-dr.com/subjects/ius-treatment/</v>
      </c>
    </row>
    <row r="343">
      <c r="A343" s="31" t="str">
        <f>IFERROR(__xludf.DUMMYFUNCTION("""COMPUTED_VALUE"""),"ミレーナは予約なしでも相談できますか？")</f>
        <v>ミレーナは予約なしでも相談できますか？</v>
      </c>
      <c r="B343" s="31" t="str">
        <f>IFERROR(__xludf.DUMMYFUNCTION("""COMPUTED_VALUE"""),"ミレーナは検査や装着の準備が必要なため、事前予約をお願いしています。")</f>
        <v>ミレーナは検査や装着の準備が必要なため、事前予約をお願いしています。</v>
      </c>
      <c r="C343" s="31" t="str">
        <f>IFERROR(__xludf.DUMMYFUNCTION("""COMPUTED_VALUE"""),"ミレーナ")</f>
        <v>ミレーナ</v>
      </c>
      <c r="D343" s="31" t="str">
        <f>IFERROR(__xludf.DUMMYFUNCTION("""COMPUTED_VALUE"""),"予約なし,受診,ミレーナ")</f>
        <v>予約なし,受診,ミレーナ</v>
      </c>
      <c r="E343" s="32" t="str">
        <f>IFERROR(__xludf.DUMMYFUNCTION("""COMPUTED_VALUE"""),"https://luna-dr.com/subjects/ius-treatment/")</f>
        <v>https://luna-dr.com/subjects/ius-treatment/</v>
      </c>
    </row>
    <row r="344">
      <c r="A344" s="31" t="str">
        <f>IFERROR(__xludf.DUMMYFUNCTION("""COMPUTED_VALUE"""),"ミレーナの予約前に準備しておくことはありますか？")</f>
        <v>ミレーナの予約前に準備しておくことはありますか？</v>
      </c>
      <c r="B344" s="31" t="str">
        <f>IFERROR(__xludf.DUMMYFUNCTION("""COMPUTED_VALUE"""),"ルナレディースクリニックでは、ミレーナの診察前にWEB問診の入力をお願いしています。事前に入力することで、診察がスムーズになります。みます。")</f>
        <v>ルナレディースクリニックでは、ミレーナの診察前にWEB問診の入力をお願いしています。事前に入力することで、診察がスムーズになります。みます。</v>
      </c>
      <c r="C344" s="31" t="str">
        <f>IFERROR(__xludf.DUMMYFUNCTION("""COMPUTED_VALUE"""),"ミレーナ")</f>
        <v>ミレーナ</v>
      </c>
      <c r="D344" s="31" t="str">
        <f>IFERROR(__xludf.DUMMYFUNCTION("""COMPUTED_VALUE"""),"WEB問診,事前準備,ミレーナ")</f>
        <v>WEB問診,事前準備,ミレーナ</v>
      </c>
      <c r="E344" s="32" t="str">
        <f>IFERROR(__xludf.DUMMYFUNCTION("""COMPUTED_VALUE"""),"https://luna-dr.com/subjects/ius-treatment/")</f>
        <v>https://luna-dr.com/subjects/ius-treatment/</v>
      </c>
    </row>
    <row r="345">
      <c r="A345" s="31" t="str">
        <f>IFERROR(__xludf.DUMMYFUNCTION("""COMPUTED_VALUE"""),"ミレーナは初診でも予約できますか？")</f>
        <v>ミレーナは初診でも予約できますか？</v>
      </c>
      <c r="B345" s="31" t="str">
        <f>IFERROR(__xludf.DUMMYFUNCTION("""COMPUTED_VALUE"""),"ミレーナは初診の方もご予約いただけます。ご予約は公式LINEから受け付けておりますので、友だち追加の上ご利用ください。メニューは「一般婦人科診療」をご選択いただき、ご予約ください。
LINEはこちら→https://cline-app.com/qr-codes/98ad6f149bfa20f4f2a9a2e91aac4187/preview")</f>
        <v>ミレーナは初診の方もご予約いただけます。ご予約は公式LINEから受け付けておりますので、友だち追加の上ご利用ください。メニューは「一般婦人科診療」をご選択いただき、ご予約ください。
LINEはこちら→https://cline-app.com/qr-codes/98ad6f149bfa20f4f2a9a2e91aac4187/preview</v>
      </c>
      <c r="C345" s="31" t="str">
        <f>IFERROR(__xludf.DUMMYFUNCTION("""COMPUTED_VALUE"""),"ミレーナ")</f>
        <v>ミレーナ</v>
      </c>
      <c r="D345" s="31" t="str">
        <f>IFERROR(__xludf.DUMMYFUNCTION("""COMPUTED_VALUE"""),"初診,予約,ミレーナ")</f>
        <v>初診,予約,ミレーナ</v>
      </c>
      <c r="E345" s="32" t="str">
        <f>IFERROR(__xludf.DUMMYFUNCTION("""COMPUTED_VALUE"""),"https://luna-dr.com/subjects/ius-treatment/")</f>
        <v>https://luna-dr.com/subjects/ius-treatment/</v>
      </c>
    </row>
    <row r="346">
      <c r="A346" s="31" t="str">
        <f>IFERROR(__xludf.DUMMYFUNCTION("""COMPUTED_VALUE"""),"ミレーナは来院とオンライン、どちらで予約できますか？")</f>
        <v>ミレーナは来院とオンライン、どちらで予約できますか？</v>
      </c>
      <c r="B346" s="31" t="str">
        <f>IFERROR(__xludf.DUMMYFUNCTION("""COMPUTED_VALUE"""),"ルナレディースクリニックでは、ミレーナのご相談は来院診療のみで承っています。予約の際は、こちらのLINEをご利用ください→https://cline-app.com/qr-codes/98ad6f149bfa20f4f2a9a2e91aac4187/preview　メニューは「一般婦人科診療」をご選択いただき、ご予約ください。")</f>
        <v>ルナレディースクリニックでは、ミレーナのご相談は来院診療のみで承っています。予約の際は、こちらのLINEをご利用ください→https://cline-app.com/qr-codes/98ad6f149bfa20f4f2a9a2e91aac4187/preview　メニューは「一般婦人科診療」をご選択いただき、ご予約ください。</v>
      </c>
      <c r="C346" s="31" t="str">
        <f>IFERROR(__xludf.DUMMYFUNCTION("""COMPUTED_VALUE"""),"ミレーナ")</f>
        <v>ミレーナ</v>
      </c>
      <c r="D346" s="31" t="str">
        <f>IFERROR(__xludf.DUMMYFUNCTION("""COMPUTED_VALUE"""),"来院診療,オンライン診療,ミレーナ")</f>
        <v>来院診療,オンライン診療,ミレーナ</v>
      </c>
      <c r="E346" s="32" t="str">
        <f>IFERROR(__xludf.DUMMYFUNCTION("""COMPUTED_VALUE"""),"https://luna-dr.com/subjects/ius-treatment/")</f>
        <v>https://luna-dr.com/subjects/ius-treatment/</v>
      </c>
    </row>
    <row r="347">
      <c r="A347" s="31" t="str">
        <f>IFERROR(__xludf.DUMMYFUNCTION("""COMPUTED_VALUE"""),"おりものの異常とは何ですか？")</f>
        <v>おりものの異常とは何ですか？</v>
      </c>
      <c r="B347" s="31" t="str">
        <f>IFERROR(__xludf.DUMMYFUNCTION("""COMPUTED_VALUE"""),"おりものの異常とは、色・量・臭い・性状が普段と異なる状態を指します。感染症や膣内環境の乱れが原因となることがあります。")</f>
        <v>おりものの異常とは、色・量・臭い・性状が普段と異なる状態を指します。感染症や膣内環境の乱れが原因となることがあります。</v>
      </c>
      <c r="C347" s="31" t="str">
        <f>IFERROR(__xludf.DUMMYFUNCTION("""COMPUTED_VALUE"""),"おりもの検査")</f>
        <v>おりもの検査</v>
      </c>
      <c r="D347" s="31" t="str">
        <f>IFERROR(__xludf.DUMMYFUNCTION("""COMPUTED_VALUE"""),"おりもの異常,膣分泌物異常,おりもの,色,臭い")</f>
        <v>おりもの異常,膣分泌物異常,おりもの,色,臭い</v>
      </c>
      <c r="E347" s="32" t="str">
        <f>IFERROR(__xludf.DUMMYFUNCTION("""COMPUTED_VALUE"""),"https://luna-dr.com/subjects/abnormal-vaginal-discharge/")</f>
        <v>https://luna-dr.com/subjects/abnormal-vaginal-discharge/</v>
      </c>
    </row>
    <row r="348">
      <c r="A348" s="31" t="str">
        <f>IFERROR(__xludf.DUMMYFUNCTION("""COMPUTED_VALUE"""),"おりものが白くポロポロしていますが大丈夫ですか？")</f>
        <v>おりものが白くポロポロしていますが大丈夫ですか？</v>
      </c>
      <c r="B348" s="31" t="str">
        <f>IFERROR(__xludf.DUMMYFUNCTION("""COMPUTED_VALUE"""),"白くポロポロしたおりもの（カッテージチーズや酒粕のような状態）は、おりものの異常のサインの一つです。おりものの変化は多くの女性が経験する身近な悩みであり、その多くは適切な治療によって改善できます。大切なのは、そのサインを見逃さずに専門医へ相談することです。当院では患者さまの不安に寄り添い、一緒に解決策を見つけていきます。お気軽にご相談ください。")</f>
        <v>白くポロポロしたおりもの（カッテージチーズや酒粕のような状態）は、おりものの異常のサインの一つです。おりものの変化は多くの女性が経験する身近な悩みであり、その多くは適切な治療によって改善できます。大切なのは、そのサインを見逃さずに専門医へ相談することです。当院では患者さまの不安に寄り添い、一緒に解決策を見つけていきます。お気軽にご相談ください。</v>
      </c>
      <c r="C348" s="31" t="str">
        <f>IFERROR(__xludf.DUMMYFUNCTION("""COMPUTED_VALUE"""),"おりもの異常")</f>
        <v>おりもの異常</v>
      </c>
      <c r="D348" s="31" t="str">
        <f>IFERROR(__xludf.DUMMYFUNCTION("""COMPUTED_VALUE"""),"おりもの異常,白いおりもの,ポロポロ,カンジダ")</f>
        <v>おりもの異常,白いおりもの,ポロポロ,カンジダ</v>
      </c>
      <c r="E348" s="32" t="str">
        <f>IFERROR(__xludf.DUMMYFUNCTION("""COMPUTED_VALUE"""),"https://luna-dr.com/subjects/abnormal-vaginal-discharge/")</f>
        <v>https://luna-dr.com/subjects/abnormal-vaginal-discharge/</v>
      </c>
    </row>
    <row r="349">
      <c r="A349" s="31" t="str">
        <f>IFERROR(__xludf.DUMMYFUNCTION("""COMPUTED_VALUE"""),"おりものが黄色や緑色っぽいのは異常ですか？")</f>
        <v>おりものが黄色や緑色っぽいのは異常ですか？</v>
      </c>
      <c r="B349" s="31" t="str">
        <f>IFERROR(__xludf.DUMMYFUNCTION("""COMPUTED_VALUE"""),"黄色〜緑色がかったおりものは、感染症などが原因で起こることがあります。自己判断せず、専門医による診察を受けることで原因を確認し、適切な治療につなげることができます。おりものの変化は多くの女性が経験する身近な悩みであり、その多くは適切な治療によって改善できます。大切なのは、そのサインを見逃さずに専門医へ相談することです。当院では患者さまの不安に寄り添い、一緒に解決策を見つけていきます。お気軽にご相談ください。")</f>
        <v>黄色〜緑色がかったおりものは、感染症などが原因で起こることがあります。自己判断せず、専門医による診察を受けることで原因を確認し、適切な治療につなげることができます。おりものの変化は多くの女性が経験する身近な悩みであり、その多くは適切な治療によって改善できます。大切なのは、そのサインを見逃さずに専門医へ相談することです。当院では患者さまの不安に寄り添い、一緒に解決策を見つけていきます。お気軽にご相談ください。</v>
      </c>
      <c r="C349" s="31" t="str">
        <f>IFERROR(__xludf.DUMMYFUNCTION("""COMPUTED_VALUE"""),"おりもの異常")</f>
        <v>おりもの異常</v>
      </c>
      <c r="D349" s="31" t="str">
        <f>IFERROR(__xludf.DUMMYFUNCTION("""COMPUTED_VALUE"""),"おりもの異常,黄色のおりもの,緑色のおりもの")</f>
        <v>おりもの異常,黄色のおりもの,緑色のおりもの</v>
      </c>
      <c r="E349" s="32" t="str">
        <f>IFERROR(__xludf.DUMMYFUNCTION("""COMPUTED_VALUE"""),"https://luna-dr.com/subjects/abnormal-vaginal-discharge/")</f>
        <v>https://luna-dr.com/subjects/abnormal-vaginal-discharge/</v>
      </c>
    </row>
    <row r="350">
      <c r="A350" s="31" t="str">
        <f>IFERROR(__xludf.DUMMYFUNCTION("""COMPUTED_VALUE"""),"泡立つおりものが出ていますが問題ありますか？")</f>
        <v>泡立つおりものが出ていますが問題ありますか？</v>
      </c>
      <c r="B350" s="31" t="str">
        <f>IFERROR(__xludf.DUMMYFUNCTION("""COMPUTED_VALUE"""),"泡立つおりものは、おりもの異常のサインの一つとされています。原因によって治療法が異なるため、気になる場合は専門医への相談をおすすめします。おりものの変化は多くの女性が経験する身近な悩みであり、その多くは適切な治療によって改善できます。大切なのは、そのサインを見逃さずに専門医へ相談することです。当院では患者さまの不安に寄り添い、一緒に解決策を見つけていきます。お気軽にご相談ください。")</f>
        <v>泡立つおりものは、おりもの異常のサインの一つとされています。原因によって治療法が異なるため、気になる場合は専門医への相談をおすすめします。おりものの変化は多くの女性が経験する身近な悩みであり、その多くは適切な治療によって改善できます。大切なのは、そのサインを見逃さずに専門医へ相談することです。当院では患者さまの不安に寄り添い、一緒に解決策を見つけていきます。お気軽にご相談ください。</v>
      </c>
      <c r="C350" s="31" t="str">
        <f>IFERROR(__xludf.DUMMYFUNCTION("""COMPUTED_VALUE"""),"おりもの異常")</f>
        <v>おりもの異常</v>
      </c>
      <c r="D350" s="31" t="str">
        <f>IFERROR(__xludf.DUMMYFUNCTION("""COMPUTED_VALUE"""),"おりもの異常,泡立つおりもの")</f>
        <v>おりもの異常,泡立つおりもの</v>
      </c>
      <c r="E350" s="32" t="str">
        <f>IFERROR(__xludf.DUMMYFUNCTION("""COMPUTED_VALUE"""),"https://luna-dr.com/subjects/abnormal-vaginal-discharge/")</f>
        <v>https://luna-dr.com/subjects/abnormal-vaginal-discharge/</v>
      </c>
    </row>
    <row r="351">
      <c r="A351" s="31" t="str">
        <f>IFERROR(__xludf.DUMMYFUNCTION("""COMPUTED_VALUE"""),"おりものが灰色っぽいのですが受診した方がいいですか？")</f>
        <v>おりものが灰色っぽいのですが受診した方がいいですか？</v>
      </c>
      <c r="B351" s="31" t="str">
        <f>IFERROR(__xludf.DUMMYFUNCTION("""COMPUTED_VALUE"""),"灰色がかったおりものは、膣内環境の乱れなどが関係している場合があります。おりものの色の変化に気づいたら、早めに専門医へご相談ください。おりものの変化は多くの女性が経験する身近な悩みであり、その多くは適切な治療によって改善できます。大切なのは、そのサインを見逃さずに専門医へ相談することです。当院では患者さまの不安に寄り添い、一緒に解決策を見つけていきます。お気軽にご相談ください。")</f>
        <v>灰色がかったおりものは、膣内環境の乱れなどが関係している場合があります。おりものの色の変化に気づいたら、早めに専門医へご相談ください。おりものの変化は多くの女性が経験する身近な悩みであり、その多くは適切な治療によって改善できます。大切なのは、そのサインを見逃さずに専門医へ相談することです。当院では患者さまの不安に寄り添い、一緒に解決策を見つけていきます。お気軽にご相談ください。</v>
      </c>
      <c r="C351" s="31" t="str">
        <f>IFERROR(__xludf.DUMMYFUNCTION("""COMPUTED_VALUE"""),"おりもの異常")</f>
        <v>おりもの異常</v>
      </c>
      <c r="D351" s="31" t="str">
        <f>IFERROR(__xludf.DUMMYFUNCTION("""COMPUTED_VALUE"""),"おりもの異常,灰色のおりもの")</f>
        <v>おりもの異常,灰色のおりもの</v>
      </c>
      <c r="E351" s="32" t="str">
        <f>IFERROR(__xludf.DUMMYFUNCTION("""COMPUTED_VALUE"""),"https://luna-dr.com/subjects/abnormal-vaginal-discharge/")</f>
        <v>https://luna-dr.com/subjects/abnormal-vaginal-discharge/</v>
      </c>
    </row>
    <row r="352">
      <c r="A352" s="31" t="str">
        <f>IFERROR(__xludf.DUMMYFUNCTION("""COMPUTED_VALUE"""),"おりものに血が混じっていますが大丈夫ですか？")</f>
        <v>おりものに血が混じっていますが大丈夫ですか？</v>
      </c>
      <c r="B352" s="31" t="str">
        <f>IFERROR(__xludf.DUMMYFUNCTION("""COMPUTED_VALUE"""),"茶色いおりものや血液が混じる場合、体の変化や病気が隠れている可能性があります。おりものの変化は多くの女性が経験する身近な悩みであり、その多くは適切な治療によって改善できます。大切なのは、そのサインを見逃さずに専門医へ相談することです。当院では患者さまの不安に寄り添い、一緒に解決策を見つけていきます。お気軽にご相談ください。")</f>
        <v>茶色いおりものや血液が混じる場合、体の変化や病気が隠れている可能性があります。おりものの変化は多くの女性が経験する身近な悩みであり、その多くは適切な治療によって改善できます。大切なのは、そのサインを見逃さずに専門医へ相談することです。当院では患者さまの不安に寄り添い、一緒に解決策を見つけていきます。お気軽にご相談ください。</v>
      </c>
      <c r="C352" s="31" t="str">
        <f>IFERROR(__xludf.DUMMYFUNCTION("""COMPUTED_VALUE"""),"おりもの異常")</f>
        <v>おりもの異常</v>
      </c>
      <c r="D352" s="31" t="str">
        <f>IFERROR(__xludf.DUMMYFUNCTION("""COMPUTED_VALUE"""),"おりもの異常,血の混じったおりもの")</f>
        <v>おりもの異常,血の混じったおりもの</v>
      </c>
      <c r="E352" s="32" t="str">
        <f>IFERROR(__xludf.DUMMYFUNCTION("""COMPUTED_VALUE"""),"https://luna-dr.com/subjects/abnormal-vaginal-discharge/")</f>
        <v>https://luna-dr.com/subjects/abnormal-vaginal-discharge/</v>
      </c>
    </row>
    <row r="353">
      <c r="A353" s="31" t="str">
        <f>IFERROR(__xludf.DUMMYFUNCTION("""COMPUTED_VALUE"""),"おりものの量が急に増えましたが異常ですか？")</f>
        <v>おりものの量が急に増えましたが異常ですか？</v>
      </c>
      <c r="B353" s="31" t="str">
        <f>IFERROR(__xludf.DUMMYFUNCTION("""COMPUTED_VALUE"""),"明らかにおりものの量が増えた場合は、体調や膣内環境の変化が影響していることがあります。おりものの変化は多くの女性が経験する身近な悩みであり、その多くは適切な治療によって改善できます。大切なのは、そのサインを見逃さずに専門医へ相談することです。当院では患者さまの不安に寄り添い、一緒に解決策を見つけていきます。お気軽にご相談ください。")</f>
        <v>明らかにおりものの量が増えた場合は、体調や膣内環境の変化が影響していることがあります。おりものの変化は多くの女性が経験する身近な悩みであり、その多くは適切な治療によって改善できます。大切なのは、そのサインを見逃さずに専門医へ相談することです。当院では患者さまの不安に寄り添い、一緒に解決策を見つけていきます。お気軽にご相談ください。</v>
      </c>
      <c r="C353" s="31" t="str">
        <f>IFERROR(__xludf.DUMMYFUNCTION("""COMPUTED_VALUE"""),"おりもの異常")</f>
        <v>おりもの異常</v>
      </c>
      <c r="D353" s="31" t="str">
        <f>IFERROR(__xludf.DUMMYFUNCTION("""COMPUTED_VALUE"""),"おりもの異常,おりもの量が多い")</f>
        <v>おりもの異常,おりもの量が多い</v>
      </c>
      <c r="E353" s="32" t="str">
        <f>IFERROR(__xludf.DUMMYFUNCTION("""COMPUTED_VALUE"""),"https://luna-dr.com/subjects/abnormal-vaginal-discharge/")</f>
        <v>https://luna-dr.com/subjects/abnormal-vaginal-discharge/</v>
      </c>
    </row>
    <row r="354">
      <c r="A354" s="31" t="str">
        <f>IFERROR(__xludf.DUMMYFUNCTION("""COMPUTED_VALUE"""),"水のようにサラサラしたおりものは問題ありますか？")</f>
        <v>水のようにサラサラしたおりものは問題ありますか？</v>
      </c>
      <c r="B354" s="31" t="str">
        <f>IFERROR(__xludf.DUMMYFUNCTION("""COMPUTED_VALUE"""),"水のようにサラサラしたおりものも、状態によっては検査が必要な場合があります。おりものの変化は多くの女性が経験する身近な悩みであり、その多くは適切な治療によって改善できます。大切なのは、そのサインを見逃さずに専門医へ相談することです。当院では患者さまの不安に寄り添い、一緒に解決策を見つけていきます。お気軽にご相談ください。")</f>
        <v>水のようにサラサラしたおりものも、状態によっては検査が必要な場合があります。おりものの変化は多くの女性が経験する身近な悩みであり、その多くは適切な治療によって改善できます。大切なのは、そのサインを見逃さずに専門医へ相談することです。当院では患者さまの不安に寄り添い、一緒に解決策を見つけていきます。お気軽にご相談ください。</v>
      </c>
      <c r="C354" s="31" t="str">
        <f>IFERROR(__xludf.DUMMYFUNCTION("""COMPUTED_VALUE"""),"おりもの異常")</f>
        <v>おりもの異常</v>
      </c>
      <c r="D354" s="31" t="str">
        <f>IFERROR(__xludf.DUMMYFUNCTION("""COMPUTED_VALUE"""),"おりもの異常,水っぽいおりもの")</f>
        <v>おりもの異常,水っぽいおりもの</v>
      </c>
      <c r="E354" s="32" t="str">
        <f>IFERROR(__xludf.DUMMYFUNCTION("""COMPUTED_VALUE"""),"https://luna-dr.com/subjects/abnormal-vaginal-discharge/")</f>
        <v>https://luna-dr.com/subjects/abnormal-vaginal-discharge/</v>
      </c>
    </row>
    <row r="355">
      <c r="A355" s="31" t="str">
        <f>IFERROR(__xludf.DUMMYFUNCTION("""COMPUTED_VALUE"""),"おりものが魚が腐ったような臭いがします")</f>
        <v>おりものが魚が腐ったような臭いがします</v>
      </c>
      <c r="B355" s="31" t="str">
        <f>IFERROR(__xludf.DUMMYFUNCTION("""COMPUTED_VALUE"""),"魚が腐ったような生臭い臭いは、おりもの異常のサインの一つです。おりものの変化は多くの女性が経験する身近な悩みであり、その多くは適切な治療によって改善できます。大切なのは、そのサインを見逃さずに専門医へ相談することです。当院では患者さまの不安に寄り添い、一緒に解決策を見つけていきます。お気軽にご相談ください。")</f>
        <v>魚が腐ったような生臭い臭いは、おりもの異常のサインの一つです。おりものの変化は多くの女性が経験する身近な悩みであり、その多くは適切な治療によって改善できます。大切なのは、そのサインを見逃さずに専門医へ相談することです。当院では患者さまの不安に寄り添い、一緒に解決策を見つけていきます。お気軽にご相談ください。</v>
      </c>
      <c r="C355" s="31" t="str">
        <f>IFERROR(__xludf.DUMMYFUNCTION("""COMPUTED_VALUE"""),"おりもの異常")</f>
        <v>おりもの異常</v>
      </c>
      <c r="D355" s="31" t="str">
        <f>IFERROR(__xludf.DUMMYFUNCTION("""COMPUTED_VALUE"""),"おりもの異常,生臭い臭い,魚の臭い")</f>
        <v>おりもの異常,生臭い臭い,魚の臭い</v>
      </c>
      <c r="E355" s="32" t="str">
        <f>IFERROR(__xludf.DUMMYFUNCTION("""COMPUTED_VALUE"""),"https://luna-dr.com/subjects/abnormal-vaginal-discharge/")</f>
        <v>https://luna-dr.com/subjects/abnormal-vaginal-discharge/</v>
      </c>
    </row>
    <row r="356">
      <c r="A356" s="31" t="str">
        <f>IFERROR(__xludf.DUMMYFUNCTION("""COMPUTED_VALUE"""),"おりものの臭いがいつもと違いますが受診すべきですか？")</f>
        <v>おりものの臭いがいつもと違いますが受診すべきですか？</v>
      </c>
      <c r="B356" s="31" t="str">
        <f>IFERROR(__xludf.DUMMYFUNCTION("""COMPUTED_VALUE"""),"いつもと違う酸っぱい臭いや悪臭がする場合は、膣内環境の乱れや感染症が関係していることがあります。おりものの変化は多くの女性が経験する身近な悩みであり、その多くは適切な治療によって改善できます。大切なのは、そのサインを見逃さずに専門医へ相談することです。当院では患者さまの不安に寄り添い、一緒に解決策を見つけていきます。お気軽にご相談ください。")</f>
        <v>いつもと違う酸っぱい臭いや悪臭がする場合は、膣内環境の乱れや感染症が関係していることがあります。おりものの変化は多くの女性が経験する身近な悩みであり、その多くは適切な治療によって改善できます。大切なのは、そのサインを見逃さずに専門医へ相談することです。当院では患者さまの不安に寄り添い、一緒に解決策を見つけていきます。お気軽にご相談ください。</v>
      </c>
      <c r="C356" s="31" t="str">
        <f>IFERROR(__xludf.DUMMYFUNCTION("""COMPUTED_VALUE"""),"おりもの異常")</f>
        <v>おりもの異常</v>
      </c>
      <c r="D356" s="31" t="str">
        <f>IFERROR(__xludf.DUMMYFUNCTION("""COMPUTED_VALUE"""),"おりもの異常,おりものの臭い,悪臭")</f>
        <v>おりもの異常,おりものの臭い,悪臭</v>
      </c>
      <c r="E356" s="32" t="str">
        <f>IFERROR(__xludf.DUMMYFUNCTION("""COMPUTED_VALUE"""),"https://luna-dr.com/subjects/abnormal-vaginal-discharge/")</f>
        <v>https://luna-dr.com/subjects/abnormal-vaginal-discharge/</v>
      </c>
    </row>
    <row r="357">
      <c r="A357" s="31" t="str">
        <f>IFERROR(__xludf.DUMMYFUNCTION("""COMPUTED_VALUE"""),"外陰部に強いかゆみがありますが関係ありますか？")</f>
        <v>外陰部に強いかゆみがありますが関係ありますか？</v>
      </c>
      <c r="B357" s="31" t="str">
        <f>IFERROR(__xludf.DUMMYFUNCTION("""COMPUTED_VALUE"""),"外陰部（デリケートゾーン）の強いかゆみは、おりもの異常と関連して起こることがあります。自己判断せず、医師の診察を受けることをおすすめします。おりものの変化は多くの女性が経験する身近な悩みであり、その多くは適切な治療によって改善できます。大切なのは、そのサインを見逃さずに専門医へ相談することです。当院では患者さまの不安に寄り添い、一緒に解決策を見つけていきます。お気軽にご相談ください。")</f>
        <v>外陰部（デリケートゾーン）の強いかゆみは、おりもの異常と関連して起こることがあります。自己判断せず、医師の診察を受けることをおすすめします。おりものの変化は多くの女性が経験する身近な悩みであり、その多くは適切な治療によって改善できます。大切なのは、そのサインを見逃さずに専門医へ相談することです。当院では患者さまの不安に寄り添い、一緒に解決策を見つけていきます。お気軽にご相談ください。</v>
      </c>
      <c r="C357" s="31" t="str">
        <f>IFERROR(__xludf.DUMMYFUNCTION("""COMPUTED_VALUE"""),"おりもの異常")</f>
        <v>おりもの異常</v>
      </c>
      <c r="D357" s="31" t="str">
        <f>IFERROR(__xludf.DUMMYFUNCTION("""COMPUTED_VALUE"""),"おりもの異常,外陰部のかゆみ")</f>
        <v>おりもの異常,外陰部のかゆみ</v>
      </c>
      <c r="E357" s="32" t="str">
        <f>IFERROR(__xludf.DUMMYFUNCTION("""COMPUTED_VALUE"""),"https://luna-dr.com/subjects/abnormal-vaginal-discharge/")</f>
        <v>https://luna-dr.com/subjects/abnormal-vaginal-discharge/</v>
      </c>
    </row>
    <row r="358">
      <c r="A358" s="31" t="str">
        <f>IFERROR(__xludf.DUMMYFUNCTION("""COMPUTED_VALUE"""),"性交時に痛みがありますが相談できますか？")</f>
        <v>性交時に痛みがありますが相談できますか？</v>
      </c>
      <c r="B358" s="31" t="str">
        <f>IFERROR(__xludf.DUMMYFUNCTION("""COMPUTED_VALUE"""),"性交時の痛みは、おりもの異常や膣内のトラブルが関係している場合があります。不安な症状がある場合は、専門医にご相談ください。おりものの変化は多くの女性が経験する身近な悩みであり、その多くは適切な治療によって改善できます。大切なのは、そのサインを見逃さずに専門医へ相談することです。当院では患者さまの不安に寄り添い、一緒に解決策を見つけていきます。お気軽にご相談ください。")</f>
        <v>性交時の痛みは、おりもの異常や膣内のトラブルが関係している場合があります。不安な症状がある場合は、専門医にご相談ください。おりものの変化は多くの女性が経験する身近な悩みであり、その多くは適切な治療によって改善できます。大切なのは、そのサインを見逃さずに専門医へ相談することです。当院では患者さまの不安に寄り添い、一緒に解決策を見つけていきます。お気軽にご相談ください。</v>
      </c>
      <c r="C358" s="31" t="str">
        <f>IFERROR(__xludf.DUMMYFUNCTION("""COMPUTED_VALUE"""),"おりもの異常")</f>
        <v>おりもの異常</v>
      </c>
      <c r="D358" s="31" t="str">
        <f>IFERROR(__xludf.DUMMYFUNCTION("""COMPUTED_VALUE"""),"おりもの異常,性交痛")</f>
        <v>おりもの異常,性交痛</v>
      </c>
      <c r="E358" s="32" t="str">
        <f>IFERROR(__xludf.DUMMYFUNCTION("""COMPUTED_VALUE"""),"https://luna-dr.com/subjects/abnormal-vaginal-discharge/")</f>
        <v>https://luna-dr.com/subjects/abnormal-vaginal-discharge/</v>
      </c>
    </row>
    <row r="359">
      <c r="A359" s="31" t="str">
        <f>IFERROR(__xludf.DUMMYFUNCTION("""COMPUTED_VALUE"""),"下腹部に痛みがありますが受診の目安ですか？")</f>
        <v>下腹部に痛みがありますが受診の目安ですか？</v>
      </c>
      <c r="B359" s="31" t="str">
        <f>IFERROR(__xludf.DUMMYFUNCTION("""COMPUTED_VALUE"""),"下腹部の痛みや出血がある場合、症状の内容によって受診可否やご案内が異なります。
個別の確認が必要となるため、恐れ入りますがお電話にてご相談ください。お電話は 050-1730-2768 となります。")</f>
        <v>下腹部の痛みや出血がある場合、症状の内容によって受診可否やご案内が異なります。
個別の確認が必要となるため、恐れ入りますがお電話にてご相談ください。お電話は 050-1730-2768 となります。</v>
      </c>
      <c r="C359" s="31" t="str">
        <f>IFERROR(__xludf.DUMMYFUNCTION("""COMPUTED_VALUE"""),"おりもの異常")</f>
        <v>おりもの異常</v>
      </c>
      <c r="D359" s="31" t="str">
        <f>IFERROR(__xludf.DUMMYFUNCTION("""COMPUTED_VALUE"""),"おりもの異常,下腹部痛")</f>
        <v>おりもの異常,下腹部痛</v>
      </c>
      <c r="E359" s="32" t="str">
        <f>IFERROR(__xludf.DUMMYFUNCTION("""COMPUTED_VALUE"""),"https://luna-dr.com/subjects/abnormal-vaginal-discharge/")</f>
        <v>https://luna-dr.com/subjects/abnormal-vaginal-discharge/</v>
      </c>
    </row>
    <row r="360">
      <c r="A360" s="31" t="str">
        <f>IFERROR(__xludf.DUMMYFUNCTION("""COMPUTED_VALUE"""),"おりものの変化はよくあることですか？")</f>
        <v>おりものの変化はよくあることですか？</v>
      </c>
      <c r="B360" s="31" t="str">
        <f>IFERROR(__xludf.DUMMYFUNCTION("""COMPUTED_VALUE"""),"おりものの変化は多くの女性が経験する身近な悩みであり、その多くは適切な治療によって改善できます。大切なのは、そのサインを見逃さずに専門医へ相談することです。当院では患者さまの不安に寄り添い、一緒に解決策を見つけていきます。お気軽にご相談ください。")</f>
        <v>おりものの変化は多くの女性が経験する身近な悩みであり、その多くは適切な治療によって改善できます。大切なのは、そのサインを見逃さずに専門医へ相談することです。当院では患者さまの不安に寄り添い、一緒に解決策を見つけていきます。お気軽にご相談ください。</v>
      </c>
      <c r="C360" s="31" t="str">
        <f>IFERROR(__xludf.DUMMYFUNCTION("""COMPUTED_VALUE"""),"おりもの異常")</f>
        <v>おりもの異常</v>
      </c>
      <c r="D360" s="31" t="str">
        <f>IFERROR(__xludf.DUMMYFUNCTION("""COMPUTED_VALUE"""),"おりもの異常,よくある症状")</f>
        <v>おりもの異常,よくある症状</v>
      </c>
      <c r="E360" s="32" t="str">
        <f>IFERROR(__xludf.DUMMYFUNCTION("""COMPUTED_VALUE"""),"https://luna-dr.com/subjects/abnormal-vaginal-discharge/")</f>
        <v>https://luna-dr.com/subjects/abnormal-vaginal-discharge/</v>
      </c>
    </row>
    <row r="361">
      <c r="A361" s="31" t="str">
        <f>IFERROR(__xludf.DUMMYFUNCTION("""COMPUTED_VALUE"""),"おりものに異変を感じたらどうすればいいですか？")</f>
        <v>おりものに異変を感じたらどうすればいいですか？</v>
      </c>
      <c r="B361" s="31" t="str">
        <f>IFERROR(__xludf.DUMMYFUNCTION("""COMPUTED_VALUE"""),"大切なのは、そのサインを見逃さずに専門医へ相談することです。当院では患者さまの不安に寄り添い、一緒に解決策を見つけていきます。お気軽にご相談ください。")</f>
        <v>大切なのは、そのサインを見逃さずに専門医へ相談することです。当院では患者さまの不安に寄り添い、一緒に解決策を見つけていきます。お気軽にご相談ください。</v>
      </c>
      <c r="C361" s="31" t="str">
        <f>IFERROR(__xludf.DUMMYFUNCTION("""COMPUTED_VALUE"""),"おりもの異常")</f>
        <v>おりもの異常</v>
      </c>
      <c r="D361" s="31" t="str">
        <f>IFERROR(__xludf.DUMMYFUNCTION("""COMPUTED_VALUE"""),"おりもの異常,相談,婦人科")</f>
        <v>おりもの異常,相談,婦人科</v>
      </c>
      <c r="E361" s="32" t="str">
        <f>IFERROR(__xludf.DUMMYFUNCTION("""COMPUTED_VALUE"""),"https://luna-dr.com/subjects/abnormal-vaginal-discharge/")</f>
        <v>https://luna-dr.com/subjects/abnormal-vaginal-discharge/</v>
      </c>
    </row>
    <row r="362">
      <c r="A362" s="31" t="str">
        <f>IFERROR(__xludf.DUMMYFUNCTION("""COMPUTED_VALUE"""),"おりものの異常はどんな人が対象ですか？")</f>
        <v>おりものの異常はどんな人が対象ですか？</v>
      </c>
      <c r="B362" s="31" t="str">
        <f>IFERROR(__xludf.DUMMYFUNCTION("""COMPUTED_VALUE"""),"年齢に関係なく、おりものの変化や違和感に気づいた方が対象です。")</f>
        <v>年齢に関係なく、おりものの変化や違和感に気づいた方が対象です。</v>
      </c>
      <c r="C362" s="31" t="str">
        <f>IFERROR(__xludf.DUMMYFUNCTION("""COMPUTED_VALUE"""),"おりもの検査")</f>
        <v>おりもの検査</v>
      </c>
      <c r="D362" s="31" t="str">
        <f>IFERROR(__xludf.DUMMYFUNCTION("""COMPUTED_VALUE"""),"おりもの異常,対象,婦人科")</f>
        <v>おりもの異常,対象,婦人科</v>
      </c>
      <c r="E362" s="32" t="str">
        <f>IFERROR(__xludf.DUMMYFUNCTION("""COMPUTED_VALUE"""),"https://luna-dr.com/subjects/abnormal-vaginal-discharge/")</f>
        <v>https://luna-dr.com/subjects/abnormal-vaginal-discharge/</v>
      </c>
    </row>
    <row r="363">
      <c r="A363" s="31" t="str">
        <f>IFERROR(__xludf.DUMMYFUNCTION("""COMPUTED_VALUE"""),"おりものの異常はなぜ起こりますか？")</f>
        <v>おりものの異常はなぜ起こりますか？</v>
      </c>
      <c r="B363" s="31" t="str">
        <f>IFERROR(__xludf.DUMMYFUNCTION("""COMPUTED_VALUE"""),"細菌や真菌の増殖、性感染症、膣内の善玉菌バランスの乱れなどが原因で起こります。")</f>
        <v>細菌や真菌の増殖、性感染症、膣内の善玉菌バランスの乱れなどが原因で起こります。</v>
      </c>
      <c r="C363" s="31" t="str">
        <f>IFERROR(__xludf.DUMMYFUNCTION("""COMPUTED_VALUE"""),"おりもの検査")</f>
        <v>おりもの検査</v>
      </c>
      <c r="D363" s="31" t="str">
        <f>IFERROR(__xludf.DUMMYFUNCTION("""COMPUTED_VALUE"""),"おりもの異常,原因,細菌,真菌,性感染症")</f>
        <v>おりもの異常,原因,細菌,真菌,性感染症</v>
      </c>
      <c r="E363" s="32" t="str">
        <f>IFERROR(__xludf.DUMMYFUNCTION("""COMPUTED_VALUE"""),"https://luna-dr.com/subjects/abnormal-vaginal-discharge/")</f>
        <v>https://luna-dr.com/subjects/abnormal-vaginal-discharge/</v>
      </c>
    </row>
    <row r="364">
      <c r="A364" s="31" t="str">
        <f>IFERROR(__xludf.DUMMYFUNCTION("""COMPUTED_VALUE"""),"治療するとどんな効果がありますか？")</f>
        <v>治療するとどんな効果がありますか？</v>
      </c>
      <c r="B364" s="31" t="str">
        <f>IFERROR(__xludf.DUMMYFUNCTION("""COMPUTED_VALUE"""),"原因に応じた治療により、かゆみや臭い、おりものの異常は改善が期待できます。")</f>
        <v>原因に応じた治療により、かゆみや臭い、おりものの異常は改善が期待できます。</v>
      </c>
      <c r="C364" s="31" t="str">
        <f>IFERROR(__xludf.DUMMYFUNCTION("""COMPUTED_VALUE"""),"おりもの検査")</f>
        <v>おりもの検査</v>
      </c>
      <c r="D364" s="31" t="str">
        <f>IFERROR(__xludf.DUMMYFUNCTION("""COMPUTED_VALUE"""),"おりもの異常,治療効果,改善")</f>
        <v>おりもの異常,治療効果,改善</v>
      </c>
      <c r="E364" s="32" t="str">
        <f>IFERROR(__xludf.DUMMYFUNCTION("""COMPUTED_VALUE"""),"https://luna-dr.com/subjects/abnormal-vaginal-discharge/")</f>
        <v>https://luna-dr.com/subjects/abnormal-vaginal-discharge/</v>
      </c>
    </row>
    <row r="365">
      <c r="A365" s="31" t="str">
        <f>IFERROR(__xludf.DUMMYFUNCTION("""COMPUTED_VALUE"""),"おりもの異常で考えられる病気には何がありますか？")</f>
        <v>おりもの異常で考えられる病気には何がありますか？</v>
      </c>
      <c r="B365" s="31" t="str">
        <f>IFERROR(__xludf.DUMMYFUNCTION("""COMPUTED_VALUE"""),"膣カンジダ症、細菌性膣症、トリコモナス膣炎、クラミジア感染症、淋菌感染症などがあります。")</f>
        <v>膣カンジダ症、細菌性膣症、トリコモナス膣炎、クラミジア感染症、淋菌感染症などがあります。</v>
      </c>
      <c r="C365" s="31" t="str">
        <f>IFERROR(__xludf.DUMMYFUNCTION("""COMPUTED_VALUE"""),"おりもの検査")</f>
        <v>おりもの検査</v>
      </c>
      <c r="D365" s="31" t="str">
        <f>IFERROR(__xludf.DUMMYFUNCTION("""COMPUTED_VALUE"""),"おりもの異常,膣カンジダ,細菌性膣症,性感染症")</f>
        <v>おりもの異常,膣カンジダ,細菌性膣症,性感染症</v>
      </c>
      <c r="E365" s="32" t="str">
        <f>IFERROR(__xludf.DUMMYFUNCTION("""COMPUTED_VALUE"""),"https://luna-dr.com/subjects/abnormal-vaginal-discharge/")</f>
        <v>https://luna-dr.com/subjects/abnormal-vaginal-discharge/</v>
      </c>
    </row>
    <row r="366">
      <c r="A366" s="31" t="str">
        <f>IFERROR(__xludf.DUMMYFUNCTION("""COMPUTED_VALUE"""),"おりもの検査でどの病気かはどうやって判断しますか？")</f>
        <v>おりもの検査でどの病気かはどうやって判断しますか？</v>
      </c>
      <c r="B366" s="31" t="str">
        <f>IFERROR(__xludf.DUMMYFUNCTION("""COMPUTED_VALUE"""),"内診でのおりもの検査や顕微鏡検査、培養検査、遺伝子検査などで原因を特定します。")</f>
        <v>内診でのおりもの検査や顕微鏡検査、培養検査、遺伝子検査などで原因を特定します。</v>
      </c>
      <c r="C366" s="31" t="str">
        <f>IFERROR(__xludf.DUMMYFUNCTION("""COMPUTED_VALUE"""),"おりもの検査")</f>
        <v>おりもの検査</v>
      </c>
      <c r="D366" s="31" t="str">
        <f>IFERROR(__xludf.DUMMYFUNCTION("""COMPUTED_VALUE"""),"おりもの検査,原因特定,顕微鏡検査")</f>
        <v>おりもの検査,原因特定,顕微鏡検査</v>
      </c>
      <c r="E366" s="32" t="str">
        <f>IFERROR(__xludf.DUMMYFUNCTION("""COMPUTED_VALUE"""),"https://luna-dr.com/subjects/abnormal-vaginal-discharge/")</f>
        <v>https://luna-dr.com/subjects/abnormal-vaginal-discharge/</v>
      </c>
    </row>
    <row r="367">
      <c r="A367" s="31" t="str">
        <f>IFERROR(__xludf.DUMMYFUNCTION("""COMPUTED_VALUE"""),"膣カンジダ症とはどんな病気ですか？")</f>
        <v>膣カンジダ症とはどんな病気ですか？</v>
      </c>
      <c r="B367" s="31" t="str">
        <f>IFERROR(__xludf.DUMMYFUNCTION("""COMPUTED_VALUE"""),"膣カンジダ症とは、常在菌であるカンジダ真菌が増殖することで起こる病気です。白くポロポロしたカッテージチーズ状のおりものや、強いかゆみが特徴です。大切なのは、そのサインを見逃さずに専門医へ相談することです。当院では患者さまの不安に寄り添い、一緒に解決策を見つけていきます。お気軽にご相談ください。")</f>
        <v>膣カンジダ症とは、常在菌であるカンジダ真菌が増殖することで起こる病気です。白くポロポロしたカッテージチーズ状のおりものや、強いかゆみが特徴です。大切なのは、そのサインを見逃さずに専門医へ相談することです。当院では患者さまの不安に寄り添い、一緒に解決策を見つけていきます。お気軽にご相談ください。</v>
      </c>
      <c r="C367" s="31" t="str">
        <f>IFERROR(__xludf.DUMMYFUNCTION("""COMPUTED_VALUE"""),"おりもの異常")</f>
        <v>おりもの異常</v>
      </c>
      <c r="D367" s="31" t="str">
        <f>IFERROR(__xludf.DUMMYFUNCTION("""COMPUTED_VALUE"""),"膣カンジダ症,白いおりもの,かゆみ")</f>
        <v>膣カンジダ症,白いおりもの,かゆみ</v>
      </c>
      <c r="E367" s="32" t="str">
        <f>IFERROR(__xludf.DUMMYFUNCTION("""COMPUTED_VALUE"""),"https://luna-dr.com/subjects/abnormal-vaginal-discharge/")</f>
        <v>https://luna-dr.com/subjects/abnormal-vaginal-discharge/</v>
      </c>
    </row>
    <row r="368">
      <c r="A368" s="31" t="str">
        <f>IFERROR(__xludf.DUMMYFUNCTION("""COMPUTED_VALUE"""),"白くポロポロしたおりものは何の病気の可能性がありますか？")</f>
        <v>白くポロポロしたおりものは何の病気の可能性がありますか？</v>
      </c>
      <c r="B368" s="31" t="str">
        <f>IFERROR(__xludf.DUMMYFUNCTION("""COMPUTED_VALUE"""),"白くポロポロしたカッテージチーズ状のおりものが見られる場合、膣カンジダ症が考えられます。強いかゆみを伴うことが多いのが特徴です。大切なのは、そのサインを見逃さずに専門医へ相談することです。当院では患者さまの不安に寄り添い、一緒に解決策を見つけていきます。お気軽にご相談ください。")</f>
        <v>白くポロポロしたカッテージチーズ状のおりものが見られる場合、膣カンジダ症が考えられます。強いかゆみを伴うことが多いのが特徴です。大切なのは、そのサインを見逃さずに専門医へ相談することです。当院では患者さまの不安に寄り添い、一緒に解決策を見つけていきます。お気軽にご相談ください。</v>
      </c>
      <c r="C368" s="31" t="str">
        <f>IFERROR(__xludf.DUMMYFUNCTION("""COMPUTED_VALUE"""),"おりもの異常")</f>
        <v>おりもの異常</v>
      </c>
      <c r="D368" s="31" t="str">
        <f>IFERROR(__xludf.DUMMYFUNCTION("""COMPUTED_VALUE"""),"白いおりもの,ポロポロ,膣カンジダ症")</f>
        <v>白いおりもの,ポロポロ,膣カンジダ症</v>
      </c>
      <c r="E368" s="32" t="str">
        <f>IFERROR(__xludf.DUMMYFUNCTION("""COMPUTED_VALUE"""),"https://luna-dr.com/subjects/abnormal-vaginal-discharge/")</f>
        <v>https://luna-dr.com/subjects/abnormal-vaginal-discharge/</v>
      </c>
    </row>
    <row r="369">
      <c r="A369" s="31" t="str">
        <f>IFERROR(__xludf.DUMMYFUNCTION("""COMPUTED_VALUE"""),"細菌性膣症とはどんな病気ですか？")</f>
        <v>細菌性膣症とはどんな病気ですか？</v>
      </c>
      <c r="B369" s="31" t="str">
        <f>IFERROR(__xludf.DUMMYFUNCTION("""COMPUTED_VALUE"""),"細菌性膣症とは、膣内の善玉菌が減少し、悪玉菌が増えることで膣内環境が乱れる病気です。灰色っぽく水っぽいおりものや、魚の生臭い臭いが特徴です。大切なのは、そのサインを見逃さずに専門医へ相談することです。当院では患者さまの不安に寄り添い、一緒に解決策を見つけていきます。お気軽にご相談ください。")</f>
        <v>細菌性膣症とは、膣内の善玉菌が減少し、悪玉菌が増えることで膣内環境が乱れる病気です。灰色っぽく水っぽいおりものや、魚の生臭い臭いが特徴です。大切なのは、そのサインを見逃さずに専門医へ相談することです。当院では患者さまの不安に寄り添い、一緒に解決策を見つけていきます。お気軽にご相談ください。</v>
      </c>
      <c r="C369" s="31" t="str">
        <f>IFERROR(__xludf.DUMMYFUNCTION("""COMPUTED_VALUE"""),"おりもの異常")</f>
        <v>おりもの異常</v>
      </c>
      <c r="D369" s="31" t="str">
        <f>IFERROR(__xludf.DUMMYFUNCTION("""COMPUTED_VALUE"""),"細菌性膣症,灰色のおりもの,生臭い臭い")</f>
        <v>細菌性膣症,灰色のおりもの,生臭い臭い</v>
      </c>
      <c r="E369" s="32" t="str">
        <f>IFERROR(__xludf.DUMMYFUNCTION("""COMPUTED_VALUE"""),"https://luna-dr.com/subjects/abnormal-vaginal-discharge/")</f>
        <v>https://luna-dr.com/subjects/abnormal-vaginal-discharge/</v>
      </c>
    </row>
    <row r="370">
      <c r="A370" s="31" t="str">
        <f>IFERROR(__xludf.DUMMYFUNCTION("""COMPUTED_VALUE"""),"魚のような生臭い臭いのおりものは何が原因ですか？")</f>
        <v>魚のような生臭い臭いのおりものは何が原因ですか？</v>
      </c>
      <c r="B370" s="31" t="str">
        <f>IFERROR(__xludf.DUMMYFUNCTION("""COMPUTED_VALUE"""),"魚のような生臭い臭いを伴うおりものは、細菌性膣症が原因となっている場合があります。膣内環境の乱れが関係しています。大切なのは、そのサインを見逃さずに専門医へ相談することです。当院では患者さまの不安に寄り添い、一緒に解決策を見つけていきます。お気軽にご相談ください。")</f>
        <v>魚のような生臭い臭いを伴うおりものは、細菌性膣症が原因となっている場合があります。膣内環境の乱れが関係しています。大切なのは、そのサインを見逃さずに専門医へ相談することです。当院では患者さまの不安に寄り添い、一緒に解決策を見つけていきます。お気軽にご相談ください。</v>
      </c>
      <c r="C370" s="31" t="str">
        <f>IFERROR(__xludf.DUMMYFUNCTION("""COMPUTED_VALUE"""),"おりもの異常")</f>
        <v>おりもの異常</v>
      </c>
      <c r="D370" s="31" t="str">
        <f>IFERROR(__xludf.DUMMYFUNCTION("""COMPUTED_VALUE"""),"生臭い臭い,細菌性膣症")</f>
        <v>生臭い臭い,細菌性膣症</v>
      </c>
      <c r="E370" s="32" t="str">
        <f>IFERROR(__xludf.DUMMYFUNCTION("""COMPUTED_VALUE"""),"https://luna-dr.com/subjects/abnormal-vaginal-discharge/")</f>
        <v>https://luna-dr.com/subjects/abnormal-vaginal-discharge/</v>
      </c>
    </row>
    <row r="371">
      <c r="A371" s="31" t="str">
        <f>IFERROR(__xludf.DUMMYFUNCTION("""COMPUTED_VALUE"""),"トリコモナス膣炎とはどんな病気ですか？")</f>
        <v>トリコモナス膣炎とはどんな病気ですか？</v>
      </c>
      <c r="B371" s="31" t="str">
        <f>IFERROR(__xludf.DUMMYFUNCTION("""COMPUTED_VALUE"""),"トリコモナス膣炎とは、性感染症（STD）の一つで、原虫の一種が原因となる病気です。黄〜緑色で泡立つおりものや、悪臭、強いかゆみが特徴です。大切なのは、そのサインを見逃さずに専門医へ相談することです。当院では患者さまの不安に寄り添い、一緒に解決策を見つけていきます。お気軽にご相談ください。")</f>
        <v>トリコモナス膣炎とは、性感染症（STD）の一つで、原虫の一種が原因となる病気です。黄〜緑色で泡立つおりものや、悪臭、強いかゆみが特徴です。大切なのは、そのサインを見逃さずに専門医へ相談することです。当院では患者さまの不安に寄り添い、一緒に解決策を見つけていきます。お気軽にご相談ください。</v>
      </c>
      <c r="C371" s="31" t="str">
        <f>IFERROR(__xludf.DUMMYFUNCTION("""COMPUTED_VALUE"""),"おりもの異常")</f>
        <v>おりもの異常</v>
      </c>
      <c r="D371" s="31" t="str">
        <f>IFERROR(__xludf.DUMMYFUNCTION("""COMPUTED_VALUE"""),"トリコモナス膣炎,泡立つおりもの,性感染症")</f>
        <v>トリコモナス膣炎,泡立つおりもの,性感染症</v>
      </c>
      <c r="E371" s="32" t="str">
        <f>IFERROR(__xludf.DUMMYFUNCTION("""COMPUTED_VALUE"""),"https://luna-dr.com/subjects/abnormal-vaginal-discharge/")</f>
        <v>https://luna-dr.com/subjects/abnormal-vaginal-discharge/</v>
      </c>
    </row>
    <row r="372">
      <c r="A372" s="31" t="str">
        <f>IFERROR(__xludf.DUMMYFUNCTION("""COMPUTED_VALUE"""),"泡立つ黄緑色のおりものは性病ですか？")</f>
        <v>泡立つ黄緑色のおりものは性病ですか？</v>
      </c>
      <c r="B372" s="31" t="str">
        <f>IFERROR(__xludf.DUMMYFUNCTION("""COMPUTED_VALUE"""),"黄〜緑色で泡立つおりものが見られる場合、トリコモナス膣炎などの性感染症が考えられます。正確な診断のため、専門医への相談が必要です。大切なのは、そのサインを見逃さずに専門医へ相談することです。当院では患者さまの不安に寄り添い、一緒に解決策を見つけていきます。お気軽にご相談ください。")</f>
        <v>黄〜緑色で泡立つおりものが見られる場合、トリコモナス膣炎などの性感染症が考えられます。正確な診断のため、専門医への相談が必要です。大切なのは、そのサインを見逃さずに専門医へ相談することです。当院では患者さまの不安に寄り添い、一緒に解決策を見つけていきます。お気軽にご相談ください。</v>
      </c>
      <c r="C372" s="31" t="str">
        <f>IFERROR(__xludf.DUMMYFUNCTION("""COMPUTED_VALUE"""),"おりもの異常")</f>
        <v>おりもの異常</v>
      </c>
      <c r="D372" s="31" t="str">
        <f>IFERROR(__xludf.DUMMYFUNCTION("""COMPUTED_VALUE"""),"泡立つおりもの,黄緑色,トリコモナス")</f>
        <v>泡立つおりもの,黄緑色,トリコモナス</v>
      </c>
      <c r="E372" s="32" t="str">
        <f>IFERROR(__xludf.DUMMYFUNCTION("""COMPUTED_VALUE"""),"https://luna-dr.com/subjects/abnormal-vaginal-discharge/")</f>
        <v>https://luna-dr.com/subjects/abnormal-vaginal-discharge/</v>
      </c>
    </row>
    <row r="373">
      <c r="A373" s="31" t="str">
        <f>IFERROR(__xludf.DUMMYFUNCTION("""COMPUTED_VALUE"""),"クラミジア感染症とはどんな病気ですか？")</f>
        <v>クラミジア感染症とはどんな病気ですか？</v>
      </c>
      <c r="B373" s="31" t="str">
        <f>IFERROR(__xludf.DUMMYFUNCTION("""COMPUTED_VALUE"""),"クラミジア感染症とは、性感染症（STD）の一つで、日本で最も多いとされています。水っぽい、または黄色いおりものが増えることがあり、症状が出にくい場合もあります。大切なのは、そのサインを見逃さずに専門医へ相談することです。当院では患者さまの不安に寄り添い、一緒に解決策を見つけていきます。お気軽にご相談ください。")</f>
        <v>クラミジア感染症とは、性感染症（STD）の一つで、日本で最も多いとされています。水っぽい、または黄色いおりものが増えることがあり、症状が出にくい場合もあります。大切なのは、そのサインを見逃さずに専門医へ相談することです。当院では患者さまの不安に寄り添い、一緒に解決策を見つけていきます。お気軽にご相談ください。</v>
      </c>
      <c r="C373" s="31" t="str">
        <f>IFERROR(__xludf.DUMMYFUNCTION("""COMPUTED_VALUE"""),"おりもの異常")</f>
        <v>おりもの異常</v>
      </c>
      <c r="D373" s="31" t="str">
        <f>IFERROR(__xludf.DUMMYFUNCTION("""COMPUTED_VALUE"""),"クラミジア感染症,水っぽいおりもの,性感染症")</f>
        <v>クラミジア感染症,水っぽいおりもの,性感染症</v>
      </c>
      <c r="E373" s="32" t="str">
        <f>IFERROR(__xludf.DUMMYFUNCTION("""COMPUTED_VALUE"""),"https://luna-dr.com/subjects/abnormal-vaginal-discharge/")</f>
        <v>https://luna-dr.com/subjects/abnormal-vaginal-discharge/</v>
      </c>
    </row>
    <row r="374">
      <c r="A374" s="31" t="str">
        <f>IFERROR(__xludf.DUMMYFUNCTION("""COMPUTED_VALUE"""),"おりものが増えていますが自覚症状が少ない場合もありますか？")</f>
        <v>おりものが増えていますが自覚症状が少ない場合もありますか？</v>
      </c>
      <c r="B374" s="31" t="str">
        <f>IFERROR(__xludf.DUMMYFUNCTION("""COMPUTED_VALUE"""),"クラミジア感染症などでは、水っぽい、または黄色いおりものが増えても、自覚症状がほとんど出ない場合があります。下腹部痛を伴うこともあります。大切なのは、そのサインを見逃さずに専門医へ相談することです。当院では患者さまの不安に寄り添い、一緒に解決策を見つけていきます。お気軽にご相談ください。")</f>
        <v>クラミジア感染症などでは、水っぽい、または黄色いおりものが増えても、自覚症状がほとんど出ない場合があります。下腹部痛を伴うこともあります。大切なのは、そのサインを見逃さずに専門医へ相談することです。当院では患者さまの不安に寄り添い、一緒に解決策を見つけていきます。お気軽にご相談ください。</v>
      </c>
      <c r="C374" s="31" t="str">
        <f>IFERROR(__xludf.DUMMYFUNCTION("""COMPUTED_VALUE"""),"おりもの異常")</f>
        <v>おりもの異常</v>
      </c>
      <c r="D374" s="31" t="str">
        <f>IFERROR(__xludf.DUMMYFUNCTION("""COMPUTED_VALUE"""),"おりもの増加,クラミジア")</f>
        <v>おりもの増加,クラミジア</v>
      </c>
      <c r="E374" s="32" t="str">
        <f>IFERROR(__xludf.DUMMYFUNCTION("""COMPUTED_VALUE"""),"https://luna-dr.com/subjects/abnormal-vaginal-discharge/")</f>
        <v>https://luna-dr.com/subjects/abnormal-vaginal-discharge/</v>
      </c>
    </row>
    <row r="375">
      <c r="A375" s="31" t="str">
        <f>IFERROR(__xludf.DUMMYFUNCTION("""COMPUTED_VALUE"""),"淋菌感染症とはどんな病気ですか？")</f>
        <v>淋菌感染症とはどんな病気ですか？</v>
      </c>
      <c r="B375" s="31" t="str">
        <f>IFERROR(__xludf.DUMMYFUNCTION("""COMPUTED_VALUE"""),"淋菌感染症とは、性感染症（STD）の一つで、黄色く膿のようなおりものや、排尿時痛、下腹部痛が見られることがあります。大切なのは、そのサインを見逃さずに専門医へ相談することです。当院では患者さまの不安に寄り添い、一緒に解決策を見つけていきます。お気軽にご相談ください。")</f>
        <v>淋菌感染症とは、性感染症（STD）の一つで、黄色く膿のようなおりものや、排尿時痛、下腹部痛が見られることがあります。大切なのは、そのサインを見逃さずに専門医へ相談することです。当院では患者さまの不安に寄り添い、一緒に解決策を見つけていきます。お気軽にご相談ください。</v>
      </c>
      <c r="C375" s="31" t="str">
        <f>IFERROR(__xludf.DUMMYFUNCTION("""COMPUTED_VALUE"""),"おりもの異常")</f>
        <v>おりもの異常</v>
      </c>
      <c r="D375" s="31" t="str">
        <f>IFERROR(__xludf.DUMMYFUNCTION("""COMPUTED_VALUE"""),"淋菌感染症,黄色いおりもの,性感染症")</f>
        <v>淋菌感染症,黄色いおりもの,性感染症</v>
      </c>
      <c r="E375" s="32" t="str">
        <f>IFERROR(__xludf.DUMMYFUNCTION("""COMPUTED_VALUE"""),"https://luna-dr.com/subjects/abnormal-vaginal-discharge/")</f>
        <v>https://luna-dr.com/subjects/abnormal-vaginal-discharge/</v>
      </c>
    </row>
    <row r="376">
      <c r="A376" s="31" t="str">
        <f>IFERROR(__xludf.DUMMYFUNCTION("""COMPUTED_VALUE"""),"膿のような黄色いおりものが出ていますが原因は何ですか？")</f>
        <v>膿のような黄色いおりものが出ていますが原因は何ですか？</v>
      </c>
      <c r="B376" s="31" t="str">
        <f>IFERROR(__xludf.DUMMYFUNCTION("""COMPUTED_VALUE"""),"黄色く膿のようなおりものが見られる場合、淋菌感染症が原因となっている可能性があります。クラミジア感染症との合併も多いとされています。大切なのは、そのサインを見逃さずに専門医へ相談することです。当院では患者さまの不安に寄り添い、一緒に解決策を見つけていきます。お気軽にご相談ください。")</f>
        <v>黄色く膿のようなおりものが見られる場合、淋菌感染症が原因となっている可能性があります。クラミジア感染症との合併も多いとされています。大切なのは、そのサインを見逃さずに専門医へ相談することです。当院では患者さまの不安に寄り添い、一緒に解決策を見つけていきます。お気軽にご相談ください。</v>
      </c>
      <c r="C376" s="31" t="str">
        <f>IFERROR(__xludf.DUMMYFUNCTION("""COMPUTED_VALUE"""),"おりもの異常")</f>
        <v>おりもの異常</v>
      </c>
      <c r="D376" s="31" t="str">
        <f>IFERROR(__xludf.DUMMYFUNCTION("""COMPUTED_VALUE"""),"黄色いおりもの,膿,淋菌")</f>
        <v>黄色いおりもの,膿,淋菌</v>
      </c>
      <c r="E376" s="32" t="str">
        <f>IFERROR(__xludf.DUMMYFUNCTION("""COMPUTED_VALUE"""),"https://luna-dr.com/subjects/abnormal-vaginal-discharge/")</f>
        <v>https://luna-dr.com/subjects/abnormal-vaginal-discharge/</v>
      </c>
    </row>
    <row r="377">
      <c r="A377" s="31" t="str">
        <f>IFERROR(__xludf.DUMMYFUNCTION("""COMPUTED_VALUE"""),"おりものの異常は原因によって治療が変わりますか？")</f>
        <v>おりものの異常は原因によって治療が変わりますか？</v>
      </c>
      <c r="B377" s="31" t="str">
        <f>IFERROR(__xludf.DUMMYFUNCTION("""COMPUTED_VALUE"""),"おりものの異常は、原因となる病気によって治療法が異なります。そのため、専門医による正確な診断が重要です。大切なのは、そのサインを見逃さずに専門医へ相談することです。当院では患者さまの不安に寄り添い、一緒に解決策を見つけていきます。お気軽にご相談ください。")</f>
        <v>おりものの異常は、原因となる病気によって治療法が異なります。そのため、専門医による正確な診断が重要です。大切なのは、そのサインを見逃さずに専門医へ相談することです。当院では患者さまの不安に寄り添い、一緒に解決策を見つけていきます。お気軽にご相談ください。</v>
      </c>
      <c r="C377" s="31" t="str">
        <f>IFERROR(__xludf.DUMMYFUNCTION("""COMPUTED_VALUE"""),"おりもの異常")</f>
        <v>おりもの異常</v>
      </c>
      <c r="D377" s="31" t="str">
        <f>IFERROR(__xludf.DUMMYFUNCTION("""COMPUTED_VALUE"""),"おりもの異常,原因,治療")</f>
        <v>おりもの異常,原因,治療</v>
      </c>
      <c r="E377" s="32" t="str">
        <f>IFERROR(__xludf.DUMMYFUNCTION("""COMPUTED_VALUE"""),"https://luna-dr.com/subjects/abnormal-vaginal-discharge/")</f>
        <v>https://luna-dr.com/subjects/abnormal-vaginal-discharge/</v>
      </c>
    </row>
    <row r="378">
      <c r="A378" s="31" t="str">
        <f>IFERROR(__xludf.DUMMYFUNCTION("""COMPUTED_VALUE"""),"おりもの検査に市販薬を使ってもいいですか？")</f>
        <v>おりもの検査に市販薬を使ってもいいですか？</v>
      </c>
      <c r="B378" s="31" t="str">
        <f>IFERROR(__xludf.DUMMYFUNCTION("""COMPUTED_VALUE""")," 市販薬は主にカンジダ症を対象としていますが、原因が異なる場合は効果がなく、かえって診断を遅らせてしまう可能性があります。おりものの異常とかゆみがある場合、まずは婦人科を受診し、正確な診断を受けることをお勧めします。")</f>
        <v> 市販薬は主にカンジダ症を対象としていますが、原因が異なる場合は効果がなく、かえって診断を遅らせてしまう可能性があります。おりものの異常とかゆみがある場合、まずは婦人科を受診し、正確な診断を受けることをお勧めします。</v>
      </c>
      <c r="C378" s="31" t="str">
        <f>IFERROR(__xludf.DUMMYFUNCTION("""COMPUTED_VALUE"""),"おりもの検査")</f>
        <v>おりもの検査</v>
      </c>
      <c r="D378" s="31" t="str">
        <f>IFERROR(__xludf.DUMMYFUNCTION("""COMPUTED_VALUE"""),"おりもの異常,市販薬,注意")</f>
        <v>おりもの異常,市販薬,注意</v>
      </c>
      <c r="E378" s="32" t="str">
        <f>IFERROR(__xludf.DUMMYFUNCTION("""COMPUTED_VALUE"""),"https://luna-dr.com/subjects/abnormal-vaginal-discharge/")</f>
        <v>https://luna-dr.com/subjects/abnormal-vaginal-discharge/</v>
      </c>
    </row>
    <row r="379">
      <c r="A379" s="31" t="str">
        <f>IFERROR(__xludf.DUMMYFUNCTION("""COMPUTED_VALUE"""),"おりもの異常の検査はいつ受けますか？")</f>
        <v>おりもの異常の検査はいつ受けますか？</v>
      </c>
      <c r="B379" s="31" t="str">
        <f>IFERROR(__xludf.DUMMYFUNCTION("""COMPUTED_VALUE"""),"症状に気づいた時点で、できるだけ早めの受診が推奨されます。")</f>
        <v>症状に気づいた時点で、できるだけ早めの受診が推奨されます。</v>
      </c>
      <c r="C379" s="31" t="str">
        <f>IFERROR(__xludf.DUMMYFUNCTION("""COMPUTED_VALUE"""),"おりもの検査")</f>
        <v>おりもの検査</v>
      </c>
      <c r="D379" s="31" t="str">
        <f>IFERROR(__xludf.DUMMYFUNCTION("""COMPUTED_VALUE"""),"おりもの異常,検査タイミング")</f>
        <v>おりもの異常,検査タイミング</v>
      </c>
      <c r="E379" s="32" t="str">
        <f>IFERROR(__xludf.DUMMYFUNCTION("""COMPUTED_VALUE"""),"https://luna-dr.com/subjects/abnormal-vaginal-discharge/")</f>
        <v>https://luna-dr.com/subjects/abnormal-vaginal-discharge/</v>
      </c>
    </row>
    <row r="380">
      <c r="A380" s="31" t="str">
        <f>IFERROR(__xludf.DUMMYFUNCTION("""COMPUTED_VALUE"""),"FemCHECK（フェムチェック）は、市販の郵送検査キットと何が違うのですか？")</f>
        <v>FemCHECK（フェムチェック）は、市販の郵送検査キットと何が違うのですか？</v>
      </c>
      <c r="B380" s="31" t="str">
        <f>IFERROR(__xludf.DUMMYFUNCTION("""COMPUTED_VALUE"""),"一番の違いは、「検査後のサポート体制」と「安心感」です。市販のキットは「検査会社」が販売しており、陽性が出た後はご自身で病院を探さなくてはなりません。
一方、当院のフェムチェックは「医療機関」が提供しています。陽性の場合はもちろん、「陰性だけど症状が改善しない」といった場合でも、検査結果を把握した私たちが、そのまま治療や追加の診察まで責任を持ってサポートします。「検査だけで終わらない安心感」が、フェムチェックの最大の強みです。")</f>
        <v>一番の違いは、「検査後のサポート体制」と「安心感」です。市販のキットは「検査会社」が販売しており、陽性が出た後はご自身で病院を探さなくてはなりません。
一方、当院のフェムチェックは「医療機関」が提供しています。陽性の場合はもちろん、「陰性だけど症状が改善しない」といった場合でも、検査結果を把握した私たちが、そのまま治療や追加の診察まで責任を持ってサポートします。「検査だけで終わらない安心感」が、フェムチェックの最大の強みです。</v>
      </c>
      <c r="C380" s="31" t="str">
        <f>IFERROR(__xludf.DUMMYFUNCTION("""COMPUTED_VALUE"""),"おりもの検査")</f>
        <v>おりもの検査</v>
      </c>
      <c r="D380" s="31" t="str">
        <f>IFERROR(__xludf.DUMMYFUNCTION("""COMPUTED_VALUE"""),"FemCHECK,郵送検査,おりもの異常,違い")</f>
        <v>FemCHECK,郵送検査,おりもの異常,違い</v>
      </c>
      <c r="E380" s="32" t="str">
        <f>IFERROR(__xludf.DUMMYFUNCTION("""COMPUTED_VALUE"""),"https://luna-dr.com/subjects/abnormal-vaginal-discharge/")</f>
        <v>https://luna-dr.com/subjects/abnormal-vaginal-discharge/</v>
      </c>
    </row>
    <row r="381">
      <c r="A381" s="31" t="str">
        <f>IFERROR(__xludf.DUMMYFUNCTION("""COMPUTED_VALUE"""),"おりもの検査は痛いですか？/おりもの検査はどんな検査をしますか？")</f>
        <v>おりもの検査は痛いですか？/おりもの検査はどんな検査をしますか？</v>
      </c>
      <c r="B381" s="31" t="str">
        <f>IFERROR(__xludf.DUMMYFUNCTION("""COMPUTED_VALUE"""),"内診台で膣の中を拝見し、綿棒のようなものでおりものを採取する検査が主です。力を抜いていただければ、痛みはほとんどありません。医師やスタッフが丁寧にお声がけしながら進めますのでご安心ください。")</f>
        <v>内診台で膣の中を拝見し、綿棒のようなものでおりものを採取する検査が主です。力を抜いていただければ、痛みはほとんどありません。医師やスタッフが丁寧にお声がけしながら進めますのでご安心ください。</v>
      </c>
      <c r="C381" s="31" t="str">
        <f>IFERROR(__xludf.DUMMYFUNCTION("""COMPUTED_VALUE"""),"おりもの検査")</f>
        <v>おりもの検査</v>
      </c>
      <c r="D381" s="31" t="str">
        <f>IFERROR(__xludf.DUMMYFUNCTION("""COMPUTED_VALUE"""),"おりもの検査,痛み")</f>
        <v>おりもの検査,痛み</v>
      </c>
      <c r="E381" s="32" t="str">
        <f>IFERROR(__xludf.DUMMYFUNCTION("""COMPUTED_VALUE"""),"https://luna-dr.com/subjects/abnormal-vaginal-discharge/")</f>
        <v>https://luna-dr.com/subjects/abnormal-vaginal-discharge/</v>
      </c>
    </row>
    <row r="382">
      <c r="A382" s="31" t="str">
        <f>IFERROR(__xludf.DUMMYFUNCTION("""COMPUTED_VALUE"""),"おりもの検査では性病かどうかも分かりますか？")</f>
        <v>おりもの検査では性病かどうかも分かりますか？</v>
      </c>
      <c r="B382" s="31" t="str">
        <f>IFERROR(__xludf.DUMMYFUNCTION("""COMPUTED_VALUE"""),"わかります。クラミジア、淋菌、トリコモナスといった性感染症（STD）の検査も可能です。気になる症状があれば、診察時にご相談ください。")</f>
        <v>わかります。クラミジア、淋菌、トリコモナスといった性感染症（STD）の検査も可能です。気になる症状があれば、診察時にご相談ください。</v>
      </c>
      <c r="C382" s="31" t="str">
        <f>IFERROR(__xludf.DUMMYFUNCTION("""COMPUTED_VALUE"""),"おりもの検査")</f>
        <v>おりもの検査</v>
      </c>
      <c r="D382" s="31" t="str">
        <f>IFERROR(__xludf.DUMMYFUNCTION("""COMPUTED_VALUE"""),"おりもの検査,性病")</f>
        <v>おりもの検査,性病</v>
      </c>
      <c r="E382" s="32" t="str">
        <f>IFERROR(__xludf.DUMMYFUNCTION("""COMPUTED_VALUE"""),"https://luna-dr.com/subjects/abnormal-vaginal-discharge/")</f>
        <v>https://luna-dr.com/subjects/abnormal-vaginal-discharge/</v>
      </c>
    </row>
    <row r="383">
      <c r="A383" s="31" t="str">
        <f>IFERROR(__xludf.DUMMYFUNCTION("""COMPUTED_VALUE"""),"パートナーも治療が必要ですか？")</f>
        <v>パートナーも治療が必要ですか？</v>
      </c>
      <c r="B383" s="31" t="str">
        <f>IFERROR(__xludf.DUMMYFUNCTION("""COMPUTED_VALUE"""),"トリコモナスやクラミジア、淋菌などの性感染症と診断された場合は、ご自身が治療してもパートナーから再度うつされてしまう「ピンポン感染」を防ぐため、パートナーも同時に検査・治療を受けることが非常に重要です。")</f>
        <v>トリコモナスやクラミジア、淋菌などの性感染症と診断された場合は、ご自身が治療してもパートナーから再度うつされてしまう「ピンポン感染」を防ぐため、パートナーも同時に検査・治療を受けることが非常に重要です。</v>
      </c>
      <c r="C383" s="31" t="str">
        <f>IFERROR(__xludf.DUMMYFUNCTION("""COMPUTED_VALUE"""),"おりもの検査")</f>
        <v>おりもの検査</v>
      </c>
      <c r="D383" s="31" t="str">
        <f>IFERROR(__xludf.DUMMYFUNCTION("""COMPUTED_VALUE"""),"おりもの検査,性病,パートナー")</f>
        <v>おりもの検査,性病,パートナー</v>
      </c>
      <c r="E383" s="32" t="str">
        <f>IFERROR(__xludf.DUMMYFUNCTION("""COMPUTED_VALUE"""),"https://luna-dr.com/subjects/abnormal-vaginal-discharge/")</f>
        <v>https://luna-dr.com/subjects/abnormal-vaginal-discharge/</v>
      </c>
    </row>
    <row r="384">
      <c r="A384" s="31" t="str">
        <f>IFERROR(__xludf.DUMMYFUNCTION("""COMPUTED_VALUE"""),"おりもの異常は来院しないと診察できませんか？")</f>
        <v>おりもの異常は来院しないと診察できませんか？</v>
      </c>
      <c r="B384" s="31" t="str">
        <f>IFERROR(__xludf.DUMMYFUNCTION("""COMPUTED_VALUE"""),"ルナレディースクリニックでは、ライフスタイルに合わせて来院診療に加え、自宅で検査できる自己採取キット「FemCHECK（フェムチェック）」も利用できます。症状について直接医師に相談し、その日のうちに検査・診断・治療へ進みたい方は来院治療がおすすめです。「病院に行くのは少し勇気がいる」「忙しくてすぐには行けない」という方には、ご自宅で簡単に性感染症の検査ができる自己採取キット「FemCHECK（フェムチェック）」がおすすめです。FemCHECKはこちらをご参考ください→https://luna-dr.com"&amp;"/femcheck/?utm_source=lunamedia&amp;utm_medium=banner&amp;utm_campaign=femcheck_article_hpseo")</f>
        <v>ルナレディースクリニックでは、ライフスタイルに合わせて来院診療に加え、自宅で検査できる自己採取キット「FemCHECK（フェムチェック）」も利用できます。症状について直接医師に相談し、その日のうちに検査・診断・治療へ進みたい方は来院治療がおすすめです。「病院に行くのは少し勇気がいる」「忙しくてすぐには行けない」という方には、ご自宅で簡単に性感染症の検査ができる自己採取キット「FemCHECK（フェムチェック）」がおすすめです。FemCHECKはこちらをご参考ください→https://luna-dr.com/femcheck/?utm_source=lunamedia&amp;utm_medium=banner&amp;utm_campaign=femcheck_article_hpseo</v>
      </c>
      <c r="C384" s="31" t="str">
        <f>IFERROR(__xludf.DUMMYFUNCTION("""COMPUTED_VALUE"""),"おりもの検査")</f>
        <v>おりもの検査</v>
      </c>
      <c r="D384" s="31" t="str">
        <f>IFERROR(__xludf.DUMMYFUNCTION("""COMPUTED_VALUE"""),"FemCHECK,郵送検査,おりもの異常")</f>
        <v>FemCHECK,郵送検査,おりもの異常</v>
      </c>
      <c r="E384" s="32" t="str">
        <f>IFERROR(__xludf.DUMMYFUNCTION("""COMPUTED_VALUE"""),"https://luna-dr.com/subjects/abnormal-vaginal-discharge/")</f>
        <v>https://luna-dr.com/subjects/abnormal-vaginal-discharge/</v>
      </c>
    </row>
    <row r="385">
      <c r="A385" s="31" t="str">
        <f>IFERROR(__xludf.DUMMYFUNCTION("""COMPUTED_VALUE"""),"おりもの異常はオンライン診療だけで完結しますか？")</f>
        <v>おりもの異常はオンライン診療だけで完結しますか？</v>
      </c>
      <c r="B385" s="31" t="str">
        <f>IFERROR(__xludf.DUMMYFUNCTION("""COMPUTED_VALUE"""),"FemCHECKで検査は可能ですが、検査結果で陽性が出た場合、または陰性でも症状が続く場合は、治療や詳しい診察が必要です。フェムチェックの検査結果をもとに、医師が診察を行い、最適な治療が開始できますので、事前に検査結果が分かっているとスムーズに治療へと進むことができます。")</f>
        <v>FemCHECKで検査は可能ですが、検査結果で陽性が出た場合、または陰性でも症状が続く場合は、治療や詳しい診察が必要です。フェムチェックの検査結果をもとに、医師が診察を行い、最適な治療が開始できますので、事前に検査結果が分かっているとスムーズに治療へと進むことができます。</v>
      </c>
      <c r="C385" s="31" t="str">
        <f>IFERROR(__xludf.DUMMYFUNCTION("""COMPUTED_VALUE"""),"おりもの検査")</f>
        <v>おりもの検査</v>
      </c>
      <c r="D385" s="31" t="str">
        <f>IFERROR(__xludf.DUMMYFUNCTION("""COMPUTED_VALUE"""),"おりもの異常,オンライン診療,来院")</f>
        <v>おりもの異常,オンライン診療,来院</v>
      </c>
      <c r="E385" s="32" t="str">
        <f>IFERROR(__xludf.DUMMYFUNCTION("""COMPUTED_VALUE"""),"https://luna-dr.com/subjects/abnormal-vaginal-discharge/")</f>
        <v>https://luna-dr.com/subjects/abnormal-vaginal-discharge/</v>
      </c>
    </row>
    <row r="386">
      <c r="A386" s="31" t="str">
        <f>IFERROR(__xludf.DUMMYFUNCTION("""COMPUTED_VALUE"""),"おりもの異常は初診でも診察できますか？")</f>
        <v>おりもの異常は初診でも診察できますか？</v>
      </c>
      <c r="B386" s="31" t="str">
        <f>IFERROR(__xludf.DUMMYFUNCTION("""COMPUTED_VALUE"""),"おりものの異常は初診の方でも診察可能です。当院では、ライフスタイルに合わせて来院診療に加え、自宅で検査できる自己採取キット「FemCHECK（フェムチェック）」も利用できます。FemCHECKはこちらをご参考ください→https://luna-dr.com/femcheck/?utm_source=lunamedia&amp;utm_medium=banner&amp;utm_campaign=femcheck_article_hpseo")</f>
        <v>おりものの異常は初診の方でも診察可能です。当院では、ライフスタイルに合わせて来院診療に加え、自宅で検査できる自己採取キット「FemCHECK（フェムチェック）」も利用できます。FemCHECKはこちらをご参考ください→https://luna-dr.com/femcheck/?utm_source=lunamedia&amp;utm_medium=banner&amp;utm_campaign=femcheck_article_hpseo</v>
      </c>
      <c r="C386" s="31" t="str">
        <f>IFERROR(__xludf.DUMMYFUNCTION("""COMPUTED_VALUE"""),"おりもの検査")</f>
        <v>おりもの検査</v>
      </c>
      <c r="D386" s="31" t="str">
        <f>IFERROR(__xludf.DUMMYFUNCTION("""COMPUTED_VALUE"""),"おりもの異常,初診,婦人科")</f>
        <v>おりもの異常,初診,婦人科</v>
      </c>
      <c r="E386" s="32" t="str">
        <f>IFERROR(__xludf.DUMMYFUNCTION("""COMPUTED_VALUE"""),"https://luna-dr.com/subjects/abnormal-vaginal-discharge/")</f>
        <v>https://luna-dr.com/subjects/abnormal-vaginal-discharge/</v>
      </c>
    </row>
    <row r="387">
      <c r="A387" s="31" t="str">
        <f>IFERROR(__xludf.DUMMYFUNCTION("""COMPUTED_VALUE"""),"当日の診察ではどこまで進みますか？")</f>
        <v>当日の診察ではどこまで進みますか？</v>
      </c>
      <c r="B387" s="31" t="str">
        <f>IFERROR(__xludf.DUMMYFUNCTION("""COMPUTED_VALUE"""),"来院の場合、問診・内診・検査まで行い、必要に応じてその日のうちに治療を開始します。")</f>
        <v>来院の場合、問診・内診・検査まで行い、必要に応じてその日のうちに治療を開始します。</v>
      </c>
      <c r="C387" s="31" t="str">
        <f>IFERROR(__xludf.DUMMYFUNCTION("""COMPUTED_VALUE"""),"おりもの検査")</f>
        <v>おりもの検査</v>
      </c>
      <c r="D387" s="31" t="str">
        <f>IFERROR(__xludf.DUMMYFUNCTION("""COMPUTED_VALUE"""),"おりもの異常,当日,検査,治療")</f>
        <v>おりもの異常,当日,検査,治療</v>
      </c>
      <c r="E387" s="32" t="str">
        <f>IFERROR(__xludf.DUMMYFUNCTION("""COMPUTED_VALUE"""),"https://luna-dr.com/subjects/abnormal-vaginal-discharge/")</f>
        <v>https://luna-dr.com/subjects/abnormal-vaginal-discharge/</v>
      </c>
    </row>
    <row r="388">
      <c r="A388" s="31" t="str">
        <f>IFERROR(__xludf.DUMMYFUNCTION("""COMPUTED_VALUE"""),"おりもの異常の診察は保険適用ですか？")</f>
        <v>おりもの異常の診察は保険適用ですか？</v>
      </c>
      <c r="B388" s="31" t="str">
        <f>IFERROR(__xludf.DUMMYFUNCTION("""COMPUTED_VALUE"""),"おりものの異常に関する診察・検査・治療は基本的に健康保険が適用されます。")</f>
        <v>おりものの異常に関する診察・検査・治療は基本的に健康保険が適用されます。</v>
      </c>
      <c r="C388" s="31" t="str">
        <f>IFERROR(__xludf.DUMMYFUNCTION("""COMPUTED_VALUE"""),"おりもの検査")</f>
        <v>おりもの検査</v>
      </c>
      <c r="D388" s="31" t="str">
        <f>IFERROR(__xludf.DUMMYFUNCTION("""COMPUTED_VALUE"""),"おりもの異常,保険適用")</f>
        <v>おりもの異常,保険適用</v>
      </c>
      <c r="E388" s="32" t="str">
        <f>IFERROR(__xludf.DUMMYFUNCTION("""COMPUTED_VALUE"""),"https://luna-dr.com/subjects/abnormal-vaginal-discharge/")</f>
        <v>https://luna-dr.com/subjects/abnormal-vaginal-discharge/</v>
      </c>
    </row>
    <row r="389">
      <c r="A389" s="31" t="str">
        <f>IFERROR(__xludf.DUMMYFUNCTION("""COMPUTED_VALUE"""),"おりもの異常の診察や検査は保険適用されますか？")</f>
        <v>おりもの異常の診察や検査は保険適用されますか？</v>
      </c>
      <c r="B389" s="31" t="str">
        <f>IFERROR(__xludf.DUMMYFUNCTION("""COMPUTED_VALUE"""),"おりものの異常に関する診察・検査・治療は、基本的に健康保険が適用されます。")</f>
        <v>おりものの異常に関する診察・検査・治療は、基本的に健康保険が適用されます。</v>
      </c>
      <c r="C389" s="31" t="str">
        <f>IFERROR(__xludf.DUMMYFUNCTION("""COMPUTED_VALUE"""),"料金・保険")</f>
        <v>料金・保険</v>
      </c>
      <c r="D389" s="31" t="str">
        <f>IFERROR(__xludf.DUMMYFUNCTION("""COMPUTED_VALUE"""),"おりもの異常,保険適用,婦人科")</f>
        <v>おりもの異常,保険適用,婦人科</v>
      </c>
      <c r="E389" s="32" t="str">
        <f>IFERROR(__xludf.DUMMYFUNCTION("""COMPUTED_VALUE"""),"https://luna-dr.com/subjects/abnormal-vaginal-discharge/")</f>
        <v>https://luna-dr.com/subjects/abnormal-vaginal-discharge/</v>
      </c>
    </row>
    <row r="390">
      <c r="A390" s="31" t="str">
        <f>IFERROR(__xludf.DUMMYFUNCTION("""COMPUTED_VALUE"""),"おりもの異常の検査費用はいくらくらいですか？")</f>
        <v>おりもの異常の検査費用はいくらくらいですか？</v>
      </c>
      <c r="B390" s="31" t="str">
        <f>IFERROR(__xludf.DUMMYFUNCTION("""COMPUTED_VALUE"""),"雑菌・真菌の検査は、約1,100円（税込）が目安です。
※上記はあくまで目安の料金です。別途、初診料・再診料がかかります。
※診察内容や検査項目によって料金は変動いたします。正確な料金はチャットやお電話ではお答えできかねますので、ご了承ください。
")</f>
        <v>雑菌・真菌の検査は、約1,100円（税込）が目安です。
※上記はあくまで目安の料金です。別途、初診料・再診料がかかります。
※診察内容や検査項目によって料金は変動いたします。正確な料金はチャットやお電話ではお答えできかねますので、ご了承ください。
</v>
      </c>
      <c r="C390" s="31" t="str">
        <f>IFERROR(__xludf.DUMMYFUNCTION("""COMPUTED_VALUE"""),"料金・保険")</f>
        <v>料金・保険</v>
      </c>
      <c r="D390" s="31" t="str">
        <f>IFERROR(__xludf.DUMMYFUNCTION("""COMPUTED_VALUE"""),"おりもの異常,検査費用,雑菌検査,真菌検査")</f>
        <v>おりもの異常,検査費用,雑菌検査,真菌検査</v>
      </c>
      <c r="E390" s="32" t="str">
        <f>IFERROR(__xludf.DUMMYFUNCTION("""COMPUTED_VALUE"""),"https://luna-dr.com/subjects/abnormal-vaginal-discharge/")</f>
        <v>https://luna-dr.com/subjects/abnormal-vaginal-discharge/</v>
      </c>
    </row>
    <row r="391">
      <c r="A391" s="31" t="str">
        <f>IFERROR(__xludf.DUMMYFUNCTION("""COMPUTED_VALUE"""),"おりもの異常の治療費用はいくらくらいですか？")</f>
        <v>おりもの異常の治療費用はいくらくらいですか？</v>
      </c>
      <c r="B391" s="31" t="str">
        <f>IFERROR(__xludf.DUMMYFUNCTION("""COMPUTED_VALUE"""),"雑菌・真菌によるおりもの異常の治療費は、約400円（税込）が目安です。
※上記はあくまで目安の料金です。別途、初診料・再診料がかかります。
※診察内容や検査項目によって料金は変動いたします。正確な料金はチャットやお電話ではお答えできかねますので、ご了承ください。
")</f>
        <v>雑菌・真菌によるおりもの異常の治療費は、約400円（税込）が目安です。
※上記はあくまで目安の料金です。別途、初診料・再診料がかかります。
※診察内容や検査項目によって料金は変動いたします。正確な料金はチャットやお電話ではお答えできかねますので、ご了承ください。
</v>
      </c>
      <c r="C391" s="31" t="str">
        <f>IFERROR(__xludf.DUMMYFUNCTION("""COMPUTED_VALUE"""),"料金・保険")</f>
        <v>料金・保険</v>
      </c>
      <c r="D391" s="31" t="str">
        <f>IFERROR(__xludf.DUMMYFUNCTION("""COMPUTED_VALUE"""),"おりもの異常,治療費用,膣炎治療")</f>
        <v>おりもの異常,治療費用,膣炎治療</v>
      </c>
      <c r="E391" s="32" t="str">
        <f>IFERROR(__xludf.DUMMYFUNCTION("""COMPUTED_VALUE"""),"https://luna-dr.com/subjects/abnormal-vaginal-discharge/")</f>
        <v>https://luna-dr.com/subjects/abnormal-vaginal-discharge/</v>
      </c>
    </row>
    <row r="392">
      <c r="A392" s="31" t="str">
        <f>IFERROR(__xludf.DUMMYFUNCTION("""COMPUTED_VALUE"""),"おりもの異常で性病検査をする場合、費用はいくらですか？")</f>
        <v>おりもの異常で性病検査をする場合、費用はいくらですか？</v>
      </c>
      <c r="B392" s="31" t="str">
        <f>IFERROR(__xludf.DUMMYFUNCTION("""COMPUTED_VALUE"""),"おりもの異常に関連する性病検査は、約1,500円（税込）が目安です。検査内容により費用は前後します。
※上記はあくまで目安の料金です。別途、初診料・再診料がかかります。
※診察内容や検査項目によって料金は変動いたします。正確な料金はチャットやお電話ではお答えできかねますので、ご了承ください。
")</f>
        <v>おりもの異常に関連する性病検査は、約1,500円（税込）が目安です。検査内容により費用は前後します。
※上記はあくまで目安の料金です。別途、初診料・再診料がかかります。
※診察内容や検査項目によって料金は変動いたします。正確な料金はチャットやお電話ではお答えできかねますので、ご了承ください。
</v>
      </c>
      <c r="C392" s="31" t="str">
        <f>IFERROR(__xludf.DUMMYFUNCTION("""COMPUTED_VALUE"""),"料金・保険")</f>
        <v>料金・保険</v>
      </c>
      <c r="D392" s="31" t="str">
        <f>IFERROR(__xludf.DUMMYFUNCTION("""COMPUTED_VALUE"""),"おりもの異常,性病検査,STD検査")</f>
        <v>おりもの異常,性病検査,STD検査</v>
      </c>
      <c r="E392" s="32" t="str">
        <f>IFERROR(__xludf.DUMMYFUNCTION("""COMPUTED_VALUE"""),"https://luna-dr.com/subjects/abnormal-vaginal-discharge/")</f>
        <v>https://luna-dr.com/subjects/abnormal-vaginal-discharge/</v>
      </c>
    </row>
    <row r="393">
      <c r="A393" s="31" t="str">
        <f>IFERROR(__xludf.DUMMYFUNCTION("""COMPUTED_VALUE"""),"おりもの検査は診察前に正確な料金を電話で教えてもらえますか？")</f>
        <v>おりもの検査は診察前に正確な料金を電話で教えてもらえますか？</v>
      </c>
      <c r="B393" s="31" t="str">
        <f>IFERROR(__xludf.DUMMYFUNCTION("""COMPUTED_VALUE"""),"診察内容や検査項目によって料金が変動するため、正確な料金はチャットやお電話ではお答えできません。ご了承ください。")</f>
        <v>診察内容や検査項目によって料金が変動するため、正確な料金はチャットやお電話ではお答えできません。ご了承ください。</v>
      </c>
      <c r="C393" s="31" t="str">
        <f>IFERROR(__xludf.DUMMYFUNCTION("""COMPUTED_VALUE"""),"料金・保険")</f>
        <v>料金・保険</v>
      </c>
      <c r="D393" s="31" t="str">
        <f>IFERROR(__xludf.DUMMYFUNCTION("""COMPUTED_VALUE"""),"おりもの異常,料金,問い合わせ")</f>
        <v>おりもの異常,料金,問い合わせ</v>
      </c>
      <c r="E393" s="32" t="str">
        <f>IFERROR(__xludf.DUMMYFUNCTION("""COMPUTED_VALUE"""),"https://luna-dr.com/subjects/abnormal-vaginal-discharge/")</f>
        <v>https://luna-dr.com/subjects/abnormal-vaginal-discharge/</v>
      </c>
    </row>
    <row r="394">
      <c r="A394" s="31" t="str">
        <f>IFERROR(__xludf.DUMMYFUNCTION("""COMPUTED_VALUE"""),"FemCHECKは何回使えますか？")</f>
        <v>FemCHECKは何回使えますか？</v>
      </c>
      <c r="B394" s="31" t="str">
        <f>IFERROR(__xludf.DUMMYFUNCTION("""COMPUTED_VALUE"""),"FemCHECKは1回の検査ごとに購入して使用します。")</f>
        <v>FemCHECKは1回の検査ごとに購入して使用します。</v>
      </c>
      <c r="C394" s="31" t="str">
        <f>IFERROR(__xludf.DUMMYFUNCTION("""COMPUTED_VALUE"""),"おりもの検査")</f>
        <v>おりもの検査</v>
      </c>
      <c r="D394" s="31" t="str">
        <f>IFERROR(__xludf.DUMMYFUNCTION("""COMPUTED_VALUE"""),"FemCHECK,郵送検査,回数")</f>
        <v>FemCHECK,郵送検査,回数</v>
      </c>
      <c r="E394" s="32" t="str">
        <f>IFERROR(__xludf.DUMMYFUNCTION("""COMPUTED_VALUE"""),"https://luna-dr.com/subjects/abnormal-vaginal-discharge/")</f>
        <v>https://luna-dr.com/subjects/abnormal-vaginal-discharge/</v>
      </c>
    </row>
    <row r="395">
      <c r="A395" s="31" t="str">
        <f>IFERROR(__xludf.DUMMYFUNCTION("""COMPUTED_VALUE"""),"おりもの治療が終わった後はどうしますか？")</f>
        <v>おりもの治療が終わった後はどうしますか？</v>
      </c>
      <c r="B395" s="31" t="str">
        <f>IFERROR(__xludf.DUMMYFUNCTION("""COMPUTED_VALUE"""),"症状が改善しない場合や再発時は再度受診が必要です。")</f>
        <v>症状が改善しない場合や再発時は再度受診が必要です。</v>
      </c>
      <c r="C395" s="31" t="str">
        <f>IFERROR(__xludf.DUMMYFUNCTION("""COMPUTED_VALUE"""),"おりもの検査")</f>
        <v>おりもの検査</v>
      </c>
      <c r="D395" s="31" t="str">
        <f>IFERROR(__xludf.DUMMYFUNCTION("""COMPUTED_VALUE"""),"おりもの異常,再診")</f>
        <v>おりもの異常,再診</v>
      </c>
      <c r="E395" s="32" t="str">
        <f>IFERROR(__xludf.DUMMYFUNCTION("""COMPUTED_VALUE"""),"https://luna-dr.com/subjects/abnormal-vaginal-discharge/")</f>
        <v>https://luna-dr.com/subjects/abnormal-vaginal-discharge/</v>
      </c>
    </row>
    <row r="396">
      <c r="A396" s="31" t="str">
        <f>IFERROR(__xludf.DUMMYFUNCTION("""COMPUTED_VALUE"""),"おりもの異常の予約はどうすればいいですか？")</f>
        <v>おりもの異常の予約はどうすればいいですか？</v>
      </c>
      <c r="B396" s="31" t="str">
        <f>IFERROR(__xludf.DUMMYFUNCTION("""COMPUTED_VALUE"""),"おりもの異常のご相談は公式LINEからご予約いただけます。「一般婦人科診療」のメニューでご予約ください。事前にWEB問診票に症状のご入力をお願いいたします。→https://cline-app.com/qr-codes/98ad6f149bfa20f4f2a9a2e91aac4187/preview
「病院に行くのは少し勇気がいる」「忙しくてすぐには行けない」という方には、ご自宅で簡単に性感染症の検査ができる自己採取キット「FemCHECK（フェムチェック）」という方法もございます。詳細はこちら→htt"&amp;"ps://luna-dr.com/femcheck/?utm_source=lunamedia&amp;utm_medium=banner&amp;utm_campaign=femcheck_article_hpseo")</f>
        <v>おりもの異常のご相談は公式LINEからご予約いただけます。「一般婦人科診療」のメニューでご予約ください。事前にWEB問診票に症状のご入力をお願いいたします。→https://cline-app.com/qr-codes/98ad6f149bfa20f4f2a9a2e91aac4187/preview
「病院に行くのは少し勇気がいる」「忙しくてすぐには行けない」という方には、ご自宅で簡単に性感染症の検査ができる自己採取キット「FemCHECK（フェムチェック）」という方法もございます。詳細はこちら→https://luna-dr.com/femcheck/?utm_source=lunamedia&amp;utm_medium=banner&amp;utm_campaign=femcheck_article_hpseo</v>
      </c>
      <c r="C396" s="31" t="str">
        <f>IFERROR(__xludf.DUMMYFUNCTION("""COMPUTED_VALUE"""),"おりもの検査")</f>
        <v>おりもの検査</v>
      </c>
      <c r="D396" s="31" t="str">
        <f>IFERROR(__xludf.DUMMYFUNCTION("""COMPUTED_VALUE"""),"おりもの異常,予約,LINE予約")</f>
        <v>おりもの異常,予約,LINE予約</v>
      </c>
      <c r="E396" s="32" t="str">
        <f>IFERROR(__xludf.DUMMYFUNCTION("""COMPUTED_VALUE"""),"https://luna-dr.com/subjects/abnormal-vaginal-discharge/")</f>
        <v>https://luna-dr.com/subjects/abnormal-vaginal-discharge/</v>
      </c>
    </row>
    <row r="397">
      <c r="A397" s="31" t="str">
        <f>IFERROR(__xludf.DUMMYFUNCTION("""COMPUTED_VALUE"""),"アフターピルはLINEから予約できますか？")</f>
        <v>アフターピルはLINEから予約できますか？</v>
      </c>
      <c r="B397" s="31" t="str">
        <f>IFERROR(__xludf.DUMMYFUNCTION("""COMPUTED_VALUE"""),"ルナレディースクリニックでは、公式LINEからおりもの異常の検査の診察予約が可能です。24時間いつでもご自身のタイミングで予約できます。
予約の際は、こちらのLINEをご利用ください→https://cline-app.com/qr-codes/98ad6f149bfa20f4f2a9a2e91aac4187/preview")</f>
        <v>ルナレディースクリニックでは、公式LINEからおりもの異常の検査の診察予約が可能です。24時間いつでもご自身のタイミングで予約できます。
予約の際は、こちらのLINEをご利用ください→https://cline-app.com/qr-codes/98ad6f149bfa20f4f2a9a2e91aac4187/preview</v>
      </c>
      <c r="C397" s="31" t="str">
        <f>IFERROR(__xludf.DUMMYFUNCTION("""COMPUTED_VALUE"""),"アフターピル")</f>
        <v>アフターピル</v>
      </c>
      <c r="D397" s="31" t="str">
        <f>IFERROR(__xludf.DUMMYFUNCTION("""COMPUTED_VALUE"""),"LINE予約,婦人科予約,アフターピル")</f>
        <v>LINE予約,婦人科予約,アフターピル</v>
      </c>
      <c r="E397" s="32" t="str">
        <f>IFERROR(__xludf.DUMMYFUNCTION("""COMPUTED_VALUE"""),"https://luna-dr.com/subjects/abnormal-vaginal-discharge/")</f>
        <v>https://luna-dr.com/subjects/abnormal-vaginal-discharge/</v>
      </c>
    </row>
    <row r="398">
      <c r="A398" s="31" t="str">
        <f>IFERROR(__xludf.DUMMYFUNCTION("""COMPUTED_VALUE"""),"おりもの検査は電話で予約できますか？")</f>
        <v>おりもの検査は電話で予約できますか？</v>
      </c>
      <c r="B398" s="31" t="str">
        <f>IFERROR(__xludf.DUMMYFUNCTION("""COMPUTED_VALUE"""),"LINEでの予約後、事前問診等もLINEから行うことができ、スムーズに受診ができるため、当院ではLINEでのご予約を推奨しております。
おりもの検査の予約は「一般婦人科診療」のメニューでご予約ください。事前にWEB問診票に症状のご入力をお願いいたします。→https://cline-app.com/qr-codes/98ad6f149bfa20f4f2a9a2e91aac4187/preview
「病院に行くのは少し勇気がいる」「忙しくてすぐには行けない」という方には、ご自宅で簡単に性感染症の検査ができ"&amp;"る自己採取キット「FemCHECK（フェムチェック）」という方法もございます。詳細はこちら→https://luna-dr.com/femcheck/?utm_source=lunamedia&amp;utm_medium=banner&amp;utm_campaign=femcheck_article_hpseo")</f>
        <v>LINEでの予約後、事前問診等もLINEから行うことができ、スムーズに受診ができるため、当院ではLINEでのご予約を推奨しております。
おりもの検査の予約は「一般婦人科診療」のメニューでご予約ください。事前にWEB問診票に症状のご入力をお願いいたします。→https://cline-app.com/qr-codes/98ad6f149bfa20f4f2a9a2e91aac4187/preview
「病院に行くのは少し勇気がいる」「忙しくてすぐには行けない」という方には、ご自宅で簡単に性感染症の検査ができる自己採取キット「FemCHECK（フェムチェック）」という方法もございます。詳細はこちら→https://luna-dr.com/femcheck/?utm_source=lunamedia&amp;utm_medium=banner&amp;utm_campaign=femcheck_article_hpseo</v>
      </c>
      <c r="C398" s="31" t="str">
        <f>IFERROR(__xludf.DUMMYFUNCTION("""COMPUTED_VALUE"""),"おりもの検査")</f>
        <v>おりもの検査</v>
      </c>
      <c r="D398" s="31" t="str">
        <f>IFERROR(__xludf.DUMMYFUNCTION("""COMPUTED_VALUE"""),"おりもの異常,電話予約")</f>
        <v>おりもの異常,電話予約</v>
      </c>
      <c r="E398" s="32" t="str">
        <f>IFERROR(__xludf.DUMMYFUNCTION("""COMPUTED_VALUE"""),"https://luna-dr.com/subjects/abnormal-vaginal-discharge/")</f>
        <v>https://luna-dr.com/subjects/abnormal-vaginal-discharge/</v>
      </c>
    </row>
    <row r="399">
      <c r="A399" s="31" t="str">
        <f>IFERROR(__xludf.DUMMYFUNCTION("""COMPUTED_VALUE"""),"おりもの検査はWEB問診は必要ですか？")</f>
        <v>おりもの検査はWEB問診は必要ですか？</v>
      </c>
      <c r="B399" s="31" t="str">
        <f>IFERROR(__xludf.DUMMYFUNCTION("""COMPUTED_VALUE"""),"来院治療の場合、WEB問診に事前にご協力いただくことで、受付でデリケートな内容を話す必要がなく、プライバシーを守りながら診察までスムーズに進めます。")</f>
        <v>来院治療の場合、WEB問診に事前にご協力いただくことで、受付でデリケートな内容を話す必要がなく、プライバシーを守りながら診察までスムーズに進めます。</v>
      </c>
      <c r="C399" s="31" t="str">
        <f>IFERROR(__xludf.DUMMYFUNCTION("""COMPUTED_VALUE"""),"おりもの検査")</f>
        <v>おりもの検査</v>
      </c>
      <c r="D399" s="31" t="str">
        <f>IFERROR(__xludf.DUMMYFUNCTION("""COMPUTED_VALUE"""),"おりもの異常,WEB問診")</f>
        <v>おりもの異常,WEB問診</v>
      </c>
      <c r="E399" s="32" t="str">
        <f>IFERROR(__xludf.DUMMYFUNCTION("""COMPUTED_VALUE"""),"https://luna-dr.com/subjects/abnormal-vaginal-discharge/")</f>
        <v>https://luna-dr.com/subjects/abnormal-vaginal-discharge/</v>
      </c>
    </row>
    <row r="400">
      <c r="A400" s="31" t="str">
        <f>IFERROR(__xludf.DUMMYFUNCTION("""COMPUTED_VALUE"""),"おりもの検査は予約なしでも相談できますか？")</f>
        <v>おりもの検査は予約なしでも相談できますか？</v>
      </c>
      <c r="B400" s="31" t="str">
        <f>IFERROR(__xludf.DUMMYFUNCTION("""COMPUTED_VALUE"""),"来院治療の場合、予約外来院も可能です。スムーズなご案内のため、事前予約をおすすめしています。")</f>
        <v>来院治療の場合、予約外来院も可能です。スムーズなご案内のため、事前予約をおすすめしています。</v>
      </c>
      <c r="C400" s="31" t="str">
        <f>IFERROR(__xludf.DUMMYFUNCTION("""COMPUTED_VALUE"""),"おりもの検査")</f>
        <v>おりもの検査</v>
      </c>
      <c r="D400" s="31" t="str">
        <f>IFERROR(__xludf.DUMMYFUNCTION("""COMPUTED_VALUE"""),"予約なし,受診,アおりもの異常")</f>
        <v>予約なし,受診,アおりもの異常</v>
      </c>
      <c r="E400" s="32" t="str">
        <f>IFERROR(__xludf.DUMMYFUNCTION("""COMPUTED_VALUE"""),"https://luna-dr.com/subjects/abnormal-vaginal-discharge/")</f>
        <v>https://luna-dr.com/subjects/abnormal-vaginal-discharge/</v>
      </c>
    </row>
    <row r="401">
      <c r="A401" s="31" t="str">
        <f>IFERROR(__xludf.DUMMYFUNCTION("""COMPUTED_VALUE"""),"おりもの異常の検査の予約前に準備しておくことはありますか？")</f>
        <v>おりもの異常の検査の予約前に準備しておくことはありますか？</v>
      </c>
      <c r="B401" s="31" t="str">
        <f>IFERROR(__xludf.DUMMYFUNCTION("""COMPUTED_VALUE"""),"ルナレディースクリニックでは、おりもの異常の検査の診察前にWEB問診の入力をお願いしています。最終月経日や性行為の日時などを事前に入力することで、診察がスムーズになります。みます。")</f>
        <v>ルナレディースクリニックでは、おりもの異常の検査の診察前にWEB問診の入力をお願いしています。最終月経日や性行為の日時などを事前に入力することで、診察がスムーズになります。みます。</v>
      </c>
      <c r="C401" s="31" t="str">
        <f>IFERROR(__xludf.DUMMYFUNCTION("""COMPUTED_VALUE"""),"おりもの異常の検査")</f>
        <v>おりもの異常の検査</v>
      </c>
      <c r="D401" s="31" t="str">
        <f>IFERROR(__xludf.DUMMYFUNCTION("""COMPUTED_VALUE"""),"WEB問診,事前準備,おりもの異常の検査")</f>
        <v>WEB問診,事前準備,おりもの異常の検査</v>
      </c>
      <c r="E401" s="32" t="str">
        <f>IFERROR(__xludf.DUMMYFUNCTION("""COMPUTED_VALUE"""),"https://luna-dr.com/subjects/abnormal-vaginal-discharge/")</f>
        <v>https://luna-dr.com/subjects/abnormal-vaginal-discharge/</v>
      </c>
    </row>
    <row r="402">
      <c r="A402" s="31" t="str">
        <f>IFERROR(__xludf.DUMMYFUNCTION("""COMPUTED_VALUE"""),"おりもの異常の検査は初診でも予約できますか？")</f>
        <v>おりもの異常の検査は初診でも予約できますか？</v>
      </c>
      <c r="B402" s="31" t="str">
        <f>IFERROR(__xludf.DUMMYFUNCTION("""COMPUTED_VALUE"""),"おりもの異常の検査は初診の方もご予約いただけます。ご予約は公式LINEから受け付けておりますので、友だち追加の上ご利用ください。
おりもの検査の予約は「一般婦人科診療」のメニューでご予約ください。事前にWEB問診票に症状のご入力をお願いいたします。→https://cline-app.com/qr-codes/98ad6f149bfa20f4f2a9a2e91aac4187/preview
「病院に行くのは少し勇気がいる」「忙しくてすぐには行けない」という方には、ご自宅で簡単に性感染症の検査ができる自"&amp;"己採取キット「FemCHECK（フェムチェック）」という方法もございます。詳細はこちら→https://luna-dr.com/femcheck/?utm_source=lunamedia&amp;utm_medium=banner&amp;utm_campaign=femcheck_article_hpseo")</f>
        <v>おりもの異常の検査は初診の方もご予約いただけます。ご予約は公式LINEから受け付けておりますので、友だち追加の上ご利用ください。
おりもの検査の予約は「一般婦人科診療」のメニューでご予約ください。事前にWEB問診票に症状のご入力をお願いいたします。→https://cline-app.com/qr-codes/98ad6f149bfa20f4f2a9a2e91aac4187/preview
「病院に行くのは少し勇気がいる」「忙しくてすぐには行けない」という方には、ご自宅で簡単に性感染症の検査ができる自己採取キット「FemCHECK（フェムチェック）」という方法もございます。詳細はこちら→https://luna-dr.com/femcheck/?utm_source=lunamedia&amp;utm_medium=banner&amp;utm_campaign=femcheck_article_hpseo</v>
      </c>
      <c r="C402" s="31" t="str">
        <f>IFERROR(__xludf.DUMMYFUNCTION("""COMPUTED_VALUE"""),"おりもの異常の検査")</f>
        <v>おりもの異常の検査</v>
      </c>
      <c r="D402" s="31" t="str">
        <f>IFERROR(__xludf.DUMMYFUNCTION("""COMPUTED_VALUE"""),"初診,予約,おりもの異常の検査")</f>
        <v>初診,予約,おりもの異常の検査</v>
      </c>
      <c r="E402" s="32" t="str">
        <f>IFERROR(__xludf.DUMMYFUNCTION("""COMPUTED_VALUE"""),"https://luna-dr.com/subjects/abnormal-vaginal-discharge/")</f>
        <v>https://luna-dr.com/subjects/abnormal-vaginal-discharge/</v>
      </c>
    </row>
    <row r="403">
      <c r="A403" s="31" t="str">
        <f>IFERROR(__xludf.DUMMYFUNCTION("""COMPUTED_VALUE"""),"おりもの異常の検査は来院とオンライン、どちらで予約できますか？")</f>
        <v>おりもの異常の検査は来院とオンライン、どちらで予約できますか？</v>
      </c>
      <c r="B403" s="31" t="str">
        <f>IFERROR(__xludf.DUMMYFUNCTION("""COMPUTED_VALUE"""),"おりもの異常の検査のご相談は来院診療とオンライン診療のどちらでも予約が可能です。ご自身のライフスタイルに合わせて選べます。
おりもの検査の予約は「一般婦人科診療」のメニューでご予約ください。事前にWEB問診票に症状のご入力をお願いいたします。→https://cline-app.com/qr-codes/98ad6f149bfa20f4f2a9a2e91aac4187/preview
「病院に行くのは少し勇気がいる」「忙しくてすぐには行けない」という方には、ご自宅で簡単に性感染症の検査ができる自己採取"&amp;"キット「FemCHECK（フェムチェック）」という方法もございます。詳細はこちら→https://luna-dr.com/femcheck/?utm_source=lunamedia&amp;utm_medium=banner&amp;utm_campaign=femcheck_article_hpseo")</f>
        <v>おりもの異常の検査のご相談は来院診療とオンライン診療のどちらでも予約が可能です。ご自身のライフスタイルに合わせて選べます。
おりもの検査の予約は「一般婦人科診療」のメニューでご予約ください。事前にWEB問診票に症状のご入力をお願いいたします。→https://cline-app.com/qr-codes/98ad6f149bfa20f4f2a9a2e91aac4187/preview
「病院に行くのは少し勇気がいる」「忙しくてすぐには行けない」という方には、ご自宅で簡単に性感染症の検査ができる自己採取キット「FemCHECK（フェムチェック）」という方法もございます。詳細はこちら→https://luna-dr.com/femcheck/?utm_source=lunamedia&amp;utm_medium=banner&amp;utm_campaign=femcheck_article_hpseo</v>
      </c>
      <c r="C403" s="31" t="str">
        <f>IFERROR(__xludf.DUMMYFUNCTION("""COMPUTED_VALUE"""),"おりもの異常の検査")</f>
        <v>おりもの異常の検査</v>
      </c>
      <c r="D403" s="31" t="str">
        <f>IFERROR(__xludf.DUMMYFUNCTION("""COMPUTED_VALUE"""),"来院診療,オンライン診療,おりもの異常の検査")</f>
        <v>来院診療,オンライン診療,おりもの異常の検査</v>
      </c>
      <c r="E403" s="32" t="str">
        <f>IFERROR(__xludf.DUMMYFUNCTION("""COMPUTED_VALUE"""),"https://luna-dr.com/subjects/abnormal-vaginal-discharge/")</f>
        <v>https://luna-dr.com/subjects/abnormal-vaginal-discharge/</v>
      </c>
    </row>
    <row r="404">
      <c r="A404" s="31" t="str">
        <f>IFERROR(__xludf.DUMMYFUNCTION("""COMPUTED_VALUE"""),"不正出血とは何ですか？")</f>
        <v>不正出血とは何ですか？</v>
      </c>
      <c r="B404" s="31" t="str">
        <f>IFERROR(__xludf.DUMMYFUNCTION("""COMPUTED_VALUE"""),"不正出血とは、生理期間以外に起こる出血や、おりものに血が混じる状態を指します。一時的なホルモンバランスの乱れによるものから、治療が必要な病気が原因の場合まで、さまざまな可能性があります。下腹部の痛みや出血がある場合、症状の内容によって受診可否やご案内が異なります。個別の確認が必要となるため、恐れ入りますがお電話にてご相談ください。お電話は 050-1730-2768 となります。")</f>
        <v>不正出血とは、生理期間以外に起こる出血や、おりものに血が混じる状態を指します。一時的なホルモンバランスの乱れによるものから、治療が必要な病気が原因の場合まで、さまざまな可能性があります。下腹部の痛みや出血がある場合、症状の内容によって受診可否やご案内が異なります。個別の確認が必要となるため、恐れ入りますがお電話にてご相談ください。お電話は 050-1730-2768 となります。</v>
      </c>
      <c r="C404" s="31" t="str">
        <f>IFERROR(__xludf.DUMMYFUNCTION("""COMPUTED_VALUE"""),"不正出血・概要")</f>
        <v>不正出血・概要</v>
      </c>
      <c r="D404" s="31" t="str">
        <f>IFERROR(__xludf.DUMMYFUNCTION("""COMPUTED_VALUE"""),"不正出血,生理以外の出血,おりもの血,婦人科")</f>
        <v>不正出血,生理以外の出血,おりもの血,婦人科</v>
      </c>
      <c r="E404" s="32" t="str">
        <f>IFERROR(__xludf.DUMMYFUNCTION("""COMPUTED_VALUE"""),"https://luna-dr.com/subjects/irregular-genital-bleeding/")</f>
        <v>https://luna-dr.com/subjects/irregular-genital-bleeding/</v>
      </c>
    </row>
    <row r="405">
      <c r="A405" s="31" t="str">
        <f>IFERROR(__xludf.DUMMYFUNCTION("""COMPUTED_VALUE"""),"不正出血はどんな悩みのときに起こりますか？")</f>
        <v>不正出血はどんな悩みのときに起こりますか？</v>
      </c>
      <c r="B405" s="31" t="str">
        <f>IFERROR(__xludf.DUMMYFUNCTION("""COMPUTED_VALUE"""),"「生理でもないのに出血がある」「おりものに血が混じる」といった症状が見られる場合に、不正出血が疑われます。ルナレディースクリニックでは、出血の原因を的確に診断し、最適な治療をご提案します。")</f>
        <v>「生理でもないのに出血がある」「おりものに血が混じる」といった症状が見られる場合に、不正出血が疑われます。ルナレディースクリニックでは、出血の原因を的確に診断し、最適な治療をご提案します。</v>
      </c>
      <c r="C405" s="31" t="str">
        <f>IFERROR(__xludf.DUMMYFUNCTION("""COMPUTED_VALUE"""),"不正出血・概要")</f>
        <v>不正出血・概要</v>
      </c>
      <c r="D405" s="31" t="str">
        <f>IFERROR(__xludf.DUMMYFUNCTION("""COMPUTED_VALUE"""),"不正出血,生理じゃない出血,おりもの血")</f>
        <v>不正出血,生理じゃない出血,おりもの血</v>
      </c>
      <c r="E405" s="32" t="str">
        <f>IFERROR(__xludf.DUMMYFUNCTION("""COMPUTED_VALUE"""),"https://luna-dr.com/subjects/irregular-genital-bleeding/")</f>
        <v>https://luna-dr.com/subjects/irregular-genital-bleeding/</v>
      </c>
    </row>
    <row r="406">
      <c r="A406" s="31" t="str">
        <f>IFERROR(__xludf.DUMMYFUNCTION("""COMPUTED_VALUE"""),"不正出血の原因にはどんなものがありますか？")</f>
        <v>不正出血の原因にはどんなものがありますか？</v>
      </c>
      <c r="B406" s="31" t="str">
        <f>IFERROR(__xludf.DUMMYFUNCTION("""COMPUTED_VALUE"""),"不正出血は、ホルモンバランスの乱れによる一時的なものから、治療が必要な病気が原因の場合まで、さまざまな原因が考えられます。ルナレディースクリニックでは、出血の原因を的確に診断し、最適な治療をご提案します。
")</f>
        <v>不正出血は、ホルモンバランスの乱れによる一時的なものから、治療が必要な病気が原因の場合まで、さまざまな原因が考えられます。ルナレディースクリニックでは、出血の原因を的確に診断し、最適な治療をご提案します。
</v>
      </c>
      <c r="C406" s="31" t="str">
        <f>IFERROR(__xludf.DUMMYFUNCTION("""COMPUTED_VALUE"""),"不正出血・原因")</f>
        <v>不正出血・原因</v>
      </c>
      <c r="D406" s="31" t="str">
        <f>IFERROR(__xludf.DUMMYFUNCTION("""COMPUTED_VALUE"""),"不正出血,原因,ホルモンバランス")</f>
        <v>不正出血,原因,ホルモンバランス</v>
      </c>
      <c r="E406" s="32" t="str">
        <f>IFERROR(__xludf.DUMMYFUNCTION("""COMPUTED_VALUE"""),"https://luna-dr.com/subjects/irregular-genital-bleeding/")</f>
        <v>https://luna-dr.com/subjects/irregular-genital-bleeding/</v>
      </c>
    </row>
    <row r="407">
      <c r="A407" s="31" t="str">
        <f>IFERROR(__xludf.DUMMYFUNCTION("""COMPUTED_VALUE"""),"不正出血は重大な病気のサインのこともありますか？")</f>
        <v>不正出血は重大な病気のサインのこともありますか？</v>
      </c>
      <c r="B407" s="31" t="str">
        <f>IFERROR(__xludf.DUMMYFUNCTION("""COMPUTED_VALUE"""),"あります。不正出血は、子宮頸がんや子宮体がんといった重大な病気の、唯一の初期症状であるケースも少なくありません。ルナレディースクリニックでは、出血の原因を的確に診断し、最適な治療をご提案します。")</f>
        <v>あります。不正出血は、子宮頸がんや子宮体がんといった重大な病気の、唯一の初期症状であるケースも少なくありません。ルナレディースクリニックでは、出血の原因を的確に診断し、最適な治療をご提案します。</v>
      </c>
      <c r="C407" s="31" t="str">
        <f>IFERROR(__xludf.DUMMYFUNCTION("""COMPUTED_VALUE"""),"不正出血・リスク")</f>
        <v>不正出血・リスク</v>
      </c>
      <c r="D407" s="31" t="str">
        <f>IFERROR(__xludf.DUMMYFUNCTION("""COMPUTED_VALUE"""),"不正出血,子宮頸がん,子宮体がん,初期症状")</f>
        <v>不正出血,子宮頸がん,子宮体がん,初期症状</v>
      </c>
      <c r="E407" s="32" t="str">
        <f>IFERROR(__xludf.DUMMYFUNCTION("""COMPUTED_VALUE"""),"https://luna-dr.com/subjects/irregular-genital-bleeding/")</f>
        <v>https://luna-dr.com/subjects/irregular-genital-bleeding/</v>
      </c>
    </row>
    <row r="408">
      <c r="A408" s="31" t="str">
        <f>IFERROR(__xludf.DUMMYFUNCTION("""COMPUTED_VALUE"""),"不正出血は放置しても大丈夫ですか？")</f>
        <v>不正出血は放置しても大丈夫ですか？</v>
      </c>
      <c r="B408" s="31" t="str">
        <f>IFERROR(__xludf.DUMMYFUNCTION("""COMPUTED_VALUE"""),"不正出血は、自己判断で「大丈夫だろう」と放置せず、必ず専門医に相談することが大切です。早期に原因を確認することが、体を守るために重要です。ルナレディースクリニックでは、出血の原因を的確に診断し、最適な治療をご提案します。")</f>
        <v>不正出血は、自己判断で「大丈夫だろう」と放置せず、必ず専門医に相談することが大切です。早期に原因を確認することが、体を守るために重要です。ルナレディースクリニックでは、出血の原因を的確に診断し、最適な治療をご提案します。</v>
      </c>
      <c r="C408" s="31" t="str">
        <f>IFERROR(__xludf.DUMMYFUNCTION("""COMPUTED_VALUE"""),"不正出血・注意点")</f>
        <v>不正出血・注意点</v>
      </c>
      <c r="D408" s="31" t="str">
        <f>IFERROR(__xludf.DUMMYFUNCTION("""COMPUTED_VALUE"""),"不正出血,放置,婦人科受診")</f>
        <v>不正出血,放置,婦人科受診</v>
      </c>
      <c r="E408" s="32" t="str">
        <f>IFERROR(__xludf.DUMMYFUNCTION("""COMPUTED_VALUE"""),"https://luna-dr.com/subjects/irregular-genital-bleeding/")</f>
        <v>https://luna-dr.com/subjects/irregular-genital-bleeding/</v>
      </c>
    </row>
    <row r="409">
      <c r="A409" s="31" t="str">
        <f>IFERROR(__xludf.DUMMYFUNCTION("""COMPUTED_VALUE"""),"不正出血で、すぐに受診したほうがいいのはどんな場合ですか？/血が出ているのですが大丈夫ですか？/出血しているのですが受診できますか？/血が出ていても行っていいですか？")</f>
        <v>不正出血で、すぐに受診したほうがいいのはどんな場合ですか？/血が出ているのですが大丈夫ですか？/出血しているのですが受診できますか？/血が出ていても行っていいですか？</v>
      </c>
      <c r="B409" s="31" t="str">
        <f>IFERROR(__xludf.DUMMYFUNCTION("""COMPUTED_VALUE"""),"生理期間以外に出血が続く場合、性交渉の後に必ず出血する場合、閉経後の出血、血の塊が出る、出血量が増えている、鮮血が出る、下腹部痛や発熱を伴う場合は、放置せずにご相談ください。ルナレディースクリニックでは、出血の原因を的確に診断し、最適な治療をご提案します。ご予約は公式LINEで受け付けています。「一般婦人科診療」のメニューでご予約ください。事前にWEB問診票に症状のご入力をお願いいたします。→https://cline-app.com/qr-codes/98ad6f149bfa20f4f2a9a2e91a"&amp;"ac4187/preview
")</f>
        <v>生理期間以外に出血が続く場合、性交渉の後に必ず出血する場合、閉経後の出血、血の塊が出る、出血量が増えている、鮮血が出る、下腹部痛や発熱を伴う場合は、放置せずにご相談ください。ルナレディースクリニックでは、出血の原因を的確に診断し、最適な治療をご提案します。ご予約は公式LINEで受け付けています。「一般婦人科診療」のメニューでご予約ください。事前にWEB問診票に症状のご入力をお願いいたします。→https://cline-app.com/qr-codes/98ad6f149bfa20f4f2a9a2e91aac4187/preview
</v>
      </c>
      <c r="C409" s="31" t="str">
        <f>IFERROR(__xludf.DUMMYFUNCTION("""COMPUTED_VALUE"""),"不正出血・受診目安")</f>
        <v>不正出血・受診目安</v>
      </c>
      <c r="D409" s="31" t="str">
        <f>IFERROR(__xludf.DUMMYFUNCTION("""COMPUTED_VALUE"""),"不正出血,受診目安,鮮血,血の塊")</f>
        <v>不正出血,受診目安,鮮血,血の塊</v>
      </c>
      <c r="E409" s="32" t="str">
        <f>IFERROR(__xludf.DUMMYFUNCTION("""COMPUTED_VALUE"""),"https://luna-dr.com/subjects/irregular-genital-bleeding/")</f>
        <v>https://luna-dr.com/subjects/irregular-genital-bleeding/</v>
      </c>
    </row>
    <row r="410">
      <c r="A410" s="31" t="str">
        <f>IFERROR(__xludf.DUMMYFUNCTION("""COMPUTED_VALUE"""),"性交後に出血がある場合も受診が必要ですか？/性交後に出血があった")</f>
        <v>性交後に出血がある場合も受診が必要ですか？/性交後に出血があった</v>
      </c>
      <c r="B410" s="31" t="str">
        <f>IFERROR(__xludf.DUMMYFUNCTION("""COMPUTED_VALUE"""),"性交渉の後に必ず出血がある場合は、不正出血の可能性があるため、放置せずに専門医へ相談してください。下腹部の痛みや出血がある場合、症状の内容によって受診可否やご案内が異なります。個別の確認が必要となるため、恐れ入りますがお電話にてご相談ください。お電話は 050-1730-2768 となります。")</f>
        <v>性交渉の後に必ず出血がある場合は、不正出血の可能性があるため、放置せずに専門医へ相談してください。下腹部の痛みや出血がある場合、症状の内容によって受診可否やご案内が異なります。個別の確認が必要となるため、恐れ入りますがお電話にてご相談ください。お電話は 050-1730-2768 となります。</v>
      </c>
      <c r="C410" s="31" t="str">
        <f>IFERROR(__xludf.DUMMYFUNCTION("""COMPUTED_VALUE"""),"不正出血・受診目安")</f>
        <v>不正出血・受診目安</v>
      </c>
      <c r="D410" s="31" t="str">
        <f>IFERROR(__xludf.DUMMYFUNCTION("""COMPUTED_VALUE"""),"不正出血,性交後出血,婦人科")</f>
        <v>不正出血,性交後出血,婦人科</v>
      </c>
      <c r="E410" s="32" t="str">
        <f>IFERROR(__xludf.DUMMYFUNCTION("""COMPUTED_VALUE"""),"https://luna-dr.com/subjects/irregular-genital-bleeding/")</f>
        <v>https://luna-dr.com/subjects/irregular-genital-bleeding/</v>
      </c>
    </row>
    <row r="411">
      <c r="A411" s="31" t="str">
        <f>IFERROR(__xludf.DUMMYFUNCTION("""COMPUTED_VALUE"""),"閉経後の出血は問題ありますか？")</f>
        <v>閉経後の出血は問題ありますか？</v>
      </c>
      <c r="B411" s="31" t="str">
        <f>IFERROR(__xludf.DUMMYFUNCTION("""COMPUTED_VALUE"""),"閉経したはずなのに出血があった場合は、不正出血にあたり、重大な病気が隠れている可能性もあるため、必ず受診してください。ルナレディースクリニックでは、出血の原因を的確に診断し、最適な治療をご提案します。")</f>
        <v>閉経したはずなのに出血があった場合は、不正出血にあたり、重大な病気が隠れている可能性もあるため、必ず受診してください。ルナレディースクリニックでは、出血の原因を的確に診断し、最適な治療をご提案します。</v>
      </c>
      <c r="C411" s="31" t="str">
        <f>IFERROR(__xludf.DUMMYFUNCTION("""COMPUTED_VALUE"""),"不正出血・受診目安")</f>
        <v>不正出血・受診目安</v>
      </c>
      <c r="D411" s="31" t="str">
        <f>IFERROR(__xludf.DUMMYFUNCTION("""COMPUTED_VALUE"""),"不正出血,閉経後出血,婦人科")</f>
        <v>不正出血,閉経後出血,婦人科</v>
      </c>
      <c r="E411" s="32" t="str">
        <f>IFERROR(__xludf.DUMMYFUNCTION("""COMPUTED_VALUE"""),"https://luna-dr.com/subjects/irregular-genital-bleeding/")</f>
        <v>https://luna-dr.com/subjects/irregular-genital-bleeding/</v>
      </c>
    </row>
    <row r="412">
      <c r="A412" s="31" t="str">
        <f>IFERROR(__xludf.DUMMYFUNCTION("""COMPUTED_VALUE"""),"不正出血の診察では何をしてもらえますか？")</f>
        <v>不正出血の診察では何をしてもらえますか？</v>
      </c>
      <c r="B412" s="31" t="str">
        <f>IFERROR(__xludf.DUMMYFUNCTION("""COMPUTED_VALUE"""),"ルナレディースクリニックでは、不正出血の原因を的確に診断し、症状や原因に応じた最適な治療をご提案します。")</f>
        <v>ルナレディースクリニックでは、不正出血の原因を的確に診断し、症状や原因に応じた最適な治療をご提案します。</v>
      </c>
      <c r="C412" s="31" t="str">
        <f>IFERROR(__xludf.DUMMYFUNCTION("""COMPUTED_VALUE"""),"不正出血・診療内容")</f>
        <v>不正出血・診療内容</v>
      </c>
      <c r="D412" s="31" t="str">
        <f>IFERROR(__xludf.DUMMYFUNCTION("""COMPUTED_VALUE"""),"不正出血,診察,治療,婦人科")</f>
        <v>不正出血,診察,治療,婦人科</v>
      </c>
      <c r="E412" s="32" t="str">
        <f>IFERROR(__xludf.DUMMYFUNCTION("""COMPUTED_VALUE"""),"https://luna-dr.com/subjects/irregular-genital-bleeding/")</f>
        <v>https://luna-dr.com/subjects/irregular-genital-bleeding/</v>
      </c>
    </row>
    <row r="413">
      <c r="A413" s="31" t="str">
        <f>IFERROR(__xludf.DUMMYFUNCTION("""COMPUTED_VALUE"""),"不正出血の診察や検査は保険適用ですか？")</f>
        <v>不正出血の診察や検査は保険適用ですか？</v>
      </c>
      <c r="B413" s="31" t="str">
        <f>IFERROR(__xludf.DUMMYFUNCTION("""COMPUTED_VALUE"""),"当院では、不正出血の診察・検査について保険診療を基本としております。症状や検査内容に応じて、健康保険が適用されます。")</f>
        <v>当院では、不正出血の診察・検査について保険診療を基本としております。症状や検査内容に応じて、健康保険が適用されます。</v>
      </c>
      <c r="C413" s="31" t="str">
        <f>IFERROR(__xludf.DUMMYFUNCTION("""COMPUTED_VALUE"""),"不正出血・費用保険")</f>
        <v>不正出血・費用保険</v>
      </c>
      <c r="D413" s="31" t="str">
        <f>IFERROR(__xludf.DUMMYFUNCTION("""COMPUTED_VALUE"""),"不正出血,保険適用,婦人科検査")</f>
        <v>不正出血,保険適用,婦人科検査</v>
      </c>
      <c r="E413" s="32" t="str">
        <f>IFERROR(__xludf.DUMMYFUNCTION("""COMPUTED_VALUE"""),"https://luna-dr.com/subjects/irregular-genital-bleeding/")</f>
        <v>https://luna-dr.com/subjects/irregular-genital-bleeding/</v>
      </c>
    </row>
    <row r="414">
      <c r="A414" s="31" t="str">
        <f>IFERROR(__xludf.DUMMYFUNCTION("""COMPUTED_VALUE"""),"不正出血の検査費用はいくらくらいですか？")</f>
        <v>不正出血の検査費用はいくらくらいですか？</v>
      </c>
      <c r="B414" s="31" t="str">
        <f>IFERROR(__xludf.DUMMYFUNCTION("""COMPUTED_VALUE"""),"不正出血の検査費用は、3割負担の場合、子宮の超音波検査が約1,600円、子宮頸がん検査が約1,100円、子宮体がん検査が約2,100円、性病検査が約1,500円が目安です。
※※料金表はあくまで目安(3割負担の場合)となります。別途初診料・再診料がかかります。")</f>
        <v>不正出血の検査費用は、3割負担の場合、子宮の超音波検査が約1,600円、子宮頸がん検査が約1,100円、子宮体がん検査が約2,100円、性病検査が約1,500円が目安です。
※※料金表はあくまで目安(3割負担の場合)となります。別途初診料・再診料がかかります。</v>
      </c>
      <c r="C414" s="31" t="str">
        <f>IFERROR(__xludf.DUMMYFUNCTION("""COMPUTED_VALUE"""),"不正出血・費用保険")</f>
        <v>不正出血・費用保険</v>
      </c>
      <c r="D414" s="31" t="str">
        <f>IFERROR(__xludf.DUMMYFUNCTION("""COMPUTED_VALUE"""),"不正出血,検査費用,超音波検査,がん検査")</f>
        <v>不正出血,検査費用,超音波検査,がん検査</v>
      </c>
      <c r="E414" s="32" t="str">
        <f>IFERROR(__xludf.DUMMYFUNCTION("""COMPUTED_VALUE"""),"https://luna-dr.com/subjects/irregular-genital-bleeding/")</f>
        <v>https://luna-dr.com/subjects/irregular-genital-bleeding/</v>
      </c>
    </row>
    <row r="415">
      <c r="A415" s="31" t="str">
        <f>IFERROR(__xludf.DUMMYFUNCTION("""COMPUTED_VALUE"""),"不正出血の検査費用には初診料や再診料も含まれますか？")</f>
        <v>不正出血の検査費用には初診料や再診料も含まれますか？</v>
      </c>
      <c r="B415" s="31" t="str">
        <f>IFERROR(__xludf.DUMMYFUNCTION("""COMPUTED_VALUE"""),"検査費用はあくまで目安であり、別途初診料・再診料がかかります。")</f>
        <v>検査費用はあくまで目安であり、別途初診料・再診料がかかります。</v>
      </c>
      <c r="C415" s="31" t="str">
        <f>IFERROR(__xludf.DUMMYFUNCTION("""COMPUTED_VALUE"""),"不正出血・費用保険")</f>
        <v>不正出血・費用保険</v>
      </c>
      <c r="D415" s="31" t="str">
        <f>IFERROR(__xludf.DUMMYFUNCTION("""COMPUTED_VALUE"""),"不正出血,初診料,再診料,費用")</f>
        <v>不正出血,初診料,再診料,費用</v>
      </c>
      <c r="E415" s="32" t="str">
        <f>IFERROR(__xludf.DUMMYFUNCTION("""COMPUTED_VALUE"""),"https://luna-dr.com/subjects/irregular-genital-bleeding/")</f>
        <v>https://luna-dr.com/subjects/irregular-genital-bleeding/</v>
      </c>
    </row>
    <row r="416">
      <c r="A416" s="31" t="str">
        <f>IFERROR(__xludf.DUMMYFUNCTION("""COMPUTED_VALUE"""),"不正出血で行う子宮の超音波検査とは何ですか？")</f>
        <v>不正出血で行う子宮の超音波検査とは何ですか？</v>
      </c>
      <c r="B416" s="31" t="str">
        <f>IFERROR(__xludf.DUMMYFUNCTION("""COMPUTED_VALUE"""),"子宮の超音波検査は、子宮や卵巣の状態を確認する検査で、不正出血の原因となる病気がないかを調べるために行います。費用の目安は約1,600円です。
※料金表はあくまで目安(3割負担の場合)となります。別途初診料・再診料がかかります。")</f>
        <v>子宮の超音波検査は、子宮や卵巣の状態を確認する検査で、不正出血の原因となる病気がないかを調べるために行います。費用の目安は約1,600円です。
※料金表はあくまで目安(3割負担の場合)となります。別途初診料・再診料がかかります。</v>
      </c>
      <c r="C416" s="31" t="str">
        <f>IFERROR(__xludf.DUMMYFUNCTION("""COMPUTED_VALUE"""),"不正出血・検査内容")</f>
        <v>不正出血・検査内容</v>
      </c>
      <c r="D416" s="31" t="str">
        <f>IFERROR(__xludf.DUMMYFUNCTION("""COMPUTED_VALUE"""),"不正出血,超音波検査,エコー検査")</f>
        <v>不正出血,超音波検査,エコー検査</v>
      </c>
      <c r="E416" s="32" t="str">
        <f>IFERROR(__xludf.DUMMYFUNCTION("""COMPUTED_VALUE"""),"https://luna-dr.com/subjects/irregular-genital-bleeding/")</f>
        <v>https://luna-dr.com/subjects/irregular-genital-bleeding/</v>
      </c>
    </row>
    <row r="417">
      <c r="A417" s="31" t="str">
        <f>IFERROR(__xludf.DUMMYFUNCTION("""COMPUTED_VALUE"""),"不正出血で子宮頸がん検査は行いますか？")</f>
        <v>不正出血で子宮頸がん検査は行いますか？</v>
      </c>
      <c r="B417" s="31" t="str">
        <f>IFERROR(__xludf.DUMMYFUNCTION("""COMPUTED_VALUE"""),"不正出血の原因を調べるために、必要に応じて子宮頸がん検査を行います。費用の目安は約1,100円です。
※料金表はあくまで目安(3割負担の場合)となります。別途初診料・再診料がかかります。")</f>
        <v>不正出血の原因を調べるために、必要に応じて子宮頸がん検査を行います。費用の目安は約1,100円です。
※料金表はあくまで目安(3割負担の場合)となります。別途初診料・再診料がかかります。</v>
      </c>
      <c r="C417" s="31" t="str">
        <f>IFERROR(__xludf.DUMMYFUNCTION("""COMPUTED_VALUE"""),"不正出血・検査内容")</f>
        <v>不正出血・検査内容</v>
      </c>
      <c r="D417" s="31" t="str">
        <f>IFERROR(__xludf.DUMMYFUNCTION("""COMPUTED_VALUE"""),"不正出血,子宮頸がん検査,婦人科")</f>
        <v>不正出血,子宮頸がん検査,婦人科</v>
      </c>
      <c r="E417" s="32" t="str">
        <f>IFERROR(__xludf.DUMMYFUNCTION("""COMPUTED_VALUE"""),"https://luna-dr.com/subjects/irregular-genital-bleeding/")</f>
        <v>https://luna-dr.com/subjects/irregular-genital-bleeding/</v>
      </c>
    </row>
    <row r="418">
      <c r="A418" s="31" t="str">
        <f>IFERROR(__xludf.DUMMYFUNCTION("""COMPUTED_VALUE"""),"不正出血で子宮体がん検査が必要になるのはどんな時ですか？")</f>
        <v>不正出血で子宮体がん検査が必要になるのはどんな時ですか？</v>
      </c>
      <c r="B418" s="31" t="str">
        <f>IFERROR(__xludf.DUMMYFUNCTION("""COMPUTED_VALUE"""),"閉経後の出血など、症状に応じて子宮体がん検査を行うことがあります。費用の目安は約2,100円です。
※料金表はあくまで目安(3割負担の場合)となります。別途初診料・再診料がかかります。")</f>
        <v>閉経後の出血など、症状に応じて子宮体がん検査を行うことがあります。費用の目安は約2,100円です。
※料金表はあくまで目安(3割負担の場合)となります。別途初診料・再診料がかかります。</v>
      </c>
      <c r="C418" s="31" t="str">
        <f>IFERROR(__xludf.DUMMYFUNCTION("""COMPUTED_VALUE"""),"不正出血・検査内容")</f>
        <v>不正出血・検査内容</v>
      </c>
      <c r="D418" s="31" t="str">
        <f>IFERROR(__xludf.DUMMYFUNCTION("""COMPUTED_VALUE"""),"不正出血,子宮体がん検査,閉経後出血")</f>
        <v>不正出血,子宮体がん検査,閉経後出血</v>
      </c>
      <c r="E418" s="32" t="str">
        <f>IFERROR(__xludf.DUMMYFUNCTION("""COMPUTED_VALUE"""),"https://luna-dr.com/subjects/irregular-genital-bleeding/")</f>
        <v>https://luna-dr.com/subjects/irregular-genital-bleeding/</v>
      </c>
    </row>
    <row r="419">
      <c r="A419" s="31" t="str">
        <f>IFERROR(__xludf.DUMMYFUNCTION("""COMPUTED_VALUE"""),"不正出血の原因にはどんなものがありますか？")</f>
        <v>不正出血の原因にはどんなものがありますか？</v>
      </c>
      <c r="B419" s="31" t="str">
        <f>IFERROR(__xludf.DUMMYFUNCTION("""COMPUTED_VALUE"""),"不正出血の原因は、ホルモンバランスの乱れ、子宮・卵巣・膣の病気、性感染症、妊娠に伴う出血など多岐にわたります。")</f>
        <v>不正出血の原因は、ホルモンバランスの乱れ、子宮・卵巣・膣の病気、性感染症、妊娠に伴う出血など多岐にわたります。</v>
      </c>
      <c r="C419" s="31" t="str">
        <f>IFERROR(__xludf.DUMMYFUNCTION("""COMPUTED_VALUE"""),"不正出血・原因")</f>
        <v>不正出血・原因</v>
      </c>
      <c r="D419" s="31" t="str">
        <f>IFERROR(__xludf.DUMMYFUNCTION("""COMPUTED_VALUE"""),"不正出血,原因,婦人科疾患")</f>
        <v>不正出血,原因,婦人科疾患</v>
      </c>
      <c r="E419" s="32" t="str">
        <f>IFERROR(__xludf.DUMMYFUNCTION("""COMPUTED_VALUE"""),"https://luna-dr.com/subjects/irregular-genital-bleeding/")</f>
        <v>https://luna-dr.com/subjects/irregular-genital-bleeding/</v>
      </c>
    </row>
    <row r="420">
      <c r="A420" s="31" t="str">
        <f>IFERROR(__xludf.DUMMYFUNCTION("""COMPUTED_VALUE"""),"ホルモンバランスの乱れでも不正出血は起こりますか？")</f>
        <v>ホルモンバランスの乱れでも不正出血は起こりますか？</v>
      </c>
      <c r="B420" s="31" t="str">
        <f>IFERROR(__xludf.DUMMYFUNCTION("""COMPUTED_VALUE"""),"ストレスや疲れ、環境の変化などによるホルモンバランスの乱れで排卵がうまくいかない場合、不正出血が起こることがあります。気になる症状がある場合は、早めにご相談ください。")</f>
        <v>ストレスや疲れ、環境の変化などによるホルモンバランスの乱れで排卵がうまくいかない場合、不正出血が起こることがあります。気になる症状がある場合は、早めにご相談ください。</v>
      </c>
      <c r="C420" s="31" t="str">
        <f>IFERROR(__xludf.DUMMYFUNCTION("""COMPUTED_VALUE"""),"不正出血・原因")</f>
        <v>不正出血・原因</v>
      </c>
      <c r="D420" s="31" t="str">
        <f>IFERROR(__xludf.DUMMYFUNCTION("""COMPUTED_VALUE"""),"不正出血,ホルモンバランス,ストレス")</f>
        <v>不正出血,ホルモンバランス,ストレス</v>
      </c>
      <c r="E420" s="32" t="str">
        <f>IFERROR(__xludf.DUMMYFUNCTION("""COMPUTED_VALUE"""),"https://luna-dr.com/subjects/irregular-genital-bleeding/")</f>
        <v>https://luna-dr.com/subjects/irregular-genital-bleeding/</v>
      </c>
    </row>
    <row r="421">
      <c r="A421" s="31" t="str">
        <f>IFERROR(__xludf.DUMMYFUNCTION("""COMPUTED_VALUE"""),"不正出血の原因として子宮や卵巣の病気は考えられますか？")</f>
        <v>不正出血の原因として子宮や卵巣の病気は考えられますか？</v>
      </c>
      <c r="B421" s="31" t="str">
        <f>IFERROR(__xludf.DUMMYFUNCTION("""COMPUTED_VALUE"""),"子宮頸管ポリープ、子宮内膜ポリープ、子宮筋腫、子宮腺筋症などが、不正出血の原因となることがあります。ルナレディースクリニックでは、出血の原因を的確に診断し、最適な治療をご提案します。気になる症状がある場合は、早めにご相談ください。")</f>
        <v>子宮頸管ポリープ、子宮内膜ポリープ、子宮筋腫、子宮腺筋症などが、不正出血の原因となることがあります。ルナレディースクリニックでは、出血の原因を的確に診断し、最適な治療をご提案します。気になる症状がある場合は、早めにご相談ください。</v>
      </c>
      <c r="C421" s="31" t="str">
        <f>IFERROR(__xludf.DUMMYFUNCTION("""COMPUTED_VALUE"""),"不正出血・原因")</f>
        <v>不正出血・原因</v>
      </c>
      <c r="D421" s="31" t="str">
        <f>IFERROR(__xludf.DUMMYFUNCTION("""COMPUTED_VALUE"""),"不正出血,子宮筋腫,子宮内膜ポリープ")</f>
        <v>不正出血,子宮筋腫,子宮内膜ポリープ</v>
      </c>
      <c r="E421" s="32" t="str">
        <f>IFERROR(__xludf.DUMMYFUNCTION("""COMPUTED_VALUE"""),"https://luna-dr.com/subjects/irregular-genital-bleeding/")</f>
        <v>https://luna-dr.com/subjects/irregular-genital-bleeding/</v>
      </c>
    </row>
    <row r="422">
      <c r="A422" s="31" t="str">
        <f>IFERROR(__xludf.DUMMYFUNCTION("""COMPUTED_VALUE"""),"不正出血はがんが原因のこともありますか？")</f>
        <v>不正出血はがんが原因のこともありますか？</v>
      </c>
      <c r="B422" s="31" t="str">
        <f>IFERROR(__xludf.DUMMYFUNCTION("""COMPUTED_VALUE"""),"子宮頸がんや子宮体がんは、不正出血の原因となることがあります。性交渉後の出血は子宮頸がん、閉経後の出血は子宮体がんの重要なサインです。気になる症状がある場合は、早めにご相談ください。")</f>
        <v>子宮頸がんや子宮体がんは、不正出血の原因となることがあります。性交渉後の出血は子宮頸がん、閉経後の出血は子宮体がんの重要なサインです。気になる症状がある場合は、早めにご相談ください。</v>
      </c>
      <c r="C422" s="31" t="str">
        <f>IFERROR(__xludf.DUMMYFUNCTION("""COMPUTED_VALUE"""),"不正出血・原因")</f>
        <v>不正出血・原因</v>
      </c>
      <c r="D422" s="31" t="str">
        <f>IFERROR(__xludf.DUMMYFUNCTION("""COMPUTED_VALUE"""),"不正出血,子宮頸がん,子宮体がん")</f>
        <v>不正出血,子宮頸がん,子宮体がん</v>
      </c>
      <c r="E422" s="32" t="str">
        <f>IFERROR(__xludf.DUMMYFUNCTION("""COMPUTED_VALUE"""),"https://luna-dr.com/subjects/irregular-genital-bleeding/")</f>
        <v>https://luna-dr.com/subjects/irregular-genital-bleeding/</v>
      </c>
    </row>
    <row r="423">
      <c r="A423" s="31" t="str">
        <f>IFERROR(__xludf.DUMMYFUNCTION("""COMPUTED_VALUE"""),"性感染症でも不正出血は起こりますか？")</f>
        <v>性感染症でも不正出血は起こりますか？</v>
      </c>
      <c r="B423" s="31" t="str">
        <f>IFERROR(__xludf.DUMMYFUNCTION("""COMPUTED_VALUE"""),"クラミジアなどの性感染症による炎症で、子宮の入り口などがただれ、不正出血が起こることがあります。気になる症状がある場合は、早めにご相談ください。")</f>
        <v>クラミジアなどの性感染症による炎症で、子宮の入り口などがただれ、不正出血が起こることがあります。気になる症状がある場合は、早めにご相談ください。</v>
      </c>
      <c r="C423" s="31" t="str">
        <f>IFERROR(__xludf.DUMMYFUNCTION("""COMPUTED_VALUE"""),"不正出血・原因")</f>
        <v>不正出血・原因</v>
      </c>
      <c r="D423" s="31" t="str">
        <f>IFERROR(__xludf.DUMMYFUNCTION("""COMPUTED_VALUE"""),"不正出血,クラミジア,性病検査")</f>
        <v>不正出血,クラミジア,性病検査</v>
      </c>
      <c r="E423" s="32" t="str">
        <f>IFERROR(__xludf.DUMMYFUNCTION("""COMPUTED_VALUE"""),"https://luna-dr.com/subjects/irregular-genital-bleeding/")</f>
        <v>https://luna-dr.com/subjects/irregular-genital-bleeding/</v>
      </c>
    </row>
    <row r="424">
      <c r="A424" s="31" t="str">
        <f>IFERROR(__xludf.DUMMYFUNCTION("""COMPUTED_VALUE"""),"妊娠している場合の不正出血はありますか？")</f>
        <v>妊娠している場合の不正出血はありますか？</v>
      </c>
      <c r="B424" s="31" t="str">
        <f>IFERROR(__xludf.DUMMYFUNCTION("""COMPUTED_VALUE"""),"妊娠初期には着床出血や切迫流産の兆候として出血が見られることがあります。妊娠の可能性がある場合は、速やかに受診してください。")</f>
        <v>妊娠初期には着床出血や切迫流産の兆候として出血が見られることがあります。妊娠の可能性がある場合は、速やかに受診してください。</v>
      </c>
      <c r="C424" s="31" t="str">
        <f>IFERROR(__xludf.DUMMYFUNCTION("""COMPUTED_VALUE"""),"不正出血・原因")</f>
        <v>不正出血・原因</v>
      </c>
      <c r="D424" s="31" t="str">
        <f>IFERROR(__xludf.DUMMYFUNCTION("""COMPUTED_VALUE"""),"不正出血,妊娠初期,着床出血")</f>
        <v>不正出血,妊娠初期,着床出血</v>
      </c>
      <c r="E424" s="32" t="str">
        <f>IFERROR(__xludf.DUMMYFUNCTION("""COMPUTED_VALUE"""),"https://luna-dr.com/subjects/irregular-genital-bleeding/")</f>
        <v>https://luna-dr.com/subjects/irregular-genital-bleeding/</v>
      </c>
    </row>
    <row r="425">
      <c r="A425" s="31" t="str">
        <f>IFERROR(__xludf.DUMMYFUNCTION("""COMPUTED_VALUE"""),"不正出血の診察・検査の流れを教えてください")</f>
        <v>不正出血の診察・検査の流れを教えてください</v>
      </c>
      <c r="B425" s="31" t="str">
        <f>IFERROR(__xludf.DUMMYFUNCTION("""COMPUTED_VALUE"""),"不正出血の診察は、①予約・WEB問診 → ②医師による診察 → ③内診・検査 → ④診断・治療方針の説明 → ⑤処方・お会計、という流れで行います。まず公式LINEでご予約ください。予約後、WEB問診にて出血の時期・量・色、最終生理日、妊娠の可能性などをご入力いただくと受付がスムーズです。来院後は医師が問診内容をもとに詳しくお話を伺い、必要に応じて内診・超音波（エコー）検査、子宮頸がん・体がん検査、性感染症検査を行います。検査結果をもとに出血の原因と治療方針をご説明し、必要な治療やお薬の処方を行います。")</f>
        <v>不正出血の診察は、①予約・WEB問診 → ②医師による診察 → ③内診・検査 → ④診断・治療方針の説明 → ⑤処方・お会計、という流れで行います。まず公式LINEでご予約ください。予約後、WEB問診にて出血の時期・量・色、最終生理日、妊娠の可能性などをご入力いただくと受付がスムーズです。来院後は医師が問診内容をもとに詳しくお話を伺い、必要に応じて内診・超音波（エコー）検査、子宮頸がん・体がん検査、性感染症検査を行います。検査結果をもとに出血の原因と治療方針をご説明し、必要な治療やお薬の処方を行います。</v>
      </c>
      <c r="C425" s="31" t="str">
        <f>IFERROR(__xludf.DUMMYFUNCTION("""COMPUTED_VALUE"""),"不正出血")</f>
        <v>不正出血</v>
      </c>
      <c r="D425" s="31" t="str">
        <f>IFERROR(__xludf.DUMMYFUNCTION("""COMPUTED_VALUE"""),"不正出血,診察の流れ,検査,内診,エコー検査,予約方法,電話予約,LINE予約")</f>
        <v>不正出血,診察の流れ,検査,内診,エコー検査,予約方法,電話予約,LINE予約</v>
      </c>
      <c r="E425" s="32" t="str">
        <f>IFERROR(__xludf.DUMMYFUNCTION("""COMPUTED_VALUE"""),"https://luna-dr.com/subjects/abnormal-uterine-bleeding/")</f>
        <v>https://luna-dr.com/subjects/abnormal-uterine-bleeding/</v>
      </c>
    </row>
    <row r="426">
      <c r="A426" s="31" t="str">
        <f>IFERROR(__xludf.DUMMYFUNCTION("""COMPUTED_VALUE"""),"不正出血の予約はどうすればいいですか？/不正出血があり早めに受診したいです/不正出血があるため早めの受診を希望しています/不正出血が心配なので早く診てほしい")</f>
        <v>不正出血の予約はどうすればいいですか？/不正出血があり早めに受診したいです/不正出血があるため早めの受診を希望しています/不正出血が心配なので早く診てほしい</v>
      </c>
      <c r="B426" s="31" t="str">
        <f>IFERROR(__xludf.DUMMYFUNCTION("""COMPUTED_VALUE"""),"生理期間以外に出血が続く場合、性交渉の後に必ず出血する場合、閉経後の出血、血の塊が出る、出血量が増えている、鮮血が出る、下腹部痛や発熱を伴う場合は、放置せずにご相談ください。ルナレディースクリニックでは、出血の原因を的確に診断し、最適な治療をご提案します。ご予約は公式LINEから受け付けています。不正出血のご相談は「一般婦人科診療」のメニューでご予約ください。LINEはこちら→https://cline-app.com/qr-codes/98ad6f149bfa20f4f2a9a2e91aac4187/p"&amp;"review")</f>
        <v>生理期間以外に出血が続く場合、性交渉の後に必ず出血する場合、閉経後の出血、血の塊が出る、出血量が増えている、鮮血が出る、下腹部痛や発熱を伴う場合は、放置せずにご相談ください。ルナレディースクリニックでは、出血の原因を的確に診断し、最適な治療をご提案します。ご予約は公式LINEから受け付けています。不正出血のご相談は「一般婦人科診療」のメニューでご予約ください。LINEはこちら→https://cline-app.com/qr-codes/98ad6f149bfa20f4f2a9a2e91aac4187/preview</v>
      </c>
      <c r="C426" s="31" t="str">
        <f>IFERROR(__xludf.DUMMYFUNCTION("""COMPUTED_VALUE"""),"不正出血")</f>
        <v>不正出血</v>
      </c>
      <c r="D426" s="31" t="str">
        <f>IFERROR(__xludf.DUMMYFUNCTION("""COMPUTED_VALUE"""),"予約方法,LINE,電話,不正出血,早め,急ぎ,早く診てほしい")</f>
        <v>予約方法,LINE,電話,不正出血,早め,急ぎ,早く診てほしい</v>
      </c>
      <c r="E426" s="32" t="str">
        <f>IFERROR(__xludf.DUMMYFUNCTION("""COMPUTED_VALUE"""),"https://luna-dr.com/subjects/abnormal-uterine-bleeding/")</f>
        <v>https://luna-dr.com/subjects/abnormal-uterine-bleeding/</v>
      </c>
    </row>
    <row r="427">
      <c r="A427" s="31" t="str">
        <f>IFERROR(__xludf.DUMMYFUNCTION("""COMPUTED_VALUE"""),"不正出血はLINEから予約できますか？")</f>
        <v>不正出血はLINEから予約できますか？</v>
      </c>
      <c r="B427" s="31" t="str">
        <f>IFERROR(__xludf.DUMMYFUNCTION("""COMPUTED_VALUE"""),"ナレディースクリニックでは、公式LINEから不正出血の診察予約が可能です。24時間いつでもご自身のタイミングで予約できます。不正出血のご相談は「一般婦人科診療」のメニューでご予約ください。LINEはこちら→https://cline-app.com/qr-codes/98ad6f149bfa20f4f2a9a2e91aac4187/preview")</f>
        <v>ナレディースクリニックでは、公式LINEから不正出血の診察予約が可能です。24時間いつでもご自身のタイミングで予約できます。不正出血のご相談は「一般婦人科診療」のメニューでご予約ください。LINEはこちら→https://cline-app.com/qr-codes/98ad6f149bfa20f4f2a9a2e91aac4187/preview</v>
      </c>
      <c r="C427" s="31" t="str">
        <f>IFERROR(__xludf.DUMMYFUNCTION("""COMPUTED_VALUE"""),"不正出血")</f>
        <v>不正出血</v>
      </c>
      <c r="D427" s="31" t="str">
        <f>IFERROR(__xludf.DUMMYFUNCTION("""COMPUTED_VALUE"""),"LINE予約,婦人科予約,不正出血")</f>
        <v>LINE予約,婦人科予約,不正出血</v>
      </c>
      <c r="E427" s="32" t="str">
        <f>IFERROR(__xludf.DUMMYFUNCTION("""COMPUTED_VALUE"""),"https://luna-dr.com/subjects/abnormal-uterine-bleeding/")</f>
        <v>https://luna-dr.com/subjects/abnormal-uterine-bleeding/</v>
      </c>
    </row>
    <row r="428">
      <c r="A428" s="31" t="str">
        <f>IFERROR(__xludf.DUMMYFUNCTION("""COMPUTED_VALUE"""),"不正出血は電話でも予約できますか？")</f>
        <v>不正出血は電話でも予約できますか？</v>
      </c>
      <c r="B428" s="31" t="str">
        <f>IFERROR(__xludf.DUMMYFUNCTION("""COMPUTED_VALUE"""),"LINEでの予約後、事前問診等もLINEから行うことができ、スムーズに受診ができるため、当院ではLINEでのご予約を推奨しております。
ご予約は公式LINEから受け付けています。不正出血のご相談は「一般婦人科診療」のメニューでご予約ください。LINEはこちら→https://cline-app.com/qr-codes/98ad6f149bfa20f4f2a9a2e91aac4187/preview")</f>
        <v>LINEでの予約後、事前問診等もLINEから行うことができ、スムーズに受診ができるため、当院ではLINEでのご予約を推奨しております。
ご予約は公式LINEから受け付けています。不正出血のご相談は「一般婦人科診療」のメニューでご予約ください。LINEはこちら→https://cline-app.com/qr-codes/98ad6f149bfa20f4f2a9a2e91aac4187/preview</v>
      </c>
      <c r="C428" s="31" t="str">
        <f>IFERROR(__xludf.DUMMYFUNCTION("""COMPUTED_VALUE"""),"不正出血")</f>
        <v>不正出血</v>
      </c>
      <c r="D428" s="31" t="str">
        <f>IFERROR(__xludf.DUMMYFUNCTION("""COMPUTED_VALUE"""),"電話予約,問い合わせ,不正出血")</f>
        <v>電話予約,問い合わせ,不正出血</v>
      </c>
      <c r="E428" s="32" t="str">
        <f>IFERROR(__xludf.DUMMYFUNCTION("""COMPUTED_VALUE"""),"https://luna-dr.com/subjects/abnormal-uterine-bleeding/")</f>
        <v>https://luna-dr.com/subjects/abnormal-uterine-bleeding/</v>
      </c>
    </row>
    <row r="429">
      <c r="A429" s="31" t="str">
        <f>IFERROR(__xludf.DUMMYFUNCTION("""COMPUTED_VALUE"""),"不正出血の予約前に準備しておくことはありますか？")</f>
        <v>不正出血の予約前に準備しておくことはありますか？</v>
      </c>
      <c r="B429" s="31" t="str">
        <f>IFERROR(__xludf.DUMMYFUNCTION("""COMPUTED_VALUE"""),"ルナレディースクリニックでは、不正出血の診察前にWEB問診の入力をお願いしています。いつから出血があるか、量や色、他の症状などを事前にご入力いただくと診察がスムーズです。")</f>
        <v>ルナレディースクリニックでは、不正出血の診察前にWEB問診の入力をお願いしています。いつから出血があるか、量や色、他の症状などを事前にご入力いただくと診察がスムーズです。</v>
      </c>
      <c r="C429" s="31" t="str">
        <f>IFERROR(__xludf.DUMMYFUNCTION("""COMPUTED_VALUE"""),"不正出血")</f>
        <v>不正出血</v>
      </c>
      <c r="D429" s="31" t="str">
        <f>IFERROR(__xludf.DUMMYFUNCTION("""COMPUTED_VALUE"""),"WEB問診,事前準備,不正出血")</f>
        <v>WEB問診,事前準備,不正出血</v>
      </c>
      <c r="E429" s="32" t="str">
        <f>IFERROR(__xludf.DUMMYFUNCTION("""COMPUTED_VALUE"""),"https://luna-dr.com/subjects/abnormal-uterine-bleeding/")</f>
        <v>https://luna-dr.com/subjects/abnormal-uterine-bleeding/</v>
      </c>
    </row>
    <row r="430">
      <c r="A430" s="31" t="str">
        <f>IFERROR(__xludf.DUMMYFUNCTION("""COMPUTED_VALUE"""),"不正出血は初診でも予約できますか？")</f>
        <v>不正出血は初診でも予約できますか？</v>
      </c>
      <c r="B430" s="31" t="str">
        <f>IFERROR(__xludf.DUMMYFUNCTION("""COMPUTED_VALUE"""),"不正出血は初診の方もご予約いただけます。ご予約は公式LINEから受け付けておりますので、友だち追加の上ご利用ください。
不正出血のご相談は「一般婦人科診療」のメニューでご予約ください。LINEはこちら→https://cline-app.com/qr-codes/98ad6f149bfa20f4f2a9a2e91aac4187/preview")</f>
        <v>不正出血は初診の方もご予約いただけます。ご予約は公式LINEから受け付けておりますので、友だち追加の上ご利用ください。
不正出血のご相談は「一般婦人科診療」のメニューでご予約ください。LINEはこちら→https://cline-app.com/qr-codes/98ad6f149bfa20f4f2a9a2e91aac4187/preview</v>
      </c>
      <c r="C430" s="31" t="str">
        <f>IFERROR(__xludf.DUMMYFUNCTION("""COMPUTED_VALUE"""),"不正出血")</f>
        <v>不正出血</v>
      </c>
      <c r="D430" s="31" t="str">
        <f>IFERROR(__xludf.DUMMYFUNCTION("""COMPUTED_VALUE"""),"初診,予約,不正出血")</f>
        <v>初診,予約,不正出血</v>
      </c>
      <c r="E430" s="32" t="str">
        <f>IFERROR(__xludf.DUMMYFUNCTION("""COMPUTED_VALUE"""),"https://luna-dr.com/subjects/abnormal-uterine-bleeding/")</f>
        <v>https://luna-dr.com/subjects/abnormal-uterine-bleeding/</v>
      </c>
    </row>
    <row r="431">
      <c r="A431" s="31" t="str">
        <f>IFERROR(__xludf.DUMMYFUNCTION("""COMPUTED_VALUE"""),"不正出血は来院とオンライン、どちらで予約できますか？")</f>
        <v>不正出血は来院とオンライン、どちらで予約できますか？</v>
      </c>
      <c r="B431" s="31" t="str">
        <f>IFERROR(__xludf.DUMMYFUNCTION("""COMPUTED_VALUE"""),"ルナレディースクリニックでは、不正出血のご相談は【来院診療のみ】で承っています。
ご予約は公式LINEから受け付けています。不正出血のご相談は「一般婦人科診療」のメニューでご予約ください。LINEはこちら→https://cline-app.com/qr-codes/98ad6f149bfa20f4f2a9a2e91aac4187/preview")</f>
        <v>ルナレディースクリニックでは、不正出血のご相談は【来院診療のみ】で承っています。
ご予約は公式LINEから受け付けています。不正出血のご相談は「一般婦人科診療」のメニューでご予約ください。LINEはこちら→https://cline-app.com/qr-codes/98ad6f149bfa20f4f2a9a2e91aac4187/preview</v>
      </c>
      <c r="C431" s="31" t="str">
        <f>IFERROR(__xludf.DUMMYFUNCTION("""COMPUTED_VALUE"""),"不正出血")</f>
        <v>不正出血</v>
      </c>
      <c r="D431" s="31" t="str">
        <f>IFERROR(__xludf.DUMMYFUNCTION("""COMPUTED_VALUE"""),"来院診療,オンライン診療,不正出血")</f>
        <v>来院診療,オンライン診療,不正出血</v>
      </c>
      <c r="E431" s="32" t="str">
        <f>IFERROR(__xludf.DUMMYFUNCTION("""COMPUTED_VALUE"""),"https://luna-dr.com/subjects/abnormal-uterine-bleeding/")</f>
        <v>https://luna-dr.com/subjects/abnormal-uterine-bleeding/</v>
      </c>
    </row>
    <row r="432">
      <c r="A432" s="31" t="str">
        <f>IFERROR(__xludf.DUMMYFUNCTION("""COMPUTED_VALUE"""),"不正出血の診察は予約が必要ですか？")</f>
        <v>不正出血の診察は予約が必要ですか？</v>
      </c>
      <c r="B432" s="31" t="str">
        <f>IFERROR(__xludf.DUMMYFUNCTION("""COMPUTED_VALUE"""),"直接のご来院でも可能ですが、待ち時間が発生する場合があります。事前にご予約をいただくことでスムーズに診察に進むことができます。
ご予約は公式LINEから受け付けています。不正出血のご相談は「一般婦人科診療」のメニューでご予約ください。LINEはこちら→https://cline-app.com/qr-codes/98ad6f149bfa20f4f2a9a2e91aac4187/preview")</f>
        <v>直接のご来院でも可能ですが、待ち時間が発生する場合があります。事前にご予約をいただくことでスムーズに診察に進むことができます。
ご予約は公式LINEから受け付けています。不正出血のご相談は「一般婦人科診療」のメニューでご予約ください。LINEはこちら→https://cline-app.com/qr-codes/98ad6f149bfa20f4f2a9a2e91aac4187/preview</v>
      </c>
      <c r="C432" s="31" t="str">
        <f>IFERROR(__xludf.DUMMYFUNCTION("""COMPUTED_VALUE"""),"不正出血・予約")</f>
        <v>不正出血・予約</v>
      </c>
      <c r="D432" s="31" t="str">
        <f>IFERROR(__xludf.DUMMYFUNCTION("""COMPUTED_VALUE"""),"不正出血,予約,LINE予約,電話予約")</f>
        <v>不正出血,予約,LINE予約,電話予約</v>
      </c>
      <c r="E432" s="32" t="str">
        <f>IFERROR(__xludf.DUMMYFUNCTION("""COMPUTED_VALUE"""),"https://luna-dr.com/subjects/abnormal-uterine-bleeding/")</f>
        <v>https://luna-dr.com/subjects/abnormal-uterine-bleeding/</v>
      </c>
    </row>
    <row r="433">
      <c r="A433" s="31" t="str">
        <f>IFERROR(__xludf.DUMMYFUNCTION("""COMPUTED_VALUE"""),"不正出血の診察前にWEB問診は必要ですか？")</f>
        <v>不正出血の診察前にWEB問診は必要ですか？</v>
      </c>
      <c r="B433" s="31" t="str">
        <f>IFERROR(__xludf.DUMMYFUNCTION("""COMPUTED_VALUE"""),"必須ではありませんが、WEB問診で出血の時期や量、色、他の症状をご入力いただくと、診察がよりスムーズになります。")</f>
        <v>必須ではありませんが、WEB問診で出血の時期や量、色、他の症状をご入力いただくと、診察がよりスムーズになります。</v>
      </c>
      <c r="C433" s="31" t="str">
        <f>IFERROR(__xludf.DUMMYFUNCTION("""COMPUTED_VALUE"""),"不正出血・WEB問診")</f>
        <v>不正出血・WEB問診</v>
      </c>
      <c r="D433" s="31" t="str">
        <f>IFERROR(__xludf.DUMMYFUNCTION("""COMPUTED_VALUE"""),"不正出血,WEB問診,事前準備")</f>
        <v>不正出血,WEB問診,事前準備</v>
      </c>
      <c r="E433" s="32" t="str">
        <f>IFERROR(__xludf.DUMMYFUNCTION("""COMPUTED_VALUE"""),"https://luna-dr.com/subjects/abnormal-uterine-bleeding/")</f>
        <v>https://luna-dr.com/subjects/abnormal-uterine-bleeding/</v>
      </c>
    </row>
    <row r="434">
      <c r="A434" s="31" t="str">
        <f>IFERROR(__xludf.DUMMYFUNCTION("""COMPUTED_VALUE"""),"不正出血の診察ではどんなことを聞かれますか？")</f>
        <v>不正出血の診察ではどんなことを聞かれますか？</v>
      </c>
      <c r="B434" s="31" t="str">
        <f>IFERROR(__xludf.DUMMYFUNCTION("""COMPUTED_VALUE"""),"医師は、最終生理日、出血の状況、性交渉の有無、妊娠の可能性などを確認し、考えられる原因と必要な検査について説明します。")</f>
        <v>医師は、最終生理日、出血の状況、性交渉の有無、妊娠の可能性などを確認し、考えられる原因と必要な検査について説明します。</v>
      </c>
      <c r="C434" s="31" t="str">
        <f>IFERROR(__xludf.DUMMYFUNCTION("""COMPUTED_VALUE"""),"不正出血・診察内容")</f>
        <v>不正出血・診察内容</v>
      </c>
      <c r="D434" s="31" t="str">
        <f>IFERROR(__xludf.DUMMYFUNCTION("""COMPUTED_VALUE"""),"不正出血,問診内容,妊娠の可能性")</f>
        <v>不正出血,問診内容,妊娠の可能性</v>
      </c>
      <c r="E434" s="32" t="str">
        <f>IFERROR(__xludf.DUMMYFUNCTION("""COMPUTED_VALUE"""),"https://luna-dr.com/subjects/abnormal-uterine-bleeding/")</f>
        <v>https://luna-dr.com/subjects/abnormal-uterine-bleeding/</v>
      </c>
    </row>
    <row r="435">
      <c r="A435" s="31" t="str">
        <f>IFERROR(__xludf.DUMMYFUNCTION("""COMPUTED_VALUE"""),"不正出血の診察ではどんな検査をしますか？")</f>
        <v>不正出血の診察ではどんな検査をしますか？</v>
      </c>
      <c r="B435" s="31" t="str">
        <f>IFERROR(__xludf.DUMMYFUNCTION("""COMPUTED_VALUE"""),"不正出血の原因を特定するため、内診・超音波（エコー）検査、子宮頸がん・子宮体がん検査、必要に応じて性感染症検査を行います。")</f>
        <v>不正出血の原因を特定するため、内診・超音波（エコー）検査、子宮頸がん・子宮体がん検査、必要に応じて性感染症検査を行います。</v>
      </c>
      <c r="C435" s="31" t="str">
        <f>IFERROR(__xludf.DUMMYFUNCTION("""COMPUTED_VALUE"""),"不正出血・検査内容")</f>
        <v>不正出血・検査内容</v>
      </c>
      <c r="D435" s="31" t="str">
        <f>IFERROR(__xludf.DUMMYFUNCTION("""COMPUTED_VALUE"""),"不正出血,検査,エコー,がん検査,性病検査")</f>
        <v>不正出血,検査,エコー,がん検査,性病検査</v>
      </c>
      <c r="E435" s="32" t="str">
        <f>IFERROR(__xludf.DUMMYFUNCTION("""COMPUTED_VALUE"""),"https://luna-dr.com/subjects/abnormal-uterine-bleeding/")</f>
        <v>https://luna-dr.com/subjects/abnormal-uterine-bleeding/</v>
      </c>
    </row>
    <row r="436">
      <c r="A436" s="31" t="str">
        <f>IFERROR(__xludf.DUMMYFUNCTION("""COMPUTED_VALUE"""),"不正出血の内診・超音波検査では何を確認しますか？")</f>
        <v>不正出血の内診・超音波検査では何を確認しますか？</v>
      </c>
      <c r="B436" s="31" t="str">
        <f>IFERROR(__xludf.DUMMYFUNCTION("""COMPUTED_VALUE"""),"内診・超音波（エコー）検査では、子宮や卵巣にポリープや筋腫がないか、子宮内膜の厚さなどを確認します。")</f>
        <v>内診・超音波（エコー）検査では、子宮や卵巣にポリープや筋腫がないか、子宮内膜の厚さなどを確認します。</v>
      </c>
      <c r="C436" s="31" t="str">
        <f>IFERROR(__xludf.DUMMYFUNCTION("""COMPUTED_VALUE"""),"不正出血・検査内容")</f>
        <v>不正出血・検査内容</v>
      </c>
      <c r="D436" s="31" t="str">
        <f>IFERROR(__xludf.DUMMYFUNCTION("""COMPUTED_VALUE"""),"不正出血,内診,超音波検査,子宮内膜")</f>
        <v>不正出血,内診,超音波検査,子宮内膜</v>
      </c>
      <c r="E436" s="32" t="str">
        <f>IFERROR(__xludf.DUMMYFUNCTION("""COMPUTED_VALUE"""),"https://luna-dr.com/subjects/abnormal-uterine-bleeding/")</f>
        <v>https://luna-dr.com/subjects/abnormal-uterine-bleeding/</v>
      </c>
    </row>
    <row r="437">
      <c r="A437" s="31" t="str">
        <f>IFERROR(__xludf.DUMMYFUNCTION("""COMPUTED_VALUE"""),"不正出血の診察当日はどこまで進みますか？")</f>
        <v>不正出血の診察当日はどこまで進みますか？</v>
      </c>
      <c r="B437" s="31" t="str">
        <f>IFERROR(__xludf.DUMMYFUNCTION("""COMPUTED_VALUE"""),"診察当日は、医師の問診後、必要に応じて内診・超音波検査やがん検査、性感染症検査まで行い、その結果をもとに治療方針をご提案します。")</f>
        <v>診察当日は、医師の問診後、必要に応じて内診・超音波検査やがん検査、性感染症検査まで行い、その結果をもとに治療方針をご提案します。</v>
      </c>
      <c r="C437" s="31" t="str">
        <f>IFERROR(__xludf.DUMMYFUNCTION("""COMPUTED_VALUE"""),"不正出血・当日の流れ")</f>
        <v>不正出血・当日の流れ</v>
      </c>
      <c r="D437" s="31" t="str">
        <f>IFERROR(__xludf.DUMMYFUNCTION("""COMPUTED_VALUE"""),"不正出血,当日診察,検査,治療方針")</f>
        <v>不正出血,当日診察,検査,治療方針</v>
      </c>
      <c r="E437" s="32" t="str">
        <f>IFERROR(__xludf.DUMMYFUNCTION("""COMPUTED_VALUE"""),"https://luna-dr.com/subjects/abnormal-uterine-bleeding/")</f>
        <v>https://luna-dr.com/subjects/abnormal-uterine-bleeding/</v>
      </c>
    </row>
    <row r="438">
      <c r="A438" s="31" t="str">
        <f>IFERROR(__xludf.DUMMYFUNCTION("""COMPUTED_VALUE"""),"不正出血の検査後はどのような治療になりますか？")</f>
        <v>不正出血の検査後はどのような治療になりますか？</v>
      </c>
      <c r="B438" s="31" t="str">
        <f>IFERROR(__xludf.DUMMYFUNCTION("""COMPUTED_VALUE"""),"検査結果に基づき、ホルモン剤による治療、ポリープ切除、必要に応じて高度医療機関へのご紹介など、最適な治療方針をご提案します。")</f>
        <v>検査結果に基づき、ホルモン剤による治療、ポリープ切除、必要に応じて高度医療機関へのご紹介など、最適な治療方針をご提案します。</v>
      </c>
      <c r="C438" s="31" t="str">
        <f>IFERROR(__xludf.DUMMYFUNCTION("""COMPUTED_VALUE"""),"不正出血・治療")</f>
        <v>不正出血・治療</v>
      </c>
      <c r="D438" s="31" t="str">
        <f>IFERROR(__xludf.DUMMYFUNCTION("""COMPUTED_VALUE"""),"不正出血,治療方針,ホルモン治療")</f>
        <v>不正出血,治療方針,ホルモン治療</v>
      </c>
      <c r="E438" s="32" t="str">
        <f>IFERROR(__xludf.DUMMYFUNCTION("""COMPUTED_VALUE"""),"https://luna-dr.com/subjects/abnormal-uterine-bleeding/")</f>
        <v>https://luna-dr.com/subjects/abnormal-uterine-bleeding/</v>
      </c>
    </row>
    <row r="439">
      <c r="A439" s="31" t="str">
        <f>IFERROR(__xludf.DUMMYFUNCTION("""COMPUTED_VALUE"""),"不正出血と生理の見分けがつきません")</f>
        <v>不正出血と生理の見分けがつきません</v>
      </c>
      <c r="B439" s="31" t="str">
        <f>IFERROR(__xludf.DUMMYFUNCTION("""COMPUTED_VALUE"""),"生理予定日と大きくずれている、量が極端に少ない（または多い）、色がいつもと違う（鮮血、茶色など）、だらだらと長く続くといった場合は、不正出血の可能性が高いです。判断に迷う場合は、自己判断せずご相談ください。")</f>
        <v>生理予定日と大きくずれている、量が極端に少ない（または多い）、色がいつもと違う（鮮血、茶色など）、だらだらと長く続くといった場合は、不正出血の可能性が高いです。判断に迷う場合は、自己判断せずご相談ください。</v>
      </c>
      <c r="C439" s="31" t="str">
        <f>IFERROR(__xludf.DUMMYFUNCTION("""COMPUTED_VALUE"""),"不正出血・よくある質問")</f>
        <v>不正出血・よくある質問</v>
      </c>
      <c r="D439" s="31" t="str">
        <f>IFERROR(__xludf.DUMMYFUNCTION("""COMPUTED_VALUE"""),"不正出血,生理との違い,見分け方")</f>
        <v>不正出血,生理との違い,見分け方</v>
      </c>
      <c r="E439" s="32" t="str">
        <f>IFERROR(__xludf.DUMMYFUNCTION("""COMPUTED_VALUE"""),"https://luna-dr.com/subjects/abnormal-uterine-bleeding/")</f>
        <v>https://luna-dr.com/subjects/abnormal-uterine-bleeding/</v>
      </c>
    </row>
    <row r="440">
      <c r="A440" s="31" t="str">
        <f>IFERROR(__xludf.DUMMYFUNCTION("""COMPUTED_VALUE"""),"少量ですが、茶色い出血が続きます。大丈夫ですか？")</f>
        <v>少量ですが、茶色い出血が続きます。大丈夫ですか？</v>
      </c>
      <c r="B440" s="31" t="str">
        <f>IFERROR(__xludf.DUMMYFUNCTION("""COMPUTED_VALUE"""),"少量でも、だらだらと続く出血は異常のサインです。古い血液が酸化して茶色く見えることがありますが、子宮体がんなどでも見られる症状です。必ず一度、婦人科を受診してください。")</f>
        <v>少量でも、だらだらと続く出血は異常のサインです。古い血液が酸化して茶色く見えることがありますが、子宮体がんなどでも見られる症状です。必ず一度、婦人科を受診してください。</v>
      </c>
      <c r="C440" s="31" t="str">
        <f>IFERROR(__xludf.DUMMYFUNCTION("""COMPUTED_VALUE"""),"不正出血・よくある質問")</f>
        <v>不正出血・よくある質問</v>
      </c>
      <c r="D440" s="31" t="str">
        <f>IFERROR(__xludf.DUMMYFUNCTION("""COMPUTED_VALUE"""),"不正出血,茶色い出血,受診目安")</f>
        <v>不正出血,茶色い出血,受診目安</v>
      </c>
      <c r="E440" s="32" t="str">
        <f>IFERROR(__xludf.DUMMYFUNCTION("""COMPUTED_VALUE"""),"https://luna-dr.com/subjects/abnormal-uterine-bleeding/")</f>
        <v>https://luna-dr.com/subjects/abnormal-uterine-bleeding/</v>
      </c>
    </row>
    <row r="441">
      <c r="A441" s="31" t="str">
        <f>IFERROR(__xludf.DUMMYFUNCTION("""COMPUTED_VALUE"""),"不正出血は、がんの可能性が高いのでしょうか？")</f>
        <v>不正出血は、がんの可能性が高いのでしょうか？</v>
      </c>
      <c r="B441" s="31" t="str">
        <f>IFERROR(__xludf.DUMMYFUNCTION("""COMPUTED_VALUE"""),"不正出血の原因で最も多いのはホルモンバランスの乱れです。しかし、子宮頸がんや子宮体がんは、不正出血が唯一の自覚症状であることも事実です。「がんではない」ことを確認するためにも、検査を受けることが非常に重要です。")</f>
        <v>不正出血の原因で最も多いのはホルモンバランスの乱れです。しかし、子宮頸がんや子宮体がんは、不正出血が唯一の自覚症状であることも事実です。「がんではない」ことを確認するためにも、検査を受けることが非常に重要です。</v>
      </c>
      <c r="C441" s="31" t="str">
        <f>IFERROR(__xludf.DUMMYFUNCTION("""COMPUTED_VALUE"""),"不正出血・よくある質問")</f>
        <v>不正出血・よくある質問</v>
      </c>
      <c r="D441" s="31" t="str">
        <f>IFERROR(__xludf.DUMMYFUNCTION("""COMPUTED_VALUE"""),"不正出血,がんの可能性,検査")</f>
        <v>不正出血,がんの可能性,検査</v>
      </c>
      <c r="E441" s="32" t="str">
        <f>IFERROR(__xludf.DUMMYFUNCTION("""COMPUTED_VALUE"""),"https://luna-dr.com/subjects/abnormal-uterine-bleeding/")</f>
        <v>https://luna-dr.com/subjects/abnormal-uterine-bleeding/</v>
      </c>
    </row>
    <row r="442">
      <c r="A442" s="31" t="str">
        <f>IFERROR(__xludf.DUMMYFUNCTION("""COMPUTED_VALUE"""),"不正出血は生理不順や生理痛と関係がありますか？")</f>
        <v>不正出血は生理不順や生理痛と関係がありますか？</v>
      </c>
      <c r="B442" s="31" t="str">
        <f>IFERROR(__xludf.DUMMYFUNCTION("""COMPUTED_VALUE"""),"深く関係している場合があります。ホルモンバランスの乱れが原因で生理不順やひどい生理痛が起きている場合、同じ原因で不正出血（機能性出血）が起こることがよくあります。包括的に診断・治療することが大切です。")</f>
        <v>深く関係している場合があります。ホルモンバランスの乱れが原因で生理不順やひどい生理痛が起きている場合、同じ原因で不正出血（機能性出血）が起こることがよくあります。包括的に診断・治療することが大切です。</v>
      </c>
      <c r="C442" s="31" t="str">
        <f>IFERROR(__xludf.DUMMYFUNCTION("""COMPUTED_VALUE"""),"不正出血・関連症状")</f>
        <v>不正出血・関連症状</v>
      </c>
      <c r="D442" s="31" t="str">
        <f>IFERROR(__xludf.DUMMYFUNCTION("""COMPUTED_VALUE"""),"不正出血,生理不順,生理痛,ホルモン")</f>
        <v>不正出血,生理不順,生理痛,ホルモン</v>
      </c>
      <c r="E442" s="32" t="str">
        <f>IFERROR(__xludf.DUMMYFUNCTION("""COMPUTED_VALUE"""),"https://luna-dr.com/subjects/abnormal-uterine-bleeding/")</f>
        <v>https://luna-dr.com/subjects/abnormal-uterine-bleeding/</v>
      </c>
    </row>
    <row r="443">
      <c r="A443" s="31" t="str">
        <f>IFERROR(__xludf.DUMMYFUNCTION("""COMPUTED_VALUE"""),"性感染症（性病）とは何ですか？")</f>
        <v>性感染症（性病）とは何ですか？</v>
      </c>
      <c r="B443" s="31" t="str">
        <f>IFERROR(__xludf.DUMMYFUNCTION("""COMPUTED_VALUE"""),"性感染症（STD）とは、主に性的な接触によって感染する病気の総称です。原因となる病原体には、クラミジア、淋菌、トリコモナス、ヒトパピローマウイルス（尖圭コンジローマ）、ヘルペスウイルス、梅毒、HIVなど、様々な種類があります。これらの感染症は、おりものの異常やかゆみといった症状を引き起こすだけでなく、自覚症状がないまま進行するケースが非常に多いのが特徴です。放置してしまうと、炎症が卵管や腹腔内にまで広がり、不妊症や子宮外妊娠のリスクを高めることがあります。また、妊娠中に感染が判明すると、赤ちゃんに影響が及"&amp;"ぶ可能性もゼロではありません。 「もしかして？」と思ったら、早期に検査を受け、必要であれば正しい治療を開始することが、ご自身の健康と大切なパートナーを守るために何よりも重要です。少しでも気になることがあれば、お気軽にルナレディースクリニックへご相談ください。")</f>
        <v>性感染症（STD）とは、主に性的な接触によって感染する病気の総称です。原因となる病原体には、クラミジア、淋菌、トリコモナス、ヒトパピローマウイルス（尖圭コンジローマ）、ヘルペスウイルス、梅毒、HIVなど、様々な種類があります。これらの感染症は、おりものの異常やかゆみといった症状を引き起こすだけでなく、自覚症状がないまま進行するケースが非常に多いのが特徴です。放置してしまうと、炎症が卵管や腹腔内にまで広がり、不妊症や子宮外妊娠のリスクを高めることがあります。また、妊娠中に感染が判明すると、赤ちゃんに影響が及ぶ可能性もゼロではありません。 「もしかして？」と思ったら、早期に検査を受け、必要であれば正しい治療を開始することが、ご自身の健康と大切なパートナーを守るために何よりも重要です。少しでも気になることがあれば、お気軽にルナレディースクリニックへご相談ください。</v>
      </c>
      <c r="C443" s="31" t="str">
        <f>IFERROR(__xludf.DUMMYFUNCTION("""COMPUTED_VALUE"""),"性感染症検査")</f>
        <v>性感染症検査</v>
      </c>
      <c r="D443" s="31" t="str">
        <f>IFERROR(__xludf.DUMMYFUNCTION("""COMPUTED_VALUE"""),"性感染症,性病,STD,検査")</f>
        <v>性感染症,性病,STD,検査</v>
      </c>
      <c r="E443" s="32" t="str">
        <f>IFERROR(__xludf.DUMMYFUNCTION("""COMPUTED_VALUE"""),"https://luna-dr.com/subjects/std/")</f>
        <v>https://luna-dr.com/subjects/std/</v>
      </c>
    </row>
    <row r="444">
      <c r="A444" s="31" t="str">
        <f>IFERROR(__xludf.DUMMYFUNCTION("""COMPUTED_VALUE"""),"性感染症検査はどんな悩みのときに受けますか？")</f>
        <v>性感染症検査はどんな悩みのときに受けますか？</v>
      </c>
      <c r="B444" s="31" t="str">
        <f>IFERROR(__xludf.DUMMYFUNCTION("""COMPUTED_VALUE"""),"おりものの異常、かゆみ、性交時痛、できもの、不正出血、パートナーが性感染症と診断された場合などに検査を行います。症状がなくても感染していることがあるため、不安があれば検査をおすすめします。")</f>
        <v>おりものの異常、かゆみ、性交時痛、できもの、不正出血、パートナーが性感染症と診断された場合などに検査を行います。症状がなくても感染していることがあるため、不安があれば検査をおすすめします。</v>
      </c>
      <c r="C444" s="31" t="str">
        <f>IFERROR(__xludf.DUMMYFUNCTION("""COMPUTED_VALUE"""),"性感染症検査")</f>
        <v>性感染症検査</v>
      </c>
      <c r="D444" s="31" t="str">
        <f>IFERROR(__xludf.DUMMYFUNCTION("""COMPUTED_VALUE"""),"性感染症検査,おりもの異常,かゆみ,性交痛")</f>
        <v>性感染症検査,おりもの異常,かゆみ,性交痛</v>
      </c>
      <c r="E444" s="32" t="str">
        <f>IFERROR(__xludf.DUMMYFUNCTION("""COMPUTED_VALUE"""),"https://luna-dr.com/subjects/std/")</f>
        <v>https://luna-dr.com/subjects/std/</v>
      </c>
    </row>
    <row r="445">
      <c r="A445" s="31" t="str">
        <f>IFERROR(__xludf.DUMMYFUNCTION("""COMPUTED_VALUE"""),"症状がなくても性感染症検査は必要ですか？")</f>
        <v>症状がなくても性感染症検査は必要ですか？</v>
      </c>
      <c r="B445" s="31" t="str">
        <f>IFERROR(__xludf.DUMMYFUNCTION("""COMPUTED_VALUE"""),"はい。性感染症は無症状のまま進行することが多く、不妊やパートナーへの感染につながる場合があります。症状がなくても心配な機会があれば検査を受けることが大切です。")</f>
        <v>はい。性感染症は無症状のまま進行することが多く、不妊やパートナーへの感染につながる場合があります。症状がなくても心配な機会があれば検査を受けることが大切です。</v>
      </c>
      <c r="C445" s="31" t="str">
        <f>IFERROR(__xludf.DUMMYFUNCTION("""COMPUTED_VALUE"""),"性感染症検査")</f>
        <v>性感染症検査</v>
      </c>
      <c r="D445" s="31" t="str">
        <f>IFERROR(__xludf.DUMMYFUNCTION("""COMPUTED_VALUE"""),"性感染症,無症状,検査必要")</f>
        <v>性感染症,無症状,検査必要</v>
      </c>
      <c r="E445" s="32" t="str">
        <f>IFERROR(__xludf.DUMMYFUNCTION("""COMPUTED_VALUE"""),"https://luna-dr.com/subjects/std/")</f>
        <v>https://luna-dr.com/subjects/std/</v>
      </c>
    </row>
    <row r="446">
      <c r="A446" s="31" t="str">
        <f>IFERROR(__xludf.DUMMYFUNCTION("""COMPUTED_VALUE"""),"性感染症はどのような仕組みで感染しますか？")</f>
        <v>性感染症はどのような仕組みで感染しますか？</v>
      </c>
      <c r="B446" s="31" t="str">
        <f>IFERROR(__xludf.DUMMYFUNCTION("""COMPUTED_VALUE"""),"主に性行為（腟性交・口腔性交・肛門性交）を通じて、細菌やウイルス、原虫などの病原体が体内に侵入することで感染します。")</f>
        <v>主に性行為（腟性交・口腔性交・肛門性交）を通じて、細菌やウイルス、原虫などの病原体が体内に侵入することで感染します。</v>
      </c>
      <c r="C446" s="31" t="str">
        <f>IFERROR(__xludf.DUMMYFUNCTION("""COMPUTED_VALUE"""),"性感染症検査")</f>
        <v>性感染症検査</v>
      </c>
      <c r="D446" s="31" t="str">
        <f>IFERROR(__xludf.DUMMYFUNCTION("""COMPUTED_VALUE"""),"性感染症,感染経路,性行為")</f>
        <v>性感染症,感染経路,性行為</v>
      </c>
      <c r="E446" s="32" t="str">
        <f>IFERROR(__xludf.DUMMYFUNCTION("""COMPUTED_VALUE"""),"https://luna-dr.com/subjects/std/")</f>
        <v>https://luna-dr.com/subjects/std/</v>
      </c>
    </row>
    <row r="447">
      <c r="A447" s="31" t="str">
        <f>IFERROR(__xludf.DUMMYFUNCTION("""COMPUTED_VALUE"""),"性感染症は自然に治りますか？")</f>
        <v>性感染症は自然に治りますか？</v>
      </c>
      <c r="B447" s="31" t="str">
        <f>IFERROR(__xludf.DUMMYFUNCTION("""COMPUTED_VALUE"""),"自然に治ることはほとんどありません。放置すると症状が悪化したり、将来の不妊や合併症につながるため、検査と適切な治療が必要です。")</f>
        <v>自然に治ることはほとんどありません。放置すると症状が悪化したり、将来の不妊や合併症につながるため、検査と適切な治療が必要です。</v>
      </c>
      <c r="C447" s="31" t="str">
        <f>IFERROR(__xludf.DUMMYFUNCTION("""COMPUTED_VALUE"""),"性感染症検査")</f>
        <v>性感染症検査</v>
      </c>
      <c r="D447" s="31" t="str">
        <f>IFERROR(__xludf.DUMMYFUNCTION("""COMPUTED_VALUE"""),"性感染症,自然治癒,リスク")</f>
        <v>性感染症,自然治癒,リスク</v>
      </c>
      <c r="E447" s="32" t="str">
        <f>IFERROR(__xludf.DUMMYFUNCTION("""COMPUTED_VALUE"""),"https://luna-dr.com/subjects/std/")</f>
        <v>https://luna-dr.com/subjects/std/</v>
      </c>
    </row>
    <row r="448">
      <c r="A448" s="31" t="str">
        <f>IFERROR(__xludf.DUMMYFUNCTION("""COMPUTED_VALUE"""),"どんな性感染症を検査できますか？/性病検査のセットはありますか？/性感染症検査のセットメニュー/まとめて検査できますか？")</f>
        <v>どんな性感染症を検査できますか？/性病検査のセットはありますか？/性感染症検査のセットメニュー/まとめて検査できますか？</v>
      </c>
      <c r="B448" s="31" t="str">
        <f>IFERROR(__xludf.DUMMYFUNCTION("""COMPUTED_VALUE"""),"ルナレディースクリニックでは、クラミジア、淋菌、トリコモナス、カンジダ、梅毒、HIV、B型肝炎、C型肝炎などの検査に対応しています。来院での検査を推奨しておりますが、病院に行く時間がない方には当院では、ご自宅で簡単に検査ができる郵送検査キット「FemCHECK（フェムチェック）」をご用意しています。Webサイトやお近くのクリニックで購入でき、クラミジアや淋菌などを調べることが可能です。万が一、陽性だった場合は、そのままオンライン診療でお薬を処方することもできますので、ぜひご活用ください。詳細はこちらをご確"&amp;"認ください。https://luna-dr.com/femcheck/?utm_source=lunamedia&amp;utm_medium=banner&amp;utm_campaign=femcheck_article_hpseo")</f>
        <v>ルナレディースクリニックでは、クラミジア、淋菌、トリコモナス、カンジダ、梅毒、HIV、B型肝炎、C型肝炎などの検査に対応しています。来院での検査を推奨しておりますが、病院に行く時間がない方には当院では、ご自宅で簡単に検査ができる郵送検査キット「FemCHECK（フェムチェック）」をご用意しています。Webサイトやお近くのクリニックで購入でき、クラミジアや淋菌などを調べることが可能です。万が一、陽性だった場合は、そのままオンライン診療でお薬を処方することもできますので、ぜひご活用ください。詳細はこちらをご確認ください。https://luna-dr.com/femcheck/?utm_source=lunamedia&amp;utm_medium=banner&amp;utm_campaign=femcheck_article_hpseo</v>
      </c>
      <c r="C448" s="31" t="str">
        <f>IFERROR(__xludf.DUMMYFUNCTION("""COMPUTED_VALUE"""),"性感染症検査")</f>
        <v>性感染症検査</v>
      </c>
      <c r="D448" s="31" t="str">
        <f>IFERROR(__xludf.DUMMYFUNCTION("""COMPUTED_VALUE"""),"性感染症検査,クラミジア,淋菌,HIV")</f>
        <v>性感染症検査,クラミジア,淋菌,HIV</v>
      </c>
      <c r="E448" s="32" t="str">
        <f>IFERROR(__xludf.DUMMYFUNCTION("""COMPUTED_VALUE"""),"https://luna-dr.com/subjects/std/")</f>
        <v>https://luna-dr.com/subjects/std/</v>
      </c>
    </row>
    <row r="449">
      <c r="A449" s="31" t="str">
        <f>IFERROR(__xludf.DUMMYFUNCTION("""COMPUTED_VALUE"""),"性感染症検査の方法を教えてください")</f>
        <v>性感染症検査の方法を教えてください</v>
      </c>
      <c r="B449" s="31" t="str">
        <f>IFERROR(__xludf.DUMMYFUNCTION("""COMPUTED_VALUE"""),"内診台にて、医師が声かけをしながら丁寧に検査を進めます。綿棒などでおりものや分泌物を採取しますが、痛みはほとんどありませんのでご安心ください。必要に応じて、うがいによる喉の検査も行います。
※梅毒やHIV、B型肝炎など、血液で調べる必要がある項目については、腕から採血を行います。")</f>
        <v>内診台にて、医師が声かけをしながら丁寧に検査を進めます。綿棒などでおりものや分泌物を採取しますが、痛みはほとんどありませんのでご安心ください。必要に応じて、うがいによる喉の検査も行います。
※梅毒やHIV、B型肝炎など、血液で調べる必要がある項目については、腕から採血を行います。</v>
      </c>
      <c r="C449" s="31" t="str">
        <f>IFERROR(__xludf.DUMMYFUNCTION("""COMPUTED_VALUE"""),"性感染症検査")</f>
        <v>性感染症検査</v>
      </c>
      <c r="D449" s="31" t="str">
        <f>IFERROR(__xludf.DUMMYFUNCTION("""COMPUTED_VALUE"""),"性感染症検査方法,内診,血液検査")</f>
        <v>性感染症検査方法,内診,血液検査</v>
      </c>
      <c r="E449" s="32" t="str">
        <f>IFERROR(__xludf.DUMMYFUNCTION("""COMPUTED_VALUE"""),"https://luna-dr.com/subjects/std/")</f>
        <v>https://luna-dr.com/subjects/std/</v>
      </c>
    </row>
    <row r="450">
      <c r="A450" s="31" t="str">
        <f>IFERROR(__xludf.DUMMYFUNCTION("""COMPUTED_VALUE"""),"性感染症検査は来院が必要ですか？")</f>
        <v>性感染症検査は来院が必要ですか？</v>
      </c>
      <c r="B450" s="31" t="str">
        <f>IFERROR(__xludf.DUMMYFUNCTION("""COMPUTED_VALUE"""),"性感染症検査は基本的に来院で行います。医師の診察と検体採取が必要です。")</f>
        <v>性感染症検査は基本的に来院で行います。医師の診察と検体採取が必要です。</v>
      </c>
      <c r="C450" s="31" t="str">
        <f>IFERROR(__xludf.DUMMYFUNCTION("""COMPUTED_VALUE"""),"性感染症検査")</f>
        <v>性感染症検査</v>
      </c>
      <c r="D450" s="31" t="str">
        <f>IFERROR(__xludf.DUMMYFUNCTION("""COMPUTED_VALUE"""),"性感染症検査,来院診療")</f>
        <v>性感染症検査,来院診療</v>
      </c>
      <c r="E450" s="32" t="str">
        <f>IFERROR(__xludf.DUMMYFUNCTION("""COMPUTED_VALUE"""),"https://luna-dr.com/subjects/std/")</f>
        <v>https://luna-dr.com/subjects/std/</v>
      </c>
    </row>
    <row r="451">
      <c r="A451" s="31" t="str">
        <f>IFERROR(__xludf.DUMMYFUNCTION("""COMPUTED_VALUE"""),"性感染症検査はオンライン診療でできますか？")</f>
        <v>性感染症検査はオンライン診療でできますか？</v>
      </c>
      <c r="B451" s="31" t="str">
        <f>IFERROR(__xludf.DUMMYFUNCTION("""COMPUTED_VALUE"""),"来院での検査を推奨しておりますが、病院に行く時間がない方には当院では、ご自宅で簡単に検査ができる郵送検査キット「FemCHECK（フェムチェック）」をご用意しています。Webサイトやお近くのクリニックで購入でき、クラミジアや淋菌などを調べることが可能です。万が一、陽性だった場合は、そのままオンライン診療でお薬を処方することもできますので、ぜひご活用ください。")</f>
        <v>来院での検査を推奨しておりますが、病院に行く時間がない方には当院では、ご自宅で簡単に検査ができる郵送検査キット「FemCHECK（フェムチェック）」をご用意しています。Webサイトやお近くのクリニックで購入でき、クラミジアや淋菌などを調べることが可能です。万が一、陽性だった場合は、そのままオンライン診療でお薬を処方することもできますので、ぜひご活用ください。</v>
      </c>
      <c r="C451" s="31" t="str">
        <f>IFERROR(__xludf.DUMMYFUNCTION("""COMPUTED_VALUE"""),"性感染症検査")</f>
        <v>性感染症検査</v>
      </c>
      <c r="D451" s="31" t="str">
        <f>IFERROR(__xludf.DUMMYFUNCTION("""COMPUTED_VALUE"""),"性感染症,オンライン診療,検査")</f>
        <v>性感染症,オンライン診療,検査</v>
      </c>
      <c r="E451" s="32" t="str">
        <f>IFERROR(__xludf.DUMMYFUNCTION("""COMPUTED_VALUE"""),"https://luna-dr.com/subjects/std/")</f>
        <v>https://luna-dr.com/subjects/std/</v>
      </c>
    </row>
    <row r="452">
      <c r="A452" s="31" t="str">
        <f>IFERROR(__xludf.DUMMYFUNCTION("""COMPUTED_VALUE"""),"性感染症検査は初診でも受けられますか？")</f>
        <v>性感染症検査は初診でも受けられますか？</v>
      </c>
      <c r="B452" s="31" t="str">
        <f>IFERROR(__xludf.DUMMYFUNCTION("""COMPUTED_VALUE"""),"はい。初診の方でも性感染症検査を受けていただけます。")</f>
        <v>はい。初診の方でも性感染症検査を受けていただけます。</v>
      </c>
      <c r="C452" s="31" t="str">
        <f>IFERROR(__xludf.DUMMYFUNCTION("""COMPUTED_VALUE"""),"性感染症検査")</f>
        <v>性感染症検査</v>
      </c>
      <c r="D452" s="31" t="str">
        <f>IFERROR(__xludf.DUMMYFUNCTION("""COMPUTED_VALUE"""),"性感染症検査,初診")</f>
        <v>性感染症検査,初診</v>
      </c>
      <c r="E452" s="32" t="str">
        <f>IFERROR(__xludf.DUMMYFUNCTION("""COMPUTED_VALUE"""),"https://luna-dr.com/subjects/std/")</f>
        <v>https://luna-dr.com/subjects/std/</v>
      </c>
    </row>
    <row r="453">
      <c r="A453" s="31" t="str">
        <f>IFERROR(__xludf.DUMMYFUNCTION("""COMPUTED_VALUE"""),"性感染症検査では内診がありますか？")</f>
        <v>性感染症検査では内診がありますか？</v>
      </c>
      <c r="B453" s="31" t="str">
        <f>IFERROR(__xludf.DUMMYFUNCTION("""COMPUTED_VALUE"""),"内診台にて、医師が声かけをしながら丁寧に検査を進めます。綿棒などでおりものや分泌物を採取しますが、痛みはほとんどありませんのでご安心ください。必要に応じて、うがいによる喉の検査も行います。
※梅毒やHIV、B型肝炎など、血液で調べる必要がある項目については、腕から採血を行います。")</f>
        <v>内診台にて、医師が声かけをしながら丁寧に検査を進めます。綿棒などでおりものや分泌物を採取しますが、痛みはほとんどありませんのでご安心ください。必要に応じて、うがいによる喉の検査も行います。
※梅毒やHIV、B型肝炎など、血液で調べる必要がある項目については、腕から採血を行います。</v>
      </c>
      <c r="C453" s="31" t="str">
        <f>IFERROR(__xludf.DUMMYFUNCTION("""COMPUTED_VALUE"""),"性感染症検査")</f>
        <v>性感染症検査</v>
      </c>
      <c r="D453" s="31" t="str">
        <f>IFERROR(__xludf.DUMMYFUNCTION("""COMPUTED_VALUE"""),"性感染症検査,内診")</f>
        <v>性感染症検査,内診</v>
      </c>
      <c r="E453" s="32" t="str">
        <f>IFERROR(__xludf.DUMMYFUNCTION("""COMPUTED_VALUE"""),"https://luna-dr.com/subjects/std/")</f>
        <v>https://luna-dr.com/subjects/std/</v>
      </c>
    </row>
    <row r="454">
      <c r="A454" s="31" t="str">
        <f>IFERROR(__xludf.DUMMYFUNCTION("""COMPUTED_VALUE"""),"性感染症検査当日はどこまで進みますか？")</f>
        <v>性感染症検査当日はどこまで進みますか？</v>
      </c>
      <c r="B454" s="31" t="str">
        <f>IFERROR(__xludf.DUMMYFUNCTION("""COMPUTED_VALUE"""),"当日は問診、検査（内診・採血など）まで行います。
検査結果は、項目によって判明する時期やご説明方法が異なります。
・Webで確認できる検査（約4日～10日後）▶ クラミジア、淋菌、トリコモナスなど
・ご来院いただき医師から説明する検査 ▶︎ 血液検査
万が一、陽性だった場合は、お薬の処方など、速やかに治療を開始します。パートナーの治療の重要性や、完治までの注意点もしっかりとご説明しますのでご安心ください。
結果が当日出ない検査もあり、その場合は後日ご案内します。")</f>
        <v>当日は問診、検査（内診・採血など）まで行います。
検査結果は、項目によって判明する時期やご説明方法が異なります。
・Webで確認できる検査（約4日～10日後）▶ クラミジア、淋菌、トリコモナスなど
・ご来院いただき医師から説明する検査 ▶︎ 血液検査
万が一、陽性だった場合は、お薬の処方など、速やかに治療を開始します。パートナーの治療の重要性や、完治までの注意点もしっかりとご説明しますのでご安心ください。
結果が当日出ない検査もあり、その場合は後日ご案内します。</v>
      </c>
      <c r="C454" s="31" t="str">
        <f>IFERROR(__xludf.DUMMYFUNCTION("""COMPUTED_VALUE"""),"性感染症検査")</f>
        <v>性感染症検査</v>
      </c>
      <c r="D454" s="31" t="str">
        <f>IFERROR(__xludf.DUMMYFUNCTION("""COMPUTED_VALUE"""),"性感染症検査,当日の流れ")</f>
        <v>性感染症検査,当日の流れ</v>
      </c>
      <c r="E454" s="32" t="str">
        <f>IFERROR(__xludf.DUMMYFUNCTION("""COMPUTED_VALUE"""),"https://luna-dr.com/subjects/std/")</f>
        <v>https://luna-dr.com/subjects/std/</v>
      </c>
    </row>
    <row r="455">
      <c r="A455" s="31" t="str">
        <f>IFERROR(__xludf.DUMMYFUNCTION("""COMPUTED_VALUE"""),"性感染症検査の費用はいくらくらいですか？")</f>
        <v>性感染症検査の費用はいくらくらいですか？</v>
      </c>
      <c r="B455" s="31" t="str">
        <f>IFERROR(__xludf.DUMMYFUNCTION("""COMPUTED_VALUE"""),"クラミジア・淋菌・カンジダ・HIV・梅毒・トリコモナス・B型肺炎・C型肺炎などは1項目5,000円（税込）が目安です。")</f>
        <v>クラミジア・淋菌・カンジダ・HIV・梅毒・トリコモナス・B型肺炎・C型肺炎などは1項目5,000円（税込）が目安です。</v>
      </c>
      <c r="C455" s="31" t="str">
        <f>IFERROR(__xludf.DUMMYFUNCTION("""COMPUTED_VALUE"""),"性感染症検査")</f>
        <v>性感染症検査</v>
      </c>
      <c r="D455" s="31" t="str">
        <f>IFERROR(__xludf.DUMMYFUNCTION("""COMPUTED_VALUE"""),"性感染症検査,費用")</f>
        <v>性感染症検査,費用</v>
      </c>
      <c r="E455" s="32" t="str">
        <f>IFERROR(__xludf.DUMMYFUNCTION("""COMPUTED_VALUE"""),"https://luna-dr.com/subjects/std/")</f>
        <v>https://luna-dr.com/subjects/std/</v>
      </c>
    </row>
    <row r="456">
      <c r="A456" s="31" t="str">
        <f>IFERROR(__xludf.DUMMYFUNCTION("""COMPUTED_VALUE"""),"クラミジア検査の費用はいくらですか？/クラミジアの治療費はいくらですか？/クラミジア陽性の治療費用")</f>
        <v>クラミジア検査の費用はいくらですか？/クラミジアの治療費はいくらですか？/クラミジア陽性の治療費用</v>
      </c>
      <c r="B456" s="31" t="str">
        <f>IFERROR(__xludf.DUMMYFUNCTION("""COMPUTED_VALUE"""),"ルナレディースクリニックでは、クラミジア検査は1項目あたり5,000円（税込）です。")</f>
        <v>ルナレディースクリニックでは、クラミジア検査は1項目あたり5,000円（税込）です。</v>
      </c>
      <c r="C456" s="31" t="str">
        <f>IFERROR(__xludf.DUMMYFUNCTION("""COMPUTED_VALUE"""),"性感染症検査")</f>
        <v>性感染症検査</v>
      </c>
      <c r="D456" s="31" t="str">
        <f>IFERROR(__xludf.DUMMYFUNCTION("""COMPUTED_VALUE"""),"クラミジア検査,性感染症検査,費用")</f>
        <v>クラミジア検査,性感染症検査,費用</v>
      </c>
      <c r="E456" s="32" t="str">
        <f>IFERROR(__xludf.DUMMYFUNCTION("""COMPUTED_VALUE"""),"https://luna-dr.com/subjects/std/")</f>
        <v>https://luna-dr.com/subjects/std/</v>
      </c>
    </row>
    <row r="457">
      <c r="A457" s="31" t="str">
        <f>IFERROR(__xludf.DUMMYFUNCTION("""COMPUTED_VALUE"""),"淋病（淋菌）検査の費用はいくらですか？/淋病の治療費用はいくらですか？")</f>
        <v>淋病（淋菌）検査の費用はいくらですか？/淋病の治療費用はいくらですか？</v>
      </c>
      <c r="B457" s="31" t="str">
        <f>IFERROR(__xludf.DUMMYFUNCTION("""COMPUTED_VALUE"""),"淋病（淋菌）の検査費用は1項目5,000円（税込）です。治療費用については、保険適用か自費かは医師の判断となります。自費の場合の治療費は18,700円（税込）です。ご予約は「一般婦人科診療」のメニューからお取りください。→https://cline-app.com/qr-codes/98ad6f149bfa20f4f2a9a2e91aac4187/preview")</f>
        <v>淋病（淋菌）の検査費用は1項目5,000円（税込）です。治療費用については、保険適用か自費かは医師の判断となります。自費の場合の治療費は18,700円（税込）です。ご予約は「一般婦人科診療」のメニューからお取りください。→https://cline-app.com/qr-codes/98ad6f149bfa20f4f2a9a2e91aac4187/preview</v>
      </c>
      <c r="C457" s="31" t="str">
        <f>IFERROR(__xludf.DUMMYFUNCTION("""COMPUTED_VALUE"""),"性感染症検査")</f>
        <v>性感染症検査</v>
      </c>
      <c r="D457" s="31" t="str">
        <f>IFERROR(__xludf.DUMMYFUNCTION("""COMPUTED_VALUE"""),"淋病検査,淋菌,性感染症検査,費用")</f>
        <v>淋病検査,淋菌,性感染症検査,費用</v>
      </c>
      <c r="E457" s="32" t="str">
        <f>IFERROR(__xludf.DUMMYFUNCTION("""COMPUTED_VALUE"""),"https://luna-dr.com/subjects/std/")</f>
        <v>https://luna-dr.com/subjects/std/</v>
      </c>
    </row>
    <row r="458">
      <c r="A458" s="31" t="str">
        <f>IFERROR(__xludf.DUMMYFUNCTION("""COMPUTED_VALUE"""),"カンジダ検査の費用はいくらですか？")</f>
        <v>カンジダ検査の費用はいくらですか？</v>
      </c>
      <c r="B458" s="31" t="str">
        <f>IFERROR(__xludf.DUMMYFUNCTION("""COMPUTED_VALUE"""),"カンジダ検査は1項目5,000円（税込）です。")</f>
        <v>カンジダ検査は1項目5,000円（税込）です。</v>
      </c>
      <c r="C458" s="31" t="str">
        <f>IFERROR(__xludf.DUMMYFUNCTION("""COMPUTED_VALUE"""),"性感染症検査")</f>
        <v>性感染症検査</v>
      </c>
      <c r="D458" s="31" t="str">
        <f>IFERROR(__xludf.DUMMYFUNCTION("""COMPUTED_VALUE"""),"カンジダ検査,膣カンジダ,性感染症検査,費用")</f>
        <v>カンジダ検査,膣カンジダ,性感染症検査,費用</v>
      </c>
      <c r="E458" s="32" t="str">
        <f>IFERROR(__xludf.DUMMYFUNCTION("""COMPUTED_VALUE"""),"https://luna-dr.com/subjects/std/")</f>
        <v>https://luna-dr.com/subjects/std/</v>
      </c>
    </row>
    <row r="459">
      <c r="A459" s="31" t="str">
        <f>IFERROR(__xludf.DUMMYFUNCTION("""COMPUTED_VALUE"""),"HIV検査の費用はいくらですか？")</f>
        <v>HIV検査の費用はいくらですか？</v>
      </c>
      <c r="B459" s="31" t="str">
        <f>IFERROR(__xludf.DUMMYFUNCTION("""COMPUTED_VALUE"""),"ルナレディースクリニックでは、HIV検査は5,000円（税込）で実施しています。")</f>
        <v>ルナレディースクリニックでは、HIV検査は5,000円（税込）で実施しています。</v>
      </c>
      <c r="C459" s="31" t="str">
        <f>IFERROR(__xludf.DUMMYFUNCTION("""COMPUTED_VALUE"""),"性感染症検査")</f>
        <v>性感染症検査</v>
      </c>
      <c r="D459" s="31" t="str">
        <f>IFERROR(__xludf.DUMMYFUNCTION("""COMPUTED_VALUE"""),"HIV検査,性感染症検査,費用")</f>
        <v>HIV検査,性感染症検査,費用</v>
      </c>
      <c r="E459" s="32" t="str">
        <f>IFERROR(__xludf.DUMMYFUNCTION("""COMPUTED_VALUE"""),"https://luna-dr.com/subjects/std/")</f>
        <v>https://luna-dr.com/subjects/std/</v>
      </c>
    </row>
    <row r="460">
      <c r="A460" s="31" t="str">
        <f>IFERROR(__xludf.DUMMYFUNCTION("""COMPUTED_VALUE"""),"B型肝炎検査の費用はいくらですか？")</f>
        <v>B型肝炎検査の費用はいくらですか？</v>
      </c>
      <c r="B460" s="31" t="str">
        <f>IFERROR(__xludf.DUMMYFUNCTION("""COMPUTED_VALUE"""),"B型肝炎検査は5,000円（税込）です。")</f>
        <v>B型肝炎検査は5,000円（税込）です。</v>
      </c>
      <c r="C460" s="31" t="str">
        <f>IFERROR(__xludf.DUMMYFUNCTION("""COMPUTED_VALUE"""),"性感染症検査")</f>
        <v>性感染症検査</v>
      </c>
      <c r="D460" s="31" t="str">
        <f>IFERROR(__xludf.DUMMYFUNCTION("""COMPUTED_VALUE"""),"B型肝炎検査,性感染症検査,費用")</f>
        <v>B型肝炎検査,性感染症検査,費用</v>
      </c>
      <c r="E460" s="32" t="str">
        <f>IFERROR(__xludf.DUMMYFUNCTION("""COMPUTED_VALUE"""),"https://luna-dr.com/subjects/std/")</f>
        <v>https://luna-dr.com/subjects/std/</v>
      </c>
    </row>
    <row r="461">
      <c r="A461" s="31" t="str">
        <f>IFERROR(__xludf.DUMMYFUNCTION("""COMPUTED_VALUE"""),"C型肝炎検査の費用はいくらですか？")</f>
        <v>C型肝炎検査の費用はいくらですか？</v>
      </c>
      <c r="B461" s="31" t="str">
        <f>IFERROR(__xludf.DUMMYFUNCTION("""COMPUTED_VALUE"""),"C型肝炎検査は1項目5,000円（税込）です。")</f>
        <v>C型肝炎検査は1項目5,000円（税込）です。</v>
      </c>
      <c r="C461" s="31" t="str">
        <f>IFERROR(__xludf.DUMMYFUNCTION("""COMPUTED_VALUE"""),"性感染症検査")</f>
        <v>性感染症検査</v>
      </c>
      <c r="D461" s="31" t="str">
        <f>IFERROR(__xludf.DUMMYFUNCTION("""COMPUTED_VALUE"""),"C型肝炎検査,性感染症検査,費用")</f>
        <v>C型肝炎検査,性感染症検査,費用</v>
      </c>
      <c r="E461" s="32" t="str">
        <f>IFERROR(__xludf.DUMMYFUNCTION("""COMPUTED_VALUE"""),"https://luna-dr.com/subjects/std/")</f>
        <v>https://luna-dr.com/subjects/std/</v>
      </c>
    </row>
    <row r="462">
      <c r="A462" s="31" t="str">
        <f>IFERROR(__xludf.DUMMYFUNCTION("""COMPUTED_VALUE"""),"梅毒検査の費用はいくらですか？")</f>
        <v>梅毒検査の費用はいくらですか？</v>
      </c>
      <c r="B462" s="31" t="str">
        <f>IFERROR(__xludf.DUMMYFUNCTION("""COMPUTED_VALUE"""),"梅毒検査は5,000円（税込）です。")</f>
        <v>梅毒検査は5,000円（税込）です。</v>
      </c>
      <c r="C462" s="31" t="str">
        <f>IFERROR(__xludf.DUMMYFUNCTION("""COMPUTED_VALUE"""),"性感染症検査")</f>
        <v>性感染症検査</v>
      </c>
      <c r="D462" s="31" t="str">
        <f>IFERROR(__xludf.DUMMYFUNCTION("""COMPUTED_VALUE"""),"梅毒検査,性感染症検査,費用")</f>
        <v>梅毒検査,性感染症検査,費用</v>
      </c>
      <c r="E462" s="32" t="str">
        <f>IFERROR(__xludf.DUMMYFUNCTION("""COMPUTED_VALUE"""),"https://luna-dr.com/subjects/std/")</f>
        <v>https://luna-dr.com/subjects/std/</v>
      </c>
    </row>
    <row r="463">
      <c r="A463" s="31" t="str">
        <f>IFERROR(__xludf.DUMMYFUNCTION("""COMPUTED_VALUE"""),"トリコモナス検査の費用はいくらですか？")</f>
        <v>トリコモナス検査の費用はいくらですか？</v>
      </c>
      <c r="B463" s="31" t="str">
        <f>IFERROR(__xludf.DUMMYFUNCTION("""COMPUTED_VALUE"""),"トリコモナス検査は1項目5,000円（税込）です。")</f>
        <v>トリコモナス検査は1項目5,000円（税込）です。</v>
      </c>
      <c r="C463" s="31" t="str">
        <f>IFERROR(__xludf.DUMMYFUNCTION("""COMPUTED_VALUE"""),"性感染症検査")</f>
        <v>性感染症検査</v>
      </c>
      <c r="D463" s="31" t="str">
        <f>IFERROR(__xludf.DUMMYFUNCTION("""COMPUTED_VALUE"""),"トリコモナス検査,性感染症検査,費用")</f>
        <v>トリコモナス検査,性感染症検査,費用</v>
      </c>
      <c r="E463" s="32" t="str">
        <f>IFERROR(__xludf.DUMMYFUNCTION("""COMPUTED_VALUE"""),"https://luna-dr.com/subjects/std/")</f>
        <v>https://luna-dr.com/subjects/std/</v>
      </c>
    </row>
    <row r="464">
      <c r="A464" s="31" t="str">
        <f>IFERROR(__xludf.DUMMYFUNCTION("""COMPUTED_VALUE"""),"性感染症検査の結果が出た後はどうなりますか？")</f>
        <v>性感染症検査の結果が出た後はどうなりますか？</v>
      </c>
      <c r="B464" s="31" t="str">
        <f>IFERROR(__xludf.DUMMYFUNCTION("""COMPUTED_VALUE"""),"万が一、陽性だった場合は、お薬の処方など、速やかに治療を開始します。パートナーの治療の重要性や、完治までの注意点もしっかりとご説明しますのでご安心ください。")</f>
        <v>万が一、陽性だった場合は、お薬の処方など、速やかに治療を開始します。パートナーの治療の重要性や、完治までの注意点もしっかりとご説明しますのでご安心ください。</v>
      </c>
      <c r="C464" s="31" t="str">
        <f>IFERROR(__xludf.DUMMYFUNCTION("""COMPUTED_VALUE"""),"性感染症検査")</f>
        <v>性感染症検査</v>
      </c>
      <c r="D464" s="31" t="str">
        <f>IFERROR(__xludf.DUMMYFUNCTION("""COMPUTED_VALUE"""),"性感染症検査,治療")</f>
        <v>性感染症検査,治療</v>
      </c>
      <c r="E464" s="32" t="str">
        <f>IFERROR(__xludf.DUMMYFUNCTION("""COMPUTED_VALUE"""),"https://luna-dr.com/subjects/std/")</f>
        <v>https://luna-dr.com/subjects/std/</v>
      </c>
    </row>
    <row r="465">
      <c r="A465" s="31" t="str">
        <f>IFERROR(__xludf.DUMMYFUNCTION("""COMPUTED_VALUE"""),"パートナーも検査や治療が必要ですか？")</f>
        <v>パートナーも検査や治療が必要ですか？</v>
      </c>
      <c r="B465" s="31" t="str">
        <f>IFERROR(__xludf.DUMMYFUNCTION("""COMPUTED_VALUE"""),"性感染症と診断された場合、再感染を防ぐためパートナーも検査・治療を受けることが重要です。")</f>
        <v>性感染症と診断された場合、再感染を防ぐためパートナーも検査・治療を受けることが重要です。</v>
      </c>
      <c r="C465" s="31" t="str">
        <f>IFERROR(__xludf.DUMMYFUNCTION("""COMPUTED_VALUE"""),"性感染症検査")</f>
        <v>性感染症検査</v>
      </c>
      <c r="D465" s="31" t="str">
        <f>IFERROR(__xludf.DUMMYFUNCTION("""COMPUTED_VALUE"""),"性感染症,パートナー,治療")</f>
        <v>性感染症,パートナー,治療</v>
      </c>
      <c r="E465" s="32" t="str">
        <f>IFERROR(__xludf.DUMMYFUNCTION("""COMPUTED_VALUE"""),"https://luna-dr.com/subjects/std/")</f>
        <v>https://luna-dr.com/subjects/std/</v>
      </c>
    </row>
    <row r="466">
      <c r="A466" s="31" t="str">
        <f>IFERROR(__xludf.DUMMYFUNCTION("""COMPUTED_VALUE"""),"性感染症検査はどうやって予約しますか？")</f>
        <v>性感染症検査はどうやって予約しますか？</v>
      </c>
      <c r="B466" s="31" t="str">
        <f>IFERROR(__xludf.DUMMYFUNCTION("""COMPUTED_VALUE"""),"性感染症検査のご予約は公式LINEから24時間いつでも受け付けています。「一般婦人科診療」のメニューからお取りください。→https://cline-app.com/qr-codes/98ad6f149bfa20f4f2a9a2e91aac4187/preview")</f>
        <v>性感染症検査のご予約は公式LINEから24時間いつでも受け付けています。「一般婦人科診療」のメニューからお取りください。→https://cline-app.com/qr-codes/98ad6f149bfa20f4f2a9a2e91aac4187/preview</v>
      </c>
      <c r="C466" s="31" t="str">
        <f>IFERROR(__xludf.DUMMYFUNCTION("""COMPUTED_VALUE"""),"性感染症検査")</f>
        <v>性感染症検査</v>
      </c>
      <c r="D466" s="31" t="str">
        <f>IFERROR(__xludf.DUMMYFUNCTION("""COMPUTED_VALUE"""),"予約方法,LINE,電話,性感染症")</f>
        <v>予約方法,LINE,電話,性感染症</v>
      </c>
      <c r="E466" s="32" t="str">
        <f>IFERROR(__xludf.DUMMYFUNCTION("""COMPUTED_VALUE"""),"https://luna-dr.com/subjects/std/")</f>
        <v>https://luna-dr.com/subjects/std/</v>
      </c>
    </row>
    <row r="467">
      <c r="A467" s="31" t="str">
        <f>IFERROR(__xludf.DUMMYFUNCTION("""COMPUTED_VALUE"""),"性感染症検査はLINEから予約できますか？")</f>
        <v>性感染症検査はLINEから予約できますか？</v>
      </c>
      <c r="B467" s="31" t="str">
        <f>IFERROR(__xludf.DUMMYFUNCTION("""COMPUTED_VALUE"""),"性感染症検査のご予約は公式LINEから24時間いつでも受け付けています。「一般婦人科診療」のメニューからお取りください。→https://cline-app.com/qr-codes/98ad6f149bfa20f4f2a9a2e91aac4187/preview")</f>
        <v>性感染症検査のご予約は公式LINEから24時間いつでも受け付けています。「一般婦人科診療」のメニューからお取りください。→https://cline-app.com/qr-codes/98ad6f149bfa20f4f2a9a2e91aac4187/preview</v>
      </c>
      <c r="C467" s="31" t="str">
        <f>IFERROR(__xludf.DUMMYFUNCTION("""COMPUTED_VALUE"""),"性感染症検査")</f>
        <v>性感染症検査</v>
      </c>
      <c r="D467" s="31" t="str">
        <f>IFERROR(__xludf.DUMMYFUNCTION("""COMPUTED_VALUE"""),"LINE予約,婦人科予約,性感染症")</f>
        <v>LINE予約,婦人科予約,性感染症</v>
      </c>
      <c r="E467" s="32" t="str">
        <f>IFERROR(__xludf.DUMMYFUNCTION("""COMPUTED_VALUE"""),"https://luna-dr.com/subjects/std/")</f>
        <v>https://luna-dr.com/subjects/std/</v>
      </c>
    </row>
    <row r="468">
      <c r="A468" s="31" t="str">
        <f>IFERROR(__xludf.DUMMYFUNCTION("""COMPUTED_VALUE"""),"性感染症検査は電話でも予約できますか？")</f>
        <v>性感染症検査は電話でも予約できますか？</v>
      </c>
      <c r="B468" s="31" t="str">
        <f>IFERROR(__xludf.DUMMYFUNCTION("""COMPUTED_VALUE"""),"LINEでの予約後、事前問診等もLINEから行うことができ、スムーズに受診ができるため、当院ではLINEでのご予約を推奨しております。
ご予約は「一般婦人科診療」のメニューからお取りください。→https://cline-app.com/qr-codes/98ad6f149bfa20f4f2a9a2e91aac4187/preview")</f>
        <v>LINEでの予約後、事前問診等もLINEから行うことができ、スムーズに受診ができるため、当院ではLINEでのご予約を推奨しております。
ご予約は「一般婦人科診療」のメニューからお取りください。→https://cline-app.com/qr-codes/98ad6f149bfa20f4f2a9a2e91aac4187/preview</v>
      </c>
      <c r="C468" s="31" t="str">
        <f>IFERROR(__xludf.DUMMYFUNCTION("""COMPUTED_VALUE"""),"性感染症検査")</f>
        <v>性感染症検査</v>
      </c>
      <c r="D468" s="31" t="str">
        <f>IFERROR(__xludf.DUMMYFUNCTION("""COMPUTED_VALUE"""),"電話予約,問い合わせ,性感染症")</f>
        <v>電話予約,問い合わせ,性感染症</v>
      </c>
      <c r="E468" s="32" t="str">
        <f>IFERROR(__xludf.DUMMYFUNCTION("""COMPUTED_VALUE"""),"https://luna-dr.com/subjects/std/")</f>
        <v>https://luna-dr.com/subjects/std/</v>
      </c>
    </row>
    <row r="469">
      <c r="A469" s="31" t="str">
        <f>IFERROR(__xludf.DUMMYFUNCTION("""COMPUTED_VALUE"""),"性感染症検査の予約前に準備しておくことはありますか？")</f>
        <v>性感染症検査の予約前に準備しておくことはありますか？</v>
      </c>
      <c r="B469" s="31" t="str">
        <f>IFERROR(__xludf.DUMMYFUNCTION("""COMPUTED_VALUE"""),"ルナレディースクリニックでは、診察前にWEB問診の入力をお願いしています。事前にご入力いただくと診察がスムーズです。")</f>
        <v>ルナレディースクリニックでは、診察前にWEB問診の入力をお願いしています。事前にご入力いただくと診察がスムーズです。</v>
      </c>
      <c r="C469" s="31" t="str">
        <f>IFERROR(__xludf.DUMMYFUNCTION("""COMPUTED_VALUE"""),"性感染症検査")</f>
        <v>性感染症検査</v>
      </c>
      <c r="D469" s="31" t="str">
        <f>IFERROR(__xludf.DUMMYFUNCTION("""COMPUTED_VALUE"""),"WEB問診,事前準備,性感染症")</f>
        <v>WEB問診,事前準備,性感染症</v>
      </c>
      <c r="E469" s="32" t="str">
        <f>IFERROR(__xludf.DUMMYFUNCTION("""COMPUTED_VALUE"""),"https://luna-dr.com/subjects/std/")</f>
        <v>https://luna-dr.com/subjects/std/</v>
      </c>
    </row>
    <row r="470">
      <c r="A470" s="31" t="str">
        <f>IFERROR(__xludf.DUMMYFUNCTION("""COMPUTED_VALUE"""),"性感染症検査は初診でも予約できますか？")</f>
        <v>性感染症検査は初診でも予約できますか？</v>
      </c>
      <c r="B470" s="31" t="str">
        <f>IFERROR(__xludf.DUMMYFUNCTION("""COMPUTED_VALUE"""),"性感染症検査はは初診の方もご予約いただけます。ご予約は公式LINEから受け付けておりますので、友だち追加の上ご利用ください。
ご予約は「一般婦人科診療」のメニューからお取りください。→https://cline-app.com/qr-codes/98ad6f149bfa20f4f2a9a2e91aac4187/preview")</f>
        <v>性感染症検査はは初診の方もご予約いただけます。ご予約は公式LINEから受け付けておりますので、友だち追加の上ご利用ください。
ご予約は「一般婦人科診療」のメニューからお取りください。→https://cline-app.com/qr-codes/98ad6f149bfa20f4f2a9a2e91aac4187/preview</v>
      </c>
      <c r="C470" s="31" t="str">
        <f>IFERROR(__xludf.DUMMYFUNCTION("""COMPUTED_VALUE"""),"性感染症検査")</f>
        <v>性感染症検査</v>
      </c>
      <c r="D470" s="31" t="str">
        <f>IFERROR(__xludf.DUMMYFUNCTION("""COMPUTED_VALUE"""),"初診,予約,性感染症")</f>
        <v>初診,予約,性感染症</v>
      </c>
      <c r="E470" s="32" t="str">
        <f>IFERROR(__xludf.DUMMYFUNCTION("""COMPUTED_VALUE"""),"https://luna-dr.com/subjects/std/")</f>
        <v>https://luna-dr.com/subjects/std/</v>
      </c>
    </row>
    <row r="471">
      <c r="A471" s="31" t="str">
        <f>IFERROR(__xludf.DUMMYFUNCTION("""COMPUTED_VALUE"""),"性感染症検査は来院とオンライン、どちらで予約できますか？")</f>
        <v>性感染症検査は来院とオンライン、どちらで予約できますか？</v>
      </c>
      <c r="B471" s="31" t="str">
        <f>IFERROR(__xludf.DUMMYFUNCTION("""COMPUTED_VALUE"""),"ルナレディースクリニックでは、性感染症検査のご相談は来院診療のみで承っています。
ご予約は「一般婦人科診療」のメニューからお取りください。→https://cline-app.com/qr-codes/98ad6f149bfa20f4f2a9a2e91aac4187/preview")</f>
        <v>ルナレディースクリニックでは、性感染症検査のご相談は来院診療のみで承っています。
ご予約は「一般婦人科診療」のメニューからお取りください。→https://cline-app.com/qr-codes/98ad6f149bfa20f4f2a9a2e91aac4187/preview</v>
      </c>
      <c r="C471" s="31" t="str">
        <f>IFERROR(__xludf.DUMMYFUNCTION("""COMPUTED_VALUE"""),"性感染症検査")</f>
        <v>性感染症検査</v>
      </c>
      <c r="D471" s="31" t="str">
        <f>IFERROR(__xludf.DUMMYFUNCTION("""COMPUTED_VALUE"""),"来院診療,オンライン診療,性感染症")</f>
        <v>来院診療,オンライン診療,性感染症</v>
      </c>
      <c r="E471" s="32" t="str">
        <f>IFERROR(__xludf.DUMMYFUNCTION("""COMPUTED_VALUE"""),"https://luna-dr.com/subjects/std/")</f>
        <v>https://luna-dr.com/subjects/std/</v>
      </c>
    </row>
    <row r="472">
      <c r="A472" s="31" t="str">
        <f>IFERROR(__xludf.DUMMYFUNCTION("""COMPUTED_VALUE"""),"予約なしでも性感染症検査は受けられますか？")</f>
        <v>予約なしでも性感染症検査は受けられますか？</v>
      </c>
      <c r="B472" s="31" t="str">
        <f>IFERROR(__xludf.DUMMYFUNCTION("""COMPUTED_VALUE"""),"直接のご来院でも可能ですが、待ち時間が発生する場合があります。事前にご予約をいただくことでスムーズに診察に進むことができます。
ご予約は公式LINEから24時間いつでも受け付けています。「一般婦人科診療」のメニューからお取りください。→https://cline-app.com/qr-codes/98ad6f149bfa20f4f2a9a2e91aac4187/preview")</f>
        <v>直接のご来院でも可能ですが、待ち時間が発生する場合があります。事前にご予約をいただくことでスムーズに診察に進むことができます。
ご予約は公式LINEから24時間いつでも受け付けています。「一般婦人科診療」のメニューからお取りください。→https://cline-app.com/qr-codes/98ad6f149bfa20f4f2a9a2e91aac4187/preview</v>
      </c>
      <c r="C472" s="31" t="str">
        <f>IFERROR(__xludf.DUMMYFUNCTION("""COMPUTED_VALUE"""),"性感染症検査")</f>
        <v>性感染症検査</v>
      </c>
      <c r="D472" s="31" t="str">
        <f>IFERROR(__xludf.DUMMYFUNCTION("""COMPUTED_VALUE"""),"性感染症検査,予約なし")</f>
        <v>性感染症検査,予約なし</v>
      </c>
      <c r="E472" s="32" t="str">
        <f>IFERROR(__xludf.DUMMYFUNCTION("""COMPUTED_VALUE"""),"https://luna-dr.com/subjects/std/")</f>
        <v>https://luna-dr.com/subjects/std/</v>
      </c>
    </row>
    <row r="473">
      <c r="A473" s="31" t="str">
        <f>IFERROR(__xludf.DUMMYFUNCTION("""COMPUTED_VALUE"""),"性感染症検査後に相談はできますか？")</f>
        <v>性感染症検査後に相談はできますか？</v>
      </c>
      <c r="B473" s="31" t="str">
        <f>IFERROR(__xludf.DUMMYFUNCTION("""COMPUTED_VALUE"""),"検査結果や治療後の不安について、診察や相談が可能です。")</f>
        <v>検査結果や治療後の不安について、診察や相談が可能です。</v>
      </c>
      <c r="C473" s="31" t="str">
        <f>IFERROR(__xludf.DUMMYFUNCTION("""COMPUTED_VALUE"""),"性感染症検査")</f>
        <v>性感染症検査</v>
      </c>
      <c r="D473" s="31" t="str">
        <f>IFERROR(__xludf.DUMMYFUNCTION("""COMPUTED_VALUE"""),"性感染症検査,アフターケア,相談")</f>
        <v>性感染症検査,アフターケア,相談</v>
      </c>
      <c r="E473" s="32" t="str">
        <f>IFERROR(__xludf.DUMMYFUNCTION("""COMPUTED_VALUE"""),"https://luna-dr.com/subjects/std/")</f>
        <v>https://luna-dr.com/subjects/std/</v>
      </c>
    </row>
    <row r="474">
      <c r="A474" s="31" t="str">
        <f>IFERROR(__xludf.DUMMYFUNCTION("""COMPUTED_VALUE"""),"性感染症検査の診察・検査の流れを教えてください")</f>
        <v>性感染症検査の診察・検査の流れを教えてください</v>
      </c>
      <c r="B474" s="31" t="str">
        <f>IFERROR(__xludf.DUMMYFUNCTION("""COMPUTED_VALUE"""),"ルナレディースクリニックの性感染症検査は以下の流れで行います。①公式LINEでご予約・ご来院いただき、WEB問診に症状をご入力ください。②医師が症状や心配な点を詳しく確認し、必要な検査項目をご説明します。③内診台でおりものや分泌物を採取します。④必要に応じて採血を行います。⑤検査結果をご説明し、陽性の場合は速やかに治療を開始します。")</f>
        <v>ルナレディースクリニックの性感染症検査は以下の流れで行います。①公式LINEでご予約・ご来院いただき、WEB問診に症状をご入力ください。②医師が症状や心配な点を詳しく確認し、必要な検査項目をご説明します。③内診台でおりものや分泌物を採取します。④必要に応じて採血を行います。⑤検査結果をご説明し、陽性の場合は速やかに治療を開始します。</v>
      </c>
      <c r="C474" s="31" t="str">
        <f>IFERROR(__xludf.DUMMYFUNCTION("""COMPUTED_VALUE"""),"性感染症検査")</f>
        <v>性感染症検査</v>
      </c>
      <c r="D474" s="31" t="str">
        <f>IFERROR(__xludf.DUMMYFUNCTION("""COMPUTED_VALUE"""),"性感染症検査,診察の流れ,検査の流れ")</f>
        <v>性感染症検査,診察の流れ,検査の流れ</v>
      </c>
      <c r="E474" s="32" t="str">
        <f>IFERROR(__xludf.DUMMYFUNCTION("""COMPUTED_VALUE"""),"https://luna-dr.com/subjects/std/")</f>
        <v>https://luna-dr.com/subjects/std/</v>
      </c>
    </row>
    <row r="475">
      <c r="A475" s="31" t="str">
        <f>IFERROR(__xludf.DUMMYFUNCTION("""COMPUTED_VALUE"""),"性感染症検査の診察では何を聞かれますか？")</f>
        <v>性感染症検査の診察では何を聞かれますか？</v>
      </c>
      <c r="B475" s="31" t="str">
        <f>IFERROR(__xludf.DUMMYFUNCTION("""COMPUTED_VALUE"""),"診察では、症状が出始めた時期、内容、心配な性行為の有無、パートナーの状況、過去の性感染症歴などを確認します。その上で、必要な検査項目をご説明します。")</f>
        <v>診察では、症状が出始めた時期、内容、心配な性行為の有無、パートナーの状況、過去の性感染症歴などを確認します。その上で、必要な検査項目をご説明します。</v>
      </c>
      <c r="C475" s="31" t="str">
        <f>IFERROR(__xludf.DUMMYFUNCTION("""COMPUTED_VALUE"""),"性感染症検査")</f>
        <v>性感染症検査</v>
      </c>
      <c r="D475" s="31" t="str">
        <f>IFERROR(__xludf.DUMMYFUNCTION("""COMPUTED_VALUE"""),"性感染症検査,問診内容")</f>
        <v>性感染症検査,問診内容</v>
      </c>
      <c r="E475" s="32" t="str">
        <f>IFERROR(__xludf.DUMMYFUNCTION("""COMPUTED_VALUE"""),"https://luna-dr.com/subjects/std/")</f>
        <v>https://luna-dr.com/subjects/std/</v>
      </c>
    </row>
    <row r="476">
      <c r="A476" s="31" t="str">
        <f>IFERROR(__xludf.DUMMYFUNCTION("""COMPUTED_VALUE"""),"性感染症検査で採血はありますか？")</f>
        <v>性感染症検査で採血はありますか？</v>
      </c>
      <c r="B476" s="31" t="str">
        <f>IFERROR(__xludf.DUMMYFUNCTION("""COMPUTED_VALUE"""),"梅毒、HIV、B型肝炎などは血液検査が必要なため、腕から採血を行います。必要な検査項目は診察時に医師が判断します。")</f>
        <v>梅毒、HIV、B型肝炎などは血液検査が必要なため、腕から採血を行います。必要な検査項目は診察時に医師が判断します。</v>
      </c>
      <c r="C476" s="31" t="str">
        <f>IFERROR(__xludf.DUMMYFUNCTION("""COMPUTED_VALUE"""),"性感染症検査")</f>
        <v>性感染症検査</v>
      </c>
      <c r="D476" s="31" t="str">
        <f>IFERROR(__xludf.DUMMYFUNCTION("""COMPUTED_VALUE"""),"性感染症検査,採血,血液検査")</f>
        <v>性感染症検査,採血,血液検査</v>
      </c>
      <c r="E476" s="32" t="str">
        <f>IFERROR(__xludf.DUMMYFUNCTION("""COMPUTED_VALUE"""),"https://luna-dr.com/subjects/std/")</f>
        <v>https://luna-dr.com/subjects/std/</v>
      </c>
    </row>
    <row r="477">
      <c r="A477" s="31" t="str">
        <f>IFERROR(__xludf.DUMMYFUNCTION("""COMPUTED_VALUE"""),"性感染症検査の結果はいつわかりますか？カンジダ検査は即日でわかりますか？/カンジダの結果はすぐ出ますか？")</f>
        <v>性感染症検査の結果はいつわかりますか？カンジダ検査は即日でわかりますか？/カンジダの結果はすぐ出ますか？</v>
      </c>
      <c r="B477" s="31" t="str">
        <f>IFERROR(__xludf.DUMMYFUNCTION("""COMPUTED_VALUE"""),"検査結果は、項目によって判明する時期やご説明方法が異なります。
クラミジア・淋菌・マイコプラズマなどは約4～10日後にWebで確認できます。血液検査はご来院時に医師から直接結果をご説明します。")</f>
        <v>検査結果は、項目によって判明する時期やご説明方法が異なります。
クラミジア・淋菌・マイコプラズマなどは約4～10日後にWebで確認できます。血液検査はご来院時に医師から直接結果をご説明します。</v>
      </c>
      <c r="C477" s="31" t="str">
        <f>IFERROR(__xludf.DUMMYFUNCTION("""COMPUTED_VALUE"""),"性感染症検査")</f>
        <v>性感染症検査</v>
      </c>
      <c r="D477" s="31" t="str">
        <f>IFERROR(__xludf.DUMMYFUNCTION("""COMPUTED_VALUE"""),"性感染症検査,結果,判明時期")</f>
        <v>性感染症検査,結果,判明時期</v>
      </c>
      <c r="E477" s="32" t="str">
        <f>IFERROR(__xludf.DUMMYFUNCTION("""COMPUTED_VALUE"""),"https://luna-dr.com/subjects/std/")</f>
        <v>https://luna-dr.com/subjects/std/</v>
      </c>
    </row>
    <row r="478">
      <c r="A478" s="31" t="str">
        <f>IFERROR(__xludf.DUMMYFUNCTION("""COMPUTED_VALUE"""),"性感染症検査で陽性だった場合はどうなりますか？")</f>
        <v>性感染症検査で陽性だった場合はどうなりますか？</v>
      </c>
      <c r="B478" s="31" t="str">
        <f>IFERROR(__xludf.DUMMYFUNCTION("""COMPUTED_VALUE"""),"陽性の場合は、お薬の処方など速やかに治療を開始します。パートナーの治療の必要性や、完治までの注意点も医師が詳しくご説明します。")</f>
        <v>陽性の場合は、お薬の処方など速やかに治療を開始します。パートナーの治療の必要性や、完治までの注意点も医師が詳しくご説明します。</v>
      </c>
      <c r="C478" s="31" t="str">
        <f>IFERROR(__xludf.DUMMYFUNCTION("""COMPUTED_VALUE"""),"性感染症検査")</f>
        <v>性感染症検査</v>
      </c>
      <c r="D478" s="31" t="str">
        <f>IFERROR(__xludf.DUMMYFUNCTION("""COMPUTED_VALUE"""),"性感染症検査,陽性,治療")</f>
        <v>性感染症検査,陽性,治療</v>
      </c>
      <c r="E478" s="32" t="str">
        <f>IFERROR(__xludf.DUMMYFUNCTION("""COMPUTED_VALUE"""),"https://luna-dr.com/subjects/std/")</f>
        <v>https://luna-dr.com/subjects/std/</v>
      </c>
    </row>
    <row r="479">
      <c r="A479" s="31" t="str">
        <f>IFERROR(__xludf.DUMMYFUNCTION("""COMPUTED_VALUE"""),"性感染症検査に痛みはありますか？")</f>
        <v>性感染症検査に痛みはありますか？</v>
      </c>
      <c r="B479" s="31" t="str">
        <f>IFERROR(__xludf.DUMMYFUNCTION("""COMPUTED_VALUE"""),"内診台での検査は、綿棒でおりものをぬぐう程度ですので、強い痛みを感じることはほとんどありません。リラックスできるよう丁寧な声かけを心がけておりますので、ご安心ください。")</f>
        <v>内診台での検査は、綿棒でおりものをぬぐう程度ですので、強い痛みを感じることはほとんどありません。リラックスできるよう丁寧な声かけを心がけておりますので、ご安心ください。</v>
      </c>
      <c r="C479" s="31" t="str">
        <f>IFERROR(__xludf.DUMMYFUNCTION("""COMPUTED_VALUE"""),"性感染症検査")</f>
        <v>性感染症検査</v>
      </c>
      <c r="D479" s="31" t="str">
        <f>IFERROR(__xludf.DUMMYFUNCTION("""COMPUTED_VALUE"""),"性感染症検査,痛み,内診")</f>
        <v>性感染症検査,痛み,内診</v>
      </c>
      <c r="E479" s="32" t="str">
        <f>IFERROR(__xludf.DUMMYFUNCTION("""COMPUTED_VALUE"""),"https://luna-dr.com/subjects/std/")</f>
        <v>https://luna-dr.com/subjects/std/</v>
      </c>
    </row>
    <row r="480">
      <c r="A480" s="31" t="str">
        <f>IFERROR(__xludf.DUMMYFUNCTION("""COMPUTED_VALUE"""),"症状がなくても性感染症検査は受けられますか？")</f>
        <v>症状がなくても性感染症検査は受けられますか？</v>
      </c>
      <c r="B480" s="31" t="str">
        <f>IFERROR(__xludf.DUMMYFUNCTION("""COMPUTED_VALUE"""),"可能です。性感染症は自覚症状がない場合も多いため、ご不安な方や、パートナーが変わったタイミングなどで検査を受けていただくことは非常に重要です。その場合は、自費診療となります。")</f>
        <v>可能です。性感染症は自覚症状がない場合も多いため、ご不安な方や、パートナーが変わったタイミングなどで検査を受けていただくことは非常に重要です。その場合は、自費診療となります。</v>
      </c>
      <c r="C480" s="31" t="str">
        <f>IFERROR(__xludf.DUMMYFUNCTION("""COMPUTED_VALUE"""),"性感染症検査")</f>
        <v>性感染症検査</v>
      </c>
      <c r="D480" s="31" t="str">
        <f>IFERROR(__xludf.DUMMYFUNCTION("""COMPUTED_VALUE"""),"性感染症検査,無症状,自費診療")</f>
        <v>性感染症検査,無症状,自費診療</v>
      </c>
      <c r="E480" s="32" t="str">
        <f>IFERROR(__xludf.DUMMYFUNCTION("""COMPUTED_VALUE"""),"https://luna-dr.com/subjects/std/")</f>
        <v>https://luna-dr.com/subjects/std/</v>
      </c>
    </row>
    <row r="481">
      <c r="A481" s="31" t="str">
        <f>IFERROR(__xludf.DUMMYFUNCTION("""COMPUTED_VALUE"""),"性感染症検査はパートナーも一緒に検査を受けたほうがいいですか？")</f>
        <v>性感染症検査はパートナーも一緒に検査を受けたほうがいいですか？</v>
      </c>
      <c r="B481" s="31" t="str">
        <f>IFERROR(__xludf.DUMMYFUNCTION("""COMPUTED_VALUE"""),"パートナーとの検査を強くお勧めします。どちらか一方が治療しても、パートナーが感染したままだと再びうつし合ってしまう「ピンポン感染」に陥ってしまいます。ご自身に陽性が見つかった場合は、必ずパートナーにも検査と治療を受けていただくようお伝えください。当院ではオンラインのみ取り扱う男性向けの郵送検査キット「STDチェック」もご用意しております。")</f>
        <v>パートナーとの検査を強くお勧めします。どちらか一方が治療しても、パートナーが感染したままだと再びうつし合ってしまう「ピンポン感染」に陥ってしまいます。ご自身に陽性が見つかった場合は、必ずパートナーにも検査と治療を受けていただくようお伝えください。当院ではオンラインのみ取り扱う男性向けの郵送検査キット「STDチェック」もご用意しております。</v>
      </c>
      <c r="C481" s="31" t="str">
        <f>IFERROR(__xludf.DUMMYFUNCTION("""COMPUTED_VALUE"""),"性感染症検査")</f>
        <v>性感染症検査</v>
      </c>
      <c r="D481" s="31" t="str">
        <f>IFERROR(__xludf.DUMMYFUNCTION("""COMPUTED_VALUE"""),"性感染症検査,パートナー,ピンポン感染")</f>
        <v>性感染症検査,パートナー,ピンポン感染</v>
      </c>
      <c r="E481" s="32" t="str">
        <f>IFERROR(__xludf.DUMMYFUNCTION("""COMPUTED_VALUE"""),"https://luna-dr.com/subjects/std/")</f>
        <v>https://luna-dr.com/subjects/std/</v>
      </c>
    </row>
    <row r="482">
      <c r="A482" s="31" t="str">
        <f>IFERROR(__xludf.DUMMYFUNCTION("""COMPUTED_VALUE"""),"性病検査を受けたいけれど、忙しくて来院できない場合はどうすればいいですか？")</f>
        <v>性病検査を受けたいけれど、忙しくて来院できない場合はどうすればいいですか？</v>
      </c>
      <c r="B482" s="31" t="str">
        <f>IFERROR(__xludf.DUMMYFUNCTION("""COMPUTED_VALUE"""),"当院では、ご自宅で簡単に検査ができる郵送検査キット「FemCHECK（フェムチェック）」をご用意しています。Webサイトやお近くのクリニックで購入でき、クラミジアや淋菌などを調べることが可能です。万が一、陽性だった場合は、そのままオンライン診療でお薬を処方することもできますので、ぜひご活用ください。")</f>
        <v>当院では、ご自宅で簡単に検査ができる郵送検査キット「FemCHECK（フェムチェック）」をご用意しています。Webサイトやお近くのクリニックで購入でき、クラミジアや淋菌などを調べることが可能です。万が一、陽性だった場合は、そのままオンライン診療でお薬を処方することもできますので、ぜひご活用ください。</v>
      </c>
      <c r="C482" s="31" t="str">
        <f>IFERROR(__xludf.DUMMYFUNCTION("""COMPUTED_VALUE"""),"性感染症検査")</f>
        <v>性感染症検査</v>
      </c>
      <c r="D482" s="31" t="str">
        <f>IFERROR(__xludf.DUMMYFUNCTION("""COMPUTED_VALUE"""),"性感染症検査,郵送検査,FemCHECK")</f>
        <v>性感染症検査,郵送検査,FemCHECK</v>
      </c>
      <c r="E482" s="32" t="str">
        <f>IFERROR(__xludf.DUMMYFUNCTION("""COMPUTED_VALUE"""),"https://luna-dr.com/subjects/std/")</f>
        <v>https://luna-dr.com/subjects/std/</v>
      </c>
    </row>
    <row r="483">
      <c r="A483" s="31" t="str">
        <f>IFERROR(__xludf.DUMMYFUNCTION("""COMPUTED_VALUE"""),"性感染症はきちんと治りますか？")</f>
        <v>性感染症はきちんと治りますか？</v>
      </c>
      <c r="B483" s="31" t="str">
        <f>IFERROR(__xludf.DUMMYFUNCTION("""COMPUTED_VALUE"""),"ほとんどの性感染症は、お薬を正しく服用・使用することで完治します。例えばクラミジアの場合、1回の服用で治療できるお薬もあります。大切なのは、医師の指示通りに最後まで治療をやりきることと、治癒したことを確認する検査まできちんと受けることです。私たちが責任をもってサポートします。")</f>
        <v>ほとんどの性感染症は、お薬を正しく服用・使用することで完治します。例えばクラミジアの場合、1回の服用で治療できるお薬もあります。大切なのは、医師の指示通りに最後まで治療をやりきることと、治癒したことを確認する検査まできちんと受けることです。私たちが責任をもってサポートします。</v>
      </c>
      <c r="C483" s="31" t="str">
        <f>IFERROR(__xludf.DUMMYFUNCTION("""COMPUTED_VALUE"""),"性感染症検査")</f>
        <v>性感染症検査</v>
      </c>
      <c r="D483" s="31" t="str">
        <f>IFERROR(__xludf.DUMMYFUNCTION("""COMPUTED_VALUE"""),"性感染症,完治,治療")</f>
        <v>性感染症,完治,治療</v>
      </c>
      <c r="E483" s="32" t="str">
        <f>IFERROR(__xludf.DUMMYFUNCTION("""COMPUTED_VALUE"""),"https://luna-dr.com/subjects/std/")</f>
        <v>https://luna-dr.com/subjects/std/</v>
      </c>
    </row>
    <row r="484">
      <c r="A484" s="31" t="str">
        <f>IFERROR(__xludf.DUMMYFUNCTION("""COMPUTED_VALUE"""),"妊娠したかもしれない場合、いつ受診すればいいですか？")</f>
        <v>妊娠したかもしれない場合、いつ受診すればいいですか？</v>
      </c>
      <c r="B484" s="31" t="str">
        <f>IFERROR(__xludf.DUMMYFUNCTION("""COMPUTED_VALUE"""),"ルナレディースクリニックでは、市販の妊娠検査薬で陽性反応が出た後、または生理予定日から1〜2週間経過した頃の受診をおすすめしています。妊娠週数が早すぎると、超音波（エコー）検査で胎嚢が確認できない場合があるため、適切なタイミングでの受診がより正確な診断につながります。")</f>
        <v>ルナレディースクリニックでは、市販の妊娠検査薬で陽性反応が出た後、または生理予定日から1〜2週間経過した頃の受診をおすすめしています。妊娠週数が早すぎると、超音波（エコー）検査で胎嚢が確認できない場合があるため、適切なタイミングでの受診がより正確な診断につながります。</v>
      </c>
      <c r="C484" s="31" t="str">
        <f>IFERROR(__xludf.DUMMYFUNCTION("""COMPUTED_VALUE"""),"妊娠検査")</f>
        <v>妊娠検査</v>
      </c>
      <c r="D484" s="31" t="str">
        <f>IFERROR(__xludf.DUMMYFUNCTION("""COMPUTED_VALUE"""),"妊娠検査,妊娠したかも,受診タイミング")</f>
        <v>妊娠検査,妊娠したかも,受診タイミング</v>
      </c>
      <c r="E484" s="32" t="str">
        <f>IFERROR(__xludf.DUMMYFUNCTION("""COMPUTED_VALUE"""),"https://luna-dr.com/subjects/pregnancy-test/")</f>
        <v>https://luna-dr.com/subjects/pregnancy-test/</v>
      </c>
    </row>
    <row r="485">
      <c r="A485" s="31" t="str">
        <f>IFERROR(__xludf.DUMMYFUNCTION("""COMPUTED_VALUE"""),"市販の妊娠検査薬で陽性が出た")</f>
        <v>市販の妊娠検査薬で陽性が出た</v>
      </c>
      <c r="B485" s="31" t="str">
        <f>IFERROR(__xludf.DUMMYFUNCTION("""COMPUTED_VALUE"""),"ルナレディースクリニックでは、問診・尿検査・超音波（エコー）検査を行います。尿検査で妊娠反応を確認し、超音波検査では子宮内に胎嚢があるか、正常な妊娠かどうかを確認します。異所性妊娠（子宮外妊娠）の有無も確認できる重要な検査です。")</f>
        <v>ルナレディースクリニックでは、問診・尿検査・超音波（エコー）検査を行います。尿検査で妊娠反応を確認し、超音波検査では子宮内に胎嚢があるか、正常な妊娠かどうかを確認します。異所性妊娠（子宮外妊娠）の有無も確認できる重要な検査です。</v>
      </c>
      <c r="C485" s="31" t="str">
        <f>IFERROR(__xludf.DUMMYFUNCTION("""COMPUTED_VALUE"""),"妊娠検査")</f>
        <v>妊娠検査</v>
      </c>
      <c r="D485" s="31" t="str">
        <f>IFERROR(__xludf.DUMMYFUNCTION("""COMPUTED_VALUE"""),"妊娠検査,市販検査薬,エコー検査")</f>
        <v>妊娠検査,市販検査薬,エコー検査</v>
      </c>
      <c r="E485" s="32" t="str">
        <f>IFERROR(__xludf.DUMMYFUNCTION("""COMPUTED_VALUE"""),"https://luna-dr.com/subjects/pregnancy-test/")</f>
        <v>https://luna-dr.com/subjects/pregnancy-test/</v>
      </c>
    </row>
    <row r="486">
      <c r="A486" s="31" t="str">
        <f>IFERROR(__xludf.DUMMYFUNCTION("""COMPUTED_VALUE"""),"妊娠検査の費用はいくらですか？")</f>
        <v>妊娠検査の費用はいくらですか？</v>
      </c>
      <c r="B486" s="31" t="str">
        <f>IFERROR(__xludf.DUMMYFUNCTION("""COMPUTED_VALUE"""),"ルナレディースクリニックでの妊娠検査の費用は、妊娠判定（尿検査）が1,000円（税込）、超音波（エコー）検査が5,500円（税込）です。別途、初診料・再診料がかかります。")</f>
        <v>ルナレディースクリニックでの妊娠検査の費用は、妊娠判定（尿検査）が1,000円（税込）、超音波（エコー）検査が5,500円（税込）です。別途、初診料・再診料がかかります。</v>
      </c>
      <c r="C486" s="31" t="str">
        <f>IFERROR(__xludf.DUMMYFUNCTION("""COMPUTED_VALUE"""),"妊娠検査")</f>
        <v>妊娠検査</v>
      </c>
      <c r="D486" s="31" t="str">
        <f>IFERROR(__xludf.DUMMYFUNCTION("""COMPUTED_VALUE"""),"妊娠検査,費用,料金")</f>
        <v>妊娠検査,費用,料金</v>
      </c>
      <c r="E486" s="32" t="str">
        <f>IFERROR(__xludf.DUMMYFUNCTION("""COMPUTED_VALUE"""),"https://luna-dr.com/subjects/pregnancy-test/")</f>
        <v>https://luna-dr.com/subjects/pregnancy-test/</v>
      </c>
    </row>
    <row r="487">
      <c r="A487" s="31" t="str">
        <f>IFERROR(__xludf.DUMMYFUNCTION("""COMPUTED_VALUE"""),"妊娠検査は保険適用になりますか？")</f>
        <v>妊娠検査は保険適用になりますか？</v>
      </c>
      <c r="B487" s="31" t="str">
        <f>IFERROR(__xludf.DUMMYFUNCTION("""COMPUTED_VALUE"""),"ルナレディースクリニックでは、妊娠検査は原則として自費診療となります。診察内容や症状によって対応が異なる場合がありますので、医師の診察時にご説明します。")</f>
        <v>ルナレディースクリニックでは、妊娠検査は原則として自費診療となります。診察内容や症状によって対応が異なる場合がありますので、医師の診察時にご説明します。</v>
      </c>
      <c r="C487" s="31" t="str">
        <f>IFERROR(__xludf.DUMMYFUNCTION("""COMPUTED_VALUE"""),"妊娠検査")</f>
        <v>妊娠検査</v>
      </c>
      <c r="D487" s="31" t="str">
        <f>IFERROR(__xludf.DUMMYFUNCTION("""COMPUTED_VALUE"""),"妊娠検査,保険適用,自費診療")</f>
        <v>妊娠検査,保険適用,自費診療</v>
      </c>
      <c r="E487" s="32" t="str">
        <f>IFERROR(__xludf.DUMMYFUNCTION("""COMPUTED_VALUE"""),"https://luna-dr.com/subjects/pregnancy-test/")</f>
        <v>https://luna-dr.com/subjects/pregnancy-test/</v>
      </c>
    </row>
    <row r="488">
      <c r="A488" s="31" t="str">
        <f>IFERROR(__xludf.DUMMYFUNCTION("""COMPUTED_VALUE"""),"妊娠検査は初診でも受けられますか？")</f>
        <v>妊娠検査は初診でも受けられますか？</v>
      </c>
      <c r="B488" s="31" t="str">
        <f>IFERROR(__xludf.DUMMYFUNCTION("""COMPUTED_VALUE"""),"ルナレディースクリニックでは初診の方でも妊娠検査を受けていただけます。市販の妊娠検査薬で陽性が出た場合や、生理が来ない場合はお気軽にご相談ください。")</f>
        <v>ルナレディースクリニックでは初診の方でも妊娠検査を受けていただけます。市販の妊娠検査薬で陽性が出た場合や、生理が来ない場合はお気軽にご相談ください。</v>
      </c>
      <c r="C488" s="31" t="str">
        <f>IFERROR(__xludf.DUMMYFUNCTION("""COMPUTED_VALUE"""),"妊娠検査")</f>
        <v>妊娠検査</v>
      </c>
      <c r="D488" s="31" t="str">
        <f>IFERROR(__xludf.DUMMYFUNCTION("""COMPUTED_VALUE"""),"妊娠検査,初診OK,妊娠確認")</f>
        <v>妊娠検査,初診OK,妊娠確認</v>
      </c>
      <c r="E488" s="32" t="str">
        <f>IFERROR(__xludf.DUMMYFUNCTION("""COMPUTED_VALUE"""),"https://luna-dr.com/subjects/pregnancy-test/")</f>
        <v>https://luna-dr.com/subjects/pregnancy-test/</v>
      </c>
    </row>
    <row r="489">
      <c r="A489" s="31" t="str">
        <f>IFERROR(__xludf.DUMMYFUNCTION("""COMPUTED_VALUE"""),"妊娠検査はオンライン診療でもできますか？")</f>
        <v>妊娠検査はオンライン診療でもできますか？</v>
      </c>
      <c r="B489" s="31" t="str">
        <f>IFERROR(__xludf.DUMMYFUNCTION("""COMPUTED_VALUE"""),"妊娠の確定診断には超音波（エコー）検査が必要なため、ルナレディースクリニックでは妊娠検査は来院での診療のみ対応しています。")</f>
        <v>妊娠の確定診断には超音波（エコー）検査が必要なため、ルナレディースクリニックでは妊娠検査は来院での診療のみ対応しています。</v>
      </c>
      <c r="C489" s="31" t="str">
        <f>IFERROR(__xludf.DUMMYFUNCTION("""COMPUTED_VALUE"""),"妊娠検査")</f>
        <v>妊娠検査</v>
      </c>
      <c r="D489" s="31" t="str">
        <f>IFERROR(__xludf.DUMMYFUNCTION("""COMPUTED_VALUE"""),"妊娠検査,オンライン診療,来院必須")</f>
        <v>妊娠検査,オンライン診療,来院必須</v>
      </c>
      <c r="E489" s="32" t="str">
        <f>IFERROR(__xludf.DUMMYFUNCTION("""COMPUTED_VALUE"""),"https://luna-dr.com/subjects/pregnancy-test/")</f>
        <v>https://luna-dr.com/subjects/pregnancy-test/</v>
      </c>
    </row>
    <row r="490">
      <c r="A490" s="31" t="str">
        <f>IFERROR(__xludf.DUMMYFUNCTION("""COMPUTED_VALUE"""),"他院で妊娠の診察を受けていますが、こちらでも診てもらえますか？")</f>
        <v>他院で妊娠の診察を受けていますが、こちらでも診てもらえますか？</v>
      </c>
      <c r="B490" s="31" t="str">
        <f>IFERROR(__xludf.DUMMYFUNCTION("""COMPUTED_VALUE"""),"当院では妊娠12週までの方の診察を承っておりますが、すでに他の医療機関にて妊娠経過の診察を受けておられる方につきましては、当院で妊娠の経過を把握することが難しいため、原則として、これまで通院されている医療機関（かかりつけ医）でのご受診をお願いいたします。")</f>
        <v>当院では妊娠12週までの方の診察を承っておりますが、すでに他の医療機関にて妊娠経過の診察を受けておられる方につきましては、当院で妊娠の経過を把握することが難しいため、原則として、これまで通院されている医療機関（かかりつけ医）でのご受診をお願いいたします。</v>
      </c>
      <c r="C490" s="31" t="str">
        <f>IFERROR(__xludf.DUMMYFUNCTION("""COMPUTED_VALUE"""),"妊娠検査")</f>
        <v>妊娠検査</v>
      </c>
      <c r="D490" s="31" t="str">
        <f>IFERROR(__xludf.DUMMYFUNCTION("""COMPUTED_VALUE"""),"妊娠検査,転院,他院通院中")</f>
        <v>妊娠検査,転院,他院通院中</v>
      </c>
      <c r="E490" s="32" t="str">
        <f>IFERROR(__xludf.DUMMYFUNCTION("""COMPUTED_VALUE"""),"https://luna-dr.com/subjects/pregnancy-test/")</f>
        <v>https://luna-dr.com/subjects/pregnancy-test/</v>
      </c>
    </row>
    <row r="491">
      <c r="A491" s="31" t="str">
        <f>IFERROR(__xludf.DUMMYFUNCTION("""COMPUTED_VALUE"""),"妊娠検査の診察はどのような流れで行われますか？")</f>
        <v>妊娠検査の診察はどのような流れで行われますか？</v>
      </c>
      <c r="B491" s="31" t="str">
        <f>IFERROR(__xludf.DUMMYFUNCTION("""COMPUTED_VALUE"""),"当院での妊娠検査は、ご来院いただき、①ご予約・WEB問診、②受付・尿検査、③医師による診察・超音波（エコー）検査、④診断結果のご説明と今後のご案内、⑤お会計、という流れで行います。事前にWEB問診をご利用いただくことで、院内での待ち時間を短縮し、スムーズにご案内できます。")</f>
        <v>当院での妊娠検査は、ご来院いただき、①ご予約・WEB問診、②受付・尿検査、③医師による診察・超音波（エコー）検査、④診断結果のご説明と今後のご案内、⑤お会計、という流れで行います。事前にWEB問診をご利用いただくことで、院内での待ち時間を短縮し、スムーズにご案内できます。</v>
      </c>
      <c r="C491" s="31" t="str">
        <f>IFERROR(__xludf.DUMMYFUNCTION("""COMPUTED_VALUE"""),"妊娠検査")</f>
        <v>妊娠検査</v>
      </c>
      <c r="D491" s="31" t="str">
        <f>IFERROR(__xludf.DUMMYFUNCTION("""COMPUTED_VALUE"""),"妊娠検査,診察の流れ,エコー検査")</f>
        <v>妊娠検査,診察の流れ,エコー検査</v>
      </c>
      <c r="E491" s="32" t="str">
        <f>IFERROR(__xludf.DUMMYFUNCTION("""COMPUTED_VALUE"""),"https://luna-dr.com/subjects/pregnancy-test/")</f>
        <v>https://luna-dr.com/subjects/pregnancy-test/</v>
      </c>
    </row>
    <row r="492">
      <c r="A492" s="31" t="str">
        <f>IFERROR(__xludf.DUMMYFUNCTION("""COMPUTED_VALUE"""),"妊娠検査の予約はどうすればいいですか？")</f>
        <v>妊娠検査の予約はどうすればいいですか？</v>
      </c>
      <c r="B492" s="31" t="str">
        <f>IFERROR(__xludf.DUMMYFUNCTION("""COMPUTED_VALUE"""),"妊娠検査は、公式LINEからご予約ください。LINEはこちら→https://cline-app.com/qr-codes/98ad6f149bfa20f4f2a9a2e91aac4187/preview")</f>
        <v>妊娠検査は、公式LINEからご予約ください。LINEはこちら→https://cline-app.com/qr-codes/98ad6f149bfa20f4f2a9a2e91aac4187/preview</v>
      </c>
      <c r="C492" s="31" t="str">
        <f>IFERROR(__xludf.DUMMYFUNCTION("""COMPUTED_VALUE"""),"妊娠検査")</f>
        <v>妊娠検査</v>
      </c>
      <c r="D492" s="31" t="str">
        <f>IFERROR(__xludf.DUMMYFUNCTION("""COMPUTED_VALUE"""),"妊娠検査,予約方法,LINE予約")</f>
        <v>妊娠検査,予約方法,LINE予約</v>
      </c>
      <c r="E492" s="32" t="str">
        <f>IFERROR(__xludf.DUMMYFUNCTION("""COMPUTED_VALUE"""),"https://luna-dr.com/subjects/pregnancy-test/")</f>
        <v>https://luna-dr.com/subjects/pregnancy-test/</v>
      </c>
    </row>
    <row r="493">
      <c r="A493" s="31" t="str">
        <f>IFERROR(__xludf.DUMMYFUNCTION("""COMPUTED_VALUE"""),"妊娠検査はどうやって予約しますか？")</f>
        <v>妊娠検査はどうやって予約しますか？</v>
      </c>
      <c r="B493" s="31" t="str">
        <f>IFERROR(__xludf.DUMMYFUNCTION("""COMPUTED_VALUE"""),"妊娠検査のご予約は公式LINEから受け付けています。ご予約は「妊娠検査」のメニューからお取りください。→https://cline-app.com/qr-codes/5281ce9ad8d178106e15ddf61c996e66/previewpage?utm_customid=977137868.1765506771-176673049")</f>
        <v>妊娠検査のご予約は公式LINEから受け付けています。ご予約は「妊娠検査」のメニューからお取りください。→https://cline-app.com/qr-codes/5281ce9ad8d178106e15ddf61c996e66/previewpage?utm_customid=977137868.1765506771-176673049</v>
      </c>
      <c r="C493" s="31" t="str">
        <f>IFERROR(__xludf.DUMMYFUNCTION("""COMPUTED_VALUE"""),"妊娠検査")</f>
        <v>妊娠検査</v>
      </c>
      <c r="D493" s="31" t="str">
        <f>IFERROR(__xludf.DUMMYFUNCTION("""COMPUTED_VALUE"""),"予約方法,LINE,電話,妊娠検査")</f>
        <v>予約方法,LINE,電話,妊娠検査</v>
      </c>
      <c r="E493" s="32" t="str">
        <f>IFERROR(__xludf.DUMMYFUNCTION("""COMPUTED_VALUE"""),"https://luna-dr.com/subjects/pregnancy-test/")</f>
        <v>https://luna-dr.com/subjects/pregnancy-test/</v>
      </c>
    </row>
    <row r="494">
      <c r="A494" s="31" t="str">
        <f>IFERROR(__xludf.DUMMYFUNCTION("""COMPUTED_VALUE"""),"妊娠検査はLINEから予約できますか？")</f>
        <v>妊娠検査はLINEから予約できますか？</v>
      </c>
      <c r="B494" s="31" t="str">
        <f>IFERROR(__xludf.DUMMYFUNCTION("""COMPUTED_VALUE"""),"公式LINEから24時間いつでも予約できます。ご予約は「妊娠検査」のメニューからお取りください。→https://cline-app.com/qr-codes/5281ce9ad8d178106e15ddf61c996e66/previewpage?utm_customid=977137868.1765506771-176673049")</f>
        <v>公式LINEから24時間いつでも予約できます。ご予約は「妊娠検査」のメニューからお取りください。→https://cline-app.com/qr-codes/5281ce9ad8d178106e15ddf61c996e66/previewpage?utm_customid=977137868.1765506771-176673049</v>
      </c>
      <c r="C494" s="31" t="str">
        <f>IFERROR(__xludf.DUMMYFUNCTION("""COMPUTED_VALUE"""),"妊娠検査")</f>
        <v>妊娠検査</v>
      </c>
      <c r="D494" s="31" t="str">
        <f>IFERROR(__xludf.DUMMYFUNCTION("""COMPUTED_VALUE"""),"LINE予約,婦人科予約,妊娠検査")</f>
        <v>LINE予約,婦人科予約,妊娠検査</v>
      </c>
      <c r="E494" s="32" t="str">
        <f>IFERROR(__xludf.DUMMYFUNCTION("""COMPUTED_VALUE"""),"https://luna-dr.com/subjects/pregnancy-test/")</f>
        <v>https://luna-dr.com/subjects/pregnancy-test/</v>
      </c>
    </row>
    <row r="495">
      <c r="A495" s="31" t="str">
        <f>IFERROR(__xludf.DUMMYFUNCTION("""COMPUTED_VALUE"""),"妊娠検査は電話でも予約できますか？")</f>
        <v>妊娠検査は電話でも予約できますか？</v>
      </c>
      <c r="B495" s="31" t="str">
        <f>IFERROR(__xludf.DUMMYFUNCTION("""COMPUTED_VALUE"""),"LINEでの予約後、事前問診等もLINEから行うことができ、スムーズに受診ができるため、当院ではLINEでのご予約を推奨しております。
ご予約は「妊娠検査」のメニューからお取りください。→https://cline-app.com/qr-codes/5281ce9ad8d178106e15ddf61c996e66/previewpage?utm_customid=977137868.1765506771-176673049")</f>
        <v>LINEでの予約後、事前問診等もLINEから行うことができ、スムーズに受診ができるため、当院ではLINEでのご予約を推奨しております。
ご予約は「妊娠検査」のメニューからお取りください。→https://cline-app.com/qr-codes/5281ce9ad8d178106e15ddf61c996e66/previewpage?utm_customid=977137868.1765506771-176673049</v>
      </c>
      <c r="C495" s="31" t="str">
        <f>IFERROR(__xludf.DUMMYFUNCTION("""COMPUTED_VALUE"""),"妊娠検査")</f>
        <v>妊娠検査</v>
      </c>
      <c r="D495" s="31" t="str">
        <f>IFERROR(__xludf.DUMMYFUNCTION("""COMPUTED_VALUE"""),"電話予約,問い合わせ,妊娠検査")</f>
        <v>電話予約,問い合わせ,妊娠検査</v>
      </c>
      <c r="E495" s="32" t="str">
        <f>IFERROR(__xludf.DUMMYFUNCTION("""COMPUTED_VALUE"""),"https://luna-dr.com/subjects/pregnancy-test/")</f>
        <v>https://luna-dr.com/subjects/pregnancy-test/</v>
      </c>
    </row>
    <row r="496">
      <c r="A496" s="31" t="str">
        <f>IFERROR(__xludf.DUMMYFUNCTION("""COMPUTED_VALUE"""),"妊娠検査の予約前に準備しておくことはありますか？")</f>
        <v>妊娠検査の予約前に準備しておくことはありますか？</v>
      </c>
      <c r="B496" s="31" t="str">
        <f>IFERROR(__xludf.DUMMYFUNCTION("""COMPUTED_VALUE"""),"ルナレディースクリニックでは、診察前にWEB問診の入力をお願いしています。事前にご入力いただくと診察がスムーズです。")</f>
        <v>ルナレディースクリニックでは、診察前にWEB問診の入力をお願いしています。事前にご入力いただくと診察がスムーズです。</v>
      </c>
      <c r="C496" s="31" t="str">
        <f>IFERROR(__xludf.DUMMYFUNCTION("""COMPUTED_VALUE"""),"妊娠検査")</f>
        <v>妊娠検査</v>
      </c>
      <c r="D496" s="31" t="str">
        <f>IFERROR(__xludf.DUMMYFUNCTION("""COMPUTED_VALUE"""),"WEB問診,事前準備,妊娠検査")</f>
        <v>WEB問診,事前準備,妊娠検査</v>
      </c>
      <c r="E496" s="32" t="str">
        <f>IFERROR(__xludf.DUMMYFUNCTION("""COMPUTED_VALUE"""),"https://luna-dr.com/subjects/pregnancy-test/")</f>
        <v>https://luna-dr.com/subjects/pregnancy-test/</v>
      </c>
    </row>
    <row r="497">
      <c r="A497" s="31" t="str">
        <f>IFERROR(__xludf.DUMMYFUNCTION("""COMPUTED_VALUE"""),"妊娠検査は初診でも予約できますか？")</f>
        <v>妊娠検査は初診でも予約できますか？</v>
      </c>
      <c r="B497" s="31" t="str">
        <f>IFERROR(__xludf.DUMMYFUNCTION("""COMPUTED_VALUE"""),"妊娠検査は初診の方もご予約いただけます。ご予約は公式LINEから受け付けておりますので、友だち追加の上ご利用ください。
ご予約は「妊娠検査」のメニューからお取りください。→https://cline-app.com/qr-codes/5281ce9ad8d178106e15ddf61c996e66/previewpage?utm_customid=977137868.1765506771-176673049")</f>
        <v>妊娠検査は初診の方もご予約いただけます。ご予約は公式LINEから受け付けておりますので、友だち追加の上ご利用ください。
ご予約は「妊娠検査」のメニューからお取りください。→https://cline-app.com/qr-codes/5281ce9ad8d178106e15ddf61c996e66/previewpage?utm_customid=977137868.1765506771-176673049</v>
      </c>
      <c r="C497" s="31" t="str">
        <f>IFERROR(__xludf.DUMMYFUNCTION("""COMPUTED_VALUE"""),"妊娠検査")</f>
        <v>妊娠検査</v>
      </c>
      <c r="D497" s="31" t="str">
        <f>IFERROR(__xludf.DUMMYFUNCTION("""COMPUTED_VALUE"""),"初診,予約,妊娠検査")</f>
        <v>初診,予約,妊娠検査</v>
      </c>
      <c r="E497" s="32" t="str">
        <f>IFERROR(__xludf.DUMMYFUNCTION("""COMPUTED_VALUE"""),"https://luna-dr.com/subjects/pregnancy-test/")</f>
        <v>https://luna-dr.com/subjects/pregnancy-test/</v>
      </c>
    </row>
    <row r="498">
      <c r="A498" s="31" t="str">
        <f>IFERROR(__xludf.DUMMYFUNCTION("""COMPUTED_VALUE"""),"妊娠検査は来院とオンライン、どちらで予約できますか？")</f>
        <v>妊娠検査は来院とオンライン、どちらで予約できますか？</v>
      </c>
      <c r="B498" s="31" t="str">
        <f>IFERROR(__xludf.DUMMYFUNCTION("""COMPUTED_VALUE"""),"ルナレディースクリニックでは、妊娠検査のご相談は来院診療のみで承っています。
ご予約は「妊娠検査」のメニューからお取りください。→https://cline-app.com/qr-codes/5281ce9ad8d178106e15ddf61c996e66/previewpage?utm_customid=977137868.1765506771-176673049")</f>
        <v>ルナレディースクリニックでは、妊娠検査のご相談は来院診療のみで承っています。
ご予約は「妊娠検査」のメニューからお取りください。→https://cline-app.com/qr-codes/5281ce9ad8d178106e15ddf61c996e66/previewpage?utm_customid=977137868.1765506771-176673049</v>
      </c>
      <c r="C498" s="31" t="str">
        <f>IFERROR(__xludf.DUMMYFUNCTION("""COMPUTED_VALUE"""),"妊娠検査")</f>
        <v>妊娠検査</v>
      </c>
      <c r="D498" s="31" t="str">
        <f>IFERROR(__xludf.DUMMYFUNCTION("""COMPUTED_VALUE"""),"来院診療,オンライン診療,妊娠検査")</f>
        <v>来院診療,オンライン診療,妊娠検査</v>
      </c>
      <c r="E498" s="32" t="str">
        <f>IFERROR(__xludf.DUMMYFUNCTION("""COMPUTED_VALUE"""),"https://luna-dr.com/subjects/pregnancy-test/")</f>
        <v>https://luna-dr.com/subjects/pregnancy-test/</v>
      </c>
    </row>
    <row r="499">
      <c r="A499" s="31" t="str">
        <f>IFERROR(__xludf.DUMMYFUNCTION("""COMPUTED_VALUE"""),"予約なしでも妊娠検査は受けられますか？")</f>
        <v>予約なしでも妊娠検査は受けられますか？</v>
      </c>
      <c r="B499" s="31" t="str">
        <f>IFERROR(__xludf.DUMMYFUNCTION("""COMPUTED_VALUE"""),"直接のご来院でも可能ですが、待ち時間が発生する場合があります。事前にご予約をいただくことでスムーズに診察に進むことができます。
ご予約は公式LINEから受け付けています。ご予約は「妊娠検査」のメニューからお取りください。→https://cline-app.com/qr-codes/5281ce9ad8d178106e15ddf61c996e66/previewpage?utm_customid=977137868.1765506771-176673049")</f>
        <v>直接のご来院でも可能ですが、待ち時間が発生する場合があります。事前にご予約をいただくことでスムーズに診察に進むことができます。
ご予約は公式LINEから受け付けています。ご予約は「妊娠検査」のメニューからお取りください。→https://cline-app.com/qr-codes/5281ce9ad8d178106e15ddf61c996e66/previewpage?utm_customid=977137868.1765506771-176673049</v>
      </c>
      <c r="C499" s="31" t="str">
        <f>IFERROR(__xludf.DUMMYFUNCTION("""COMPUTED_VALUE"""),"妊娠検査")</f>
        <v>妊娠検査</v>
      </c>
      <c r="D499" s="31" t="str">
        <f>IFERROR(__xludf.DUMMYFUNCTION("""COMPUTED_VALUE"""),"妊娠検査検査,予約なし")</f>
        <v>妊娠検査検査,予約なし</v>
      </c>
      <c r="E499" s="32" t="str">
        <f>IFERROR(__xludf.DUMMYFUNCTION("""COMPUTED_VALUE"""),"https://luna-dr.com/subjects/pregnancy-test/")</f>
        <v>https://luna-dr.com/subjects/pregnancy-test/</v>
      </c>
    </row>
    <row r="500">
      <c r="A500" s="31" t="str">
        <f>IFERROR(__xludf.DUMMYFUNCTION("""COMPUTED_VALUE"""),"妊娠検査では最初に何をしますか？")</f>
        <v>妊娠検査では最初に何をしますか？</v>
      </c>
      <c r="B500" s="31" t="str">
        <f>IFERROR(__xludf.DUMMYFUNCTION("""COMPUTED_VALUE"""),"ご来院後、受付でご本人確認を行った後、妊娠反応を調べるために院内で尿検査を行います。")</f>
        <v>ご来院後、受付でご本人確認を行った後、妊娠反応を調べるために院内で尿検査を行います。</v>
      </c>
      <c r="C500" s="31" t="str">
        <f>IFERROR(__xludf.DUMMYFUNCTION("""COMPUTED_VALUE"""),"妊娠検査")</f>
        <v>妊娠検査</v>
      </c>
      <c r="D500" s="31" t="str">
        <f>IFERROR(__xludf.DUMMYFUNCTION("""COMPUTED_VALUE"""),"妊娠検査,尿検査,初診")</f>
        <v>妊娠検査,尿検査,初診</v>
      </c>
      <c r="E500" s="32" t="str">
        <f>IFERROR(__xludf.DUMMYFUNCTION("""COMPUTED_VALUE"""),"https://luna-dr.com/subjects/pregnancy-test/")</f>
        <v>https://luna-dr.com/subjects/pregnancy-test/</v>
      </c>
    </row>
    <row r="501">
      <c r="A501" s="31" t="str">
        <f>IFERROR(__xludf.DUMMYFUNCTION("""COMPUTED_VALUE"""),"妊娠検査ではエコー検査は行いますか？")</f>
        <v>妊娠検査ではエコー検査は行いますか？</v>
      </c>
      <c r="B501" s="31" t="str">
        <f>IFERROR(__xludf.DUMMYFUNCTION("""COMPUTED_VALUE"""),"問診内容と尿検査の結果をもとに、医師が膣からの超音波（エコー）検査を行い、子宮内の様子を確認します。正常な妊娠かどうか、異所性妊娠の可能性がないかを診断します。")</f>
        <v>問診内容と尿検査の結果をもとに、医師が膣からの超音波（エコー）検査を行い、子宮内の様子を確認します。正常な妊娠かどうか、異所性妊娠の可能性がないかを診断します。</v>
      </c>
      <c r="C501" s="31" t="str">
        <f>IFERROR(__xludf.DUMMYFUNCTION("""COMPUTED_VALUE"""),"妊娠検査")</f>
        <v>妊娠検査</v>
      </c>
      <c r="D501" s="31" t="str">
        <f>IFERROR(__xludf.DUMMYFUNCTION("""COMPUTED_VALUE"""),"妊娠検査,エコー検査,超音波")</f>
        <v>妊娠検査,エコー検査,超音波</v>
      </c>
      <c r="E501" s="32" t="str">
        <f>IFERROR(__xludf.DUMMYFUNCTION("""COMPUTED_VALUE"""),"https://luna-dr.com/subjects/pregnancy-test/")</f>
        <v>https://luna-dr.com/subjects/pregnancy-test/</v>
      </c>
    </row>
    <row r="502">
      <c r="A502" s="31" t="str">
        <f>IFERROR(__xludf.DUMMYFUNCTION("""COMPUTED_VALUE"""),"妊娠検査の結果はどのように説明されますか？")</f>
        <v>妊娠検査の結果はどのように説明されますか？</v>
      </c>
      <c r="B502" s="31" t="str">
        <f>IFERROR(__xludf.DUMMYFUNCTION("""COMPUTED_VALUE"""),"検査結果については、モニターの映像をお見せしながら、医師が分かりやすくご説明します。正常な妊娠が確認できた場合は、今後の妊婦健診のスケジュールについてもご案内します。")</f>
        <v>検査結果については、モニターの映像をお見せしながら、医師が分かりやすくご説明します。正常な妊娠が確認できた場合は、今後の妊婦健診のスケジュールについてもご案内します。</v>
      </c>
      <c r="C502" s="31" t="str">
        <f>IFERROR(__xludf.DUMMYFUNCTION("""COMPUTED_VALUE"""),"妊娠検査")</f>
        <v>妊娠検査</v>
      </c>
      <c r="D502" s="31" t="str">
        <f>IFERROR(__xludf.DUMMYFUNCTION("""COMPUTED_VALUE"""),"妊娠検査,結果説明,妊婦健診")</f>
        <v>妊娠検査,結果説明,妊婦健診</v>
      </c>
      <c r="E502" s="32" t="str">
        <f>IFERROR(__xludf.DUMMYFUNCTION("""COMPUTED_VALUE"""),"https://luna-dr.com/subjects/pregnancy-test/")</f>
        <v>https://luna-dr.com/subjects/pregnancy-test/</v>
      </c>
    </row>
    <row r="503">
      <c r="A503" s="31" t="str">
        <f>IFERROR(__xludf.DUMMYFUNCTION("""COMPUTED_VALUE"""),"妊娠検査の当日はどこまで進みますか？")</f>
        <v>妊娠検査の当日はどこまで進みますか？</v>
      </c>
      <c r="B503" s="31" t="str">
        <f>IFERROR(__xludf.DUMMYFUNCTION("""COMPUTED_VALUE"""),"妊娠検査当日は、尿検査と超音波（エコー）検査による妊娠の確認まで行います。正常な妊娠が確認できた場合は、今後の流れや妊婦健診についてご説明します。")</f>
        <v>妊娠検査当日は、尿検査と超音波（エコー）検査による妊娠の確認まで行います。正常な妊娠が確認できた場合は、今後の流れや妊婦健診についてご説明します。</v>
      </c>
      <c r="C503" s="31" t="str">
        <f>IFERROR(__xludf.DUMMYFUNCTION("""COMPUTED_VALUE"""),"妊娠検査")</f>
        <v>妊娠検査</v>
      </c>
      <c r="D503" s="31" t="str">
        <f>IFERROR(__xludf.DUMMYFUNCTION("""COMPUTED_VALUE"""),"妊娠検査,初診当日,どこまで")</f>
        <v>妊娠検査,初診当日,どこまで</v>
      </c>
      <c r="E503" s="32" t="str">
        <f>IFERROR(__xludf.DUMMYFUNCTION("""COMPUTED_VALUE"""),"https://luna-dr.com/subjects/pregnancy-test/")</f>
        <v>https://luna-dr.com/subjects/pregnancy-test/</v>
      </c>
    </row>
    <row r="504">
      <c r="A504" s="31" t="str">
        <f>IFERROR(__xludf.DUMMYFUNCTION("""COMPUTED_VALUE"""),"妊娠検査後のお会計はいつ行いますか？")</f>
        <v>妊娠検査後のお会計はいつ行いますか？</v>
      </c>
      <c r="B504" s="31" t="str">
        <f>IFERROR(__xludf.DUMMYFUNCTION("""COMPUTED_VALUE"""),"診察と結果説明が終了した後にお会計となります。母子手帳の受け取り方など、ご不明点があればお会計時にご相談いただけます。")</f>
        <v>診察と結果説明が終了した後にお会計となります。母子手帳の受け取り方など、ご不明点があればお会計時にご相談いただけます。</v>
      </c>
      <c r="C504" s="31" t="str">
        <f>IFERROR(__xludf.DUMMYFUNCTION("""COMPUTED_VALUE"""),"妊娠検査")</f>
        <v>妊娠検査</v>
      </c>
      <c r="D504" s="31" t="str">
        <f>IFERROR(__xludf.DUMMYFUNCTION("""COMPUTED_VALUE"""),"妊娠検査,支払い,会計")</f>
        <v>妊娠検査,支払い,会計</v>
      </c>
      <c r="E504" s="32" t="str">
        <f>IFERROR(__xludf.DUMMYFUNCTION("""COMPUTED_VALUE"""),"https://luna-dr.com/subjects/pregnancy-test/")</f>
        <v>https://luna-dr.com/subjects/pregnancy-test/</v>
      </c>
    </row>
    <row r="505">
      <c r="A505" s="31" t="str">
        <f>IFERROR(__xludf.DUMMYFUNCTION("""COMPUTED_VALUE"""),"妊娠検査で陽性だった場合、その後どうなりますか？")</f>
        <v>妊娠検査で陽性だった場合、その後どうなりますか？</v>
      </c>
      <c r="B505" s="31" t="str">
        <f>IFERROR(__xludf.DUMMYFUNCTION("""COMPUTED_VALUE"""),"当院で正常な妊娠が確認された後は、お住まいの市区町村で母子健康手帳を受け取り、その後、定期的な妊婦健診が始まります。当院では分娩は行っていないため、分娩施設への紹介状を作成いたします。紹介先の医療機関は患者さまご自身でお探しいただいております。")</f>
        <v>当院で正常な妊娠が確認された後は、お住まいの市区町村で母子健康手帳を受け取り、その後、定期的な妊婦健診が始まります。当院では分娩は行っていないため、分娩施設への紹介状を作成いたします。紹介先の医療機関は患者さまご自身でお探しいただいております。</v>
      </c>
      <c r="C505" s="31" t="str">
        <f>IFERROR(__xludf.DUMMYFUNCTION("""COMPUTED_VALUE"""),"妊娠検査")</f>
        <v>妊娠検査</v>
      </c>
      <c r="D505" s="31" t="str">
        <f>IFERROR(__xludf.DUMMYFUNCTION("""COMPUTED_VALUE"""),"妊娠検査,陽性後の流れ,母子手帳")</f>
        <v>妊娠検査,陽性後の流れ,母子手帳</v>
      </c>
      <c r="E505" s="32" t="str">
        <f>IFERROR(__xludf.DUMMYFUNCTION("""COMPUTED_VALUE"""),"https://luna-dr.com/subjects/pregnancy-test/")</f>
        <v>https://luna-dr.com/subjects/pregnancy-test/</v>
      </c>
    </row>
    <row r="506">
      <c r="A506" s="31" t="str">
        <f>IFERROR(__xludf.DUMMYFUNCTION("""COMPUTED_VALUE"""),"妊娠検査薬で陽性が出たら、いつ受診すればいいですか？")</f>
        <v>妊娠検査薬で陽性が出たら、いつ受診すればいいですか？</v>
      </c>
      <c r="B506" s="31" t="str">
        <f>IFERROR(__xludf.DUMMYFUNCTION("""COMPUTED_VALUE"""),"生理予定日から1〜2週間後が、超音波検査で胎嚢が確認しやすいタイミングです。ただし、出血や腹痛がある場合や不安が強い場合は、早めにご相談ください。")</f>
        <v>生理予定日から1〜2週間後が、超音波検査で胎嚢が確認しやすいタイミングです。ただし、出血や腹痛がある場合や不安が強い場合は、早めにご相談ください。</v>
      </c>
      <c r="C506" s="31" t="str">
        <f>IFERROR(__xludf.DUMMYFUNCTION("""COMPUTED_VALUE"""),"妊娠検査")</f>
        <v>妊娠検査</v>
      </c>
      <c r="D506" s="31" t="str">
        <f>IFERROR(__xludf.DUMMYFUNCTION("""COMPUTED_VALUE"""),"妊娠検査,受診タイミング,陽性")</f>
        <v>妊娠検査,受診タイミング,陽性</v>
      </c>
      <c r="E506" s="32" t="str">
        <f>IFERROR(__xludf.DUMMYFUNCTION("""COMPUTED_VALUE"""),"https://luna-dr.com/subjects/pregnancy-test/")</f>
        <v>https://luna-dr.com/subjects/pregnancy-test/</v>
      </c>
    </row>
    <row r="507">
      <c r="A507" s="31" t="str">
        <f>IFERROR(__xludf.DUMMYFUNCTION("""COMPUTED_VALUE"""),"妊娠検査の費用はいくらですか？保険は使えますか？")</f>
        <v>妊娠検査の費用はいくらですか？保険は使えますか？</v>
      </c>
      <c r="B507" s="31" t="str">
        <f>IFERROR(__xludf.DUMMYFUNCTION("""COMPUTED_VALUE"""),"妊娠検査は自費診療となり、健康保険は使用できません。費用は妊娠判定（尿検査）1,000円（税込）、超音波（エコー）検査5,500円（税込）が目安となります。万が一、異所性妊娠などの異常が見つかった場合は、その後の治療は保険適用となります。")</f>
        <v>妊娠検査は自費診療となり、健康保険は使用できません。費用は妊娠判定（尿検査）1,000円（税込）、超音波（エコー）検査5,500円（税込）が目安となります。万が一、異所性妊娠などの異常が見つかった場合は、その後の治療は保険適用となります。</v>
      </c>
      <c r="C507" s="31" t="str">
        <f>IFERROR(__xludf.DUMMYFUNCTION("""COMPUTED_VALUE"""),"妊娠検査")</f>
        <v>妊娠検査</v>
      </c>
      <c r="D507" s="31" t="str">
        <f>IFERROR(__xludf.DUMMYFUNCTION("""COMPUTED_VALUE"""),"妊娠検査,費用,保険適用")</f>
        <v>妊娠検査,費用,保険適用</v>
      </c>
      <c r="E507" s="32" t="str">
        <f>IFERROR(__xludf.DUMMYFUNCTION("""COMPUTED_VALUE"""),"https://luna-dr.com/subjects/pregnancy-test/")</f>
        <v>https://luna-dr.com/subjects/pregnancy-test/</v>
      </c>
    </row>
    <row r="508">
      <c r="A508" s="31" t="str">
        <f>IFERROR(__xludf.DUMMYFUNCTION("""COMPUTED_VALUE"""),"妊娠検査の診察では内診はありますか？痛みはありますか？")</f>
        <v>妊娠検査の診察では内診はありますか？痛みはありますか？</v>
      </c>
      <c r="B508" s="31" t="str">
        <f>IFERROR(__xludf.DUMMYFUNCTION("""COMPUTED_VALUE"""),"主に問診と、膣からの超音波（エコー）検査を行います。力を抜いてリラックスしていただければ、痛みはほとんどありません。医師やスタッフが丁寧にお声がけしながら進めますのでご安心ください。")</f>
        <v>主に問診と、膣からの超音波（エコー）検査を行います。力を抜いてリラックスしていただければ、痛みはほとんどありません。医師やスタッフが丁寧にお声がけしながら進めますのでご安心ください。</v>
      </c>
      <c r="C508" s="31" t="str">
        <f>IFERROR(__xludf.DUMMYFUNCTION("""COMPUTED_VALUE"""),"妊娠検査")</f>
        <v>妊娠検査</v>
      </c>
      <c r="D508" s="31" t="str">
        <f>IFERROR(__xludf.DUMMYFUNCTION("""COMPUTED_VALUE"""),"妊娠検査,内診,痛み")</f>
        <v>妊娠検査,内診,痛み</v>
      </c>
      <c r="E508" s="32" t="str">
        <f>IFERROR(__xludf.DUMMYFUNCTION("""COMPUTED_VALUE"""),"https://luna-dr.com/subjects/pregnancy-test/")</f>
        <v>https://luna-dr.com/subjects/pregnancy-test/</v>
      </c>
    </row>
    <row r="509">
      <c r="A509" s="31" t="str">
        <f>IFERROR(__xludf.DUMMYFUNCTION("""COMPUTED_VALUE"""),"妊娠検査の持ち物はありますか？")</f>
        <v>妊娠検査の持ち物はありますか？</v>
      </c>
      <c r="B509" s="31" t="str">
        <f>IFERROR(__xludf.DUMMYFUNCTION("""COMPUTED_VALUE"""),"健康保険証をご持参ください。また、基礎体温を測っている方は、基礎体温表をお持ちいただくと診察の参考になります。")</f>
        <v>健康保険証をご持参ください。また、基礎体温を測っている方は、基礎体温表をお持ちいただくと診察の参考になります。</v>
      </c>
      <c r="C509" s="31" t="str">
        <f>IFERROR(__xludf.DUMMYFUNCTION("""COMPUTED_VALUE"""),"妊娠検査")</f>
        <v>妊娠検査</v>
      </c>
      <c r="D509" s="31" t="str">
        <f>IFERROR(__xludf.DUMMYFUNCTION("""COMPUTED_VALUE"""),"妊娠検査,持ち物,初診準備")</f>
        <v>妊娠検査,持ち物,初診準備</v>
      </c>
      <c r="E509" s="32" t="str">
        <f>IFERROR(__xludf.DUMMYFUNCTION("""COMPUTED_VALUE"""),"https://luna-dr.com/subjects/pregnancy-test/")</f>
        <v>https://luna-dr.com/subjects/pregnancy-test/</v>
      </c>
    </row>
    <row r="510">
      <c r="A510" s="31" t="str">
        <f>IFERROR(__xludf.DUMMYFUNCTION("""COMPUTED_VALUE"""),"パートナーと一緒に妊娠検査を受けられますか？")</f>
        <v>パートナーと一緒に妊娠検査を受けられますか？</v>
      </c>
      <c r="B510" s="31" t="str">
        <f>IFERROR(__xludf.DUMMYFUNCTION("""COMPUTED_VALUE"""),"申し訳ございませんが、当院では男性の同伴をご遠慮いただいております。あらかじめご了承ください。")</f>
        <v>申し訳ございませんが、当院では男性の同伴をご遠慮いただいております。あらかじめご了承ください。</v>
      </c>
      <c r="C510" s="31" t="str">
        <f>IFERROR(__xludf.DUMMYFUNCTION("""COMPUTED_VALUE"""),"妊娠検査")</f>
        <v>妊娠検査</v>
      </c>
      <c r="D510" s="31" t="str">
        <f>IFERROR(__xludf.DUMMYFUNCTION("""COMPUTED_VALUE"""),"妊娠検査,同伴,パートナー")</f>
        <v>妊娠検査,同伴,パートナー</v>
      </c>
      <c r="E510" s="32" t="str">
        <f>IFERROR(__xludf.DUMMYFUNCTION("""COMPUTED_VALUE"""),"https://luna-dr.com/subjects/pregnancy-test/")</f>
        <v>https://luna-dr.com/subjects/pregnancy-test/</v>
      </c>
    </row>
    <row r="511">
      <c r="A511" s="31" t="str">
        <f>IFERROR(__xludf.DUMMYFUNCTION("""COMPUTED_VALUE"""),"ルナレディースクリニックでは中絶手術にどのように向き合っていますか？")</f>
        <v>ルナレディースクリニックでは中絶手術にどのように向き合っていますか？</v>
      </c>
      <c r="B511" s="31" t="str">
        <f>IFERROR(__xludf.DUMMYFUNCTION("""COMPUTED_VALUE"""),"ルナレディースクリニックでは、予期しない妊娠や望まない妊娠に気づいた際に生じる不安や葛藤に寄り添い、後悔のない決断ができるようサポートしています。どんな些細なことでもご相談いただける、身近で通いやすいクリニックを目指しています。")</f>
        <v>ルナレディースクリニックでは、予期しない妊娠や望まない妊娠に気づいた際に生じる不安や葛藤に寄り添い、後悔のない決断ができるようサポートしています。どんな些細なことでもご相談いただける、身近で通いやすいクリニックを目指しています。</v>
      </c>
      <c r="C511" s="31" t="str">
        <f>IFERROR(__xludf.DUMMYFUNCTION("""COMPUTED_VALUE"""),"中絶手術")</f>
        <v>中絶手術</v>
      </c>
      <c r="D511" s="31" t="str">
        <f>IFERROR(__xludf.DUMMYFUNCTION("""COMPUTED_VALUE"""),"中絶手術,人工妊娠中絶,相談")</f>
        <v>中絶手術,人工妊娠中絶,相談</v>
      </c>
      <c r="E511" s="32" t="str">
        <f>IFERROR(__xludf.DUMMYFUNCTION("""COMPUTED_VALUE"""),"https://luna-dr.com/subjects/abortion_page/")</f>
        <v>https://luna-dr.com/subjects/abortion_page/</v>
      </c>
    </row>
    <row r="512">
      <c r="A512" s="31" t="str">
        <f>IFERROR(__xludf.DUMMYFUNCTION("""COMPUTED_VALUE"""),"人工妊娠中絶手術は保険適用ですか？/中絶は保険適用ですか？")</f>
        <v>人工妊娠中絶手術は保険適用ですか？/中絶は保険適用ですか？</v>
      </c>
      <c r="B512" s="31" t="str">
        <f>IFERROR(__xludf.DUMMYFUNCTION("""COMPUTED_VALUE"""),"人工妊娠中絶手術は、健康保険が適用されない自費診療となります。")</f>
        <v>人工妊娠中絶手術は、健康保険が適用されない自費診療となります。</v>
      </c>
      <c r="C512" s="31" t="str">
        <f>IFERROR(__xludf.DUMMYFUNCTION("""COMPUTED_VALUE"""),"中絶手術")</f>
        <v>中絶手術</v>
      </c>
      <c r="D512" s="31" t="str">
        <f>IFERROR(__xludf.DUMMYFUNCTION("""COMPUTED_VALUE"""),"中絶手術,保険適用,自費診療")</f>
        <v>中絶手術,保険適用,自費診療</v>
      </c>
      <c r="E512" s="32" t="str">
        <f>IFERROR(__xludf.DUMMYFUNCTION("""COMPUTED_VALUE"""),"https://luna-dr.com/subjects/abortion_page/")</f>
        <v>https://luna-dr.com/subjects/abortion_page/</v>
      </c>
    </row>
    <row r="513">
      <c r="A513" s="31" t="str">
        <f>IFERROR(__xludf.DUMMYFUNCTION("""COMPUTED_VALUE"""),"ルナレディースクリニックの中絶手術の方法は何ですか？")</f>
        <v>ルナレディースクリニックの中絶手術の方法は何ですか？</v>
      </c>
      <c r="B513" s="31" t="str">
        <f>IFERROR(__xludf.DUMMYFUNCTION("""COMPUTED_VALUE"""),"当院では「手動真空吸引法（MVA）」による人工妊娠中絶手術を行っています。使いきりの器具を使用する方法で、術後の診察費用を含めた明確な料金体系となるよう努めています。")</f>
        <v>当院では「手動真空吸引法（MVA）」による人工妊娠中絶手術を行っています。使いきりの器具を使用する方法で、術後の診察費用を含めた明確な料金体系となるよう努めています。</v>
      </c>
      <c r="C513" s="31" t="str">
        <f>IFERROR(__xludf.DUMMYFUNCTION("""COMPUTED_VALUE"""),"中絶手術")</f>
        <v>中絶手術</v>
      </c>
      <c r="D513" s="31" t="str">
        <f>IFERROR(__xludf.DUMMYFUNCTION("""COMPUTED_VALUE"""),"中絶手術,MVA,手動真空吸引法")</f>
        <v>中絶手術,MVA,手動真空吸引法</v>
      </c>
      <c r="E513" s="32" t="str">
        <f>IFERROR(__xludf.DUMMYFUNCTION("""COMPUTED_VALUE"""),"https://luna-dr.com/subjects/abortion_page/")</f>
        <v>https://luna-dr.com/subjects/abortion_page/</v>
      </c>
    </row>
    <row r="514">
      <c r="A514" s="31" t="str">
        <f>IFERROR(__xludf.DUMMYFUNCTION("""COMPUTED_VALUE"""),"初期中絶手術の費用はいくらですか？/中絶の費用はいくら？/中絶にはどれぐらいお金がかかりますか？")</f>
        <v>初期中絶手術の費用はいくらですか？/中絶の費用はいくら？/中絶にはどれぐらいお金がかかりますか？</v>
      </c>
      <c r="B514" s="31" t="str">
        <f>IFERROR(__xludf.DUMMYFUNCTION("""COMPUTED_VALUE"""),"初期中絶手術の費用は92,400円（税込）からとなります。
当院で採用をしている「手動真空吸引法（MVA）」は使いきりの器具を使用するため高額になりやすい手術方法ですが、術後の診察費用を無料とし、明確な料金体系となるよう努めています。
※曜日と時間帯、経過週数によって手術料金が異なります。
※各種クレジットカードや電子マネーもご使用いただけます。
※当クリニックでは1回払いのみ対応しております。
※分割払いをご希望の場合は、患者様ご自身でクレジットカード会社に分割払いへの変更手続きを行っていただく必要があ"&amp;"りますので、予めご了承ください。
以下に該当する方は中絶手術をお受けできませんので予めご了承くださいませ・妊娠12週以降の方（当院では妊娠11週6日までの初期中絶のみ対応）・帝王切開歴のある方・喘息をお持ちの方で直近3ヶ月以内に発作がある場合・BMI32以上の方（BMI28以上は医師の判断）・日本語でのコミュニケーションが難しい方 ")</f>
        <v>初期中絶手術の費用は92,400円（税込）からとなります。
当院で採用をしている「手動真空吸引法（MVA）」は使いきりの器具を使用するため高額になりやすい手術方法ですが、術後の診察費用を無料とし、明確な料金体系となるよう努めています。
※曜日と時間帯、経過週数によって手術料金が異なります。
※各種クレジットカードや電子マネーもご使用いただけます。
※当クリニックでは1回払いのみ対応しております。
※分割払いをご希望の場合は、患者様ご自身でクレジットカード会社に分割払いへの変更手続きを行っていただく必要がありますので、予めご了承ください。
以下に該当する方は中絶手術をお受けできませんので予めご了承くださいませ・妊娠12週以降の方（当院では妊娠11週6日までの初期中絶のみ対応）・帝王切開歴のある方・喘息をお持ちの方で直近3ヶ月以内に発作がある場合・BMI32以上の方（BMI28以上は医師の判断）・日本語でのコミュニケーションが難しい方 </v>
      </c>
      <c r="C514" s="31" t="str">
        <f>IFERROR(__xludf.DUMMYFUNCTION("""COMPUTED_VALUE"""),"中絶手術")</f>
        <v>中絶手術</v>
      </c>
      <c r="D514" s="31" t="str">
        <f>IFERROR(__xludf.DUMMYFUNCTION("""COMPUTED_VALUE"""),"中絶手術,費用,初期中絶")</f>
        <v>中絶手術,費用,初期中絶</v>
      </c>
      <c r="E514" s="32" t="str">
        <f>IFERROR(__xludf.DUMMYFUNCTION("""COMPUTED_VALUE"""),"https://luna-dr.com/subjects/abortion_page/")</f>
        <v>https://luna-dr.com/subjects/abortion_page/</v>
      </c>
    </row>
    <row r="515">
      <c r="A515" s="31" t="str">
        <f>IFERROR(__xludf.DUMMYFUNCTION("""COMPUTED_VALUE"""),"中絶手術の支払いは分割でできますか？")</f>
        <v>中絶手術の支払いは分割でできますか？</v>
      </c>
      <c r="B515" s="31" t="str">
        <f>IFERROR(__xludf.DUMMYFUNCTION("""COMPUTED_VALUE"""),"クレジットカード会社と患者様のご契約内容によっては、中絶費用も分割でお支払いも可能です。")</f>
        <v>クレジットカード会社と患者様のご契約内容によっては、中絶費用も分割でお支払いも可能です。</v>
      </c>
      <c r="C515" s="31" t="str">
        <f>IFERROR(__xludf.DUMMYFUNCTION("""COMPUTED_VALUE"""),"中絶手術")</f>
        <v>中絶手術</v>
      </c>
      <c r="D515" s="31" t="str">
        <f>IFERROR(__xludf.DUMMYFUNCTION("""COMPUTED_VALUE"""),"中絶手術,費用,初期中絶,分割,分割払い")</f>
        <v>中絶手術,費用,初期中絶,分割,分割払い</v>
      </c>
      <c r="E515" s="32" t="str">
        <f>IFERROR(__xludf.DUMMYFUNCTION("""COMPUTED_VALUE"""),"https://luna-dr.com/subjects/abortion_page/")</f>
        <v>https://luna-dr.com/subjects/abortion_page/</v>
      </c>
    </row>
    <row r="516">
      <c r="A516" s="31" t="str">
        <f>IFERROR(__xludf.DUMMYFUNCTION("""COMPUTED_VALUE"""),"中絶手術後の診察には費用がかかりますか？")</f>
        <v>中絶手術後の診察には費用がかかりますか？</v>
      </c>
      <c r="B516" s="31" t="str">
        <f>IFERROR(__xludf.DUMMYFUNCTION("""COMPUTED_VALUE"""),"術後の診察は、1回目・2回目ともに無料で行っています。")</f>
        <v>術後の診察は、1回目・2回目ともに無料で行っています。</v>
      </c>
      <c r="C516" s="31" t="str">
        <f>IFERROR(__xludf.DUMMYFUNCTION("""COMPUTED_VALUE"""),"中絶手術")</f>
        <v>中絶手術</v>
      </c>
      <c r="D516" s="31" t="str">
        <f>IFERROR(__xludf.DUMMYFUNCTION("""COMPUTED_VALUE"""),"中絶手術,術後診察,費用")</f>
        <v>中絶手術,術後診察,費用</v>
      </c>
      <c r="E516" s="32" t="str">
        <f>IFERROR(__xludf.DUMMYFUNCTION("""COMPUTED_VALUE"""),"https://luna-dr.com/subjects/abortion_page/")</f>
        <v>https://luna-dr.com/subjects/abortion_page/</v>
      </c>
    </row>
    <row r="517">
      <c r="A517" s="31" t="str">
        <f>IFERROR(__xludf.DUMMYFUNCTION("""COMPUTED_VALUE"""),"中絶手術の初診時にはどのような検査を行いますか？")</f>
        <v>中絶手術の初診時にはどのような検査を行いますか？</v>
      </c>
      <c r="B517" s="31" t="str">
        <f>IFERROR(__xludf.DUMMYFUNCTION("""COMPUTED_VALUE"""),"初診時には、手術を安全に行うために、妊娠の確認や子宮口の状態確認に加え、感染症検査や血液検査を行います。")</f>
        <v>初診時には、手術を安全に行うために、妊娠の確認や子宮口の状態確認に加え、感染症検査や血液検査を行います。</v>
      </c>
      <c r="C517" s="31" t="str">
        <f>IFERROR(__xludf.DUMMYFUNCTION("""COMPUTED_VALUE"""),"中絶手術")</f>
        <v>中絶手術</v>
      </c>
      <c r="D517" s="31" t="str">
        <f>IFERROR(__xludf.DUMMYFUNCTION("""COMPUTED_VALUE"""),"中絶手術,初診,検査内容")</f>
        <v>中絶手術,初診,検査内容</v>
      </c>
      <c r="E517" s="32" t="str">
        <f>IFERROR(__xludf.DUMMYFUNCTION("""COMPUTED_VALUE"""),"https://luna-dr.com/subjects/abortion_page/")</f>
        <v>https://luna-dr.com/subjects/abortion_page/</v>
      </c>
    </row>
    <row r="518">
      <c r="A518" s="31" t="str">
        <f>IFERROR(__xludf.DUMMYFUNCTION("""COMPUTED_VALUE"""),"中絶手術の支払い方法には何がありますか？")</f>
        <v>中絶手術の支払い方法には何がありますか？</v>
      </c>
      <c r="B518" s="31" t="str">
        <f>IFERROR(__xludf.DUMMYFUNCTION("""COMPUTED_VALUE"""),"中絶手術のお支払いには、各種クレジットカードや電子マネーをご利用いただけます。")</f>
        <v>中絶手術のお支払いには、各種クレジットカードや電子マネーをご利用いただけます。</v>
      </c>
      <c r="C518" s="31" t="str">
        <f>IFERROR(__xludf.DUMMYFUNCTION("""COMPUTED_VALUE"""),"中絶手術")</f>
        <v>中絶手術</v>
      </c>
      <c r="D518" s="31" t="str">
        <f>IFERROR(__xludf.DUMMYFUNCTION("""COMPUTED_VALUE"""),"中絶手術,支払い方法,クレジットカード")</f>
        <v>中絶手術,支払い方法,クレジットカード</v>
      </c>
      <c r="E518" s="32" t="str">
        <f>IFERROR(__xludf.DUMMYFUNCTION("""COMPUTED_VALUE"""),"https://luna-dr.com/subjects/abortion_page/")</f>
        <v>https://luna-dr.com/subjects/abortion_page/</v>
      </c>
    </row>
    <row r="519">
      <c r="A519" s="31" t="str">
        <f>IFERROR(__xludf.DUMMYFUNCTION("""COMPUTED_VALUE"""),"中絶手術は分割払いに対応していますか？")</f>
        <v>中絶手術は分割払いに対応していますか？</v>
      </c>
      <c r="B519" s="31" t="str">
        <f>IFERROR(__xludf.DUMMYFUNCTION("""COMPUTED_VALUE"""),"当クリニックでは1回払いのみ対応しています。分割払いをご希望の場合は、患者様ご自身でクレジットカード会社へ分割払いへの変更手続きを行っていただく必要があります。")</f>
        <v>当クリニックでは1回払いのみ対応しています。分割払いをご希望の場合は、患者様ご自身でクレジットカード会社へ分割払いへの変更手続きを行っていただく必要があります。</v>
      </c>
      <c r="C519" s="31" t="str">
        <f>IFERROR(__xludf.DUMMYFUNCTION("""COMPUTED_VALUE"""),"中絶手術")</f>
        <v>中絶手術</v>
      </c>
      <c r="D519" s="31" t="str">
        <f>IFERROR(__xludf.DUMMYFUNCTION("""COMPUTED_VALUE"""),"中絶手術,分割払い,支払い方法")</f>
        <v>中絶手術,分割払い,支払い方法</v>
      </c>
      <c r="E519" s="32" t="str">
        <f>IFERROR(__xludf.DUMMYFUNCTION("""COMPUTED_VALUE"""),"https://luna-dr.com/subjects/abortion_page/")</f>
        <v>https://luna-dr.com/subjects/abortion_page/</v>
      </c>
    </row>
    <row r="520">
      <c r="A520" s="31" t="str">
        <f>IFERROR(__xludf.DUMMYFUNCTION("""COMPUTED_VALUE"""),"中絶手術の費用には何が含まれていますか？")</f>
        <v>中絶手術の費用には何が含まれていますか？</v>
      </c>
      <c r="B520" s="31" t="str">
        <f>IFERROR(__xludf.DUMMYFUNCTION("""COMPUTED_VALUE"""),"手動真空吸引法（MVA）による中絶手術費用には、手術費用に加え、術後の診察費用が含まれています。初診時の検査費用については、手術を安全に行うための検査として別途実施されます。")</f>
        <v>手動真空吸引法（MVA）による中絶手術費用には、手術費用に加え、術後の診察費用が含まれています。初診時の検査費用については、手術を安全に行うための検査として別途実施されます。</v>
      </c>
      <c r="C520" s="31" t="str">
        <f>IFERROR(__xludf.DUMMYFUNCTION("""COMPUTED_VALUE"""),"中絶手術")</f>
        <v>中絶手術</v>
      </c>
      <c r="D520" s="31" t="str">
        <f>IFERROR(__xludf.DUMMYFUNCTION("""COMPUTED_VALUE"""),"中絶手術,費用内訳,MVA")</f>
        <v>中絶手術,費用内訳,MVA</v>
      </c>
      <c r="E520" s="32" t="str">
        <f>IFERROR(__xludf.DUMMYFUNCTION("""COMPUTED_VALUE"""),"https://luna-dr.com/subjects/abortion_page/")</f>
        <v>https://luna-dr.com/subjects/abortion_page/</v>
      </c>
    </row>
    <row r="521">
      <c r="A521" s="31" t="str">
        <f>IFERROR(__xludf.DUMMYFUNCTION("""COMPUTED_VALUE"""),"妊婦のための支援給付制度とは何ですか？")</f>
        <v>妊婦のための支援給付制度とは何ですか？</v>
      </c>
      <c r="B521" s="31" t="str">
        <f>IFERROR(__xludf.DUMMYFUNCTION("""COMPUTED_VALUE"""),"妊婦のための支援給付制度は、妊娠期から出産・子育てまでを支援するために、自治体が実施している給付金制度です。妊娠届を提出した方を対象に、給付金が支給されます。公式LINEでは制度概要をご案内しておりますので、ご利用ください。https://cline-app.com/qr-codes/b243ab6a55e32b967cab9b2589de5aae/previewpage?utm_customid=977137868.1765506771-1767184286")</f>
        <v>妊婦のための支援給付制度は、妊娠期から出産・子育てまでを支援するために、自治体が実施している給付金制度です。妊娠届を提出した方を対象に、給付金が支給されます。公式LINEでは制度概要をご案内しておりますので、ご利用ください。https://cline-app.com/qr-codes/b243ab6a55e32b967cab9b2589de5aae/previewpage?utm_customid=977137868.1765506771-1767184286</v>
      </c>
      <c r="C521" s="31" t="str">
        <f>IFERROR(__xludf.DUMMYFUNCTION("""COMPUTED_VALUE"""),"中絶手術")</f>
        <v>中絶手術</v>
      </c>
      <c r="D521" s="31" t="str">
        <f>IFERROR(__xludf.DUMMYFUNCTION("""COMPUTED_VALUE"""),"妊婦支援給付制度,出産子育て応援給付金,給付金")</f>
        <v>妊婦支援給付制度,出産子育て応援給付金,給付金</v>
      </c>
      <c r="E521" s="32" t="str">
        <f>IFERROR(__xludf.DUMMYFUNCTION("""COMPUTED_VALUE"""),"https://luna-dr.com/subjects/abortion_page/")</f>
        <v>https://luna-dr.com/subjects/abortion_page/</v>
      </c>
    </row>
    <row r="522">
      <c r="A522" s="31" t="str">
        <f>IFERROR(__xludf.DUMMYFUNCTION("""COMPUTED_VALUE"""),"妊婦支援給付制度はいくらもらえますか？")</f>
        <v>妊婦支援給付制度はいくらもらえますか？</v>
      </c>
      <c r="B522" s="31" t="str">
        <f>IFERROR(__xludf.DUMMYFUNCTION("""COMPUTED_VALUE"""),"一般的には、妊娠届提出後に1回目として妊婦1人あたり5万円、出産後に2回目として胎児の数×5万円が支給されます。ただし金額は自治体によって異なります。公式LINEでは制度概要をご案内しておりますので、ご利用ください。https://cline-app.com/qr-codes/b243ab6a55e32b967cab9b2589de5aae/previewpage?utm_customid=977137868.1765506771-1767184286")</f>
        <v>一般的には、妊娠届提出後に1回目として妊婦1人あたり5万円、出産後に2回目として胎児の数×5万円が支給されます。ただし金額は自治体によって異なります。公式LINEでは制度概要をご案内しておりますので、ご利用ください。https://cline-app.com/qr-codes/b243ab6a55e32b967cab9b2589de5aae/previewpage?utm_customid=977137868.1765506771-1767184286</v>
      </c>
      <c r="C522" s="31" t="str">
        <f>IFERROR(__xludf.DUMMYFUNCTION("""COMPUTED_VALUE"""),"中絶手術")</f>
        <v>中絶手術</v>
      </c>
      <c r="D522" s="31" t="str">
        <f>IFERROR(__xludf.DUMMYFUNCTION("""COMPUTED_VALUE"""),"妊婦支援給付制度,給付額,5万円")</f>
        <v>妊婦支援給付制度,給付額,5万円</v>
      </c>
      <c r="E522" s="32" t="str">
        <f>IFERROR(__xludf.DUMMYFUNCTION("""COMPUTED_VALUE"""),"https://luna-dr.com/subjects/abortion_page/")</f>
        <v>https://luna-dr.com/subjects/abortion_page/</v>
      </c>
    </row>
    <row r="523">
      <c r="A523" s="31" t="str">
        <f>IFERROR(__xludf.DUMMYFUNCTION("""COMPUTED_VALUE"""),"妊婦支援給付制度は中絶した場合も対象になりますか？")</f>
        <v>妊婦支援給付制度は中絶した場合も対象になりますか？</v>
      </c>
      <c r="B523" s="31" t="str">
        <f>IFERROR(__xludf.DUMMYFUNCTION("""COMPUTED_VALUE"""),"妊娠届を提出している場合、自治体によっては中絶手術を受けた方も給付の対象となるケースがあります。ただし、支給条件は自治体ごとに異なるため、必ずお住まいの自治体へご確認ください。公式LINEでは制度概要をご案内しておりますので、ご利用ください。https://cline-app.com/qr-codes/b243ab6a55e32b967cab9b2589de5aae/previewpage?utm_customid=977137868.1765506771-1767184286")</f>
        <v>妊娠届を提出している場合、自治体によっては中絶手術を受けた方も給付の対象となるケースがあります。ただし、支給条件は自治体ごとに異なるため、必ずお住まいの自治体へご確認ください。公式LINEでは制度概要をご案内しておりますので、ご利用ください。https://cline-app.com/qr-codes/b243ab6a55e32b967cab9b2589de5aae/previewpage?utm_customid=977137868.1765506771-1767184286</v>
      </c>
      <c r="C523" s="31" t="str">
        <f>IFERROR(__xludf.DUMMYFUNCTION("""COMPUTED_VALUE"""),"中絶手術")</f>
        <v>中絶手術</v>
      </c>
      <c r="D523" s="31" t="str">
        <f>IFERROR(__xludf.DUMMYFUNCTION("""COMPUTED_VALUE"""),"妊婦支援給付制度,中絶,給付対象")</f>
        <v>妊婦支援給付制度,中絶,給付対象</v>
      </c>
      <c r="E523" s="32" t="str">
        <f>IFERROR(__xludf.DUMMYFUNCTION("""COMPUTED_VALUE"""),"https://luna-dr.com/subjects/abortion_page/")</f>
        <v>https://luna-dr.com/subjects/abortion_page/</v>
      </c>
    </row>
    <row r="524">
      <c r="A524" s="31" t="str">
        <f>IFERROR(__xludf.DUMMYFUNCTION("""COMPUTED_VALUE"""),"妊婦支援給付制度を受けるには何が必要ですか？")</f>
        <v>妊婦支援給付制度を受けるには何が必要ですか？</v>
      </c>
      <c r="B524" s="31" t="str">
        <f>IFERROR(__xludf.DUMMYFUNCTION("""COMPUTED_VALUE"""),"妊婦支援給付制度を受けるには、原則として妊娠届の提出が必要です。申請方法や必要書類は自治体によって異なります。公式LINEでは制度概要をご案内しておりますので、ご利用ください。https://cline-app.com/qr-codes/b243ab6a55e32b967cab9b2589de5aae/previewpage?utm_customid=977137868.1765506771-1767184286公式LINEでは制度概要をご案内しておりますので、ご利用ください。https://cline-"&amp;"app.com/qr-codes/b243ab6a55e32b967cab9b2589de5aae/previewpage?utm_customid=977137868.1765506771-1767184286")</f>
        <v>妊婦支援給付制度を受けるには、原則として妊娠届の提出が必要です。申請方法や必要書類は自治体によって異なります。公式LINEでは制度概要をご案内しておりますので、ご利用ください。https://cline-app.com/qr-codes/b243ab6a55e32b967cab9b2589de5aae/previewpage?utm_customid=977137868.1765506771-1767184286公式LINEでは制度概要をご案内しておりますので、ご利用ください。https://cline-app.com/qr-codes/b243ab6a55e32b967cab9b2589de5aae/previewpage?utm_customid=977137868.1765506771-1767184286</v>
      </c>
      <c r="C524" s="31" t="str">
        <f>IFERROR(__xludf.DUMMYFUNCTION("""COMPUTED_VALUE"""),"中絶手術")</f>
        <v>中絶手術</v>
      </c>
      <c r="D524" s="31" t="str">
        <f>IFERROR(__xludf.DUMMYFUNCTION("""COMPUTED_VALUE"""),"妊婦支援給付制度,妊娠届,申請方法")</f>
        <v>妊婦支援給付制度,妊娠届,申請方法</v>
      </c>
      <c r="E524" s="32" t="str">
        <f>IFERROR(__xludf.DUMMYFUNCTION("""COMPUTED_VALUE"""),"https://luna-dr.com/subjects/abortion_page/")</f>
        <v>https://luna-dr.com/subjects/abortion_page/</v>
      </c>
    </row>
    <row r="525">
      <c r="A525" s="31" t="str">
        <f>IFERROR(__xludf.DUMMYFUNCTION("""COMPUTED_VALUE"""),"妊婦支援給付制度は全国共通ですか？")</f>
        <v>妊婦支援給付制度は全国共通ですか？</v>
      </c>
      <c r="B525" s="31" t="str">
        <f>IFERROR(__xludf.DUMMYFUNCTION("""COMPUTED_VALUE"""),"制度の枠組みは国の事業に基づいていますが、給付の有無や金額、申請条件は自治体ごとに異なります。必ずお住まいの自治体の案内をご確認ください。公式LINEでは制度概要をご案内しておりますので、ご利用ください。https://cline-app.com/qr-codes/b243ab6a55e32b967cab9b2589de5aae/previewpage?utm_customid=977137868.1765506771-1767184286")</f>
        <v>制度の枠組みは国の事業に基づいていますが、給付の有無や金額、申請条件は自治体ごとに異なります。必ずお住まいの自治体の案内をご確認ください。公式LINEでは制度概要をご案内しておりますので、ご利用ください。https://cline-app.com/qr-codes/b243ab6a55e32b967cab9b2589de5aae/previewpage?utm_customid=977137868.1765506771-1767184286</v>
      </c>
      <c r="C525" s="31" t="str">
        <f>IFERROR(__xludf.DUMMYFUNCTION("""COMPUTED_VALUE"""),"中絶手術")</f>
        <v>中絶手術</v>
      </c>
      <c r="D525" s="31" t="str">
        <f>IFERROR(__xludf.DUMMYFUNCTION("""COMPUTED_VALUE"""),"妊婦支援給付制度,自治体,違い")</f>
        <v>妊婦支援給付制度,自治体,違い</v>
      </c>
      <c r="E525" s="32" t="str">
        <f>IFERROR(__xludf.DUMMYFUNCTION("""COMPUTED_VALUE"""),"https://luna-dr.com/subjects/abortion_page/")</f>
        <v>https://luna-dr.com/subjects/abortion_page/</v>
      </c>
    </row>
    <row r="526">
      <c r="A526" s="31" t="str">
        <f>IFERROR(__xludf.DUMMYFUNCTION("""COMPUTED_VALUE"""),"ルナレディースクリニックの中絶手術は安全ですか？/中絶はできますか？")</f>
        <v>ルナレディースクリニックの中絶手術は安全ですか？/中絶はできますか？</v>
      </c>
      <c r="B526" s="31" t="str">
        <f>IFERROR(__xludf.DUMMYFUNCTION("""COMPUTED_VALUE"""),"ルナレディースクリニックでは、WHO（世界保健機関）が推奨する安全性の高い「吸引法」の中でも、子宮に優しい手動真空吸引法（MVA）を採用し、中絶手術を行っています。柔らかく細い使い捨て器具を使用するため、子宮を傷つけるリスクや感染症のリスクを極めて低く抑えています。")</f>
        <v>ルナレディースクリニックでは、WHO（世界保健機関）が推奨する安全性の高い「吸引法」の中でも、子宮に優しい手動真空吸引法（MVA）を採用し、中絶手術を行っています。柔らかく細い使い捨て器具を使用するため、子宮を傷つけるリスクや感染症のリスクを極めて低く抑えています。</v>
      </c>
      <c r="C526" s="31" t="str">
        <f>IFERROR(__xludf.DUMMYFUNCTION("""COMPUTED_VALUE"""),"中絶手術")</f>
        <v>中絶手術</v>
      </c>
      <c r="D526" s="31" t="str">
        <f>IFERROR(__xludf.DUMMYFUNCTION("""COMPUTED_VALUE"""),"中絶手術,安全性,WHO,吸引法,MVA")</f>
        <v>中絶手術,安全性,WHO,吸引法,MVA</v>
      </c>
      <c r="E526" s="32" t="str">
        <f>IFERROR(__xludf.DUMMYFUNCTION("""COMPUTED_VALUE"""),"https://luna-dr.com/subjects/abortion_page/")</f>
        <v>https://luna-dr.com/subjects/abortion_page/</v>
      </c>
    </row>
    <row r="527">
      <c r="A527" s="31" t="str">
        <f>IFERROR(__xludf.DUMMYFUNCTION("""COMPUTED_VALUE"""),"中絶手術で採用している手術方法は何ですか？")</f>
        <v>中絶手術で採用している手術方法は何ですか？</v>
      </c>
      <c r="B527" s="31" t="str">
        <f>IFERROR(__xludf.DUMMYFUNCTION("""COMPUTED_VALUE"""),"当院ではWHOが推奨する吸引法の一つである「手動真空吸引法（MVA）」を採用しています。痛みが少なく、子宮への負担が少ないことが特長です。")</f>
        <v>当院ではWHOが推奨する吸引法の一つである「手動真空吸引法（MVA）」を採用しています。痛みが少なく、子宮への負担が少ないことが特長です。</v>
      </c>
      <c r="C527" s="31" t="str">
        <f>IFERROR(__xludf.DUMMYFUNCTION("""COMPUTED_VALUE"""),"中絶手術")</f>
        <v>中絶手術</v>
      </c>
      <c r="D527" s="31" t="str">
        <f>IFERROR(__xludf.DUMMYFUNCTION("""COMPUTED_VALUE"""),"中絶手術,MVA,吸引法,手動真空吸引法")</f>
        <v>中絶手術,MVA,吸引法,手動真空吸引法</v>
      </c>
      <c r="E527" s="32" t="str">
        <f>IFERROR(__xludf.DUMMYFUNCTION("""COMPUTED_VALUE"""),"https://luna-dr.com/subjects/abortion_page/")</f>
        <v>https://luna-dr.com/subjects/abortion_page/</v>
      </c>
    </row>
    <row r="528">
      <c r="A528" s="31" t="str">
        <f>IFERROR(__xludf.DUMMYFUNCTION("""COMPUTED_VALUE"""),"中絶手術はどの医師が担当しますか？")</f>
        <v>中絶手術はどの医師が担当しますか？</v>
      </c>
      <c r="B528" s="31" t="str">
        <f>IFERROR(__xludf.DUMMYFUNCTION("""COMPUTED_VALUE"""),"中絶手術は、産婦人科専門医の資格を持つ母体保護法指定医が担当します。豊富な経験と専門知識を持つ医師が、患者様一人ひとりの状態を丁寧に確認したうえで手術を行います。")</f>
        <v>中絶手術は、産婦人科専門医の資格を持つ母体保護法指定医が担当します。豊富な経験と専門知識を持つ医師が、患者様一人ひとりの状態を丁寧に確認したうえで手術を行います。</v>
      </c>
      <c r="C528" s="31" t="str">
        <f>IFERROR(__xludf.DUMMYFUNCTION("""COMPUTED_VALUE"""),"中絶手術")</f>
        <v>中絶手術</v>
      </c>
      <c r="D528" s="31" t="str">
        <f>IFERROR(__xludf.DUMMYFUNCTION("""COMPUTED_VALUE"""),"中絶手術,母体保護法指定医,産婦人科専門医")</f>
        <v>中絶手術,母体保護法指定医,産婦人科専門医</v>
      </c>
      <c r="E528" s="32" t="str">
        <f>IFERROR(__xludf.DUMMYFUNCTION("""COMPUTED_VALUE"""),"https://luna-dr.com/subjects/abortion_page/")</f>
        <v>https://luna-dr.com/subjects/abortion_page/</v>
      </c>
    </row>
    <row r="529">
      <c r="A529" s="31" t="str">
        <f>IFERROR(__xludf.DUMMYFUNCTION("""COMPUTED_VALUE"""),"中絶手術は日帰りで受けられますか？")</f>
        <v>中絶手術は日帰りで受けられますか？</v>
      </c>
      <c r="B529" s="31" t="str">
        <f>IFERROR(__xludf.DUMMYFUNCTION("""COMPUTED_VALUE"""),"中絶手術は日帰り手術です。来院からご帰宅までの目安は3〜4時間で、手術時間自体は約15分と短時間です。手術後は2時間ほど休息してからご帰宅いただきます。")</f>
        <v>中絶手術は日帰り手術です。来院からご帰宅までの目安は3〜4時間で、手術時間自体は約15分と短時間です。手術後は2時間ほど休息してからご帰宅いただきます。</v>
      </c>
      <c r="C529" s="31" t="str">
        <f>IFERROR(__xludf.DUMMYFUNCTION("""COMPUTED_VALUE"""),"中絶手術")</f>
        <v>中絶手術</v>
      </c>
      <c r="D529" s="31" t="str">
        <f>IFERROR(__xludf.DUMMYFUNCTION("""COMPUTED_VALUE"""),"中絶手術,日帰り手術,所要時間")</f>
        <v>中絶手術,日帰り手術,所要時間</v>
      </c>
      <c r="E529" s="32" t="str">
        <f>IFERROR(__xludf.DUMMYFUNCTION("""COMPUTED_VALUE"""),"https://luna-dr.com/subjects/abortion_page/")</f>
        <v>https://luna-dr.com/subjects/abortion_page/</v>
      </c>
    </row>
    <row r="530">
      <c r="A530" s="31" t="str">
        <f>IFERROR(__xludf.DUMMYFUNCTION("""COMPUTED_VALUE"""),"中絶手術中の痛みはありますか？")</f>
        <v>中絶手術中の痛みはありますか？</v>
      </c>
      <c r="B530" s="31" t="str">
        <f>IFERROR(__xludf.DUMMYFUNCTION("""COMPUTED_VALUE"""),"静脈麻酔と笑気麻酔を併用し手術を行うため、手術中はほとんど痛みを感じません。※医師判断で局所麻酔を使用する場合もあります。
手術時間が15分と短いため、麻酔が十分に効いている間に手術を終えられます。
不安や緊張で気分が悪くなる場合もありますので、些細なことでもぜひご相談ください。")</f>
        <v>静脈麻酔と笑気麻酔を併用し手術を行うため、手術中はほとんど痛みを感じません。※医師判断で局所麻酔を使用する場合もあります。
手術時間が15分と短いため、麻酔が十分に効いている間に手術を終えられます。
不安や緊張で気分が悪くなる場合もありますので、些細なことでもぜひご相談ください。</v>
      </c>
      <c r="C530" s="31" t="str">
        <f>IFERROR(__xludf.DUMMYFUNCTION("""COMPUTED_VALUE"""),"中絶手術")</f>
        <v>中絶手術</v>
      </c>
      <c r="D530" s="31" t="str">
        <f>IFERROR(__xludf.DUMMYFUNCTION("""COMPUTED_VALUE"""),"中絶手術,痛み,麻酔,静脈麻酔,笑気麻酔")</f>
        <v>中絶手術,痛み,麻酔,静脈麻酔,笑気麻酔</v>
      </c>
      <c r="E530" s="32" t="str">
        <f>IFERROR(__xludf.DUMMYFUNCTION("""COMPUTED_VALUE"""),"https://luna-dr.com/subjects/abortion_page/")</f>
        <v>https://luna-dr.com/subjects/abortion_page/</v>
      </c>
    </row>
    <row r="531">
      <c r="A531" s="31" t="str">
        <f>IFERROR(__xludf.DUMMYFUNCTION("""COMPUTED_VALUE"""),"中絶手術後の感染リスクは高くありませんか？")</f>
        <v>中絶手術後の感染リスクは高くありませんか？</v>
      </c>
      <c r="B531" s="31" t="str">
        <f>IFERROR(__xludf.DUMMYFUNCTION("""COMPUTED_VALUE"""),"当院では滅菌済みの使い捨て器具のみを使用しているため、手術器具を介した感染リスクを限りなくゼロに近づけています。")</f>
        <v>当院では滅菌済みの使い捨て器具のみを使用しているため、手術器具を介した感染リスクを限りなくゼロに近づけています。</v>
      </c>
      <c r="C531" s="31" t="str">
        <f>IFERROR(__xludf.DUMMYFUNCTION("""COMPUTED_VALUE"""),"中絶手術")</f>
        <v>中絶手術</v>
      </c>
      <c r="D531" s="31" t="str">
        <f>IFERROR(__xludf.DUMMYFUNCTION("""COMPUTED_VALUE"""),"中絶手術,感染リスク,使い捨て器具")</f>
        <v>中絶手術,感染リスク,使い捨て器具</v>
      </c>
      <c r="E531" s="32" t="str">
        <f>IFERROR(__xludf.DUMMYFUNCTION("""COMPUTED_VALUE"""),"https://luna-dr.com/subjects/abortion_page/")</f>
        <v>https://luna-dr.com/subjects/abortion_page/</v>
      </c>
    </row>
    <row r="532">
      <c r="A532" s="31" t="str">
        <f>IFERROR(__xludf.DUMMYFUNCTION("""COMPUTED_VALUE"""),"中絶手術後のアフターケアはありますか？")</f>
        <v>中絶手術後のアフターケアはありますか？</v>
      </c>
      <c r="B532" s="31" t="str">
        <f>IFERROR(__xludf.DUMMYFUNCTION("""COMPUTED_VALUE"""),"子宮と体調の回復を確認することはもちろん、望まない妊娠を繰り返さないためにも、中絶後のケアは大切です。
当クリニックでは術後1週間後と3週間後の2回の検診を無料で受けられますので、安心してご来院ください。")</f>
        <v>子宮と体調の回復を確認することはもちろん、望まない妊娠を繰り返さないためにも、中絶後のケアは大切です。
当クリニックでは術後1週間後と3週間後の2回の検診を無料で受けられますので、安心してご来院ください。</v>
      </c>
      <c r="C532" s="31" t="str">
        <f>IFERROR(__xludf.DUMMYFUNCTION("""COMPUTED_VALUE"""),"中絶手術")</f>
        <v>中絶手術</v>
      </c>
      <c r="D532" s="31" t="str">
        <f>IFERROR(__xludf.DUMMYFUNCTION("""COMPUTED_VALUE"""),"中絶後,アフターケア,術後検診")</f>
        <v>中絶後,アフターケア,術後検診</v>
      </c>
      <c r="E532" s="32" t="str">
        <f>IFERROR(__xludf.DUMMYFUNCTION("""COMPUTED_VALUE"""),"https://luna-dr.com/subjects/abortion_page/")</f>
        <v>https://luna-dr.com/subjects/abortion_page/</v>
      </c>
    </row>
    <row r="533">
      <c r="A533" s="31" t="str">
        <f>IFERROR(__xludf.DUMMYFUNCTION("""COMPUTED_VALUE"""),"中絶手術ではプライバシーには配慮されていますか？")</f>
        <v>中絶手術ではプライバシーには配慮されていますか？</v>
      </c>
      <c r="B533" s="31" t="str">
        <f>IFERROR(__xludf.DUMMYFUNCTION("""COMPUTED_VALUE"""),"手術前後は完全個室でお休みいただけます。プライバシーに十分配慮した環境でお過ごしいただけます。")</f>
        <v>手術前後は完全個室でお休みいただけます。プライバシーに十分配慮した環境でお過ごしいただけます。</v>
      </c>
      <c r="C533" s="31" t="str">
        <f>IFERROR(__xludf.DUMMYFUNCTION("""COMPUTED_VALUE"""),"中絶手術")</f>
        <v>中絶手術</v>
      </c>
      <c r="D533" s="31" t="str">
        <f>IFERROR(__xludf.DUMMYFUNCTION("""COMPUTED_VALUE"""),"中絶手術,プライバシー,個室")</f>
        <v>中絶手術,プライバシー,個室</v>
      </c>
      <c r="E533" s="32" t="str">
        <f>IFERROR(__xludf.DUMMYFUNCTION("""COMPUTED_VALUE"""),"https://luna-dr.com/subjects/abortion_page/")</f>
        <v>https://luna-dr.com/subjects/abortion_page/</v>
      </c>
    </row>
    <row r="534">
      <c r="A534" s="31" t="str">
        <f>IFERROR(__xludf.DUMMYFUNCTION("""COMPUTED_VALUE"""),"ルナレディースクリニックで対応している中絶の妊娠週数は？")</f>
        <v>ルナレディースクリニックで対応している中絶の妊娠週数は？</v>
      </c>
      <c r="B534" s="31" t="str">
        <f>IFERROR(__xludf.DUMMYFUNCTION("""COMPUTED_VALUE"""),"当院では妊娠11週6日までの初期中絶に対応しています。妊娠週数が進むほど身体的・精神的・経済的負担が大きくなるため、早めの受診をおすすめしています。")</f>
        <v>当院では妊娠11週6日までの初期中絶に対応しています。妊娠週数が進むほど身体的・精神的・経済的負担が大きくなるため、早めの受診をおすすめしています。</v>
      </c>
      <c r="C534" s="31" t="str">
        <f>IFERROR(__xludf.DUMMYFUNCTION("""COMPUTED_VALUE"""),"中絶手術")</f>
        <v>中絶手術</v>
      </c>
      <c r="D534" s="31" t="str">
        <f>IFERROR(__xludf.DUMMYFUNCTION("""COMPUTED_VALUE"""),"初期中絶,妊娠週数,中絶可能週数")</f>
        <v>初期中絶,妊娠週数,中絶可能週数</v>
      </c>
      <c r="E534" s="32" t="str">
        <f>IFERROR(__xludf.DUMMYFUNCTION("""COMPUTED_VALUE"""),"https://luna-dr.com/subjects/abortion_page/")</f>
        <v>https://luna-dr.com/subjects/abortion_page/</v>
      </c>
    </row>
    <row r="535">
      <c r="A535" s="31" t="str">
        <f>IFERROR(__xludf.DUMMYFUNCTION("""COMPUTED_VALUE"""),"当日中絶できますか？/中絶手術は当日できますか？")</f>
        <v>当日中絶できますか？/中絶手術は当日できますか？</v>
      </c>
      <c r="B535" s="31" t="str">
        <f>IFERROR(__xludf.DUMMYFUNCTION("""COMPUTED_VALUE"""),"大変恐縮ではありますが、当院では当日に中絶手術を行うことはできません。当クリニックでは、中絶手術の1回目としてカウンセリングと検査を行います。公式LINEからご予約のうえご来院いただき、問診・超音波（エコー）検査・血液検査を行い、妊娠週数やお身体の状態を確認します。その後、手術方法やリスク、費用について医師が詳しくご説明し、ご納得いただいた場合に手術日の予約を行います。患者様のご負担を軽減するため、「手術当日以外」はお近くのクリニックをご利用いただける体制を整えております。■初回相談・術前検査：川崎駅前院"&amp;"／横浜駅前院／町田駅前院→ご都合の良い院で受診可能 ■手術当日：横浜駅前院のみ→施術当日のみ横浜へご来院いただきます ■術後フォロー：川崎駅前院／横浜駅前院／町田駅前院→お近くの院で受診可能 ご予約は公式LINEから24時間承っております。LINEはこちら→https://cline-app.com/qr-codes/98ad6f149bfa20f4f2a9a2e91aac4187/preview
以下に該当する方は中絶手術をお受けできませんので予めご了承くださいませ・妊娠12週以降の方（当院では妊娠11"&amp;"週6日までの初期中絶のみ対応）・帝王切開歴のある方・喘息をお持ちの方で直近3ヶ月以内に発作がある場合・BMI32以上の方（BMI28以上は医師の判断）・日本語でのコミュニケーションが難しい方 ")</f>
        <v>大変恐縮ではありますが、当院では当日に中絶手術を行うことはできません。当クリニックでは、中絶手術の1回目としてカウンセリングと検査を行います。公式LINEからご予約のうえご来院いただき、問診・超音波（エコー）検査・血液検査を行い、妊娠週数やお身体の状態を確認します。その後、手術方法やリスク、費用について医師が詳しくご説明し、ご納得いただいた場合に手術日の予約を行います。患者様のご負担を軽減するため、「手術当日以外」はお近くのクリニックをご利用いただける体制を整えております。■初回相談・術前検査：川崎駅前院／横浜駅前院／町田駅前院→ご都合の良い院で受診可能 ■手術当日：横浜駅前院のみ→施術当日のみ横浜へご来院いただきます ■術後フォロー：川崎駅前院／横浜駅前院／町田駅前院→お近くの院で受診可能 ご予約は公式LINEから24時間承っております。LINEはこちら→https://cline-app.com/qr-codes/98ad6f149bfa20f4f2a9a2e91aac4187/preview
以下に該当する方は中絶手術をお受けできませんので予めご了承くださいませ・妊娠12週以降の方（当院では妊娠11週6日までの初期中絶のみ対応）・帝王切開歴のある方・喘息をお持ちの方で直近3ヶ月以内に発作がある場合・BMI32以上の方（BMI28以上は医師の判断）・日本語でのコミュニケーションが難しい方 </v>
      </c>
      <c r="C535" s="31" t="str">
        <f>IFERROR(__xludf.DUMMYFUNCTION("""COMPUTED_VALUE"""),"中絶手術")</f>
        <v>中絶手術</v>
      </c>
      <c r="D535" s="31" t="str">
        <f>IFERROR(__xludf.DUMMYFUNCTION("""COMPUTED_VALUE"""),"中絶手術,当日中絶,初回診療,手術日,横浜駅前院")</f>
        <v>中絶手術,当日中絶,初回診療,手術日,横浜駅前院</v>
      </c>
      <c r="E535" s="32" t="str">
        <f>IFERROR(__xludf.DUMMYFUNCTION("""COMPUTED_VALUE"""),"https://luna-dr.com/subjects/abortion_page/")</f>
        <v>https://luna-dr.com/subjects/abortion_page/</v>
      </c>
    </row>
    <row r="536">
      <c r="A536" s="31" t="str">
        <f>IFERROR(__xludf.DUMMYFUNCTION("""COMPUTED_VALUE"""),"中絶手術の初回診療はどのような流れですか？")</f>
        <v>中絶手術の初回診療はどのような流れですか？</v>
      </c>
      <c r="B536" s="31" t="str">
        <f>IFERROR(__xludf.DUMMYFUNCTION("""COMPUTED_VALUE"""),"当クリニックでは、中絶手術の1回目としてカウンセリングと検査を行います。公式LINEからご予約のうえご来院いただき、問診・超音波（エコー）検査・血液検査を行い、妊娠週数やお身体の状態を確認します。その後、手術方法やリスク、費用について医師が詳しくご説明し、ご納得いただいた場合に手術日の予約を行います。患者様のご負担を軽減するため、「手術当日以外」はお近くのクリニックをご利用いただける体制を整えております。
■ 初回相談・術前検査
川崎駅前院／横浜駅前院／町田駅前院
→ご都合の良い院で受診可能
■ 手術当"&amp;"日
横浜駅前院のみ
→施術当日のみ横浜へご来院いただきます
■ 術後フォロー
川崎駅前院／横浜駅前院／町田駅前院
→お近くの院で受診可能
ご予約は公式LINEから24時間承っております。LINEはこちら→https://cline-app.com/qr-codes/98ad6f149bfa20f4f2a9a2e91aac4187/preview")</f>
        <v>当クリニックでは、中絶手術の1回目としてカウンセリングと検査を行います。公式LINEからご予約のうえご来院いただき、問診・超音波（エコー）検査・血液検査を行い、妊娠週数やお身体の状態を確認します。その後、手術方法やリスク、費用について医師が詳しくご説明し、ご納得いただいた場合に手術日の予約を行います。患者様のご負担を軽減するため、「手術当日以外」はお近くのクリニックをご利用いただける体制を整えております。
■ 初回相談・術前検査
川崎駅前院／横浜駅前院／町田駅前院
→ご都合の良い院で受診可能
■ 手術当日
横浜駅前院のみ
→施術当日のみ横浜へご来院いただきます
■ 術後フォロー
川崎駅前院／横浜駅前院／町田駅前院
→お近くの院で受診可能
ご予約は公式LINEから24時間承っております。LINEはこちら→https://cline-app.com/qr-codes/98ad6f149bfa20f4f2a9a2e91aac4187/preview</v>
      </c>
      <c r="C536" s="31" t="str">
        <f>IFERROR(__xludf.DUMMYFUNCTION("""COMPUTED_VALUE"""),"中絶手術")</f>
        <v>中絶手術</v>
      </c>
      <c r="D536" s="31" t="str">
        <f>IFERROR(__xludf.DUMMYFUNCTION("""COMPUTED_VALUE"""),"中絶手術,初回診療,流れ,2日間")</f>
        <v>中絶手術,初回診療,流れ,2日間</v>
      </c>
      <c r="E536" s="32" t="str">
        <f>IFERROR(__xludf.DUMMYFUNCTION("""COMPUTED_VALUE"""),"https://luna-dr.com/subjects/abortion_page/")</f>
        <v>https://luna-dr.com/subjects/abortion_page/</v>
      </c>
    </row>
    <row r="537">
      <c r="A537" s="31" t="str">
        <f>IFERROR(__xludf.DUMMYFUNCTION("""COMPUTED_VALUE"""),"中絶の相談はどのように行いますか？")</f>
        <v>中絶の相談はどのように行いますか？</v>
      </c>
      <c r="B537" s="31" t="str">
        <f>IFERROR(__xludf.DUMMYFUNCTION("""COMPUTED_VALUE"""),"中絶相談の初回診療は予約制です。公式LINEからご予約のうえご来院いただき、問診・超音波（エコー）検査・血液検査を行い、妊娠週数やお身体の状態を確認します。その後、手術方法やリスク、費用について医師が詳しくご説明し、ご納得いただいた場合に手術日の予約を行います。患者様のご負担を軽減するため、「手術当日以外」はお近くのクリニックをご利用いただける体制を整えております。■初回相談・術前検査：川崎駅前院／横浜駅前院／町田駅前院→ご都合の良い院で受診可能 ■手術当日：横浜駅前院のみ→施術当日のみ横浜へご来院いただ"&amp;"きます ■術後フォロー：川崎駅前院／横浜駅前院／町田駅前院→お近くの院で受診可能 ご予約は公式LINEから24時間承っております。LINEはこちら→https://cline-app.com/qr-codes/98ad6f149bfa20f4f2a9a2e91aac4187/preview
以下に該当する方は中絶手術をお受けできませんので予めご了承くださいませ・妊娠12週以降の方（当院では妊娠11週6日までの初期中絶のみ対応）・帝王切開歴のある方・喘息をお持ちの方で直近3ヶ月以内に発作がある場合・BMI3"&amp;"2以上の方（BMI28以上は医師の判断）・日本語でのコミュニケーションが難しい方 ")</f>
        <v>中絶相談の初回診療は予約制です。公式LINEからご予約のうえご来院いただき、問診・超音波（エコー）検査・血液検査を行い、妊娠週数やお身体の状態を確認します。その後、手術方法やリスク、費用について医師が詳しくご説明し、ご納得いただいた場合に手術日の予約を行います。患者様のご負担を軽減するため、「手術当日以外」はお近くのクリニックをご利用いただける体制を整えております。■初回相談・術前検査：川崎駅前院／横浜駅前院／町田駅前院→ご都合の良い院で受診可能 ■手術当日：横浜駅前院のみ→施術当日のみ横浜へご来院いただきます ■術後フォロー：川崎駅前院／横浜駅前院／町田駅前院→お近くの院で受診可能 ご予約は公式LINEから24時間承っております。LINEはこちら→https://cline-app.com/qr-codes/98ad6f149bfa20f4f2a9a2e91aac4187/preview
以下に該当する方は中絶手術をお受けできませんので予めご了承くださいませ・妊娠12週以降の方（当院では妊娠11週6日までの初期中絶のみ対応）・帝王切開歴のある方・喘息をお持ちの方で直近3ヶ月以内に発作がある場合・BMI32以上の方（BMI28以上は医師の判断）・日本語でのコミュニケーションが難しい方 </v>
      </c>
      <c r="C537" s="31" t="str">
        <f>IFERROR(__xludf.DUMMYFUNCTION("""COMPUTED_VALUE"""),"中絶手術")</f>
        <v>中絶手術</v>
      </c>
      <c r="D537" s="31" t="str">
        <f>IFERROR(__xludf.DUMMYFUNCTION("""COMPUTED_VALUE"""),"中絶手術,予約,LINE予約,電話予約")</f>
        <v>中絶手術,予約,LINE予約,電話予約</v>
      </c>
      <c r="E537" s="32" t="str">
        <f>IFERROR(__xludf.DUMMYFUNCTION("""COMPUTED_VALUE"""),"https://luna-dr.com/subjects/abortion_page/")</f>
        <v>https://luna-dr.com/subjects/abortion_page/</v>
      </c>
    </row>
    <row r="538">
      <c r="A538" s="31" t="str">
        <f>IFERROR(__xludf.DUMMYFUNCTION("""COMPUTED_VALUE"""),"中絶手術の予約はどのように行いますか？")</f>
        <v>中絶手術の予約はどのように行いますか？</v>
      </c>
      <c r="B538" s="31" t="str">
        <f>IFERROR(__xludf.DUMMYFUNCTION("""COMPUTED_VALUE"""),"中絶手術の初回診療は予約制です。当院では患者様のご負担を軽減するため、「手術当日以外」はお近くのクリニックをご利用いただける体制を整えております。初回相談・術前検査はご都合が良いクリニックをご選択ください。手術当日のみ、横浜駅前院へご来院いただきます。術後フォローはお近くの院で受診可能となります。ご予約は公式LINEから24時間承っております。LINEはこちら→https://cline-app.com/qr-codes/98ad6f149bfa20f4f2a9a2e91aac4187/preview
以"&amp;"下に該当する方は中絶手術をお受けできませんので予めご了承くださいませ・妊娠12週以降の方（当院では妊娠11週6日までの初期中絶のみ対応）・帝王切開歴のある方・喘息をお持ちの方で直近3ヶ月以内に発作がある場合・BMI32以上の方（BMI28以上は医師の判断）・日本語でのコミュニケーションが難しい方 ")</f>
        <v>中絶手術の初回診療は予約制です。当院では患者様のご負担を軽減するため、「手術当日以外」はお近くのクリニックをご利用いただける体制を整えております。初回相談・術前検査はご都合が良いクリニックをご選択ください。手術当日のみ、横浜駅前院へご来院いただきます。術後フォローはお近くの院で受診可能となります。ご予約は公式LINEから24時間承っております。LINEはこちら→https://cline-app.com/qr-codes/98ad6f149bfa20f4f2a9a2e91aac4187/preview
以下に該当する方は中絶手術をお受けできませんので予めご了承くださいませ・妊娠12週以降の方（当院では妊娠11週6日までの初期中絶のみ対応）・帝王切開歴のある方・喘息をお持ちの方で直近3ヶ月以内に発作がある場合・BMI32以上の方（BMI28以上は医師の判断）・日本語でのコミュニケーションが難しい方 </v>
      </c>
      <c r="C538" s="31" t="str">
        <f>IFERROR(__xludf.DUMMYFUNCTION("""COMPUTED_VALUE"""),"中絶手術")</f>
        <v>中絶手術</v>
      </c>
      <c r="D538" s="31" t="str">
        <f>IFERROR(__xludf.DUMMYFUNCTION("""COMPUTED_VALUE"""),"中絶手術,予約,LINE予約,電話予約")</f>
        <v>中絶手術,予約,LINE予約,電話予約</v>
      </c>
      <c r="E538" s="32" t="str">
        <f>IFERROR(__xludf.DUMMYFUNCTION("""COMPUTED_VALUE"""),"https://luna-dr.com/subjects/abortion_page/")</f>
        <v>https://luna-dr.com/subjects/abortion_page/</v>
      </c>
    </row>
    <row r="539">
      <c r="A539" s="31" t="str">
        <f>IFERROR(__xludf.DUMMYFUNCTION("""COMPUTED_VALUE"""),"中絶手術の初回来院時に必要な持ち物は何ですか？")</f>
        <v>中絶手術の初回来院時に必要な持ち物は何ですか？</v>
      </c>
      <c r="B539" s="31" t="str">
        <f>IFERROR(__xludf.DUMMYFUNCTION("""COMPUTED_VALUE"""),"初回来院時は、保険証またはマイナンバーカード、お薬手帳（お持ちの方）、筆記用具をご持参ください。問診票記入のため、予約時間より10分ほど早めの来院をおすすめしています。")</f>
        <v>初回来院時は、保険証またはマイナンバーカード、お薬手帳（お持ちの方）、筆記用具をご持参ください。問診票記入のため、予約時間より10分ほど早めの来院をおすすめしています。</v>
      </c>
      <c r="C539" s="31" t="str">
        <f>IFERROR(__xludf.DUMMYFUNCTION("""COMPUTED_VALUE"""),"中絶手術")</f>
        <v>中絶手術</v>
      </c>
      <c r="D539" s="31" t="str">
        <f>IFERROR(__xludf.DUMMYFUNCTION("""COMPUTED_VALUE"""),"中絶手術,初診,持ち物")</f>
        <v>中絶手術,初診,持ち物</v>
      </c>
      <c r="E539" s="32" t="str">
        <f>IFERROR(__xludf.DUMMYFUNCTION("""COMPUTED_VALUE"""),"https://luna-dr.com/subjects/abortion_page/")</f>
        <v>https://luna-dr.com/subjects/abortion_page/</v>
      </c>
    </row>
    <row r="540">
      <c r="A540" s="31" t="str">
        <f>IFERROR(__xludf.DUMMYFUNCTION("""COMPUTED_VALUE"""),"中絶手術の1回目はどのような流れですか？/中絶手術の初回診療はどのような流れですか？")</f>
        <v>中絶手術の1回目はどのような流れですか？/中絶手術の初回診療はどのような流れですか？</v>
      </c>
      <c r="B540" s="31" t="str">
        <f>IFERROR(__xludf.DUMMYFUNCTION("""COMPUTED_VALUE"""),"当クリニックでは、中絶手術の1回目としてカウンセリングと検査を行います。公式LINEからご予約のうえご来院いただき、問診・超音波（エコー）検査・血液検査を行い、妊娠週数やお身体の状態を確認します。その後、手術方法やリスク、費用について医師が詳しくご説明し、ご納得いただいた場合に手術日の予約を行います。患者様のご負担を軽減するため、「手術当日以外」はお近くのクリニックをご利用いただける体制を整えております。■初回相談・術前検査：川崎駅前院／横浜駅前院／町田駅前院→ご都合の良い院で受診可能 ■手術当日：横浜駅"&amp;"前院のみ→施術当日のみ横浜へご来院いただきます ■術後フォロー：川崎駅前院／横浜駅前院／町田駅前院→お近くの院で受診可能 ご予約は公式LINEから24時間承っております。LINEはこちら→https://cline-app.com/qr-codes/98ad6f149bfa20f4f2a9a2e91aac4187/preview")</f>
        <v>当クリニックでは、中絶手術の1回目としてカウンセリングと検査を行います。公式LINEからご予約のうえご来院いただき、問診・超音波（エコー）検査・血液検査を行い、妊娠週数やお身体の状態を確認します。その後、手術方法やリスク、費用について医師が詳しくご説明し、ご納得いただいた場合に手術日の予約を行います。患者様のご負担を軽減するため、「手術当日以外」はお近くのクリニックをご利用いただける体制を整えております。■初回相談・術前検査：川崎駅前院／横浜駅前院／町田駅前院→ご都合の良い院で受診可能 ■手術当日：横浜駅前院のみ→施術当日のみ横浜へご来院いただきます ■術後フォロー：川崎駅前院／横浜駅前院／町田駅前院→お近くの院で受診可能 ご予約は公式LINEから24時間承っております。LINEはこちら→https://cline-app.com/qr-codes/98ad6f149bfa20f4f2a9a2e91aac4187/preview</v>
      </c>
      <c r="C540" s="31" t="str">
        <f>IFERROR(__xludf.DUMMYFUNCTION("""COMPUTED_VALUE"""),"中絶手術")</f>
        <v>中絶手術</v>
      </c>
      <c r="D540" s="31" t="str">
        <f>IFERROR(__xludf.DUMMYFUNCTION("""COMPUTED_VALUE"""),"中絶,初回診療,カウンセリング,検査,予約")</f>
        <v>中絶,初回診療,カウンセリング,検査,予約</v>
      </c>
      <c r="E540" s="32" t="str">
        <f>IFERROR(__xludf.DUMMYFUNCTION("""COMPUTED_VALUE"""),"https://luna-dr.com/subjects/abortion_page/")</f>
        <v>https://luna-dr.com/subjects/abortion_page/</v>
      </c>
    </row>
    <row r="541">
      <c r="A541" s="31" t="str">
        <f>IFERROR(__xludf.DUMMYFUNCTION("""COMPUTED_VALUE"""),"中絶手術の初回診療は予約が必要ですか？/町田院でも中絶手術はできますか？/川崎院でも中絶手術はできますか？")</f>
        <v>中絶手術の初回診療は予約が必要ですか？/町田院でも中絶手術はできますか？/川崎院でも中絶手術はできますか？</v>
      </c>
      <c r="B541" s="31" t="str">
        <f>IFERROR(__xludf.DUMMYFUNCTION("""COMPUTED_VALUE"""),"当クリニックではスムーズなご案内のため、初回診療は完全予約制としています。当院では患者様のご負担を軽減するため、「手術当日以外」はお近くのクリニックをご利用いただける体制を整えております。初回相談・術前検査はご都合が良いクリニックをご選択ください。手術当日のみ、横浜駅前院へご来院いただきます。術後フォローはお近くの院で受診可能となります。ご予約は公式LINEから24時間予約可能です。LINEはこちら→https://cline-app.com/qr-codes/98ad6f149bfa20f4f2a9a2"&amp;"e91aac4187/preview
以下に該当する方は中絶手術をお受けできませんので予めご了承くださいませ・妊娠12週以降の方（当院では妊娠11週6日までの初期中絶のみ対応）・帝王切開歴のある方・喘息をお持ちの方で直近3ヶ月以内に発作がある場合・BMI32以上の方（BMI28以上は医師の判断）・日本語でのコミュニケーションが難しい方 ")</f>
        <v>当クリニックではスムーズなご案内のため、初回診療は完全予約制としています。当院では患者様のご負担を軽減するため、「手術当日以外」はお近くのクリニックをご利用いただける体制を整えております。初回相談・術前検査はご都合が良いクリニックをご選択ください。手術当日のみ、横浜駅前院へご来院いただきます。術後フォローはお近くの院で受診可能となります。ご予約は公式LINEから24時間予約可能です。LINEはこちら→https://cline-app.com/qr-codes/98ad6f149bfa20f4f2a9a2e91aac4187/preview
以下に該当する方は中絶手術をお受けできませんので予めご了承くださいませ・妊娠12週以降の方（当院では妊娠11週6日までの初期中絶のみ対応）・帝王切開歴のある方・喘息をお持ちの方で直近3ヶ月以内に発作がある場合・BMI32以上の方（BMI28以上は医師の判断）・日本語でのコミュニケーションが難しい方 </v>
      </c>
      <c r="C541" s="31" t="str">
        <f>IFERROR(__xludf.DUMMYFUNCTION("""COMPUTED_VALUE"""),"中絶手術")</f>
        <v>中絶手術</v>
      </c>
      <c r="D541" s="31" t="str">
        <f>IFERROR(__xludf.DUMMYFUNCTION("""COMPUTED_VALUE"""),"中絶,初回,予約,LINE,電話")</f>
        <v>中絶,初回,予約,LINE,電話</v>
      </c>
      <c r="E541" s="32" t="str">
        <f>IFERROR(__xludf.DUMMYFUNCTION("""COMPUTED_VALUE"""),"https://luna-dr.com/subjects/abortion_page/")</f>
        <v>https://luna-dr.com/subjects/abortion_page/</v>
      </c>
    </row>
    <row r="542">
      <c r="A542" s="31" t="str">
        <f>IFERROR(__xludf.DUMMYFUNCTION("""COMPUTED_VALUE"""),"中絶手術はどうやって予約しますか？")</f>
        <v>中絶手術はどうやって予約しますか？</v>
      </c>
      <c r="B542" s="31" t="str">
        <f>IFERROR(__xludf.DUMMYFUNCTION("""COMPUTED_VALUE"""),"公式LINEでご予約ができます。LINEはこちら→https://cline-app.com/qr-codes/98ad6f149bfa20f4f2a9a2e91aac4187/preview
※当院では患者様のご負担を軽減するため、「手術当日以外」はお近くのクリニックをご利用いただける体制を整えております。初回相談・術前検査はご都合が良いクリニックをご選択ください。手術当日のみ、横浜駅前院へご来院いただきます。術後フォローはお近くの院で受診可能となります。
以下に該当する方は中絶手術をお受けできませんの"&amp;"で予めご了承くださいませ・妊娠12週以降の方（当院では妊娠11週6日までの初期中絶のみ対応）・帝王切開歴のある方・喘息をお持ちの方で直近3ヶ月以内に発作がある場合・BMI32以上の方（BMI28以上は医師の判断）・日本語でのコミュニケーションが難しい方 ")</f>
        <v>公式LINEでご予約ができます。LINEはこちら→https://cline-app.com/qr-codes/98ad6f149bfa20f4f2a9a2e91aac4187/preview
※当院では患者様のご負担を軽減するため、「手術当日以外」はお近くのクリニックをご利用いただける体制を整えております。初回相談・術前検査はご都合が良いクリニックをご選択ください。手術当日のみ、横浜駅前院へご来院いただきます。術後フォローはお近くの院で受診可能となります。
以下に該当する方は中絶手術をお受けできませんので予めご了承くださいませ・妊娠12週以降の方（当院では妊娠11週6日までの初期中絶のみ対応）・帝王切開歴のある方・喘息をお持ちの方で直近3ヶ月以内に発作がある場合・BMI32以上の方（BMI28以上は医師の判断）・日本語でのコミュニケーションが難しい方 </v>
      </c>
      <c r="C542" s="31" t="str">
        <f>IFERROR(__xludf.DUMMYFUNCTION("""COMPUTED_VALUE"""),"中絶手術")</f>
        <v>中絶手術</v>
      </c>
      <c r="D542" s="31" t="str">
        <f>IFERROR(__xludf.DUMMYFUNCTION("""COMPUTED_VALUE"""),"予約方法,LINE,電話,妊娠検査")</f>
        <v>予約方法,LINE,電話,妊娠検査</v>
      </c>
      <c r="E542" s="32" t="str">
        <f>IFERROR(__xludf.DUMMYFUNCTION("""COMPUTED_VALUE"""),"https://luna-dr.com/subjects/pregnancy-test/")</f>
        <v>https://luna-dr.com/subjects/pregnancy-test/</v>
      </c>
    </row>
    <row r="543">
      <c r="A543" s="31" t="str">
        <f>IFERROR(__xludf.DUMMYFUNCTION("""COMPUTED_VALUE"""),"中絶手術はLINEから予約できますか？")</f>
        <v>中絶手術はLINEから予約できますか？</v>
      </c>
      <c r="B543" s="31" t="str">
        <f>IFERROR(__xludf.DUMMYFUNCTION("""COMPUTED_VALUE"""),"公式LINEでご予約ができます。LINEはこちら→https://cline-app.com/qr-codes/98ad6f149bfa20f4f2a9a2e91aac4187/preview
※当院では患者様のご負担を軽減するため、「手術当日以外」はお近くのクリニックをご利用いただける体制を整えております。初回相談・術前検査はご都合が良いクリニックをご選択ください。手術当日のみ、横浜駅前院へご来院いただきます。術後フォローはお近くの院で受診可能となります。
以下に該当する方は中絶手術をお受けできませんの"&amp;"で予めご了承くださいませ・妊娠12週以降の方（当院では妊娠11週6日までの初期中絶のみ対応）・帝王切開歴のある方・喘息をお持ちの方で直近3ヶ月以内に発作がある場合・BMI32以上の方（BMI28以上は医師の判断）・日本語でのコミュニケーションが難しい方 ")</f>
        <v>公式LINEでご予約ができます。LINEはこちら→https://cline-app.com/qr-codes/98ad6f149bfa20f4f2a9a2e91aac4187/preview
※当院では患者様のご負担を軽減するため、「手術当日以外」はお近くのクリニックをご利用いただける体制を整えております。初回相談・術前検査はご都合が良いクリニックをご選択ください。手術当日のみ、横浜駅前院へご来院いただきます。術後フォローはお近くの院で受診可能となります。
以下に該当する方は中絶手術をお受けできませんので予めご了承くださいませ・妊娠12週以降の方（当院では妊娠11週6日までの初期中絶のみ対応）・帝王切開歴のある方・喘息をお持ちの方で直近3ヶ月以内に発作がある場合・BMI32以上の方（BMI28以上は医師の判断）・日本語でのコミュニケーションが難しい方 </v>
      </c>
      <c r="C543" s="31" t="str">
        <f>IFERROR(__xludf.DUMMYFUNCTION("""COMPUTED_VALUE"""),"中絶手術")</f>
        <v>中絶手術</v>
      </c>
      <c r="D543" s="31" t="str">
        <f>IFERROR(__xludf.DUMMYFUNCTION("""COMPUTED_VALUE"""),"LINE予約,婦人科予約,妊娠検査")</f>
        <v>LINE予約,婦人科予約,妊娠検査</v>
      </c>
      <c r="E543" s="32" t="str">
        <f>IFERROR(__xludf.DUMMYFUNCTION("""COMPUTED_VALUE"""),"https://luna-dr.com/subjects/pregnancy-test/")</f>
        <v>https://luna-dr.com/subjects/pregnancy-test/</v>
      </c>
    </row>
    <row r="544">
      <c r="A544" s="31" t="str">
        <f>IFERROR(__xludf.DUMMYFUNCTION("""COMPUTED_VALUE"""),"中絶手術は電話でも予約できますか？")</f>
        <v>中絶手術は電話でも予約できますか？</v>
      </c>
      <c r="B544" s="31" t="str">
        <f>IFERROR(__xludf.DUMMYFUNCTION("""COMPUTED_VALUE"""),"LINEでの予約後、事前問診等もLINEから行うことができ、スムーズに受診ができるため、当院ではLINEでのご予約を推奨しております。
来院診療のご予約：こちらのLINEをご利用ください→https://cline-app.com/qr-codes/98ad6f149bfa20f4f2a9a2e91aac4187/preview
※当院では患者様のご負担を軽減するため、「手術当日以外」はお近くのクリニックをご利用いただける体制を整えております。初回相談・術前検査はご都合が良いクリニックをご選択ください。手"&amp;"術当日のみ、横浜駅前院へご来院いただきます。術後フォローはお近くの院で受診可能となります。
以下に該当する方は中絶手術をお受けできませんので予めご了承くださいませ・妊娠12週以降の方（当院では妊娠11週6日までの初期中絶のみ対応）・帝王切開歴のある方・喘息をお持ちの方で直近3ヶ月以内に発作がある場合・BMI32以上の方（BMI28以上は医師の判断）・日本語でのコミュニケーションが難しい方 ")</f>
        <v>LINEでの予約後、事前問診等もLINEから行うことができ、スムーズに受診ができるため、当院ではLINEでのご予約を推奨しております。
来院診療のご予約：こちらのLINEをご利用ください→https://cline-app.com/qr-codes/98ad6f149bfa20f4f2a9a2e91aac4187/preview
※当院では患者様のご負担を軽減するため、「手術当日以外」はお近くのクリニックをご利用いただける体制を整えております。初回相談・術前検査はご都合が良いクリニックをご選択ください。手術当日のみ、横浜駅前院へご来院いただきます。術後フォローはお近くの院で受診可能となります。
以下に該当する方は中絶手術をお受けできませんので予めご了承くださいませ・妊娠12週以降の方（当院では妊娠11週6日までの初期中絶のみ対応）・帝王切開歴のある方・喘息をお持ちの方で直近3ヶ月以内に発作がある場合・BMI32以上の方（BMI28以上は医師の判断）・日本語でのコミュニケーションが難しい方 </v>
      </c>
      <c r="C544" s="31" t="str">
        <f>IFERROR(__xludf.DUMMYFUNCTION("""COMPUTED_VALUE"""),"中絶手術")</f>
        <v>中絶手術</v>
      </c>
      <c r="D544" s="31" t="str">
        <f>IFERROR(__xludf.DUMMYFUNCTION("""COMPUTED_VALUE"""),"電話予約,問い合わせ,妊娠検査")</f>
        <v>電話予約,問い合わせ,妊娠検査</v>
      </c>
      <c r="E544" s="32" t="str">
        <f>IFERROR(__xludf.DUMMYFUNCTION("""COMPUTED_VALUE"""),"https://luna-dr.com/subjects/pregnancy-test/")</f>
        <v>https://luna-dr.com/subjects/pregnancy-test/</v>
      </c>
    </row>
    <row r="545">
      <c r="A545" s="31" t="str">
        <f>IFERROR(__xludf.DUMMYFUNCTION("""COMPUTED_VALUE"""),"中絶手術の予約前に準備しておくことはありますか？")</f>
        <v>中絶手術の予約前に準備しておくことはありますか？</v>
      </c>
      <c r="B545" s="31" t="str">
        <f>IFERROR(__xludf.DUMMYFUNCTION("""COMPUTED_VALUE"""),"ルナレディースクリニックでは、診察前にWEB問診の入力をお願いしています。事前にご入力いただくと診察がスムーズです。")</f>
        <v>ルナレディースクリニックでは、診察前にWEB問診の入力をお願いしています。事前にご入力いただくと診察がスムーズです。</v>
      </c>
      <c r="C545" s="31" t="str">
        <f>IFERROR(__xludf.DUMMYFUNCTION("""COMPUTED_VALUE"""),"中絶手術")</f>
        <v>中絶手術</v>
      </c>
      <c r="D545" s="31" t="str">
        <f>IFERROR(__xludf.DUMMYFUNCTION("""COMPUTED_VALUE"""),"WEB問診,事前準備,妊娠検査")</f>
        <v>WEB問診,事前準備,妊娠検査</v>
      </c>
      <c r="E545" s="32" t="str">
        <f>IFERROR(__xludf.DUMMYFUNCTION("""COMPUTED_VALUE"""),"https://luna-dr.com/subjects/pregnancy-test/")</f>
        <v>https://luna-dr.com/subjects/pregnancy-test/</v>
      </c>
    </row>
    <row r="546">
      <c r="A546" s="31" t="str">
        <f>IFERROR(__xludf.DUMMYFUNCTION("""COMPUTED_VALUE"""),"中絶手術は初診でも予約できますか？")</f>
        <v>中絶手術は初診でも予約できますか？</v>
      </c>
      <c r="B546" s="31" t="str">
        <f>IFERROR(__xludf.DUMMYFUNCTION("""COMPUTED_VALUE"""),"中絶手術は初診の方もご予約いただけます。初回診療ではカウンセリングと検査を行い、その後、別日に中絶手術を実施します。初回診療後に十分な説明を行い、納得いただいた上で手術日を決定します。当院では患者様のご負担を軽減するため、「手術当日以外」はお近くのクリニックをご利用いただける体制を整えております。初回相談・術前検査はご都合が良いクリニックをご選択ください。手術当日のみ、横浜駅前院へご来院いただきます。術後フォローはお近くの院で受診可能となります。ご予約は公式LINEから受け付けておりますので、友だち追加の"&amp;"上ご利用ください。LINEはこちら→https://cline-app.com/qr-codes/98ad6f149bfa20f4f2a9a2e91aac4187/preview
以下に該当する方は中絶手術をお受けできませんので予めご了承くださいませ・妊娠12週以降の方（当院では妊娠11週6日までの初期中絶のみ対応）・帝王切開歴のある方・喘息をお持ちの方で直近3ヶ月以内に発作がある場合・BMI32以上の方（BMI28以上は医師の判断）・日本語でのコミュニケーションが難しい方 ")</f>
        <v>中絶手術は初診の方もご予約いただけます。初回診療ではカウンセリングと検査を行い、その後、別日に中絶手術を実施します。初回診療後に十分な説明を行い、納得いただいた上で手術日を決定します。当院では患者様のご負担を軽減するため、「手術当日以外」はお近くのクリニックをご利用いただける体制を整えております。初回相談・術前検査はご都合が良いクリニックをご選択ください。手術当日のみ、横浜駅前院へご来院いただきます。術後フォローはお近くの院で受診可能となります。ご予約は公式LINEから受け付けておりますので、友だち追加の上ご利用ください。LINEはこちら→https://cline-app.com/qr-codes/98ad6f149bfa20f4f2a9a2e91aac4187/preview
以下に該当する方は中絶手術をお受けできませんので予めご了承くださいませ・妊娠12週以降の方（当院では妊娠11週6日までの初期中絶のみ対応）・帝王切開歴のある方・喘息をお持ちの方で直近3ヶ月以内に発作がある場合・BMI32以上の方（BMI28以上は医師の判断）・日本語でのコミュニケーションが難しい方 </v>
      </c>
      <c r="C546" s="31" t="str">
        <f>IFERROR(__xludf.DUMMYFUNCTION("""COMPUTED_VALUE"""),"中絶手術")</f>
        <v>中絶手術</v>
      </c>
      <c r="D546" s="31" t="str">
        <f>IFERROR(__xludf.DUMMYFUNCTION("""COMPUTED_VALUE"""),"初診,予約,妊娠検査")</f>
        <v>初診,予約,妊娠検査</v>
      </c>
      <c r="E546" s="32" t="str">
        <f>IFERROR(__xludf.DUMMYFUNCTION("""COMPUTED_VALUE"""),"https://luna-dr.com/subjects/pregnancy-test/")</f>
        <v>https://luna-dr.com/subjects/pregnancy-test/</v>
      </c>
    </row>
    <row r="547">
      <c r="A547" s="31" t="str">
        <f>IFERROR(__xludf.DUMMYFUNCTION("""COMPUTED_VALUE"""),"中絶手術は来院とオンライン、どちらで予約できますか？")</f>
        <v>中絶手術は来院とオンライン、どちらで予約できますか？</v>
      </c>
      <c r="B547" s="31" t="str">
        <f>IFERROR(__xludf.DUMMYFUNCTION("""COMPUTED_VALUE"""),"ルナレディースクリニックでは、中絶手術のご相談は来院診療のみで承っています。初回診療ではカウンセリングと検査を行い、その後、別日に中絶手術を実施します。初回診療後に十分な説明を行い、納得いただいた上で手術日を決定します。当院では患者様のご負担を軽減するため、「手術当日以外」はお近くのクリニックをご利用いただける体制を整えております。初回相談・術前検査はご都合が良いクリニックをご選択ください。手術当日のみ、横浜駅前院へご来院いただきます。術後フォローはお近くの院で受診可能となります。ご予約は公式LINEから"&amp;"受け付けておりますので、友だち追加の上ご利用ください。LINEはこちら→https://cline-app.com/qr-codes/98ad6f149bfa20f4f2a9a2e91aac4187/preview
以下に該当する方は中絶手術をお受けできませんので予めご了承くださいませ・妊娠12週以降の方（当院では妊娠11週6日までの初期中絶のみ対応）・帝王切開歴のある方・喘息をお持ちの方で直近3ヶ月以内に発作がある場合・BMI32以上の方（BMI28以上は医師の判断）・日本語でのコミュニケーションが難し"&amp;"い方 ")</f>
        <v>ルナレディースクリニックでは、中絶手術のご相談は来院診療のみで承っています。初回診療ではカウンセリングと検査を行い、その後、別日に中絶手術を実施します。初回診療後に十分な説明を行い、納得いただいた上で手術日を決定します。当院では患者様のご負担を軽減するため、「手術当日以外」はお近くのクリニックをご利用いただける体制を整えております。初回相談・術前検査はご都合が良いクリニックをご選択ください。手術当日のみ、横浜駅前院へご来院いただきます。術後フォローはお近くの院で受診可能となります。ご予約は公式LINEから受け付けておりますので、友だち追加の上ご利用ください。LINEはこちら→https://cline-app.com/qr-codes/98ad6f149bfa20f4f2a9a2e91aac4187/preview
以下に該当する方は中絶手術をお受けできませんので予めご了承くださいませ・妊娠12週以降の方（当院では妊娠11週6日までの初期中絶のみ対応）・帝王切開歴のある方・喘息をお持ちの方で直近3ヶ月以内に発作がある場合・BMI32以上の方（BMI28以上は医師の判断）・日本語でのコミュニケーションが難しい方 </v>
      </c>
      <c r="C547" s="31" t="str">
        <f>IFERROR(__xludf.DUMMYFUNCTION("""COMPUTED_VALUE"""),"中絶手術")</f>
        <v>中絶手術</v>
      </c>
      <c r="D547" s="31" t="str">
        <f>IFERROR(__xludf.DUMMYFUNCTION("""COMPUTED_VALUE"""),"来院診療,オンライン診療,妊娠検査")</f>
        <v>来院診療,オンライン診療,妊娠検査</v>
      </c>
      <c r="E547" s="32" t="str">
        <f>IFERROR(__xludf.DUMMYFUNCTION("""COMPUTED_VALUE"""),"https://luna-dr.com/subjects/pregnancy-test/")</f>
        <v>https://luna-dr.com/subjects/pregnancy-test/</v>
      </c>
    </row>
    <row r="548">
      <c r="A548" s="31" t="str">
        <f>IFERROR(__xludf.DUMMYFUNCTION("""COMPUTED_VALUE"""),"予約なしでも中絶手術は受けられますか？")</f>
        <v>予約なしでも中絶手術は受けられますか？</v>
      </c>
      <c r="B548" s="31" t="str">
        <f>IFERROR(__xludf.DUMMYFUNCTION("""COMPUTED_VALUE"""),"中絶手術は完全予約制としています。初回診療ではカウンセリングと検査を行い、その後、別日に中絶手術を実施します。初回診療後に十分な説明を行い、納得いただいた上で手術日を決定します。当院では患者様のご負担を軽減するため、「手術当日以外」はお近くのクリニックをご利用いただける体制を整えております。初回相談・術前検査はご都合が良いクリニックをご選択ください。手術当日のみ、横浜駅前院へご来院いただきます。術後フォローはお近くの院で受診可能となります。ご予約は公式LINEから受け付けておりますので、友だち追加の上ご利"&amp;"用ください。LINEはこちら→https://cline-app.com/qr-codes/98ad6f149bfa20f4f2a9a2e91aac4187/preview
以下に該当する方は中絶手術をお受けできませんので予めご了承くださいませ・妊娠12週以降の方（当院では妊娠11週6日までの初期中絶のみ対応）・帝王切開歴のある方・喘息をお持ちの方で直近3ヶ月以内に発作がある場合・BMI32以上の方（BMI28以上は医師の判断）・日本語でのコミュニケーションが難しい方 ")</f>
        <v>中絶手術は完全予約制としています。初回診療ではカウンセリングと検査を行い、その後、別日に中絶手術を実施します。初回診療後に十分な説明を行い、納得いただいた上で手術日を決定します。当院では患者様のご負担を軽減するため、「手術当日以外」はお近くのクリニックをご利用いただける体制を整えております。初回相談・術前検査はご都合が良いクリニックをご選択ください。手術当日のみ、横浜駅前院へご来院いただきます。術後フォローはお近くの院で受診可能となります。ご予約は公式LINEから受け付けておりますので、友だち追加の上ご利用ください。LINEはこちら→https://cline-app.com/qr-codes/98ad6f149bfa20f4f2a9a2e91aac4187/preview
以下に該当する方は中絶手術をお受けできませんので予めご了承くださいませ・妊娠12週以降の方（当院では妊娠11週6日までの初期中絶のみ対応）・帝王切開歴のある方・喘息をお持ちの方で直近3ヶ月以内に発作がある場合・BMI32以上の方（BMI28以上は医師の判断）・日本語でのコミュニケーションが難しい方 </v>
      </c>
      <c r="C548" s="31" t="str">
        <f>IFERROR(__xludf.DUMMYFUNCTION("""COMPUTED_VALUE"""),"中絶手術")</f>
        <v>中絶手術</v>
      </c>
      <c r="D548" s="31" t="str">
        <f>IFERROR(__xludf.DUMMYFUNCTION("""COMPUTED_VALUE"""),"妊娠検査検査,予約なし")</f>
        <v>妊娠検査検査,予約なし</v>
      </c>
      <c r="E548" s="32" t="str">
        <f>IFERROR(__xludf.DUMMYFUNCTION("""COMPUTED_VALUE"""),"https://luna-dr.com/subjects/pregnancy-test/")</f>
        <v>https://luna-dr.com/subjects/pregnancy-test/</v>
      </c>
    </row>
    <row r="549">
      <c r="A549" s="31" t="str">
        <f>IFERROR(__xludf.DUMMYFUNCTION("""COMPUTED_VALUE"""),"中絶手術の初回診療では何をしますか？")</f>
        <v>中絶手術の初回診療では何をしますか？</v>
      </c>
      <c r="B549" s="31" t="str">
        <f>IFERROR(__xludf.DUMMYFUNCTION("""COMPUTED_VALUE"""),"当クリニックでは初回診療で、問診票の記入、医師による診察、膣からの超音波（エコー）検査、血液検査を行います。妊娠の有無や妊娠週数、子宮や体調の状態を確認し、安全に中絶手術が可能かを判断します。
※当院では患者様のご負担を軽減するため、「手術当日以外」はお近くのクリニックをご利用いただける体制を整えております。初回相談・術前検査はご都合が良いクリニックをご選択ください。手術当日のみ、横浜駅前院へご来院いただきます。術後フォローはお近くの院で受診可能となります。中絶手術のご相談のご予約は公式LINEで受け付け"&amp;"ています。LINEはこちら→https://cline-app.com/qr-codes/98ad6f149bfa20f4f2a9a2e91aac4187/preview
以下に該当する方は中絶手術をお受けできませんので予めご了承くださいませ・妊娠12週以降の方（当院では妊娠11週6日までの初期中絶のみ対応）・帝王切開歴のある方・喘息をお持ちの方で直近3ヶ月以内に発作がある場合・BMI32以上の方（BMI28以上は医師の判断）・日本語でのコミュニケーションが難しい方 ")</f>
        <v>当クリニックでは初回診療で、問診票の記入、医師による診察、膣からの超音波（エコー）検査、血液検査を行います。妊娠の有無や妊娠週数、子宮や体調の状態を確認し、安全に中絶手術が可能かを判断します。
※当院では患者様のご負担を軽減するため、「手術当日以外」はお近くのクリニックをご利用いただける体制を整えております。初回相談・術前検査はご都合が良いクリニックをご選択ください。手術当日のみ、横浜駅前院へご来院いただきます。術後フォローはお近くの院で受診可能となります。中絶手術のご相談のご予約は公式LINEで受け付けています。LINEはこちら→https://cline-app.com/qr-codes/98ad6f149bfa20f4f2a9a2e91aac4187/preview
以下に該当する方は中絶手術をお受けできませんので予めご了承くださいませ・妊娠12週以降の方（当院では妊娠11週6日までの初期中絶のみ対応）・帝王切開歴のある方・喘息をお持ちの方で直近3ヶ月以内に発作がある場合・BMI32以上の方（BMI28以上は医師の判断）・日本語でのコミュニケーションが難しい方 </v>
      </c>
      <c r="C549" s="31" t="str">
        <f>IFERROR(__xludf.DUMMYFUNCTION("""COMPUTED_VALUE"""),"中絶手術｜初回診療内容")</f>
        <v>中絶手術｜初回診療内容</v>
      </c>
      <c r="D549" s="31" t="str">
        <f>IFERROR(__xludf.DUMMYFUNCTION("""COMPUTED_VALUE"""),"中絶,初回,診察,エコー,血液検査")</f>
        <v>中絶,初回,診察,エコー,血液検査</v>
      </c>
      <c r="E549" s="32" t="str">
        <f>IFERROR(__xludf.DUMMYFUNCTION("""COMPUTED_VALUE"""),"https://luna-dr.com/subjects/abortion_page/")</f>
        <v>https://luna-dr.com/subjects/abortion_page/</v>
      </c>
    </row>
    <row r="550">
      <c r="A550" s="31" t="str">
        <f>IFERROR(__xludf.DUMMYFUNCTION("""COMPUTED_VALUE"""),"中絶手術の初回診療ではどのような検査を行いますか？")</f>
        <v>中絶手術の初回診療ではどのような検査を行いますか？</v>
      </c>
      <c r="B550" s="31" t="str">
        <f>IFERROR(__xludf.DUMMYFUNCTION("""COMPUTED_VALUE"""),"初回診療では、膣からの超音波検査で妊娠の有無や胎児の大きさを確認し、妊娠週数を算出します。また、採血により感染症の有無や貧血の程度を調べます。中絶手術のご相談のご予約は公式LINEで受け付けています。LINEはこちら→https://cline-app.com/qr-codes/98ad6f149bfa20f4f2a9a2e91aac4187/preview
※当院では患者様のご負担を軽減するため、「手術当日以外」はお近くのクリニックをご利用いただける体制を整えております。初回相談・術前検査はご都合が良い"&amp;"クリニックをご選択ください。手術当日のみ、横浜駅前院へご来院いただきます。術後フォローはお近くの院で受診可能となります。
以下に該当する方は中絶手術をお受けできませんので予めご了承くださいませ・妊娠12週以降の方（当院では妊娠11週6日までの初期中絶のみ対応）・帝王切開歴のある方・喘息をお持ちの方で直近3ヶ月以内に発作がある場合・BMI32以上の方（BMI28以上は医師の判断）・日本語でのコミュニケーションが難しい方 ")</f>
        <v>初回診療では、膣からの超音波検査で妊娠の有無や胎児の大きさを確認し、妊娠週数を算出します。また、採血により感染症の有無や貧血の程度を調べます。中絶手術のご相談のご予約は公式LINEで受け付けています。LINEはこちら→https://cline-app.com/qr-codes/98ad6f149bfa20f4f2a9a2e91aac4187/preview
※当院では患者様のご負担を軽減するため、「手術当日以外」はお近くのクリニックをご利用いただける体制を整えております。初回相談・術前検査はご都合が良いクリニックをご選択ください。手術当日のみ、横浜駅前院へご来院いただきます。術後フォローはお近くの院で受診可能となります。
以下に該当する方は中絶手術をお受けできませんので予めご了承くださいませ・妊娠12週以降の方（当院では妊娠11週6日までの初期中絶のみ対応）・帝王切開歴のある方・喘息をお持ちの方で直近3ヶ月以内に発作がある場合・BMI32以上の方（BMI28以上は医師の判断）・日本語でのコミュニケーションが難しい方 </v>
      </c>
      <c r="C550" s="31" t="str">
        <f>IFERROR(__xludf.DUMMYFUNCTION("""COMPUTED_VALUE"""),"中絶手術")</f>
        <v>中絶手術</v>
      </c>
      <c r="D550" s="31" t="str">
        <f>IFERROR(__xludf.DUMMYFUNCTION("""COMPUTED_VALUE"""),"中絶手術,超音波検査,血液検査,初診")</f>
        <v>中絶手術,超音波検査,血液検査,初診</v>
      </c>
      <c r="E550" s="32" t="str">
        <f>IFERROR(__xludf.DUMMYFUNCTION("""COMPUTED_VALUE"""),"https://luna-dr.com/subjects/abortion_page/")</f>
        <v>https://luna-dr.com/subjects/abortion_page/</v>
      </c>
    </row>
    <row r="551">
      <c r="A551" s="31" t="str">
        <f>IFERROR(__xludf.DUMMYFUNCTION("""COMPUTED_VALUE"""),"中絶手術の初回診療に必要な持ち物は何ですか？")</f>
        <v>中絶手術の初回診療に必要な持ち物は何ですか？</v>
      </c>
      <c r="B551" s="31" t="str">
        <f>IFERROR(__xludf.DUMMYFUNCTION("""COMPUTED_VALUE"""),"当クリニックでは初回診療時に、保険証またはマイナンバーカード、お薬手帳（お持ちの方）、筆記用具をご持参ください。問診票の記入がありますので、予約時間の10分前のご来院をおすすめしています。")</f>
        <v>当クリニックでは初回診療時に、保険証またはマイナンバーカード、お薬手帳（お持ちの方）、筆記用具をご持参ください。問診票の記入がありますので、予約時間の10分前のご来院をおすすめしています。</v>
      </c>
      <c r="C551" s="31" t="str">
        <f>IFERROR(__xludf.DUMMYFUNCTION("""COMPUTED_VALUE"""),"中絶手術｜持ち物")</f>
        <v>中絶手術｜持ち物</v>
      </c>
      <c r="D551" s="31" t="str">
        <f>IFERROR(__xludf.DUMMYFUNCTION("""COMPUTED_VALUE"""),"中絶,初回,持ち物,保険証")</f>
        <v>中絶,初回,持ち物,保険証</v>
      </c>
      <c r="E551" s="32" t="str">
        <f>IFERROR(__xludf.DUMMYFUNCTION("""COMPUTED_VALUE"""),"https://luna-dr.com/subjects/abortion_page/")</f>
        <v>https://luna-dr.com/subjects/abortion_page/</v>
      </c>
    </row>
    <row r="552">
      <c r="A552" s="31" t="str">
        <f>IFERROR(__xludf.DUMMYFUNCTION("""COMPUTED_VALUE"""),"中絶手術の同意書はいつ提出しますか？")</f>
        <v>中絶手術の同意書はいつ提出しますか？</v>
      </c>
      <c r="B552" s="31" t="str">
        <f>IFERROR(__xludf.DUMMYFUNCTION("""COMPUTED_VALUE"""),"手術内容やリスクについて十分に理解・納得いただいた後に、同意書をお渡しします。ご本人とパートナーの署名・捺印が必要です。")</f>
        <v>手術内容やリスクについて十分に理解・納得いただいた後に、同意書をお渡しします。ご本人とパートナーの署名・捺印が必要です。</v>
      </c>
      <c r="C552" s="31" t="str">
        <f>IFERROR(__xludf.DUMMYFUNCTION("""COMPUTED_VALUE"""),"中絶手術")</f>
        <v>中絶手術</v>
      </c>
      <c r="D552" s="31" t="str">
        <f>IFERROR(__xludf.DUMMYFUNCTION("""COMPUTED_VALUE"""),"中絶手術,同意書,母体保護法")</f>
        <v>中絶手術,同意書,母体保護法</v>
      </c>
      <c r="E552" s="32" t="str">
        <f>IFERROR(__xludf.DUMMYFUNCTION("""COMPUTED_VALUE"""),"https://luna-dr.com/subjects/abortion_page/")</f>
        <v>https://luna-dr.com/subjects/abortion_page/</v>
      </c>
    </row>
    <row r="553">
      <c r="A553" s="31" t="str">
        <f>IFERROR(__xludf.DUMMYFUNCTION("""COMPUTED_VALUE"""),"中絶手術日はどのように決まりますか？")</f>
        <v>中絶手術日はどのように決まりますか？</v>
      </c>
      <c r="B553" s="31" t="str">
        <f>IFERROR(__xludf.DUMMYFUNCTION("""COMPUTED_VALUE"""),"中絶手術の意思が固まった場合、妊娠週数や検査結果、患者様のご都合を考慮して手術日を決定します。身体への負担を軽減するため、可能な限り早い日程をご案内しています。
※当院では患者様のご負担を軽減するため、「手術当日以外」はお近くのクリニックをご利用いただける体制を整えております。初回相談・術前検査はご都合が良いクリニックをご選択ください。手術当日のみ、横浜駅前院へご来院いただきます。術後フォローはお近くの院で受診可能となります。")</f>
        <v>中絶手術の意思が固まった場合、妊娠週数や検査結果、患者様のご都合を考慮して手術日を決定します。身体への負担を軽減するため、可能な限り早い日程をご案内しています。
※当院では患者様のご負担を軽減するため、「手術当日以外」はお近くのクリニックをご利用いただける体制を整えております。初回相談・術前検査はご都合が良いクリニックをご選択ください。手術当日のみ、横浜駅前院へご来院いただきます。術後フォローはお近くの院で受診可能となります。</v>
      </c>
      <c r="C553" s="31" t="str">
        <f>IFERROR(__xludf.DUMMYFUNCTION("""COMPUTED_VALUE"""),"中絶手術")</f>
        <v>中絶手術</v>
      </c>
      <c r="D553" s="31" t="str">
        <f>IFERROR(__xludf.DUMMYFUNCTION("""COMPUTED_VALUE"""),"中絶手術,手術日,妊娠週数")</f>
        <v>中絶手術,手術日,妊娠週数</v>
      </c>
      <c r="E553" s="32" t="str">
        <f>IFERROR(__xludf.DUMMYFUNCTION("""COMPUTED_VALUE"""),"https://luna-dr.com/subjects/abortion_page/")</f>
        <v>https://luna-dr.com/subjects/abortion_page/</v>
      </c>
    </row>
    <row r="554">
      <c r="A554" s="31" t="str">
        <f>IFERROR(__xludf.DUMMYFUNCTION("""COMPUTED_VALUE"""),"中絶手術の初回診療時の費用はいくらですか？")</f>
        <v>中絶手術の初回診療時の費用はいくらですか？</v>
      </c>
      <c r="B554" s="31" t="str">
        <f>IFERROR(__xludf.DUMMYFUNCTION("""COMPUTED_VALUE"""),"初回診療では、超音波検査・血液検査を含む初診料として16,500円（税込）がかかります。中絶手術費用とは別途必要です。")</f>
        <v>初回診療では、超音波検査・血液検査を含む初診料として16,500円（税込）がかかります。中絶手術費用とは別途必要です。</v>
      </c>
      <c r="C554" s="31" t="str">
        <f>IFERROR(__xludf.DUMMYFUNCTION("""COMPUTED_VALUE"""),"中絶手術")</f>
        <v>中絶手術</v>
      </c>
      <c r="D554" s="31" t="str">
        <f>IFERROR(__xludf.DUMMYFUNCTION("""COMPUTED_VALUE"""),"中絶手術,初診料,費用")</f>
        <v>中絶手術,初診料,費用</v>
      </c>
      <c r="E554" s="32" t="str">
        <f>IFERROR(__xludf.DUMMYFUNCTION("""COMPUTED_VALUE"""),"https://luna-dr.com/subjects/abortion_page/")</f>
        <v>https://luna-dr.com/subjects/abortion_page/</v>
      </c>
    </row>
    <row r="555">
      <c r="A555" s="31" t="str">
        <f>IFERROR(__xludf.DUMMYFUNCTION("""COMPUTED_VALUE"""),"初回診療当日に中絶手術は行いますか？")</f>
        <v>初回診療当日に中絶手術は行いますか？</v>
      </c>
      <c r="B555" s="31" t="str">
        <f>IFERROR(__xludf.DUMMYFUNCTION("""COMPUTED_VALUE"""),"当クリニックでは初回診療と中絶手術は別日で行います。初回診療ではカウンセリングと検査を行い、その後、別日に中絶手術を実施します。初回診療後に十分な説明を行い、納得いただいた上で手術日を決定します。当院では患者様のご負担を軽減するため、「手術当日以外」はお近くのクリニックをご利用いただける体制を整えております。初回相談・術前検査はご都合が良いクリニックをご選択ください。手術当日のみ、横浜駅前院へご来院いただきます。術後フォローはお近くの院で受診可能となります。ご予約は公式LINEで受け付けています。LINE"&amp;"はこちら→https://cline-app.com/qr-codes/98ad6f149bfa20f4f2a9a2e91aac4187/preview")</f>
        <v>当クリニックでは初回診療と中絶手術は別日で行います。初回診療ではカウンセリングと検査を行い、その後、別日に中絶手術を実施します。初回診療後に十分な説明を行い、納得いただいた上で手術日を決定します。当院では患者様のご負担を軽減するため、「手術当日以外」はお近くのクリニックをご利用いただける体制を整えております。初回相談・術前検査はご都合が良いクリニックをご選択ください。手術当日のみ、横浜駅前院へご来院いただきます。術後フォローはお近くの院で受診可能となります。ご予約は公式LINEで受け付けています。LINEはこちら→https://cline-app.com/qr-codes/98ad6f149bfa20f4f2a9a2e91aac4187/preview</v>
      </c>
      <c r="C555" s="31" t="str">
        <f>IFERROR(__xludf.DUMMYFUNCTION("""COMPUTED_VALUE"""),"中絶手術｜診療スケジュール")</f>
        <v>中絶手術｜診療スケジュール</v>
      </c>
      <c r="D555" s="31" t="str">
        <f>IFERROR(__xludf.DUMMYFUNCTION("""COMPUTED_VALUE"""),"中絶,初回,当日手術,別日")</f>
        <v>中絶,初回,当日手術,別日</v>
      </c>
      <c r="E555" s="32" t="str">
        <f>IFERROR(__xludf.DUMMYFUNCTION("""COMPUTED_VALUE"""),"https://luna-dr.com/subjects/abortion_page/")</f>
        <v>https://luna-dr.com/subjects/abortion_page/</v>
      </c>
    </row>
    <row r="556">
      <c r="A556" s="31" t="str">
        <f>IFERROR(__xludf.DUMMYFUNCTION("""COMPUTED_VALUE"""),"中絶手術の初回診療後はどうなりますか？")</f>
        <v>中絶手術の初回診療後はどうなりますか？</v>
      </c>
      <c r="B556" s="31" t="str">
        <f>IFERROR(__xludf.DUMMYFUNCTION("""COMPUTED_VALUE"""),"当クリニックでは初回診療後、医師の説明を十分に理解・納得いただいた場合に手術同意書をお渡しし、妊娠週数や体調、ご希望を踏まえて中絶手術日を予約します。当院では患者様のご負担を軽減するため、「手術当日以外」はお近くのクリニックをご利用いただける体制を整えております。初回相談・術前検査はご都合が良いクリニックをご選択ください。手術当日のみ、横浜駅前院へご来院いただきます。術後フォローはお近くの院で受診可能となります。ご予約は公式LINEで受け付けています。LINEはこちら→https://cline-app."&amp;"com/qr-codes/98ad6f149bfa20f4f2a9a2e91aac4187/preview")</f>
        <v>当クリニックでは初回診療後、医師の説明を十分に理解・納得いただいた場合に手術同意書をお渡しし、妊娠週数や体調、ご希望を踏まえて中絶手術日を予約します。当院では患者様のご負担を軽減するため、「手術当日以外」はお近くのクリニックをご利用いただける体制を整えております。初回相談・術前検査はご都合が良いクリニックをご選択ください。手術当日のみ、横浜駅前院へご来院いただきます。術後フォローはお近くの院で受診可能となります。ご予約は公式LINEで受け付けています。LINEはこちら→https://cline-app.com/qr-codes/98ad6f149bfa20f4f2a9a2e91aac4187/preview</v>
      </c>
      <c r="C556" s="31" t="str">
        <f>IFERROR(__xludf.DUMMYFUNCTION("""COMPUTED_VALUE"""),"中絶手術｜初回後の流れ")</f>
        <v>中絶手術｜初回後の流れ</v>
      </c>
      <c r="D556" s="31" t="str">
        <f>IFERROR(__xludf.DUMMYFUNCTION("""COMPUTED_VALUE"""),"中絶,同意書,手術予約")</f>
        <v>中絶,同意書,手術予約</v>
      </c>
      <c r="E556" s="32" t="str">
        <f>IFERROR(__xludf.DUMMYFUNCTION("""COMPUTED_VALUE"""),"https://luna-dr.com/subjects/abortion_page/")</f>
        <v>https://luna-dr.com/subjects/abortion_page/</v>
      </c>
    </row>
    <row r="557">
      <c r="A557" s="31" t="str">
        <f>IFERROR(__xludf.DUMMYFUNCTION("""COMPUTED_VALUE"""),"中絶手術の2回目（手術当日）はどのような流れですか？/中絶手術当日はどのような流れですか？")</f>
        <v>中絶手術の2回目（手術当日）はどのような流れですか？/中絶手術当日はどのような流れですか？</v>
      </c>
      <c r="B557" s="31" t="str">
        <f>IFERROR(__xludf.DUMMYFUNCTION("""COMPUTED_VALUE"""),"当クリニックでは2回目に中絶手術を行います。ご来院後に受付とお会計を行い、点滴・麻酔準備をしたうえで、WHO推奨の手動真空吸引法（MVA）による手術を実施します。手術後は院内で約2時間安静にしていただき、体調確認後にご帰宅いただきます。
※当院では患者様のご負担を軽減するため、「手術当日以外」はお近くのクリニックをご利用いただける体制を整えております。初回相談・術前検査はご都合が良いクリニックをご選択ください。手術当日のみ、横浜駅前院へご来院いただきます。術後フォローはお近くの院で受診可能となります。
ご"&amp;"予約は公式LINEで受け付けています。LINEはこちら→https://cline-app.com/qr-codes/98ad6f149bfa20f4f2a9a2e91aac4187/preview")</f>
        <v>当クリニックでは2回目に中絶手術を行います。ご来院後に受付とお会計を行い、点滴・麻酔準備をしたうえで、WHO推奨の手動真空吸引法（MVA）による手術を実施します。手術後は院内で約2時間安静にしていただき、体調確認後にご帰宅いただきます。
※当院では患者様のご負担を軽減するため、「手術当日以外」はお近くのクリニックをご利用いただける体制を整えております。初回相談・術前検査はご都合が良いクリニックをご選択ください。手術当日のみ、横浜駅前院へご来院いただきます。術後フォローはお近くの院で受診可能となります。
ご予約は公式LINEで受け付けています。LINEはこちら→https://cline-app.com/qr-codes/98ad6f149bfa20f4f2a9a2e91aac4187/preview</v>
      </c>
      <c r="C557" s="31" t="str">
        <f>IFERROR(__xludf.DUMMYFUNCTION("""COMPUTED_VALUE"""),"中絶手術｜手術当日の流れ")</f>
        <v>中絶手術｜手術当日の流れ</v>
      </c>
      <c r="D557" s="31" t="str">
        <f>IFERROR(__xludf.DUMMYFUNCTION("""COMPUTED_VALUE"""),"中絶,手術当日,MVA,麻酔")</f>
        <v>中絶,手術当日,MVA,麻酔</v>
      </c>
      <c r="E557" s="32" t="str">
        <f>IFERROR(__xludf.DUMMYFUNCTION("""COMPUTED_VALUE"""),"https://luna-dr.com/subjects/abortion_page/")</f>
        <v>https://luna-dr.com/subjects/abortion_page/</v>
      </c>
    </row>
    <row r="558">
      <c r="A558" s="31" t="str">
        <f>IFERROR(__xludf.DUMMYFUNCTION("""COMPUTED_VALUE"""),"中絶手術当日の持ち物は何ですか？")</f>
        <v>中絶手術当日の持ち物は何ですか？</v>
      </c>
      <c r="B558" s="31" t="str">
        <f>IFERROR(__xludf.DUMMYFUNCTION("""COMPUTED_VALUE"""),"当クリニックでは手術当日に、身分証明書、署名・捺印済みの同意書、手術費用、夜用ナプキン、生理用ショーツ、お薬手帳（お持ちの方）をご持参ください。")</f>
        <v>当クリニックでは手術当日に、身分証明書、署名・捺印済みの同意書、手術費用、夜用ナプキン、生理用ショーツ、お薬手帳（お持ちの方）をご持参ください。</v>
      </c>
      <c r="C558" s="31" t="str">
        <f>IFERROR(__xludf.DUMMYFUNCTION("""COMPUTED_VALUE"""),"中絶手術｜当日の持ち物")</f>
        <v>中絶手術｜当日の持ち物</v>
      </c>
      <c r="D558" s="31" t="str">
        <f>IFERROR(__xludf.DUMMYFUNCTION("""COMPUTED_VALUE"""),"中絶,手術当日,持ち物")</f>
        <v>中絶,手術当日,持ち物</v>
      </c>
      <c r="E558" s="32" t="str">
        <f>IFERROR(__xludf.DUMMYFUNCTION("""COMPUTED_VALUE"""),"https://luna-dr.com/subjects/abortion_page/")</f>
        <v>https://luna-dr.com/subjects/abortion_page/</v>
      </c>
    </row>
    <row r="559">
      <c r="A559" s="31" t="str">
        <f>IFERROR(__xludf.DUMMYFUNCTION("""COMPUTED_VALUE"""),"中絶手術当日の手術時間はどれくらいですか？")</f>
        <v>中絶手術当日の手術時間はどれくらいですか？</v>
      </c>
      <c r="B559" s="31" t="str">
        <f>IFERROR(__xludf.DUMMYFUNCTION("""COMPUTED_VALUE"""),"当クリニックで行う中絶手術は、手動真空吸引法（MVA）を用い、手術自体は約15分で終了します。来院からご帰宅まではおよそ3〜4時間が目安です。
ご予約は公式LINEで受け付けています。LINEはこちら→https://cline-app.com/qr-codes/98ad6f149bfa20f4f2a9a2e91aac4187/preview
※当院では患者様のご負担を軽減するため、「手術当日以外」はお近くのクリニックをご利用いただける体制を整えております。初回相談・術前検査はご都合が良いクリニックをご選"&amp;"択ください。手術当日のみ、横浜駅前院へご来院いただきます。術後フォローはお近くの院で受診可能となります。")</f>
        <v>当クリニックで行う中絶手術は、手動真空吸引法（MVA）を用い、手術自体は約15分で終了します。来院からご帰宅まではおよそ3〜4時間が目安です。
ご予約は公式LINEで受け付けています。LINEはこちら→https://cline-app.com/qr-codes/98ad6f149bfa20f4f2a9a2e91aac4187/preview
※当院では患者様のご負担を軽減するため、「手術当日以外」はお近くのクリニックをご利用いただける体制を整えております。初回相談・術前検査はご都合が良いクリニックをご選択ください。手術当日のみ、横浜駅前院へご来院いただきます。術後フォローはお近くの院で受診可能となります。</v>
      </c>
      <c r="C559" s="31" t="str">
        <f>IFERROR(__xludf.DUMMYFUNCTION("""COMPUTED_VALUE"""),"中絶手術｜手術時間")</f>
        <v>中絶手術｜手術時間</v>
      </c>
      <c r="D559" s="31" t="str">
        <f>IFERROR(__xludf.DUMMYFUNCTION("""COMPUTED_VALUE"""),"中絶,手術時間,MVA")</f>
        <v>中絶,手術時間,MVA</v>
      </c>
      <c r="E559" s="32" t="str">
        <f>IFERROR(__xludf.DUMMYFUNCTION("""COMPUTED_VALUE"""),"https://luna-dr.com/subjects/abortion_page/")</f>
        <v>https://luna-dr.com/subjects/abortion_page/</v>
      </c>
    </row>
    <row r="560">
      <c r="A560" s="31" t="str">
        <f>IFERROR(__xludf.DUMMYFUNCTION("""COMPUTED_VALUE"""),"中絶手術の初回診療ではどのような説明がありますか？")</f>
        <v>中絶手術の初回診療ではどのような説明がありますか？</v>
      </c>
      <c r="B560" s="31" t="str">
        <f>IFERROR(__xludf.DUMMYFUNCTION("""COMPUTED_VALUE"""),"検査結果をもとに、医師から中絶手術の方法や流れ、リスク、費用、術後の注意点について詳しく説明します。特に、手動真空吸引法（MVA）の安全性やメリットについて丁寧にご説明します。")</f>
        <v>検査結果をもとに、医師から中絶手術の方法や流れ、リスク、費用、術後の注意点について詳しく説明します。特に、手動真空吸引法（MVA）の安全性やメリットについて丁寧にご説明します。</v>
      </c>
      <c r="C560" s="31" t="str">
        <f>IFERROR(__xludf.DUMMYFUNCTION("""COMPUTED_VALUE"""),"中絶手術")</f>
        <v>中絶手術</v>
      </c>
      <c r="D560" s="31" t="str">
        <f>IFERROR(__xludf.DUMMYFUNCTION("""COMPUTED_VALUE"""),"中絶手術,MVA,手動真空吸引法,説明")</f>
        <v>中絶手術,MVA,手動真空吸引法,説明</v>
      </c>
      <c r="E560" s="32" t="str">
        <f>IFERROR(__xludf.DUMMYFUNCTION("""COMPUTED_VALUE"""),"https://luna-dr.com/subjects/abortion_page/")</f>
        <v>https://luna-dr.com/subjects/abortion_page/</v>
      </c>
    </row>
    <row r="561">
      <c r="A561" s="31" t="str">
        <f>IFERROR(__xludf.DUMMYFUNCTION("""COMPUTED_VALUE"""),"中絶手術後はどのくらい休みますか？")</f>
        <v>中絶手術後はどのくらい休みますか？</v>
      </c>
      <c r="B561" s="31" t="str">
        <f>IFERROR(__xludf.DUMMYFUNCTION("""COMPUTED_VALUE"""),"手術後は個室で約2時間休息をとっていただきます。看護師が出血や体調を確認し、問題がなければ帰宅となります。")</f>
        <v>手術後は個室で約2時間休息をとっていただきます。看護師が出血や体調を確認し、問題がなければ帰宅となります。</v>
      </c>
      <c r="C561" s="31" t="str">
        <f>IFERROR(__xludf.DUMMYFUNCTION("""COMPUTED_VALUE"""),"中絶手術")</f>
        <v>中絶手術</v>
      </c>
      <c r="D561" s="31" t="str">
        <f>IFERROR(__xludf.DUMMYFUNCTION("""COMPUTED_VALUE"""),"中絶手術,術後,休息")</f>
        <v>中絶手術,術後,休息</v>
      </c>
      <c r="E561" s="32" t="str">
        <f>IFERROR(__xludf.DUMMYFUNCTION("""COMPUTED_VALUE"""),"https://luna-dr.com/subjects/abortion_page/")</f>
        <v>https://luna-dr.com/subjects/abortion_page/</v>
      </c>
    </row>
    <row r="562">
      <c r="A562" s="31" t="str">
        <f>IFERROR(__xludf.DUMMYFUNCTION("""COMPUTED_VALUE"""),"中絶手術の手術後に薬は処方されますか？")</f>
        <v>中絶手術の手術後に薬は処方されますか？</v>
      </c>
      <c r="B562" s="31" t="str">
        <f>IFERROR(__xludf.DUMMYFUNCTION("""COMPUTED_VALUE"""),"帰宅前に鎮痛剤、抗生剤、1ヶ月分の低用量ピルをお渡ししています。服用方法についても医師・スタッフが説明します。")</f>
        <v>帰宅前に鎮痛剤、抗生剤、1ヶ月分の低用量ピルをお渡ししています。服用方法についても医師・スタッフが説明します。</v>
      </c>
      <c r="C562" s="31" t="str">
        <f>IFERROR(__xludf.DUMMYFUNCTION("""COMPUTED_VALUE"""),"中絶手術")</f>
        <v>中絶手術</v>
      </c>
      <c r="D562" s="31" t="str">
        <f>IFERROR(__xludf.DUMMYFUNCTION("""COMPUTED_VALUE"""),"中絶手術,術後,薬,ピル")</f>
        <v>中絶手術,術後,薬,ピル</v>
      </c>
      <c r="E562" s="32" t="str">
        <f>IFERROR(__xludf.DUMMYFUNCTION("""COMPUTED_VALUE"""),"https://luna-dr.com/subjects/abortion_page/")</f>
        <v>https://luna-dr.com/subjects/abortion_page/</v>
      </c>
    </row>
    <row r="563">
      <c r="A563" s="31" t="str">
        <f>IFERROR(__xludf.DUMMYFUNCTION("""COMPUTED_VALUE"""),"中絶手術後の検診はありますか？/中絶手術後の検診の予約方法/術後検診の予約はどうすればいい？")</f>
        <v>中絶手術後の検診はありますか？/中絶手術後の検診の予約方法/術後検診の予約はどうすればいい？</v>
      </c>
      <c r="B563" s="31" t="str">
        <f>IFERROR(__xludf.DUMMYFUNCTION("""COMPUTED_VALUE"""),"当クリニックでは、術後1週間後と3週間後の2回、無料で検診を行っています。術後の回復確認とフォローを重視しています。術後検診のご予約は「術後検診」のメニューからお取りください。ご予約は公式LINEで受け付けています。LINEはこちら→https://cline-app.com/qr-codes/98ad6f149bfa20f4f2a9a2e91aac4187/preview")</f>
        <v>当クリニックでは、術後1週間後と3週間後の2回、無料で検診を行っています。術後の回復確認とフォローを重視しています。術後検診のご予約は「術後検診」のメニューからお取りください。ご予約は公式LINEで受け付けています。LINEはこちら→https://cline-app.com/qr-codes/98ad6f149bfa20f4f2a9a2e91aac4187/preview</v>
      </c>
      <c r="C563" s="31" t="str">
        <f>IFERROR(__xludf.DUMMYFUNCTION("""COMPUTED_VALUE"""),"中絶手術")</f>
        <v>中絶手術</v>
      </c>
      <c r="D563" s="31" t="str">
        <f>IFERROR(__xludf.DUMMYFUNCTION("""COMPUTED_VALUE"""),"中絶手術,術後検診,アフターケア")</f>
        <v>中絶手術,術後検診,アフターケア</v>
      </c>
      <c r="E563" s="32" t="str">
        <f>IFERROR(__xludf.DUMMYFUNCTION("""COMPUTED_VALUE"""),"https://luna-dr.com/subjects/abortion_page/")</f>
        <v>https://luna-dr.com/subjects/abortion_page/</v>
      </c>
    </row>
    <row r="564">
      <c r="A564" s="31" t="str">
        <f>IFERROR(__xludf.DUMMYFUNCTION("""COMPUTED_VALUE"""),"手術後に異常を感じた場合はどうすればいいですか？")</f>
        <v>手術後に異常を感じた場合はどうすればいいですか？</v>
      </c>
      <c r="B564" s="31" t="str">
        <f>IFERROR(__xludf.DUMMYFUNCTION("""COMPUTED_VALUE"""),"出血の増加、強い痛み、発熱などの異常を感じた場合は、速やかにクリニックへご連絡ください。電話は050-1730-2768で承っています。")</f>
        <v>出血の増加、強い痛み、発熱などの異常を感じた場合は、速やかにクリニックへご連絡ください。電話は050-1730-2768で承っています。</v>
      </c>
      <c r="C564" s="31" t="str">
        <f>IFERROR(__xludf.DUMMYFUNCTION("""COMPUTED_VALUE"""),"中絶手術")</f>
        <v>中絶手術</v>
      </c>
      <c r="D564" s="31" t="str">
        <f>IFERROR(__xludf.DUMMYFUNCTION("""COMPUTED_VALUE"""),"中絶手術,術後トラブル,相談")</f>
        <v>中絶手術,術後トラブル,相談</v>
      </c>
      <c r="E564" s="32" t="str">
        <f>IFERROR(__xludf.DUMMYFUNCTION("""COMPUTED_VALUE"""),"https://luna-dr.com/subjects/abortion_page/")</f>
        <v>https://luna-dr.com/subjects/abortion_page/</v>
      </c>
    </row>
    <row r="565">
      <c r="A565" s="31" t="str">
        <f>IFERROR(__xludf.DUMMYFUNCTION("""COMPUTED_VALUE"""),"中絶手術の費用は分割払いに対応していますか？")</f>
        <v>中絶手術の費用は分割払いに対応していますか？</v>
      </c>
      <c r="B565" s="31" t="str">
        <f>IFERROR(__xludf.DUMMYFUNCTION("""COMPUTED_VALUE"""),"当クリニックではクレジットカード決済をはじめ、各種キャッシュレス決済に対応しています。クレジットカード会社とのご契約内容によっては、中絶手術費用を分割でお支払いいただくことが可能です。分割回数や手数料については、ご利用のカード会社へ直接お問い合わせください。")</f>
        <v>当クリニックではクレジットカード決済をはじめ、各種キャッシュレス決済に対応しています。クレジットカード会社とのご契約内容によっては、中絶手術費用を分割でお支払いいただくことが可能です。分割回数や手数料については、ご利用のカード会社へ直接お問い合わせください。</v>
      </c>
      <c r="C565" s="31" t="str">
        <f>IFERROR(__xludf.DUMMYFUNCTION("""COMPUTED_VALUE"""),"中絶手術")</f>
        <v>中絶手術</v>
      </c>
      <c r="D565" s="31" t="str">
        <f>IFERROR(__xludf.DUMMYFUNCTION("""COMPUTED_VALUE"""),"中絶手術,分割払い,クレジットカード,支払い方法")</f>
        <v>中絶手術,分割払い,クレジットカード,支払い方法</v>
      </c>
      <c r="E565" s="32" t="str">
        <f>IFERROR(__xludf.DUMMYFUNCTION("""COMPUTED_VALUE"""),"https://luna-dr.com/subjects/abortion_page/")</f>
        <v>https://luna-dr.com/subjects/abortion_page/</v>
      </c>
    </row>
    <row r="566">
      <c r="A566" s="31" t="str">
        <f>IFERROR(__xludf.DUMMYFUNCTION("""COMPUTED_VALUE"""),"中絶手術は保険が適用されることはありますか？")</f>
        <v>中絶手術は保険が適用されることはありますか？</v>
      </c>
      <c r="B566" s="31" t="str">
        <f>IFERROR(__xludf.DUMMYFUNCTION("""COMPUTED_VALUE"""),"当クリニックで行う中絶手術は、原則として健康保険適用外の自費診療です。ただし、母体の健康上の理由がある場合には、健康保険が適用されるケースがあります。また、性被害による妊娠の場合は、自治体や警察などの公的機関から費用助成を受けられる場合があります。詳細は診察時に医師へご相談ください。")</f>
        <v>当クリニックで行う中絶手術は、原則として健康保険適用外の自費診療です。ただし、母体の健康上の理由がある場合には、健康保険が適用されるケースがあります。また、性被害による妊娠の場合は、自治体や警察などの公的機関から費用助成を受けられる場合があります。詳細は診察時に医師へご相談ください。</v>
      </c>
      <c r="C566" s="31" t="str">
        <f>IFERROR(__xludf.DUMMYFUNCTION("""COMPUTED_VALUE"""),"中絶手術")</f>
        <v>中絶手術</v>
      </c>
      <c r="D566" s="31" t="str">
        <f>IFERROR(__xludf.DUMMYFUNCTION("""COMPUTED_VALUE"""),"中絶手術,保険適用,自費診療,助成金")</f>
        <v>中絶手術,保険適用,自費診療,助成金</v>
      </c>
      <c r="E566" s="32" t="str">
        <f>IFERROR(__xludf.DUMMYFUNCTION("""COMPUTED_VALUE"""),"https://luna-dr.com/subjects/abortion_page/")</f>
        <v>https://luna-dr.com/subjects/abortion_page/</v>
      </c>
    </row>
    <row r="567">
      <c r="A567" s="31" t="str">
        <f>IFERROR(__xludf.DUMMYFUNCTION("""COMPUTED_VALUE"""),"中絶手術を受けられる時期はいつまでですか？")</f>
        <v>中絶手術を受けられる時期はいつまでですか？</v>
      </c>
      <c r="B567" s="31" t="str">
        <f>IFERROR(__xludf.DUMMYFUNCTION("""COMPUTED_VALUE"""),"人工妊娠中絶は母体保護法により妊娠21週6日まで認められています。当クリニックでは、妊娠11週6日までの初期中絶のみ対応しています。妊娠12週以降の中期中絶は入院が必要となり、身体的・精神的・経済的負担が大きくなります。妊娠に気づいたら、早めの受診をおすすめします。")</f>
        <v>人工妊娠中絶は母体保護法により妊娠21週6日まで認められています。当クリニックでは、妊娠11週6日までの初期中絶のみ対応しています。妊娠12週以降の中期中絶は入院が必要となり、身体的・精神的・経済的負担が大きくなります。妊娠に気づいたら、早めの受診をおすすめします。</v>
      </c>
      <c r="C567" s="31" t="str">
        <f>IFERROR(__xludf.DUMMYFUNCTION("""COMPUTED_VALUE"""),"中絶手術")</f>
        <v>中絶手術</v>
      </c>
      <c r="D567" s="31" t="str">
        <f>IFERROR(__xludf.DUMMYFUNCTION("""COMPUTED_VALUE"""),"中絶手術,妊娠週数,初期中絶,母体保護法")</f>
        <v>中絶手術,妊娠週数,初期中絶,母体保護法</v>
      </c>
      <c r="E567" s="32" t="str">
        <f>IFERROR(__xludf.DUMMYFUNCTION("""COMPUTED_VALUE"""),"https://luna-dr.com/subjects/abortion_page/")</f>
        <v>https://luna-dr.com/subjects/abortion_page/</v>
      </c>
    </row>
    <row r="568">
      <c r="A568" s="31" t="str">
        <f>IFERROR(__xludf.DUMMYFUNCTION("""COMPUTED_VALUE"""),"中絶手術の痛みはありますか？")</f>
        <v>中絶手術の痛みはありますか？</v>
      </c>
      <c r="B568" s="31" t="str">
        <f>IFERROR(__xludf.DUMMYFUNCTION("""COMPUTED_VALUE"""),"当クリニックでは静脈麻酔と笑気麻酔を併用するため、手術中の痛みはほとんどありません。
手術時間が15分ほどと短いため、麻酔でぼーっと眠っている間に終了します。
手術後は麻酔の効果がなくなってくると生理痛に似た痛みを感じることがありますが、一般的な鎮痛剤で抑えることができる程度です。
痛みに不安がある方は事前に医師にご相談ください。
※当院では患者様のご負担を軽減するため、「手術当日以外」はお近くのクリニックをご利用いただける体制を整えております。初回相談・術前検査はご都合が良いクリニックをご選択ください。"&amp;"手術当日のみ、横浜駅前院へご来院いただきます。術後フォローはお近くの院で受診可能となります。ご予約は公式LINEで受け付けています。LINEはこちら→https://cline-app.com/qr-codes/98ad6f149bfa20f4f2a9a2e91aac4187/preview")</f>
        <v>当クリニックでは静脈麻酔と笑気麻酔を併用するため、手術中の痛みはほとんどありません。
手術時間が15分ほどと短いため、麻酔でぼーっと眠っている間に終了します。
手術後は麻酔の効果がなくなってくると生理痛に似た痛みを感じることがありますが、一般的な鎮痛剤で抑えることができる程度です。
痛みに不安がある方は事前に医師にご相談ください。
※当院では患者様のご負担を軽減するため、「手術当日以外」はお近くのクリニックをご利用いただける体制を整えております。初回相談・術前検査はご都合が良いクリニックをご選択ください。手術当日のみ、横浜駅前院へご来院いただきます。術後フォローはお近くの院で受診可能となります。ご予約は公式LINEで受け付けています。LINEはこちら→https://cline-app.com/qr-codes/98ad6f149bfa20f4f2a9a2e91aac4187/preview</v>
      </c>
      <c r="C568" s="31" t="str">
        <f>IFERROR(__xludf.DUMMYFUNCTION("""COMPUTED_VALUE"""),"中絶手術")</f>
        <v>中絶手術</v>
      </c>
      <c r="D568" s="31" t="str">
        <f>IFERROR(__xludf.DUMMYFUNCTION("""COMPUTED_VALUE"""),"中絶手術,痛み,麻酔,静脈麻酔")</f>
        <v>中絶手術,痛み,麻酔,静脈麻酔</v>
      </c>
      <c r="E568" s="32" t="str">
        <f>IFERROR(__xludf.DUMMYFUNCTION("""COMPUTED_VALUE"""),"https://luna-dr.com/subjects/abortion_page/")</f>
        <v>https://luna-dr.com/subjects/abortion_page/</v>
      </c>
    </row>
    <row r="569">
      <c r="A569" s="31" t="str">
        <f>IFERROR(__xludf.DUMMYFUNCTION("""COMPUTED_VALUE"""),"中絶手術当日の必要な持ち物は何ですか？")</f>
        <v>中絶手術当日の必要な持ち物は何ですか？</v>
      </c>
      <c r="B569" s="31" t="str">
        <f>IFERROR(__xludf.DUMMYFUNCTION("""COMPUTED_VALUE"""),"中絶手術当日は以下のものをご持参ください。
・身分証明書（保険証・免許証など）
・同意書（パートナーのサイン・印鑑があるもの）
・手術費用（現金か当クリニックで決済可能なお支払い方法）
・夜用ナプキン3枚程度
・生理用ショーツ
・お薬手帳（お持ちの方）
着脱しやすい服装でお越しいただくとスムーズです。
アクセサリーは最小限にし、メイクはノーメイクか薄化粧での来院をお願いします。
※当院では患者様のご負担を軽減するため、「手術当日以外」はお近くのクリニックをご利用いただける体制を整えております。初回相談"&amp;"・術前検査はご都合が良いクリニックをご選択ください。手術当日のみ、横浜駅前院へご来院いただきます。術後フォローはお近くの院で受診可能となります。ご予約は公式LINEで受け付けています。LINEはこちら→https://cline-app.com/qr-codes/98ad6f149bfa20f4f2a9a2e91aac4187/preview")</f>
        <v>中絶手術当日は以下のものをご持参ください。
・身分証明書（保険証・免許証など）
・同意書（パートナーのサイン・印鑑があるもの）
・手術費用（現金か当クリニックで決済可能なお支払い方法）
・夜用ナプキン3枚程度
・生理用ショーツ
・お薬手帳（お持ちの方）
着脱しやすい服装でお越しいただくとスムーズです。
アクセサリーは最小限にし、メイクはノーメイクか薄化粧での来院をお願いします。
※当院では患者様のご負担を軽減するため、「手術当日以外」はお近くのクリニックをご利用いただける体制を整えております。初回相談・術前検査はご都合が良いクリニックをご選択ください。手術当日のみ、横浜駅前院へご来院いただきます。術後フォローはお近くの院で受診可能となります。ご予約は公式LINEで受け付けています。LINEはこちら→https://cline-app.com/qr-codes/98ad6f149bfa20f4f2a9a2e91aac4187/preview</v>
      </c>
      <c r="C569" s="31" t="str">
        <f>IFERROR(__xludf.DUMMYFUNCTION("""COMPUTED_VALUE"""),"中絶手術")</f>
        <v>中絶手術</v>
      </c>
      <c r="D569" s="31" t="str">
        <f>IFERROR(__xludf.DUMMYFUNCTION("""COMPUTED_VALUE"""),"中絶手術,持ち物,同意書,手術当日")</f>
        <v>中絶手術,持ち物,同意書,手術当日</v>
      </c>
      <c r="E569" s="32" t="str">
        <f>IFERROR(__xludf.DUMMYFUNCTION("""COMPUTED_VALUE"""),"https://luna-dr.com/subjects/abortion_page/")</f>
        <v>https://luna-dr.com/subjects/abortion_page/</v>
      </c>
    </row>
    <row r="570">
      <c r="A570" s="31" t="str">
        <f>IFERROR(__xludf.DUMMYFUNCTION("""COMPUTED_VALUE"""),"中絶手術後はどのように過ごせば良いですか？")</f>
        <v>中絶手術後はどのように過ごせば良いですか？</v>
      </c>
      <c r="B570" s="31" t="str">
        <f>IFERROR(__xludf.DUMMYFUNCTION("""COMPUTED_VALUE"""),"手術当日は運転や運動、飲酒を控え、ゆっくりと休息をとりましょう。
翌日以降の仕事や日常生活に制限はありませんが、心配なら2,3日休みを取っておくと安心でしょう。
術後の診察で医師の許可が出るまでは性交渉を控え、処方された薬は指示通りに服用してください。
術後1週間と3週間後の検診は必ず受診し、回復の状況を確認するとともに、避妊の相談をおすすめします。
多量の出血や悪臭を伴う出血、強い痛み、発熱などの症状がある場合は、すぐにクリニックへご連絡ください。")</f>
        <v>手術当日は運転や運動、飲酒を控え、ゆっくりと休息をとりましょう。
翌日以降の仕事や日常生活に制限はありませんが、心配なら2,3日休みを取っておくと安心でしょう。
術後の診察で医師の許可が出るまでは性交渉を控え、処方された薬は指示通りに服用してください。
術後1週間と3週間後の検診は必ず受診し、回復の状況を確認するとともに、避妊の相談をおすすめします。
多量の出血や悪臭を伴う出血、強い痛み、発熱などの症状がある場合は、すぐにクリニックへご連絡ください。</v>
      </c>
      <c r="C570" s="31" t="str">
        <f>IFERROR(__xludf.DUMMYFUNCTION("""COMPUTED_VALUE"""),"中絶手術")</f>
        <v>中絶手術</v>
      </c>
      <c r="D570" s="31" t="str">
        <f>IFERROR(__xludf.DUMMYFUNCTION("""COMPUTED_VALUE"""),"中絶手術,術後,生活,注意点")</f>
        <v>中絶手術,術後,生活,注意点</v>
      </c>
      <c r="E570" s="32" t="str">
        <f>IFERROR(__xludf.DUMMYFUNCTION("""COMPUTED_VALUE"""),"https://luna-dr.com/subjects/abortion_page/")</f>
        <v>https://luna-dr.com/subjects/abortion_page/</v>
      </c>
    </row>
    <row r="571">
      <c r="A571" s="31" t="str">
        <f>IFERROR(__xludf.DUMMYFUNCTION("""COMPUTED_VALUE"""),"中絶手術を受けたことが家族に知られる可能性はありますか？")</f>
        <v>中絶手術を受けたことが家族に知られる可能性はありますか？</v>
      </c>
      <c r="B571" s="31" t="str">
        <f>IFERROR(__xludf.DUMMYFUNCTION("""COMPUTED_VALUE"""),"当クリニックでは患者様のプライバシー保護を最優先しており、ご本人の同意なく家族や第三者に情報が漏れることはありません。
保険適用外の自費診療のため、健康保険の通知に記載されることもありません。
ただし、未成年の場合は保護者の同意が必要となりますのでご注意ください。
診察券や領収書の発行や連絡方法についてご希望がありましたら、受付までご相談ください。")</f>
        <v>当クリニックでは患者様のプライバシー保護を最優先しており、ご本人の同意なく家族や第三者に情報が漏れることはありません。
保険適用外の自費診療のため、健康保険の通知に記載されることもありません。
ただし、未成年の場合は保護者の同意が必要となりますのでご注意ください。
診察券や領収書の発行や連絡方法についてご希望がありましたら、受付までご相談ください。</v>
      </c>
      <c r="C571" s="31" t="str">
        <f>IFERROR(__xludf.DUMMYFUNCTION("""COMPUTED_VALUE"""),"中絶手術")</f>
        <v>中絶手術</v>
      </c>
      <c r="D571" s="31" t="str">
        <f>IFERROR(__xludf.DUMMYFUNCTION("""COMPUTED_VALUE"""),"中絶手術,プライバシー,家族,秘密")</f>
        <v>中絶手術,プライバシー,家族,秘密</v>
      </c>
      <c r="E571" s="32" t="str">
        <f>IFERROR(__xludf.DUMMYFUNCTION("""COMPUTED_VALUE"""),"https://luna-dr.com/subjects/abortion_page/")</f>
        <v>https://luna-dr.com/subjects/abortion_page/</v>
      </c>
    </row>
    <row r="572">
      <c r="A572" s="31" t="str">
        <f>IFERROR(__xludf.DUMMYFUNCTION("""COMPUTED_VALUE"""),"未成年でも中絶手術を受けられますか？")</f>
        <v>未成年でも中絶手術を受けられますか？</v>
      </c>
      <c r="B572" s="31" t="str">
        <f>IFERROR(__xludf.DUMMYFUNCTION("""COMPUTED_VALUE"""),"18歳未満の方が中絶手術を受ける場合、原則として保護者の同意が必要です。保護者の同意を得ることが難しい事情がある場合は、個別にご相談ください。")</f>
        <v>18歳未満の方が中絶手術を受ける場合、原則として保護者の同意が必要です。保護者の同意を得ることが難しい事情がある場合は、個別にご相談ください。</v>
      </c>
      <c r="C572" s="31" t="str">
        <f>IFERROR(__xludf.DUMMYFUNCTION("""COMPUTED_VALUE"""),"中絶手術")</f>
        <v>中絶手術</v>
      </c>
      <c r="D572" s="31" t="str">
        <f>IFERROR(__xludf.DUMMYFUNCTION("""COMPUTED_VALUE"""),"中絶手術,未成年,保護者同意")</f>
        <v>中絶手術,未成年,保護者同意</v>
      </c>
      <c r="E572" s="32" t="str">
        <f>IFERROR(__xludf.DUMMYFUNCTION("""COMPUTED_VALUE"""),"https://luna-dr.com/subjects/abortion_page/")</f>
        <v>https://luna-dr.com/subjects/abortion_page/</v>
      </c>
    </row>
    <row r="573">
      <c r="A573" s="31" t="str">
        <f>IFERROR(__xludf.DUMMYFUNCTION("""COMPUTED_VALUE"""),"未婚の場合、中絶手術の同意書に彼氏のサインは必要ですか？")</f>
        <v>未婚の場合、中絶手術の同意書に彼氏のサインは必要ですか？</v>
      </c>
      <c r="B573" s="31" t="str">
        <f>IFERROR(__xludf.DUMMYFUNCTION("""COMPUTED_VALUE"""),"母体保護法第14条に基づき、中絶手術にはご本人および胎児の父親の同意が必要とされています。未婚の場合も、原則としてパートナー（胎児の父親）の署名・捺印が必要です。ただし、同意を得ることが困難な事情がある場合はご相談ください。")</f>
        <v>母体保護法第14条に基づき、中絶手術にはご本人および胎児の父親の同意が必要とされています。未婚の場合も、原則としてパートナー（胎児の父親）の署名・捺印が必要です。ただし、同意を得ることが困難な事情がある場合はご相談ください。</v>
      </c>
      <c r="C573" s="31" t="str">
        <f>IFERROR(__xludf.DUMMYFUNCTION("""COMPUTED_VALUE"""),"中絶手術")</f>
        <v>中絶手術</v>
      </c>
      <c r="D573" s="31" t="str">
        <f>IFERROR(__xludf.DUMMYFUNCTION("""COMPUTED_VALUE"""),"中絶手術,同意書,未婚,母体保護法")</f>
        <v>中絶手術,同意書,未婚,母体保護法</v>
      </c>
      <c r="E573" s="32" t="str">
        <f>IFERROR(__xludf.DUMMYFUNCTION("""COMPUTED_VALUE"""),"https://luna-dr.com/subjects/abortion_page/")</f>
        <v>https://luna-dr.com/subjects/abortion_page/</v>
      </c>
    </row>
    <row r="574">
      <c r="A574" s="31" t="str">
        <f>IFERROR(__xludf.DUMMYFUNCTION("""COMPUTED_VALUE"""),"夫以外の相手との妊娠でも同意書なしで手術できますか？")</f>
        <v>夫以外の相手との妊娠でも同意書なしで手術できますか？</v>
      </c>
      <c r="B574" s="31" t="str">
        <f>IFERROR(__xludf.DUMMYFUNCTION("""COMPUTED_VALUE"""),"ルナレディースクリニックでは、中絶手術にあたり原則として配偶者または胎児の父親の同意書が必要です。患者様ご本人が未成年の場合は保護者の同意書も必要となります。ただし、やむを得ない事情がある場合には例外が認められることもありますので診察時にご相談ください。また、医学的条件によりお受けできない場合があります。帝王切開歴のある方はお受けできません。喘息の方は直近3ヶ月以内に発作がある場合はお受けできません。BMI32以上の方はお受けできません。BMI28以上の方は当院で体重測定を行い医師の判断となります。")</f>
        <v>ルナレディースクリニックでは、中絶手術にあたり原則として配偶者または胎児の父親の同意書が必要です。患者様ご本人が未成年の場合は保護者の同意書も必要となります。ただし、やむを得ない事情がある場合には例外が認められることもありますので診察時にご相談ください。また、医学的条件によりお受けできない場合があります。帝王切開歴のある方はお受けできません。喘息の方は直近3ヶ月以内に発作がある場合はお受けできません。BMI32以上の方はお受けできません。BMI28以上の方は当院で体重測定を行い医師の判断となります。</v>
      </c>
      <c r="C574" s="31" t="str">
        <f>IFERROR(__xludf.DUMMYFUNCTION("""COMPUTED_VALUE"""),"中絶手術")</f>
        <v>中絶手術</v>
      </c>
      <c r="D574" s="31" t="str">
        <f>IFERROR(__xludf.DUMMYFUNCTION("""COMPUTED_VALUE"""),"中絶手術,同意書,配偶者,父親,帝王切開歴,喘息,BMI,受け入れ不可条件")</f>
        <v>中絶手術,同意書,配偶者,父親,帝王切開歴,喘息,BMI,受け入れ不可条件</v>
      </c>
      <c r="E574" s="32" t="str">
        <f>IFERROR(__xludf.DUMMYFUNCTION("""COMPUTED_VALUE"""),"https://luna-dr.com/subjects/abortion_page/")</f>
        <v>https://luna-dr.com/subjects/abortion_page/</v>
      </c>
    </row>
    <row r="575">
      <c r="A575" s="31" t="str">
        <f>IFERROR(__xludf.DUMMYFUNCTION("""COMPUTED_VALUE"""),"中絶手術で受け入れできない条件はありますか？")</f>
        <v>中絶手術で受け入れできない条件はありますか？</v>
      </c>
      <c r="B575" s="31" t="str">
        <f>IFERROR(__xludf.DUMMYFUNCTION("""COMPUTED_VALUE"""),"当院では、中絶手術にあたり以下に該当する方はお受けできない場合がございます。
・妊娠12週以降の方（当院では妊娠11週6日までの初期中絶のみ対応しております）
・帝王切開歴のある方
・喘息をお持ちの方で、直近3ヶ月以内に発作がある場合
・BMI32以上の方（BMI28以上の方は当院で体重測定を行い、医師の判断となります）
・日本語でのコミュニケーションが難しい方")</f>
        <v>当院では、中絶手術にあたり以下に該当する方はお受けできない場合がございます。
・妊娠12週以降の方（当院では妊娠11週6日までの初期中絶のみ対応しております）
・帝王切開歴のある方
・喘息をお持ちの方で、直近3ヶ月以内に発作がある場合
・BMI32以上の方（BMI28以上の方は当院で体重測定を行い、医師の判断となります）
・日本語でのコミュニケーションが難しい方</v>
      </c>
      <c r="C575" s="31" t="str">
        <f>IFERROR(__xludf.DUMMYFUNCTION("""COMPUTED_VALUE"""),"中絶手術")</f>
        <v>中絶手術</v>
      </c>
      <c r="D575" s="31" t="str">
        <f>IFERROR(__xludf.DUMMYFUNCTION("""COMPUTED_VALUE"""),"中絶手術,受け入れ不可条件,帝王切開歴,喘息,BMI")</f>
        <v>中絶手術,受け入れ不可条件,帝王切開歴,喘息,BMI</v>
      </c>
      <c r="E575" s="32" t="str">
        <f>IFERROR(__xludf.DUMMYFUNCTION("""COMPUTED_VALUE"""),"https://luna-dr.com/subjects/abortion_page/")</f>
        <v>https://luna-dr.com/subjects/abortion_page/</v>
      </c>
    </row>
    <row r="576">
      <c r="A576" s="31" t="str">
        <f>IFERROR(__xludf.DUMMYFUNCTION("""COMPUTED_VALUE"""),"ブライダルチェックとは何ですか？")</f>
        <v>ブライダルチェックとは何ですか？</v>
      </c>
      <c r="B576" s="31" t="str">
        <f>IFERROR(__xludf.DUMMYFUNCTION("""COMPUTED_VALUE"""),"ブライダルチェックとは、妊娠や出産に影響しうる病気や感染症の有無を、妊娠前に調べる婦人科検診です。自覚症状のない病気を早期に発見し、必要であれば治療を行うことで、安心して妊娠・出産を迎える準備を整えることを目的とします。
ルナレディースクリニックでは、ブライダルチェックを「結婚前だけの検査」とは考えていません。結婚の有無にかかわらず、将来妊娠を望むすべての女性に受けていただきたい、ご自身の体を守るための大切な検査です。ルナレディースクリニックは健康と未来への第一歩をサポートします。ご受診をご検討ください。"&amp;"※当院では、不妊治療や妊活に関する専門的なご相談・治療は行っておりません。※当院では男性の院内への入室はできないため、パートナー様と一緒にご来院して検査を受けていただくことはできません。男性の方には、ご自宅で検査ができる郵送検査キット「FemCHECK（フェムチェック）」をご用意しております。詳細はこちらをご確認ください。https://luna-dr.com/femcheck/?utm_source=lunamedia&amp;utm_medium=banner&amp;utm_campaign=femcheck_ar"&amp;"ticle_hpseo")</f>
        <v>ブライダルチェックとは、妊娠や出産に影響しうる病気や感染症の有無を、妊娠前に調べる婦人科検診です。自覚症状のない病気を早期に発見し、必要であれば治療を行うことで、安心して妊娠・出産を迎える準備を整えることを目的とします。
ルナレディースクリニックでは、ブライダルチェックを「結婚前だけの検査」とは考えていません。結婚の有無にかかわらず、将来妊娠を望むすべての女性に受けていただきたい、ご自身の体を守るための大切な検査です。ルナレディースクリニックは健康と未来への第一歩をサポートします。ご受診をご検討ください。※当院では、不妊治療や妊活に関する専門的なご相談・治療は行っておりません。※当院では男性の院内への入室はできないため、パートナー様と一緒にご来院して検査を受けていただくことはできません。男性の方には、ご自宅で検査ができる郵送検査キット「FemCHECK（フェムチェック）」をご用意しております。詳細はこちらをご確認ください。https://luna-dr.com/femcheck/?utm_source=lunamedia&amp;utm_medium=banner&amp;utm_campaign=femcheck_article_hpseo</v>
      </c>
      <c r="C576" s="31" t="str">
        <f>IFERROR(__xludf.DUMMYFUNCTION("""COMPUTED_VALUE"""),"ブライダルチェック")</f>
        <v>ブライダルチェック</v>
      </c>
      <c r="D576" s="31" t="str">
        <f>IFERROR(__xludf.DUMMYFUNCTION("""COMPUTED_VALUE"""),"ブライダルチェック,妊娠前検査,婦人科検診")</f>
        <v>ブライダルチェック,妊娠前検査,婦人科検診</v>
      </c>
      <c r="E576" s="32" t="str">
        <f>IFERROR(__xludf.DUMMYFUNCTION("""COMPUTED_VALUE"""),"https://luna-dr.com/subjects/bridal-check/")</f>
        <v>https://luna-dr.com/subjects/bridal-check/</v>
      </c>
    </row>
    <row r="577">
      <c r="A577" s="31" t="str">
        <f>IFERROR(__xludf.DUMMYFUNCTION("""COMPUTED_VALUE"""),"結婚前でなくてもブライダルチェックは受けられますか？")</f>
        <v>結婚前でなくてもブライダルチェックは受けられますか？</v>
      </c>
      <c r="B577" s="31" t="str">
        <f>IFERROR(__xludf.DUMMYFUNCTION("""COMPUTED_VALUE"""),"当院では、結婚の有無にかかわらず、将来妊娠を希望するすべての女性にブライダルチェックをおすすめしています。「そろそろ赤ちゃんを考えたい」「自分の体の状態を知っておきたい」という方にも適した検査です。ぜひご受診をご検討ください。※当院では、不妊治療や妊活に関する専門的なご相談・治療は行っておりません。※当院では男性の院内への入室はできないため、パートナー様と一緒にご来院して検査を受けていただくことはできません。男性の方には、ご自宅で検査ができる郵送検査キット「FemCHECK（フェムチェック）」をご用意して"&amp;"おります。詳細はこちらをご確認ください。https://luna-dr.com/femcheck/?utm_source=lunamedia&amp;utm_medium=banner&amp;utm_campaign=femcheck_article_hpseo")</f>
        <v>当院では、結婚の有無にかかわらず、将来妊娠を希望するすべての女性にブライダルチェックをおすすめしています。「そろそろ赤ちゃんを考えたい」「自分の体の状態を知っておきたい」という方にも適した検査です。ぜひご受診をご検討ください。※当院では、不妊治療や妊活に関する専門的なご相談・治療は行っておりません。※当院では男性の院内への入室はできないため、パートナー様と一緒にご来院して検査を受けていただくことはできません。男性の方には、ご自宅で検査ができる郵送検査キット「FemCHECK（フェムチェック）」をご用意しております。詳細はこちらをご確認ください。https://luna-dr.com/femcheck/?utm_source=lunamedia&amp;utm_medium=banner&amp;utm_campaign=femcheck_article_hpseo</v>
      </c>
      <c r="C577" s="31" t="str">
        <f>IFERROR(__xludf.DUMMYFUNCTION("""COMPUTED_VALUE"""),"ブライダルチェック")</f>
        <v>ブライダルチェック</v>
      </c>
      <c r="D577" s="31" t="str">
        <f>IFERROR(__xludf.DUMMYFUNCTION("""COMPUTED_VALUE"""),"未婚,妊活準備,将来妊娠")</f>
        <v>未婚,妊活準備,将来妊娠</v>
      </c>
      <c r="E577" s="32" t="str">
        <f>IFERROR(__xludf.DUMMYFUNCTION("""COMPUTED_VALUE"""),"https://luna-dr.com/subjects/bridal-check/")</f>
        <v>https://luna-dr.com/subjects/bridal-check/</v>
      </c>
    </row>
    <row r="578">
      <c r="A578" s="31" t="str">
        <f>IFERROR(__xludf.DUMMYFUNCTION("""COMPUTED_VALUE"""),"ブライダルチェックでは何を調べますか？/ブライダルチェックの検査項目を教えてください/ブライダルチェックで何ができますか？")</f>
        <v>ブライダルチェックでは何を調べますか？/ブライダルチェックの検査項目を教えてください/ブライダルチェックで何ができますか？</v>
      </c>
      <c r="B578" s="31" t="str">
        <f>IFERROR(__xludf.DUMMYFUNCTION("""COMPUTED_VALUE"""),"当クリニックでは、ブライダルチェックとして以下の検査を行っています。①エコー検査：子宮筋腫や卵巣のう腫など、妊娠の妨げになる形態的な異常がないかを確認します。②子宮頸がん検査：初期症状のない子宮頸がんを早期に発見し、妊娠後の大きな問題を防ぎます。③クラミジア感染症検査：不妊症の原因にもなるクラミジア感染症の有無を調べ、赤ちゃんへの感染予防にもつなげます。④風疹抗体検査：妊娠中の感染で赤ちゃんに影響が出る先天性風疹症候群を防ぐため、免疫の有無を確認します。⑤甲状腺ホルモン検査：妊娠の成立や維持に影響する甲状"&amp;"腺ホルモンの異常がないかを調べます。⑥AMH検査：卵巣年齢の目安となる卵子の残存数を確認し、妊活のプランニングに役立てます。なお、各種性感染症検査などはオプションとして追加することも可能です。【料金】・基本検査ブライダルチェック 15,000円（エコー検査5,000円／クラミジア5,000円／子宮頸がん5,000円。場合によっては公費の子宮頸がんと組み合わせ可能）・血液ブライダルチェック 20,000円（風疹4,000円／甲状腺8,000円／AMH10,000円）※当院では妊活・不妊に関する診療は行ってお"&amp;"りませんので、検査項目によっては数値のみのお伝えとなる場合がございますので予めご了承くださいませ。詳しくはこちらをご覧ください。→https://luna-dr.com/subjects/bridal-check/　当院での検査はご予約をお取りの上、クリニックにご受診下さい。ご予約は、LINE予約画面の「一般婦人科診療」のメニューからお取りください。LINEはこちら→https://cline-app.com/qr-codes/98ad6f149bfa20f4f2a9a2e91aac4187/previe"&amp;"w")</f>
        <v>当クリニックでは、ブライダルチェックとして以下の検査を行っています。①エコー検査：子宮筋腫や卵巣のう腫など、妊娠の妨げになる形態的な異常がないかを確認します。②子宮頸がん検査：初期症状のない子宮頸がんを早期に発見し、妊娠後の大きな問題を防ぎます。③クラミジア感染症検査：不妊症の原因にもなるクラミジア感染症の有無を調べ、赤ちゃんへの感染予防にもつなげます。④風疹抗体検査：妊娠中の感染で赤ちゃんに影響が出る先天性風疹症候群を防ぐため、免疫の有無を確認します。⑤甲状腺ホルモン検査：妊娠の成立や維持に影響する甲状腺ホルモンの異常がないかを調べます。⑥AMH検査：卵巣年齢の目安となる卵子の残存数を確認し、妊活のプランニングに役立てます。なお、各種性感染症検査などはオプションとして追加することも可能です。【料金】・基本検査ブライダルチェック 15,000円（エコー検査5,000円／クラミジア5,000円／子宮頸がん5,000円。場合によっては公費の子宮頸がんと組み合わせ可能）・血液ブライダルチェック 20,000円（風疹4,000円／甲状腺8,000円／AMH10,000円）※当院では妊活・不妊に関する診療は行っておりませんので、検査項目によっては数値のみのお伝えとなる場合がございますので予めご了承くださいませ。詳しくはこちらをご覧ください。→https://luna-dr.com/subjects/bridal-check/　当院での検査はご予約をお取りの上、クリニックにご受診下さい。ご予約は、LINE予約画面の「一般婦人科診療」のメニューからお取りください。LINEはこちら→https://cline-app.com/qr-codes/98ad6f149bfa20f4f2a9a2e91aac4187/preview</v>
      </c>
      <c r="C578" s="31" t="str">
        <f>IFERROR(__xludf.DUMMYFUNCTION("""COMPUTED_VALUE"""),"ブライダルチェック")</f>
        <v>ブライダルチェック</v>
      </c>
      <c r="D578" s="31" t="str">
        <f>IFERROR(__xludf.DUMMYFUNCTION("""COMPUTED_VALUE"""),"ブライダルチェック,検査項目,何ができる,内容,項目,料金,妊娠前検査,エコー,子宮頸がん,クラミジア,風疹抗体,甲状腺,AMH")</f>
        <v>ブライダルチェック,検査項目,何ができる,内容,項目,料金,妊娠前検査,エコー,子宮頸がん,クラミジア,風疹抗体,甲状腺,AMH</v>
      </c>
      <c r="E578" s="32" t="str">
        <f>IFERROR(__xludf.DUMMYFUNCTION("""COMPUTED_VALUE"""),"https://luna-dr.com/subjects/bridal-check/")</f>
        <v>https://luna-dr.com/subjects/bridal-check/</v>
      </c>
    </row>
    <row r="579">
      <c r="A579" s="31" t="str">
        <f>IFERROR(__xludf.DUMMYFUNCTION("""COMPUTED_VALUE"""),"エコー検査では何を確認しますか？")</f>
        <v>エコー検査では何を確認しますか？</v>
      </c>
      <c r="B579" s="31" t="str">
        <f>IFERROR(__xludf.DUMMYFUNCTION("""COMPUTED_VALUE"""),"当クリニックでは経腟超音波（エコー）検査により、子宮筋腫や卵巣のう腫など、妊娠の妨げになる可能性がある形態的な異常がないかを確認します。")</f>
        <v>当クリニックでは経腟超音波（エコー）検査により、子宮筋腫や卵巣のう腫など、妊娠の妨げになる可能性がある形態的な異常がないかを確認します。</v>
      </c>
      <c r="C579" s="31" t="str">
        <f>IFERROR(__xludf.DUMMYFUNCTION("""COMPUTED_VALUE"""),"ブライダルチェック")</f>
        <v>ブライダルチェック</v>
      </c>
      <c r="D579" s="31" t="str">
        <f>IFERROR(__xludf.DUMMYFUNCTION("""COMPUTED_VALUE"""),"エコー,子宮筋腫,卵巣")</f>
        <v>エコー,子宮筋腫,卵巣</v>
      </c>
      <c r="E579" s="32" t="str">
        <f>IFERROR(__xludf.DUMMYFUNCTION("""COMPUTED_VALUE"""),"https://luna-dr.com/subjects/bridal-check/")</f>
        <v>https://luna-dr.com/subjects/bridal-check/</v>
      </c>
    </row>
    <row r="580">
      <c r="A580" s="31" t="str">
        <f>IFERROR(__xludf.DUMMYFUNCTION("""COMPUTED_VALUE"""),"子宮頸がん検査はなぜ必要ですか？")</f>
        <v>子宮頸がん検査はなぜ必要ですか？</v>
      </c>
      <c r="B580" s="31" t="str">
        <f>IFERROR(__xludf.DUMMYFUNCTION("""COMPUTED_VALUE"""),"当クリニックでは、初期症状がほとんどない子宮頸がんを早期に発見するため、ブライダルチェックに子宮頸がん検査を含めています。妊娠後の大きなトラブルを防ぐためにも重要な検査です。")</f>
        <v>当クリニックでは、初期症状がほとんどない子宮頸がんを早期に発見するため、ブライダルチェックに子宮頸がん検査を含めています。妊娠後の大きなトラブルを防ぐためにも重要な検査です。</v>
      </c>
      <c r="C580" s="31" t="str">
        <f>IFERROR(__xludf.DUMMYFUNCTION("""COMPUTED_VALUE"""),"ブライダルチェック")</f>
        <v>ブライダルチェック</v>
      </c>
      <c r="D580" s="31" t="str">
        <f>IFERROR(__xludf.DUMMYFUNCTION("""COMPUTED_VALUE"""),"子宮頸がん,がん検査,妊娠前")</f>
        <v>子宮頸がん,がん検査,妊娠前</v>
      </c>
      <c r="E580" s="32" t="str">
        <f>IFERROR(__xludf.DUMMYFUNCTION("""COMPUTED_VALUE"""),"https://luna-dr.com/subjects/bridal-check/")</f>
        <v>https://luna-dr.com/subjects/bridal-check/</v>
      </c>
    </row>
    <row r="581">
      <c r="A581" s="31" t="str">
        <f>IFERROR(__xludf.DUMMYFUNCTION("""COMPUTED_VALUE"""),"クラミジア検査は何のために行いますか？")</f>
        <v>クラミジア検査は何のために行いますか？</v>
      </c>
      <c r="B581" s="31" t="str">
        <f>IFERROR(__xludf.DUMMYFUNCTION("""COMPUTED_VALUE"""),"当クリニックでは、不妊の原因となることが多いクラミジア感染症の有無を確認します。自覚症状がないまま進行することが多いため、妊娠前の検査が重要です。")</f>
        <v>当クリニックでは、不妊の原因となることが多いクラミジア感染症の有無を確認します。自覚症状がないまま進行することが多いため、妊娠前の検査が重要です。</v>
      </c>
      <c r="C581" s="31" t="str">
        <f>IFERROR(__xludf.DUMMYFUNCTION("""COMPUTED_VALUE"""),"ブライダルチェック")</f>
        <v>ブライダルチェック</v>
      </c>
      <c r="D581" s="31" t="str">
        <f>IFERROR(__xludf.DUMMYFUNCTION("""COMPUTED_VALUE"""),"クラミジア,不妊,性感染症")</f>
        <v>クラミジア,不妊,性感染症</v>
      </c>
      <c r="E581" s="32" t="str">
        <f>IFERROR(__xludf.DUMMYFUNCTION("""COMPUTED_VALUE"""),"https://luna-dr.com/subjects/bridal-check/")</f>
        <v>https://luna-dr.com/subjects/bridal-check/</v>
      </c>
    </row>
    <row r="582">
      <c r="A582" s="31" t="str">
        <f>IFERROR(__xludf.DUMMYFUNCTION("""COMPUTED_VALUE"""),"風疹抗体検査はなぜ必要ですか？")</f>
        <v>風疹抗体検査はなぜ必要ですか？</v>
      </c>
      <c r="B582" s="31" t="str">
        <f>IFERROR(__xludf.DUMMYFUNCTION("""COMPUTED_VALUE"""),"当クリニックでは、妊娠中の風疹感染によって起こる先天性風疹症候群を防ぐため、風疹抗体検査を行い、免疫の有無を確認します。")</f>
        <v>当クリニックでは、妊娠中の風疹感染によって起こる先天性風疹症候群を防ぐため、風疹抗体検査を行い、免疫の有無を確認します。</v>
      </c>
      <c r="C582" s="31" t="str">
        <f>IFERROR(__xludf.DUMMYFUNCTION("""COMPUTED_VALUE"""),"ブライダルチェック")</f>
        <v>ブライダルチェック</v>
      </c>
      <c r="D582" s="31" t="str">
        <f>IFERROR(__xludf.DUMMYFUNCTION("""COMPUTED_VALUE"""),"風疹抗体,妊娠前検査")</f>
        <v>風疹抗体,妊娠前検査</v>
      </c>
      <c r="E582" s="32" t="str">
        <f>IFERROR(__xludf.DUMMYFUNCTION("""COMPUTED_VALUE"""),"https://luna-dr.com/subjects/bridal-check/")</f>
        <v>https://luna-dr.com/subjects/bridal-check/</v>
      </c>
    </row>
    <row r="583">
      <c r="A583" s="31" t="str">
        <f>IFERROR(__xludf.DUMMYFUNCTION("""COMPUTED_VALUE"""),"AMH検査とは何ですか？")</f>
        <v>AMH検査とは何ですか？</v>
      </c>
      <c r="B583" s="31" t="str">
        <f>IFERROR(__xludf.DUMMYFUNCTION("""COMPUTED_VALUE"""),"当クリニックではAMH検査を行い、卵巣内に残っている卵子数の目安（卵巣年齢）を確認します。将来の妊活やライフプランを考えるうえで参考になる検査です。")</f>
        <v>当クリニックではAMH検査を行い、卵巣内に残っている卵子数の目安（卵巣年齢）を確認します。将来の妊活やライフプランを考えるうえで参考になる検査です。</v>
      </c>
      <c r="C583" s="31" t="str">
        <f>IFERROR(__xludf.DUMMYFUNCTION("""COMPUTED_VALUE"""),"ブライダルチェック")</f>
        <v>ブライダルチェック</v>
      </c>
      <c r="D583" s="31" t="str">
        <f>IFERROR(__xludf.DUMMYFUNCTION("""COMPUTED_VALUE"""),"AMH,卵巣年齢,妊活")</f>
        <v>AMH,卵巣年齢,妊活</v>
      </c>
      <c r="E583" s="32" t="str">
        <f>IFERROR(__xludf.DUMMYFUNCTION("""COMPUTED_VALUE"""),"https://luna-dr.com/subjects/bridal-check/")</f>
        <v>https://luna-dr.com/subjects/bridal-check/</v>
      </c>
    </row>
    <row r="584">
      <c r="A584" s="31" t="str">
        <f>IFERROR(__xludf.DUMMYFUNCTION("""COMPUTED_VALUE"""),"ブライダルチェックの費用はいくらですか？")</f>
        <v>ブライダルチェックの費用はいくらですか？</v>
      </c>
      <c r="B584" s="31" t="str">
        <f>IFERROR(__xludf.DUMMYFUNCTION("""COMPUTED_VALUE"""),"当クリニックでは、ブライダルチェックの基本セットを15,500円（税込）からご案内しています。
※こちらの金額は基本セット（経膣超音波・クラミジア・子宮頸がん検診）の費用です。セット価格のため、一部の検査を外しても料金は変わりません。基本セットに含まれない性感染症検査などを追加希望の場合は、オプションとして別途費用がかかります。診察時にご相談ください。")</f>
        <v>当クリニックでは、ブライダルチェックの基本セットを15,500円（税込）からご案内しています。
※こちらの金額は基本セット（経膣超音波・クラミジア・子宮頸がん検診）の費用です。セット価格のため、一部の検査を外しても料金は変わりません。基本セットに含まれない性感染症検査などを追加希望の場合は、オプションとして別途費用がかかります。診察時にご相談ください。</v>
      </c>
      <c r="C584" s="31" t="str">
        <f>IFERROR(__xludf.DUMMYFUNCTION("""COMPUTED_VALUE"""),"ブライダルチェック")</f>
        <v>ブライダルチェック</v>
      </c>
      <c r="D584" s="31" t="str">
        <f>IFERROR(__xludf.DUMMYFUNCTION("""COMPUTED_VALUE"""),"料金,自費診療")</f>
        <v>料金,自費診療</v>
      </c>
      <c r="E584" s="32" t="str">
        <f>IFERROR(__xludf.DUMMYFUNCTION("""COMPUTED_VALUE"""),"https://luna-dr.com/subjects/bridal-check/")</f>
        <v>https://luna-dr.com/subjects/bridal-check/</v>
      </c>
    </row>
    <row r="585">
      <c r="A585" s="31" t="str">
        <f>IFERROR(__xludf.DUMMYFUNCTION("""COMPUTED_VALUE"""),"オプション検査は追加できますか？")</f>
        <v>オプション検査は追加できますか？</v>
      </c>
      <c r="B585" s="31" t="str">
        <f>IFERROR(__xludf.DUMMYFUNCTION("""COMPUTED_VALUE"""),"当クリニックでは、基本セットに含まれない各種性感染症検査などをオプションとして追加することが可能です。ご希望に応じて診察時にご相談ください。")</f>
        <v>当クリニックでは、基本セットに含まれない各種性感染症検査などをオプションとして追加することが可能です。ご希望に応じて診察時にご相談ください。</v>
      </c>
      <c r="C585" s="31" t="str">
        <f>IFERROR(__xludf.DUMMYFUNCTION("""COMPUTED_VALUE"""),"ブライダルチェック")</f>
        <v>ブライダルチェック</v>
      </c>
      <c r="D585" s="31" t="str">
        <f>IFERROR(__xludf.DUMMYFUNCTION("""COMPUTED_VALUE"""),"追加検査,性感染症")</f>
        <v>追加検査,性感染症</v>
      </c>
      <c r="E585" s="32" t="str">
        <f>IFERROR(__xludf.DUMMYFUNCTION("""COMPUTED_VALUE"""),"https://luna-dr.com/subjects/bridal-check/")</f>
        <v>https://luna-dr.com/subjects/bridal-check/</v>
      </c>
    </row>
    <row r="586">
      <c r="A586" s="31" t="str">
        <f>IFERROR(__xludf.DUMMYFUNCTION("""COMPUTED_VALUE"""),"ブライダルチェックは保険適用ですか？")</f>
        <v>ブライダルチェックは保険適用ですか？</v>
      </c>
      <c r="B586" s="31" t="str">
        <f>IFERROR(__xludf.DUMMYFUNCTION("""COMPUTED_VALUE"""),"当クリニックのブライダルチェックは、妊娠前の任意検査となるため、健康保険は適用されず自費診療となります。")</f>
        <v>当クリニックのブライダルチェックは、妊娠前の任意検査となるため、健康保険は適用されず自費診療となります。</v>
      </c>
      <c r="C586" s="31" t="str">
        <f>IFERROR(__xludf.DUMMYFUNCTION("""COMPUTED_VALUE"""),"ブライダルチェック")</f>
        <v>ブライダルチェック</v>
      </c>
      <c r="D586" s="31" t="str">
        <f>IFERROR(__xludf.DUMMYFUNCTION("""COMPUTED_VALUE"""),"自費,保険適用外")</f>
        <v>自費,保険適用外</v>
      </c>
      <c r="E586" s="32" t="str">
        <f>IFERROR(__xludf.DUMMYFUNCTION("""COMPUTED_VALUE"""),"https://luna-dr.com/subjects/bridal-check/")</f>
        <v>https://luna-dr.com/subjects/bridal-check/</v>
      </c>
    </row>
    <row r="587">
      <c r="A587" s="31" t="str">
        <f>IFERROR(__xludf.DUMMYFUNCTION("""COMPUTED_VALUE"""),"ブライダルチェックの予約はどうすればいいですか？")</f>
        <v>ブライダルチェックの予約はどうすればいいですか？</v>
      </c>
      <c r="B587" s="31" t="str">
        <f>IFERROR(__xludf.DUMMYFUNCTION("""COMPUTED_VALUE"""),"ブライダルチェックは、公式LINEからご予約ください。ご予約は、LINE予約画面の「一般婦人科診療」のメニューからお取りください。LINEはこちら→https://cline-app.com/qr-codes/98ad6f149bfa20f4f2a9a2e91aac4187/previewLINEはこちら→https://cline-app.com/qr-codes/98ad6f149bfa20f4f2a9a2e91aac4187/preview　※当院では、不妊治療や妊活に関する専門的なご相談・治療は行"&amp;"っておりません。※当院では男性の院内への入室はできないため、パートナー様と一緒にご来院して検査を受けていただくことはできません。男性の方には、ご自宅で検査ができる郵送検査キット「FemCHECK（フェムチェック）」をご用意しております。詳細はこちらをご確認ください。https://luna-dr.com/femcheck/?utm_source=lunamedia&amp;utm_medium=banner&amp;utm_campaign=femcheck_article_hpseo")</f>
        <v>ブライダルチェックは、公式LINEからご予約ください。ご予約は、LINE予約画面の「一般婦人科診療」のメニューからお取りください。LINEはこちら→https://cline-app.com/qr-codes/98ad6f149bfa20f4f2a9a2e91aac4187/previewLINEはこちら→https://cline-app.com/qr-codes/98ad6f149bfa20f4f2a9a2e91aac4187/preview　※当院では、不妊治療や妊活に関する専門的なご相談・治療は行っておりません。※当院では男性の院内への入室はできないため、パートナー様と一緒にご来院して検査を受けていただくことはできません。男性の方には、ご自宅で検査ができる郵送検査キット「FemCHECK（フェムチェック）」をご用意しております。詳細はこちらをご確認ください。https://luna-dr.com/femcheck/?utm_source=lunamedia&amp;utm_medium=banner&amp;utm_campaign=femcheck_article_hpseo</v>
      </c>
      <c r="C587" s="31" t="str">
        <f>IFERROR(__xludf.DUMMYFUNCTION("""COMPUTED_VALUE"""),"ブライダルチェック")</f>
        <v>ブライダルチェック</v>
      </c>
      <c r="D587" s="31" t="str">
        <f>IFERROR(__xludf.DUMMYFUNCTION("""COMPUTED_VALUE"""),"ブライダルチェック,予約方法,LINE予約")</f>
        <v>ブライダルチェック,予約方法,LINE予約</v>
      </c>
      <c r="E587" s="32" t="str">
        <f>IFERROR(__xludf.DUMMYFUNCTION("""COMPUTED_VALUE"""),"https://luna-dr.com/subjects/bridal-check/")</f>
        <v>https://luna-dr.com/subjects/bridal-check/</v>
      </c>
    </row>
    <row r="588">
      <c r="A588" s="31" t="str">
        <f>IFERROR(__xludf.DUMMYFUNCTION("""COMPUTED_VALUE"""),"ブライダルチェック検査はどうやって予約しますか？")</f>
        <v>ブライダルチェック検査はどうやって予約しますか？</v>
      </c>
      <c r="B588" s="31" t="str">
        <f>IFERROR(__xludf.DUMMYFUNCTION("""COMPUTED_VALUE"""),"公式LINEからご予約をお取りできます。ご予約は、LINE予約画面の「一般婦人科診療」のメニューからお取りください。LINEはこちら→https://cline-app.com/qr-codes/98ad6f149bfa20f4f2a9a2e91aac4187/preview　※当院では、不妊治療や妊活に関する専門的なご相談・治療は行っておりません。※当院では男性の院内への入室はできないため、パートナー様と一緒にご来院して検査を受けていただくことはできません。男性の方には、ご自宅で検査ができる郵送検査キッ"&amp;"ト「FemCHECK（フェムチェック）」をご用意しております。詳細はこちらをご確認ください。https://luna-dr.com/femcheck/?utm_source=lunamedia&amp;utm_medium=banner&amp;utm_campaign=femcheck_article_hpseo")</f>
        <v>公式LINEからご予約をお取りできます。ご予約は、LINE予約画面の「一般婦人科診療」のメニューからお取りください。LINEはこちら→https://cline-app.com/qr-codes/98ad6f149bfa20f4f2a9a2e91aac4187/preview　※当院では、不妊治療や妊活に関する専門的なご相談・治療は行っておりません。※当院では男性の院内への入室はできないため、パートナー様と一緒にご来院して検査を受けていただくことはできません。男性の方には、ご自宅で検査ができる郵送検査キット「FemCHECK（フェムチェック）」をご用意しております。詳細はこちらをご確認ください。https://luna-dr.com/femcheck/?utm_source=lunamedia&amp;utm_medium=banner&amp;utm_campaign=femcheck_article_hpseo</v>
      </c>
      <c r="C588" s="31" t="str">
        <f>IFERROR(__xludf.DUMMYFUNCTION("""COMPUTED_VALUE"""),"ブライダルチェック")</f>
        <v>ブライダルチェック</v>
      </c>
      <c r="D588" s="31" t="str">
        <f>IFERROR(__xludf.DUMMYFUNCTION("""COMPUTED_VALUE"""),"予約方法,LINE,電話,ブライダルチェック")</f>
        <v>予約方法,LINE,電話,ブライダルチェック</v>
      </c>
      <c r="E588" s="32" t="str">
        <f>IFERROR(__xludf.DUMMYFUNCTION("""COMPUTED_VALUE"""),"https://luna-dr.com/subjects/bridal-check/")</f>
        <v>https://luna-dr.com/subjects/bridal-check/</v>
      </c>
    </row>
    <row r="589">
      <c r="A589" s="31" t="str">
        <f>IFERROR(__xludf.DUMMYFUNCTION("""COMPUTED_VALUE"""),"ブライダルチェックはLINEから予約できますか？")</f>
        <v>ブライダルチェックはLINEから予約できますか？</v>
      </c>
      <c r="B589" s="31" t="str">
        <f>IFERROR(__xludf.DUMMYFUNCTION("""COMPUTED_VALUE"""),"公式LINEから24時間いつでも予約できます。ご予約は、LINE予約画面の「一般婦人科診療」のメニューからお取りください。LINEはこちら→https://cline-app.com/qr-codes/98ad6f149bfa20f4f2a9a2e91aac4187/preview　※当院では、不妊治療や妊活に関する専門的なご相談・治療は行っておりません。※当院では男性の院内への入室はできないため、パートナー様と一緒にご来院して検査を受けていただくことはできません。男性の方には、ご自宅で検査ができる郵送検"&amp;"査キット「FemCHECK（フェムチェック）」をご用意しております。詳細はこちらをご確認ください。https://luna-dr.com/femcheck/?utm_source=lunamedia&amp;utm_medium=banner&amp;utm_campaign=femcheck_article_hpseo")</f>
        <v>公式LINEから24時間いつでも予約できます。ご予約は、LINE予約画面の「一般婦人科診療」のメニューからお取りください。LINEはこちら→https://cline-app.com/qr-codes/98ad6f149bfa20f4f2a9a2e91aac4187/preview　※当院では、不妊治療や妊活に関する専門的なご相談・治療は行っておりません。※当院では男性の院内への入室はできないため、パートナー様と一緒にご来院して検査を受けていただくことはできません。男性の方には、ご自宅で検査ができる郵送検査キット「FemCHECK（フェムチェック）」をご用意しております。詳細はこちらをご確認ください。https://luna-dr.com/femcheck/?utm_source=lunamedia&amp;utm_medium=banner&amp;utm_campaign=femcheck_article_hpseo</v>
      </c>
      <c r="C589" s="31" t="str">
        <f>IFERROR(__xludf.DUMMYFUNCTION("""COMPUTED_VALUE"""),"ブライダルチェック")</f>
        <v>ブライダルチェック</v>
      </c>
      <c r="D589" s="31" t="str">
        <f>IFERROR(__xludf.DUMMYFUNCTION("""COMPUTED_VALUE"""),"LINE予約,婦人科予約,ブライダルチェック")</f>
        <v>LINE予約,婦人科予約,ブライダルチェック</v>
      </c>
      <c r="E589" s="32" t="str">
        <f>IFERROR(__xludf.DUMMYFUNCTION("""COMPUTED_VALUE"""),"https://luna-dr.com/subjects/bridal-check/")</f>
        <v>https://luna-dr.com/subjects/bridal-check/</v>
      </c>
    </row>
    <row r="590">
      <c r="A590" s="31" t="str">
        <f>IFERROR(__xludf.DUMMYFUNCTION("""COMPUTED_VALUE"""),"ブライダルチェックは電話でも予約できますか？")</f>
        <v>ブライダルチェックは電話でも予約できますか？</v>
      </c>
      <c r="B590" s="31" t="str">
        <f>IFERROR(__xludf.DUMMYFUNCTION("""COMPUTED_VALUE"""),"LINEでの予約後、事前問診等もLINEから行うことができ、スムーズに受診ができるため、当院ではLINEでのご予約を推奨しております。ご予約は、LINE予約画面の「一般婦人科診療」のメニューからお取りください。
来院診療のご予約：こちらのLINEをご利用ください→https://cline-app.com/qr-codes/98ad6f149bfa20f4f2a9a2e91aac4187/preview
※当院では、不妊治療や妊活に関する専門的なご相談・治療は行っておりません。※当院では男性の院内への入"&amp;"室はできないため、パートナー様と一緒にご来院して検査を受けていただくことはできません。男性の方には、ご自宅で検査ができる郵送検査キット「FemCHECK（フェムチェック）」をご用意しております。詳細はこちらをご確認ください。https://luna-dr.com/femcheck/?utm_source=lunamedia&amp;utm_medium=banner&amp;utm_campaign=femcheck_article_hpseo")</f>
        <v>LINEでの予約後、事前問診等もLINEから行うことができ、スムーズに受診ができるため、当院ではLINEでのご予約を推奨しております。ご予約は、LINE予約画面の「一般婦人科診療」のメニューからお取りください。
来院診療のご予約：こちらのLINEをご利用ください→https://cline-app.com/qr-codes/98ad6f149bfa20f4f2a9a2e91aac4187/preview
※当院では、不妊治療や妊活に関する専門的なご相談・治療は行っておりません。※当院では男性の院内への入室はできないため、パートナー様と一緒にご来院して検査を受けていただくことはできません。男性の方には、ご自宅で検査ができる郵送検査キット「FemCHECK（フェムチェック）」をご用意しております。詳細はこちらをご確認ください。https://luna-dr.com/femcheck/?utm_source=lunamedia&amp;utm_medium=banner&amp;utm_campaign=femcheck_article_hpseo</v>
      </c>
      <c r="C590" s="31" t="str">
        <f>IFERROR(__xludf.DUMMYFUNCTION("""COMPUTED_VALUE"""),"ブライダルチェック")</f>
        <v>ブライダルチェック</v>
      </c>
      <c r="D590" s="31" t="str">
        <f>IFERROR(__xludf.DUMMYFUNCTION("""COMPUTED_VALUE"""),"電話予約,問い合わせ,ブライダルチェック")</f>
        <v>電話予約,問い合わせ,ブライダルチェック</v>
      </c>
      <c r="E590" s="32" t="str">
        <f>IFERROR(__xludf.DUMMYFUNCTION("""COMPUTED_VALUE"""),"https://luna-dr.com/subjects/bridal-check/")</f>
        <v>https://luna-dr.com/subjects/bridal-check/</v>
      </c>
    </row>
    <row r="591">
      <c r="A591" s="31" t="str">
        <f>IFERROR(__xludf.DUMMYFUNCTION("""COMPUTED_VALUE"""),"ブライダルチェックの予約前に準備しておくことはありますか？")</f>
        <v>ブライダルチェックの予約前に準備しておくことはありますか？</v>
      </c>
      <c r="B591" s="31" t="str">
        <f>IFERROR(__xludf.DUMMYFUNCTION("""COMPUTED_VALUE"""),"ルナレディースクリニックでは、診察前にWEB問診の入力をお願いしています。事前にご入力いただくと診察がスムーズです。")</f>
        <v>ルナレディースクリニックでは、診察前にWEB問診の入力をお願いしています。事前にご入力いただくと診察がスムーズです。</v>
      </c>
      <c r="C591" s="31" t="str">
        <f>IFERROR(__xludf.DUMMYFUNCTION("""COMPUTED_VALUE"""),"ブライダルチェック")</f>
        <v>ブライダルチェック</v>
      </c>
      <c r="D591" s="31" t="str">
        <f>IFERROR(__xludf.DUMMYFUNCTION("""COMPUTED_VALUE"""),"WEB問診,事前準備,ブライダルチェック")</f>
        <v>WEB問診,事前準備,ブライダルチェック</v>
      </c>
      <c r="E591" s="32" t="str">
        <f>IFERROR(__xludf.DUMMYFUNCTION("""COMPUTED_VALUE"""),"https://luna-dr.com/subjects/bridal-check/")</f>
        <v>https://luna-dr.com/subjects/bridal-check/</v>
      </c>
    </row>
    <row r="592">
      <c r="A592" s="31" t="str">
        <f>IFERROR(__xludf.DUMMYFUNCTION("""COMPUTED_VALUE"""),"ブライダルチェックは初診でも予約できますか？")</f>
        <v>ブライダルチェックは初診でも予約できますか？</v>
      </c>
      <c r="B592" s="31" t="str">
        <f>IFERROR(__xludf.DUMMYFUNCTION("""COMPUTED_VALUE"""),"ブライダルチェックは初診の方もご予約いただけます。ご予約は公式LINEから受け付けておりますので、友だち追加の上ご利用ください。ご予約は、LINE予約画面の「一般婦人科診療」のメニューからお取りください。
LINEはこちら→https://cline-app.com/qr-codes/98ad6f149bfa20f4f2a9a2e91aac4187/preview　※当院では、不妊治療や妊活に関する専門的なご相談・治療は行っておりません。※当院では男性の院内への入室はできないため、パートナー様と一緒にご来"&amp;"院して検査を受けていただくことはできません。男性の方には、ご自宅で検査ができる郵送検査キット「FemCHECK（フェムチェック）」をご用意しております。詳細はこちらをご確認ください。https://luna-dr.com/femcheck/?utm_source=lunamedia&amp;utm_medium=banner&amp;utm_campaign=femcheck_article_hpseo")</f>
        <v>ブライダルチェックは初診の方もご予約いただけます。ご予約は公式LINEから受け付けておりますので、友だち追加の上ご利用ください。ご予約は、LINE予約画面の「一般婦人科診療」のメニューからお取りください。
LINEはこちら→https://cline-app.com/qr-codes/98ad6f149bfa20f4f2a9a2e91aac4187/preview　※当院では、不妊治療や妊活に関する専門的なご相談・治療は行っておりません。※当院では男性の院内への入室はできないため、パートナー様と一緒にご来院して検査を受けていただくことはできません。男性の方には、ご自宅で検査ができる郵送検査キット「FemCHECK（フェムチェック）」をご用意しております。詳細はこちらをご確認ください。https://luna-dr.com/femcheck/?utm_source=lunamedia&amp;utm_medium=banner&amp;utm_campaign=femcheck_article_hpseo</v>
      </c>
      <c r="C592" s="31" t="str">
        <f>IFERROR(__xludf.DUMMYFUNCTION("""COMPUTED_VALUE"""),"ブライダルチェック")</f>
        <v>ブライダルチェック</v>
      </c>
      <c r="D592" s="31" t="str">
        <f>IFERROR(__xludf.DUMMYFUNCTION("""COMPUTED_VALUE"""),"初診,予約,ブライダルチェック")</f>
        <v>初診,予約,ブライダルチェック</v>
      </c>
      <c r="E592" s="32" t="str">
        <f>IFERROR(__xludf.DUMMYFUNCTION("""COMPUTED_VALUE"""),"https://luna-dr.com/subjects/bridal-check/")</f>
        <v>https://luna-dr.com/subjects/bridal-check/</v>
      </c>
    </row>
    <row r="593">
      <c r="A593" s="31" t="str">
        <f>IFERROR(__xludf.DUMMYFUNCTION("""COMPUTED_VALUE"""),"ブライダルチェックは来院とオンライン、どちらで予約できますか？")</f>
        <v>ブライダルチェックは来院とオンライン、どちらで予約できますか？</v>
      </c>
      <c r="B593" s="31" t="str">
        <f>IFERROR(__xludf.DUMMYFUNCTION("""COMPUTED_VALUE"""),"ルナレディースクリニックでは、婦人科健診のご相談は来院診療のみで承っています。
予約の際は、こちらのLINEをご利用ください→https://cline-app.com/qr-codes/98ad6f149bfa20f4f2a9a2e91aac4187/preview　ご予約は、LINE予約画面の「一般婦人科診療」のメニューからお取りください。　※当院では、不妊治療や妊活に関する専門的なご相談・治療は行っておりません。※当院では男性の院内への入室はできないため、パートナー様と一緒にご来院して検査を受けて"&amp;"いただくことはできません。男性の方には、ご自宅で検査ができる郵送検査キット「FemCHECK（フェムチェック）」をご用意しております。詳細はこちらをご確認ください。https://luna-dr.com/femcheck/?utm_source=lunamedia&amp;utm_medium=banner&amp;utm_campaign=femcheck_article_hpseo")</f>
        <v>ルナレディースクリニックでは、婦人科健診のご相談は来院診療のみで承っています。
予約の際は、こちらのLINEをご利用ください→https://cline-app.com/qr-codes/98ad6f149bfa20f4f2a9a2e91aac4187/preview　ご予約は、LINE予約画面の「一般婦人科診療」のメニューからお取りください。　※当院では、不妊治療や妊活に関する専門的なご相談・治療は行っておりません。※当院では男性の院内への入室はできないため、パートナー様と一緒にご来院して検査を受けていただくことはできません。男性の方には、ご自宅で検査ができる郵送検査キット「FemCHECK（フェムチェック）」をご用意しております。詳細はこちらをご確認ください。https://luna-dr.com/femcheck/?utm_source=lunamedia&amp;utm_medium=banner&amp;utm_campaign=femcheck_article_hpseo</v>
      </c>
      <c r="C593" s="31" t="str">
        <f>IFERROR(__xludf.DUMMYFUNCTION("""COMPUTED_VALUE"""),"ブライダルチェック")</f>
        <v>ブライダルチェック</v>
      </c>
      <c r="D593" s="31" t="str">
        <f>IFERROR(__xludf.DUMMYFUNCTION("""COMPUTED_VALUE"""),"来院診療,オンライン診療,ブライダルチェック")</f>
        <v>来院診療,オンライン診療,ブライダルチェック</v>
      </c>
      <c r="E593" s="32" t="str">
        <f>IFERROR(__xludf.DUMMYFUNCTION("""COMPUTED_VALUE"""),"https://luna-dr.com/subjects/bridal-check/")</f>
        <v>https://luna-dr.com/subjects/bridal-check/</v>
      </c>
    </row>
    <row r="594">
      <c r="A594" s="31" t="str">
        <f>IFERROR(__xludf.DUMMYFUNCTION("""COMPUTED_VALUE"""),"予約なしでもブライダルチェックは受けられますか？")</f>
        <v>予約なしでもブライダルチェックは受けられますか？</v>
      </c>
      <c r="B594" s="31" t="str">
        <f>IFERROR(__xludf.DUMMYFUNCTION("""COMPUTED_VALUE"""),"直接のご来院でも可能ですが、待ち時間が発生する場合があります。事前にご予約をいただくことでスムーズに診察に進むことができます。
ご予約は公式LINEからお取りください。ご予約は、LINE予約画面の「一般婦人科診療」のメニューからお取りください。LINEはこちら→https://cline-app.com/qr-codes/98ad6f149bfa20f4f2a9a2e91aac4187/preview　※当院では、不妊治療や妊活に関する専門的なご相談・治療は行っておりません。※当院では男性の院内への入室は"&amp;"できないため、パートナー様と一緒にご来院して検査を受けていただくことはできません。男性の方には、ご自宅で検査ができる郵送検査キット「FemCHECK（フェムチェック）」をご用意しております。詳細はこちらをご確認ください。https://luna-dr.com/femcheck/?utm_source=lunamedia&amp;utm_medium=banner&amp;utm_campaign=femcheck_article_hpseo")</f>
        <v>直接のご来院でも可能ですが、待ち時間が発生する場合があります。事前にご予約をいただくことでスムーズに診察に進むことができます。
ご予約は公式LINEからお取りください。ご予約は、LINE予約画面の「一般婦人科診療」のメニューからお取りください。LINEはこちら→https://cline-app.com/qr-codes/98ad6f149bfa20f4f2a9a2e91aac4187/preview　※当院では、不妊治療や妊活に関する専門的なご相談・治療は行っておりません。※当院では男性の院内への入室はできないため、パートナー様と一緒にご来院して検査を受けていただくことはできません。男性の方には、ご自宅で検査ができる郵送検査キット「FemCHECK（フェムチェック）」をご用意しております。詳細はこちらをご確認ください。https://luna-dr.com/femcheck/?utm_source=lunamedia&amp;utm_medium=banner&amp;utm_campaign=femcheck_article_hpseo</v>
      </c>
      <c r="C594" s="31" t="str">
        <f>IFERROR(__xludf.DUMMYFUNCTION("""COMPUTED_VALUE"""),"ブライダルチェック")</f>
        <v>ブライダルチェック</v>
      </c>
      <c r="D594" s="31" t="str">
        <f>IFERROR(__xludf.DUMMYFUNCTION("""COMPUTED_VALUE"""),"ブライダルチェック検査,予約なし")</f>
        <v>ブライダルチェック検査,予約なし</v>
      </c>
      <c r="E594" s="32" t="str">
        <f>IFERROR(__xludf.DUMMYFUNCTION("""COMPUTED_VALUE"""),"https://luna-dr.com/subjects/bridal-check/")</f>
        <v>https://luna-dr.com/subjects/bridal-check/</v>
      </c>
    </row>
    <row r="595">
      <c r="A595" s="31" t="str">
        <f>IFERROR(__xludf.DUMMYFUNCTION("""COMPUTED_VALUE"""),"ブライダルチェックの診察・検査の流れを教えてください")</f>
        <v>ブライダルチェックの診察・検査の流れを教えてください</v>
      </c>
      <c r="B595" s="31" t="str">
        <f>IFERROR(__xludf.DUMMYFUNCTION("""COMPUTED_VALUE"""),"当クリニックのブライダルチェックは、以下の流れで行います。
①ご予約・ご来院：公式LINEでご予約のうえご来院ください。事前にWEB問診をご入力いただくと受付がスムーズです。
②カウンセリング：看護師が検査内容や流れをご説明し、不安や疑問にお答えします。
③医師による診察：医師が各検査の目的や方法を詳しく説明し、必要に応じてオプション検査の追加もご相談いただけます。
④内診台での検査：エコー検査、子宮頸がん検査、クラミジア検査を行います。声かけをしながら進め、検査時間は数分程度です。
⑤採血：風疹抗体、甲"&amp;"状腺ホルモン、AMH検査のために採血を行います。
⑥結果のご説明：検査結果は、項目によって判明する時期やご説明方法が異なります。
・Webで確認できる検査（約4日～2週間後）：子宮頸がん検査、クラミジア検査
・ご来院いただき医師から説明する検査（約1週間後）：血液検査（風疹抗体、甲状腺ホルモン、AMH）")</f>
        <v>当クリニックのブライダルチェックは、以下の流れで行います。
①ご予約・ご来院：公式LINEでご予約のうえご来院ください。事前にWEB問診をご入力いただくと受付がスムーズです。
②カウンセリング：看護師が検査内容や流れをご説明し、不安や疑問にお答えします。
③医師による診察：医師が各検査の目的や方法を詳しく説明し、必要に応じてオプション検査の追加もご相談いただけます。
④内診台での検査：エコー検査、子宮頸がん検査、クラミジア検査を行います。声かけをしながら進め、検査時間は数分程度です。
⑤採血：風疹抗体、甲状腺ホルモン、AMH検査のために採血を行います。
⑥結果のご説明：検査結果は、項目によって判明する時期やご説明方法が異なります。
・Webで確認できる検査（約4日～2週間後）：子宮頸がん検査、クラミジア検査
・ご来院いただき医師から説明する検査（約1週間後）：血液検査（風疹抗体、甲状腺ホルモン、AMH）</v>
      </c>
      <c r="C595" s="31" t="str">
        <f>IFERROR(__xludf.DUMMYFUNCTION("""COMPUTED_VALUE"""),"ブライダルチェック")</f>
        <v>ブライダルチェック</v>
      </c>
      <c r="D595" s="31" t="str">
        <f>IFERROR(__xludf.DUMMYFUNCTION("""COMPUTED_VALUE"""),"ブライダルチェック,診察の流れ,検査の流れ,妊娠前検査,婦人科健診")</f>
        <v>ブライダルチェック,診察の流れ,検査の流れ,妊娠前検査,婦人科健診</v>
      </c>
      <c r="E595" s="32" t="str">
        <f>IFERROR(__xludf.DUMMYFUNCTION("""COMPUTED_VALUE"""),"https://luna-dr.com/subjects/bridal-check/")</f>
        <v>https://luna-dr.com/subjects/bridal-check/</v>
      </c>
    </row>
    <row r="596">
      <c r="A596" s="31" t="str">
        <f>IFERROR(__xludf.DUMMYFUNCTION("""COMPUTED_VALUE"""),"ブライダルチェックの検査結果はいつ分かりますか？/ブライダルチェックの結果はLINEで確認できますか？")</f>
        <v>ブライダルチェックの検査結果はいつ分かりますか？/ブライダルチェックの結果はLINEで確認できますか？</v>
      </c>
      <c r="B596" s="31" t="str">
        <f>IFERROR(__xludf.DUMMYFUNCTION("""COMPUTED_VALUE"""),"検査結果は、医師から直接ご説明します。「検査結果説明」のメニューでご予約ください。https://cline-app.com/qr-codes/98ad6f149bfa20f4f2a9a2e91aac4187/preview")</f>
        <v>検査結果は、医師から直接ご説明します。「検査結果説明」のメニューでご予約ください。https://cline-app.com/qr-codes/98ad6f149bfa20f4f2a9a2e91aac4187/preview</v>
      </c>
      <c r="C596" s="31" t="str">
        <f>IFERROR(__xludf.DUMMYFUNCTION("""COMPUTED_VALUE"""),"ブライダルチェック")</f>
        <v>ブライダルチェック</v>
      </c>
      <c r="D596" s="31" t="str">
        <f>IFERROR(__xludf.DUMMYFUNCTION("""COMPUTED_VALUE"""),"ブライダルチェック,検査結果,結果はいつ,妊娠前検査")</f>
        <v>ブライダルチェック,検査結果,結果はいつ,妊娠前検査</v>
      </c>
      <c r="E596" s="32" t="str">
        <f>IFERROR(__xludf.DUMMYFUNCTION("""COMPUTED_VALUE"""),"https://luna-dr.com/subjects/bridal-check/")</f>
        <v>https://luna-dr.com/subjects/bridal-check/</v>
      </c>
    </row>
    <row r="597">
      <c r="A597" s="31" t="str">
        <f>IFERROR(__xludf.DUMMYFUNCTION("""COMPUTED_VALUE"""),"ブライダルチェックはどのくらい時間がかかりますか？")</f>
        <v>ブライダルチェックはどのくらい時間がかかりますか？</v>
      </c>
      <c r="B597" s="31" t="str">
        <f>IFERROR(__xludf.DUMMYFUNCTION("""COMPUTED_VALUE"""),"受付からお会計まで、全体で約30分～1時間ほどで完了します。
お忙しい方でもお気軽にお受けいただけます。")</f>
        <v>受付からお会計まで、全体で約30分～1時間ほどで完了します。
お忙しい方でもお気軽にお受けいただけます。</v>
      </c>
      <c r="C597" s="31" t="str">
        <f>IFERROR(__xludf.DUMMYFUNCTION("""COMPUTED_VALUE"""),"ブライダルチェック")</f>
        <v>ブライダルチェック</v>
      </c>
      <c r="D597" s="31" t="str">
        <f>IFERROR(__xludf.DUMMYFUNCTION("""COMPUTED_VALUE"""),"ブライダルチェック,所要時間,検査時間,妊娠前検査")</f>
        <v>ブライダルチェック,所要時間,検査時間,妊娠前検査</v>
      </c>
      <c r="E597" s="32" t="str">
        <f>IFERROR(__xludf.DUMMYFUNCTION("""COMPUTED_VALUE"""),"https://luna-dr.com/subjects/bridal-check/")</f>
        <v>https://luna-dr.com/subjects/bridal-check/</v>
      </c>
    </row>
    <row r="598">
      <c r="A598" s="31" t="str">
        <f>IFERROR(__xludf.DUMMYFUNCTION("""COMPUTED_VALUE"""),"ブライダルチェックの検査は痛みがありますか？")</f>
        <v>ブライダルチェックの検査は痛みがありますか？</v>
      </c>
      <c r="B598" s="31" t="str">
        <f>IFERROR(__xludf.DUMMYFUNCTION("""COMPUTED_VALUE"""),"内診や採血で多少の違和感を感じることはあるかもしれませんが、強い痛みを感じることはほとんどありません。
子宮頸がんの検査後に、少量の出血がみられることがありますが、自然に止まりますのでご安心ください。
私たちは、患者様がリラックスできるよう、常に丁寧な声かけを心がけています。")</f>
        <v>内診や採血で多少の違和感を感じることはあるかもしれませんが、強い痛みを感じることはほとんどありません。
子宮頸がんの検査後に、少量の出血がみられることがありますが、自然に止まりますのでご安心ください。
私たちは、患者様がリラックスできるよう、常に丁寧な声かけを心がけています。</v>
      </c>
      <c r="C598" s="31" t="str">
        <f>IFERROR(__xludf.DUMMYFUNCTION("""COMPUTED_VALUE"""),"ブライダルチェック")</f>
        <v>ブライダルチェック</v>
      </c>
      <c r="D598" s="31" t="str">
        <f>IFERROR(__xludf.DUMMYFUNCTION("""COMPUTED_VALUE"""),"ブライダルチェック,検査の痛み,内診,子宮頸がん検査")</f>
        <v>ブライダルチェック,検査の痛み,内診,子宮頸がん検査</v>
      </c>
      <c r="E598" s="32" t="str">
        <f>IFERROR(__xludf.DUMMYFUNCTION("""COMPUTED_VALUE"""),"https://luna-dr.com/subjects/bridal-check/")</f>
        <v>https://luna-dr.com/subjects/bridal-check/</v>
      </c>
    </row>
    <row r="599">
      <c r="A599" s="31" t="str">
        <f>IFERROR(__xludf.DUMMYFUNCTION("""COMPUTED_VALUE"""),"生理中でもブライダルチェックは受けられますか？")</f>
        <v>生理中でもブライダルチェックは受けられますか？</v>
      </c>
      <c r="B599" s="31" t="str">
        <f>IFERROR(__xludf.DUMMYFUNCTION("""COMPUTED_VALUE"""),"経血量が多い時期は、子宮頸がん検査などの結果が不正確になる可能性があるため、生理期間中を避けてご予約いただくのがおすすめです。
ご予約日の調整など、お気軽にご相談ください。")</f>
        <v>経血量が多い時期は、子宮頸がん検査などの結果が不正確になる可能性があるため、生理期間中を避けてご予約いただくのがおすすめです。
ご予約日の調整など、お気軽にご相談ください。</v>
      </c>
      <c r="C599" s="31" t="str">
        <f>IFERROR(__xludf.DUMMYFUNCTION("""COMPUTED_VALUE"""),"ブライダルチェック")</f>
        <v>ブライダルチェック</v>
      </c>
      <c r="D599" s="31" t="str">
        <f>IFERROR(__xludf.DUMMYFUNCTION("""COMPUTED_VALUE"""),"ブライダルチェック,生理中,受診できる,妊娠前検査")</f>
        <v>ブライダルチェック,生理中,受診できる,妊娠前検査</v>
      </c>
      <c r="E599" s="32" t="str">
        <f>IFERROR(__xludf.DUMMYFUNCTION("""COMPUTED_VALUE"""),"https://luna-dr.com/subjects/bridal-check/")</f>
        <v>https://luna-dr.com/subjects/bridal-check/</v>
      </c>
    </row>
    <row r="600">
      <c r="A600" s="31" t="str">
        <f>IFERROR(__xludf.DUMMYFUNCTION("""COMPUTED_VALUE"""),"ブライダルチェックはパートナーも一緒に検査を受けたほうが良いですか？")</f>
        <v>ブライダルチェックはパートナーも一緒に検査を受けたほうが良いですか？</v>
      </c>
      <c r="B600" s="31" t="str">
        <f>IFERROR(__xludf.DUMMYFUNCTION("""COMPUTED_VALUE"""),"妊娠はパートナーと二人で考えていくもののため、ブライダルチェックではパートナー様も検査を受けていただくことをおすすめしています。
ただ、大変恐縮ではございますが、当院では男性の院内への入室はできないため、パートナー様と一緒にご来院して検査を受けていただくことはできません。
男性の方には、ご自宅で検査ができる郵送検査キット「FemCHECK（フェムチェック）」をご用意しております。
詳細はこちらをご確認ください。
https://luna-dr.com/femcheck/?utm_source=lunam"&amp;"edia&amp;utm_medium=banner&amp;utm_campaign=femcheck_article_hpseo")</f>
        <v>妊娠はパートナーと二人で考えていくもののため、ブライダルチェックではパートナー様も検査を受けていただくことをおすすめしています。
ただ、大変恐縮ではございますが、当院では男性の院内への入室はできないため、パートナー様と一緒にご来院して検査を受けていただくことはできません。
男性の方には、ご自宅で検査ができる郵送検査キット「FemCHECK（フェムチェック）」をご用意しております。
詳細はこちらをご確認ください。
https://luna-dr.com/femcheck/?utm_source=lunamedia&amp;utm_medium=banner&amp;utm_campaign=femcheck_article_hpseo</v>
      </c>
      <c r="C600" s="31" t="str">
        <f>IFERROR(__xludf.DUMMYFUNCTION("""COMPUTED_VALUE"""),"ブライダルチェック")</f>
        <v>ブライダルチェック</v>
      </c>
      <c r="D600" s="31" t="str">
        <f>IFERROR(__xludf.DUMMYFUNCTION("""COMPUTED_VALUE"""),"ブライダルチェック,パートナー検査,男性検査,性感染症")</f>
        <v>ブライダルチェック,パートナー検査,男性検査,性感染症</v>
      </c>
      <c r="E600" s="32" t="str">
        <f>IFERROR(__xludf.DUMMYFUNCTION("""COMPUTED_VALUE"""),"https://luna-dr.com/subjects/bridal-check/")</f>
        <v>https://luna-dr.com/subjects/bridal-check/</v>
      </c>
    </row>
    <row r="601">
      <c r="A601" s="31" t="str">
        <f>IFERROR(__xludf.DUMMYFUNCTION("""COMPUTED_VALUE"""),"ブライダルチェックで異常が見つかった場合はどうなりますか？")</f>
        <v>ブライダルチェックで異常が見つかった場合はどうなりますか？</v>
      </c>
      <c r="B601" s="31" t="str">
        <f>IFERROR(__xludf.DUMMYFUNCTION("""COMPUTED_VALUE"""),"万が一、治療が必要な疾患や感染症が見つかった場合は、当院でそのまま治療を開始することが可能です。
今後の妊娠に向け、最適な治療プランをご提案し、しっかりとサポートさせていただきますのでご安心ください。")</f>
        <v>万が一、治療が必要な疾患や感染症が見つかった場合は、当院でそのまま治療を開始することが可能です。
今後の妊娠に向け、最適な治療プランをご提案し、しっかりとサポートさせていただきますのでご安心ください。</v>
      </c>
      <c r="C601" s="31" t="str">
        <f>IFERROR(__xludf.DUMMYFUNCTION("""COMPUTED_VALUE"""),"ブライダルチェック")</f>
        <v>ブライダルチェック</v>
      </c>
      <c r="D601" s="31" t="str">
        <f>IFERROR(__xludf.DUMMYFUNCTION("""COMPUTED_VALUE"""),"ブライダルチェック,異常が見つかった,治療,妊娠前検査")</f>
        <v>ブライダルチェック,異常が見つかった,治療,妊娠前検査</v>
      </c>
      <c r="E601" s="32" t="str">
        <f>IFERROR(__xludf.DUMMYFUNCTION("""COMPUTED_VALUE"""),"https://luna-dr.com/subjects/bridal-check/")</f>
        <v>https://luna-dr.com/subjects/bridal-check/</v>
      </c>
    </row>
    <row r="602">
      <c r="A602" s="31" t="str">
        <f>IFERROR(__xludf.DUMMYFUNCTION("""COMPUTED_VALUE"""),"婦人科検診とは何ですか？")</f>
        <v>婦人科検診とは何ですか？</v>
      </c>
      <c r="B602" s="31" t="str">
        <f>IFERROR(__xludf.DUMMYFUNCTION("""COMPUTED_VALUE"""),"婦人科検診とは、子宮や卵巣など女性特有の臓器に起こる病気を、症状が出る前に早期発見するための検査です。特に子宮のがんは初期には自覚症状がほとんどないため、定期的な検診がご自身の体と将来の安心を守ることにつながります。ルナレディースクリニックでは、代表的な婦人科検診である「子宮頸がん検診」と、不正出血などの症状がある場合に推奨される「子宮体がん検査」を実施しています。")</f>
        <v>婦人科検診とは、子宮や卵巣など女性特有の臓器に起こる病気を、症状が出る前に早期発見するための検査です。特に子宮のがんは初期には自覚症状がほとんどないため、定期的な検診がご自身の体と将来の安心を守ることにつながります。ルナレディースクリニックでは、代表的な婦人科検診である「子宮頸がん検診」と、不正出血などの症状がある場合に推奨される「子宮体がん検査」を実施しています。</v>
      </c>
      <c r="C602" s="31" t="str">
        <f>IFERROR(__xludf.DUMMYFUNCTION("""COMPUTED_VALUE"""),"婦人科健診")</f>
        <v>婦人科健診</v>
      </c>
      <c r="D602" s="31" t="str">
        <f>IFERROR(__xludf.DUMMYFUNCTION("""COMPUTED_VALUE"""),"婦人科検診,子宮がん検診,定期検診")</f>
        <v>婦人科検診,子宮がん検診,定期検診</v>
      </c>
      <c r="E602" s="32" t="str">
        <f>IFERROR(__xludf.DUMMYFUNCTION("""COMPUTED_VALUE"""),"https://luna-dr.com/subjects/medical-checkup/")</f>
        <v>https://luna-dr.com/subjects/medical-checkup/</v>
      </c>
    </row>
    <row r="603">
      <c r="A603" s="31" t="str">
        <f>IFERROR(__xludf.DUMMYFUNCTION("""COMPUTED_VALUE"""),"どんな人が婦人科検診を受けたほうがいいですか？")</f>
        <v>どんな人が婦人科検診を受けたほうがいいですか？</v>
      </c>
      <c r="B603" s="31" t="str">
        <f>IFERROR(__xludf.DUMMYFUNCTION("""COMPUTED_VALUE"""),"何年も婦人科検診を受けていない方、不正出血がある方、生理以外の出血が心配な方、将来の妊娠や健康に不安がある方は、症状がなくても婦人科検診を受けることをおすすめします。")</f>
        <v>何年も婦人科検診を受けていない方、不正出血がある方、生理以外の出血が心配な方、将来の妊娠や健康に不安がある方は、症状がなくても婦人科検診を受けることをおすすめします。</v>
      </c>
      <c r="C603" s="31" t="str">
        <f>IFERROR(__xludf.DUMMYFUNCTION("""COMPUTED_VALUE"""),"婦人科健診")</f>
        <v>婦人科健診</v>
      </c>
      <c r="D603" s="31" t="str">
        <f>IFERROR(__xludf.DUMMYFUNCTION("""COMPUTED_VALUE"""),"婦人科検診,不正出血,検診対象")</f>
        <v>婦人科検診,不正出血,検診対象</v>
      </c>
      <c r="E603" s="32" t="str">
        <f>IFERROR(__xludf.DUMMYFUNCTION("""COMPUTED_VALUE"""),"https://luna-dr.com/subjects/medical-checkup/")</f>
        <v>https://luna-dr.com/subjects/medical-checkup/</v>
      </c>
    </row>
    <row r="604">
      <c r="A604" s="31" t="str">
        <f>IFERROR(__xludf.DUMMYFUNCTION("""COMPUTED_VALUE"""),"子宮頸がん検診とは何ですか？/HPV検査は受けられますか？/HPV検査はやっていますか？/HPVの検査をしたい")</f>
        <v>子宮頸がん検診とは何ですか？/HPV検査は受けられますか？/HPV検査はやっていますか？/HPVの検査をしたい</v>
      </c>
      <c r="B604" s="31" t="str">
        <f>IFERROR(__xludf.DUMMYFUNCTION("""COMPUTED_VALUE"""),"子宮の入り口部分（子宮頸部）にできるがんを調べる検査です。主な原因は、性交渉によって感染するヒトパピローマウイルス（HPV）です。20代〜30代の若い世代に発症のピークがあり、「マザーキラー」とも呼ばれ、お子さんが小さいお母さんの命を奪うこともある病気です。しかし、定期的な検診で早期発見すれば、子宮を温存した治療が可能です。")</f>
        <v>子宮の入り口部分（子宮頸部）にできるがんを調べる検査です。主な原因は、性交渉によって感染するヒトパピローマウイルス（HPV）です。20代〜30代の若い世代に発症のピークがあり、「マザーキラー」とも呼ばれ、お子さんが小さいお母さんの命を奪うこともある病気です。しかし、定期的な検診で早期発見すれば、子宮を温存した治療が可能です。</v>
      </c>
      <c r="C604" s="31" t="str">
        <f>IFERROR(__xludf.DUMMYFUNCTION("""COMPUTED_VALUE"""),"婦人科健診")</f>
        <v>婦人科健診</v>
      </c>
      <c r="D604" s="31" t="str">
        <f>IFERROR(__xludf.DUMMYFUNCTION("""COMPUTED_VALUE"""),"子宮頸がん検診,HPV,若い世代,HPV検査")</f>
        <v>子宮頸がん検診,HPV,若い世代,HPV検査</v>
      </c>
      <c r="E604" s="32" t="str">
        <f>IFERROR(__xludf.DUMMYFUNCTION("""COMPUTED_VALUE"""),"https://luna-dr.com/subjects/medical-checkup/")</f>
        <v>https://luna-dr.com/subjects/medical-checkup/</v>
      </c>
    </row>
    <row r="605">
      <c r="A605" s="31" t="str">
        <f>IFERROR(__xludf.DUMMYFUNCTION("""COMPUTED_VALUE"""),"子宮体がん検査とは何ですか？")</f>
        <v>子宮体がん検査とは何ですか？</v>
      </c>
      <c r="B605" s="31" t="str">
        <f>IFERROR(__xludf.DUMMYFUNCTION("""COMPUTED_VALUE"""),"子宮の奥（子宮体部）の内膜にできるがんを調べる検査です。女性ホルモン（エストロゲン）が深く関わっており、食生活の欧米化などを背景に、近年、子宮頸がんよりも患者数が増加しています。50代以降の閉経前後に多く発症しますが、ストレスや不規則な生活によるホルモンバランスの乱れから、20代や30代で発症する方も増えています。不正出血がサインとなることが多いのが特徴です。")</f>
        <v>子宮の奥（子宮体部）の内膜にできるがんを調べる検査です。女性ホルモン（エストロゲン）が深く関わっており、食生活の欧米化などを背景に、近年、子宮頸がんよりも患者数が増加しています。50代以降の閉経前後に多く発症しますが、ストレスや不規則な生活によるホルモンバランスの乱れから、20代や30代で発症する方も増えています。不正出血がサインとなることが多いのが特徴です。</v>
      </c>
      <c r="C605" s="31" t="str">
        <f>IFERROR(__xludf.DUMMYFUNCTION("""COMPUTED_VALUE"""),"婦人科健診")</f>
        <v>婦人科健診</v>
      </c>
      <c r="D605" s="31" t="str">
        <f>IFERROR(__xludf.DUMMYFUNCTION("""COMPUTED_VALUE"""),"子宮体がん検査,不正出血,ホルモンバランス")</f>
        <v>子宮体がん検査,不正出血,ホルモンバランス</v>
      </c>
      <c r="E605" s="32" t="str">
        <f>IFERROR(__xludf.DUMMYFUNCTION("""COMPUTED_VALUE"""),"https://luna-dr.com/subjects/medical-checkup/")</f>
        <v>https://luna-dr.com/subjects/medical-checkup/</v>
      </c>
    </row>
    <row r="606">
      <c r="A606" s="31" t="str">
        <f>IFERROR(__xludf.DUMMYFUNCTION("""COMPUTED_VALUE"""),"子宮頸がんと子宮体がんの違いは何ですか？")</f>
        <v>子宮頸がんと子宮体がんの違いは何ですか？</v>
      </c>
      <c r="B606" s="31" t="str">
        <f>IFERROR(__xludf.DUMMYFUNCTION("""COMPUTED_VALUE"""),"子宮頸がんは子宮の入り口にでき、主な原因はHPV感染で20〜30代に多くみられます。一方、子宮体がんは子宮の奥にでき、女性ホルモンの影響が強く、閉経前後に多いのが特徴です。")</f>
        <v>子宮頸がんは子宮の入り口にでき、主な原因はHPV感染で20〜30代に多くみられます。一方、子宮体がんは子宮の奥にでき、女性ホルモンの影響が強く、閉経前後に多いのが特徴です。</v>
      </c>
      <c r="C606" s="31" t="str">
        <f>IFERROR(__xludf.DUMMYFUNCTION("""COMPUTED_VALUE"""),"婦人科健診")</f>
        <v>婦人科健診</v>
      </c>
      <c r="D606" s="31" t="str">
        <f>IFERROR(__xludf.DUMMYFUNCTION("""COMPUTED_VALUE"""),"子宮頸がん,子宮体がん,違い")</f>
        <v>子宮頸がん,子宮体がん,違い</v>
      </c>
      <c r="E606" s="32" t="str">
        <f>IFERROR(__xludf.DUMMYFUNCTION("""COMPUTED_VALUE"""),"https://luna-dr.com/subjects/medical-checkup/")</f>
        <v>https://luna-dr.com/subjects/medical-checkup/</v>
      </c>
    </row>
    <row r="607">
      <c r="A607" s="31" t="str">
        <f>IFERROR(__xludf.DUMMYFUNCTION("""COMPUTED_VALUE"""),"子宮頸がんはどこにできるがんですか？")</f>
        <v>子宮頸がんはどこにできるがんですか？</v>
      </c>
      <c r="B607" s="31" t="str">
        <f>IFERROR(__xludf.DUMMYFUNCTION("""COMPUTED_VALUE"""),"子宮頸がんは、子宮の入り口部分（子宮頸部）にできるがんです。性交渉によって感染するヒトパピローマウイルス（HPV）が主な原因とされています。")</f>
        <v>子宮頸がんは、子宮の入り口部分（子宮頸部）にできるがんです。性交渉によって感染するヒトパピローマウイルス（HPV）が主な原因とされています。</v>
      </c>
      <c r="C607" s="31" t="str">
        <f>IFERROR(__xludf.DUMMYFUNCTION("""COMPUTED_VALUE"""),"婦人科健診")</f>
        <v>婦人科健診</v>
      </c>
      <c r="D607" s="31" t="str">
        <f>IFERROR(__xludf.DUMMYFUNCTION("""COMPUTED_VALUE"""),"子宮頸がん,検査対象,HPV")</f>
        <v>子宮頸がん,検査対象,HPV</v>
      </c>
      <c r="E607" s="32" t="str">
        <f>IFERROR(__xludf.DUMMYFUNCTION("""COMPUTED_VALUE"""),"https://luna-dr.com/subjects/medical-checkup/")</f>
        <v>https://luna-dr.com/subjects/medical-checkup/</v>
      </c>
    </row>
    <row r="608">
      <c r="A608" s="31" t="str">
        <f>IFERROR(__xludf.DUMMYFUNCTION("""COMPUTED_VALUE"""),"子宮体がんはどこにできるがんですか？")</f>
        <v>子宮体がんはどこにできるがんですか？</v>
      </c>
      <c r="B608" s="31" t="str">
        <f>IFERROR(__xludf.DUMMYFUNCTION("""COMPUTED_VALUE"""),"子宮体がんは、子宮の奥（子宮体部）の内膜にできるがんです。女性ホルモン（エストロゲン）の影響を強く受けることが特徴です。")</f>
        <v>子宮体がんは、子宮の奥（子宮体部）の内膜にできるがんです。女性ホルモン（エストロゲン）の影響を強く受けることが特徴です。</v>
      </c>
      <c r="C608" s="31" t="str">
        <f>IFERROR(__xludf.DUMMYFUNCTION("""COMPUTED_VALUE"""),"婦人科健診")</f>
        <v>婦人科健診</v>
      </c>
      <c r="D608" s="31" t="str">
        <f>IFERROR(__xludf.DUMMYFUNCTION("""COMPUTED_VALUE"""),"子宮体がん,検査対象,子宮内膜")</f>
        <v>子宮体がん,検査対象,子宮内膜</v>
      </c>
      <c r="E608" s="32" t="str">
        <f>IFERROR(__xludf.DUMMYFUNCTION("""COMPUTED_VALUE"""),"https://luna-dr.com/subjects/medical-checkup/")</f>
        <v>https://luna-dr.com/subjects/medical-checkup/</v>
      </c>
    </row>
    <row r="609">
      <c r="A609" s="31" t="str">
        <f>IFERROR(__xludf.DUMMYFUNCTION("""COMPUTED_VALUE"""),"子宮頸がんはどの年代に多いですか？")</f>
        <v>子宮頸がんはどの年代に多いですか？</v>
      </c>
      <c r="B609" s="31" t="str">
        <f>IFERROR(__xludf.DUMMYFUNCTION("""COMPUTED_VALUE"""),"子宮頸がんは20代〜30代の比較的若い世代に多くみられます。近年は若年化の傾向もあり、定期的な検診が重要です。")</f>
        <v>子宮頸がんは20代〜30代の比較的若い世代に多くみられます。近年は若年化の傾向もあり、定期的な検診が重要です。</v>
      </c>
      <c r="C609" s="31" t="str">
        <f>IFERROR(__xludf.DUMMYFUNCTION("""COMPUTED_VALUE"""),"婦人科健診")</f>
        <v>婦人科健診</v>
      </c>
      <c r="D609" s="31" t="str">
        <f>IFERROR(__xludf.DUMMYFUNCTION("""COMPUTED_VALUE"""),"子宮頸がん,20代,30代,婦人科検診")</f>
        <v>子宮頸がん,20代,30代,婦人科検診</v>
      </c>
      <c r="E609" s="32" t="str">
        <f>IFERROR(__xludf.DUMMYFUNCTION("""COMPUTED_VALUE"""),"https://luna-dr.com/subjects/medical-checkup/")</f>
        <v>https://luna-dr.com/subjects/medical-checkup/</v>
      </c>
    </row>
    <row r="610">
      <c r="A610" s="31" t="str">
        <f>IFERROR(__xludf.DUMMYFUNCTION("""COMPUTED_VALUE"""),"子宮体がんはどの年代に多いですか？")</f>
        <v>子宮体がんはどの年代に多いですか？</v>
      </c>
      <c r="B610" s="31" t="str">
        <f>IFERROR(__xludf.DUMMYFUNCTION("""COMPUTED_VALUE"""),"子宮体がんは50代以降の閉経前後に多くみられますが、ホルモンバランスの乱れにより若い年代で発症することもあります。")</f>
        <v>子宮体がんは50代以降の閉経前後に多くみられますが、ホルモンバランスの乱れにより若い年代で発症することもあります。</v>
      </c>
      <c r="C610" s="31" t="str">
        <f>IFERROR(__xludf.DUMMYFUNCTION("""COMPUTED_VALUE"""),"婦人科健診")</f>
        <v>婦人科健診</v>
      </c>
      <c r="D610" s="31" t="str">
        <f>IFERROR(__xludf.DUMMYFUNCTION("""COMPUTED_VALUE"""),"子宮体がん,閉経後,50代")</f>
        <v>子宮体がん,閉経後,50代</v>
      </c>
      <c r="E610" s="32" t="str">
        <f>IFERROR(__xludf.DUMMYFUNCTION("""COMPUTED_VALUE"""),"https://luna-dr.com/subjects/medical-checkup/")</f>
        <v>https://luna-dr.com/subjects/medical-checkup/</v>
      </c>
    </row>
    <row r="611">
      <c r="A611" s="31" t="str">
        <f>IFERROR(__xludf.DUMMYFUNCTION("""COMPUTED_VALUE"""),"子宮頸がん検診はどのような方法で行いますか？/HPV検査はどのような方法で行いますか？")</f>
        <v>子宮頸がん検診はどのような方法で行いますか？/HPV検査はどのような方法で行いますか？</v>
      </c>
      <c r="B611" s="31" t="str">
        <f>IFERROR(__xludf.DUMMYFUNCTION("""COMPUTED_VALUE"""),"子宮頸がん検診では、ブラシのような器具で子宮の入り口を優しくこすり、細胞を採取します。検査時間は短く、痛みはほとんどありません。")</f>
        <v>子宮頸がん検診では、ブラシのような器具で子宮の入り口を優しくこすり、細胞を採取します。検査時間は短く、痛みはほとんどありません。</v>
      </c>
      <c r="C611" s="31" t="str">
        <f>IFERROR(__xludf.DUMMYFUNCTION("""COMPUTED_VALUE"""),"婦人科健診")</f>
        <v>婦人科健診</v>
      </c>
      <c r="D611" s="31" t="str">
        <f>IFERROR(__xludf.DUMMYFUNCTION("""COMPUTED_VALUE"""),"子宮頸がん検診,検査方法,痛み,HPV検査,HPV")</f>
        <v>子宮頸がん検診,検査方法,痛み,HPV検査,HPV</v>
      </c>
      <c r="E611" s="32" t="str">
        <f>IFERROR(__xludf.DUMMYFUNCTION("""COMPUTED_VALUE"""),"https://luna-dr.com/subjects/medical-checkup/")</f>
        <v>https://luna-dr.com/subjects/medical-checkup/</v>
      </c>
    </row>
    <row r="612">
      <c r="A612" s="31" t="str">
        <f>IFERROR(__xludf.DUMMYFUNCTION("""COMPUTED_VALUE"""),"子宮体がん検査はどのような方法で行いますか？")</f>
        <v>子宮体がん検査はどのような方法で行いますか？</v>
      </c>
      <c r="B612" s="31" t="str">
        <f>IFERROR(__xludf.DUMMYFUNCTION("""COMPUTED_VALUE"""),"子宮体がん検査では、細いストロー状の器具を子宮の奥に挿入し、内膜の細胞を採取します。生理痛に似た痛みを感じることがありますが、短時間で終了します。")</f>
        <v>子宮体がん検査では、細いストロー状の器具を子宮の奥に挿入し、内膜の細胞を採取します。生理痛に似た痛みを感じることがありますが、短時間で終了します。</v>
      </c>
      <c r="C612" s="31" t="str">
        <f>IFERROR(__xludf.DUMMYFUNCTION("""COMPUTED_VALUE"""),"婦人科健診")</f>
        <v>婦人科健診</v>
      </c>
      <c r="D612" s="31" t="str">
        <f>IFERROR(__xludf.DUMMYFUNCTION("""COMPUTED_VALUE"""),"子宮体がん検査,検査方法,痛み")</f>
        <v>子宮体がん検査,検査方法,痛み</v>
      </c>
      <c r="E612" s="32" t="str">
        <f>IFERROR(__xludf.DUMMYFUNCTION("""COMPUTED_VALUE"""),"https://luna-dr.com/subjects/medical-checkup/")</f>
        <v>https://luna-dr.com/subjects/medical-checkup/</v>
      </c>
    </row>
    <row r="613">
      <c r="A613" s="31" t="str">
        <f>IFERROR(__xludf.DUMMYFUNCTION("""COMPUTED_VALUE"""),"子宮頸がん検診は痛みがありますか？/HPV検査は痛みがありますか？")</f>
        <v>子宮頸がん検診は痛みがありますか？/HPV検査は痛みがありますか？</v>
      </c>
      <c r="B613" s="31" t="str">
        <f>IFERROR(__xludf.DUMMYFUNCTION("""COMPUTED_VALUE"""),"子宮頸がん検診は、痛みをほとんど感じない方が多く、違和感があってもごくわずかです。")</f>
        <v>子宮頸がん検診は、痛みをほとんど感じない方が多く、違和感があってもごくわずかです。</v>
      </c>
      <c r="C613" s="31" t="str">
        <f>IFERROR(__xludf.DUMMYFUNCTION("""COMPUTED_VALUE"""),"婦人科健診")</f>
        <v>婦人科健診</v>
      </c>
      <c r="D613" s="31" t="str">
        <f>IFERROR(__xludf.DUMMYFUNCTION("""COMPUTED_VALUE"""),"子宮頸がん検診,痛み,HPV検査,HPV")</f>
        <v>子宮頸がん検診,痛み,HPV検査,HPV</v>
      </c>
      <c r="E613" s="32" t="str">
        <f>IFERROR(__xludf.DUMMYFUNCTION("""COMPUTED_VALUE"""),"https://luna-dr.com/subjects/medical-checkup/")</f>
        <v>https://luna-dr.com/subjects/medical-checkup/</v>
      </c>
    </row>
    <row r="614">
      <c r="A614" s="31" t="str">
        <f>IFERROR(__xludf.DUMMYFUNCTION("""COMPUTED_VALUE"""),"子宮体がん検査は痛みがありますか？")</f>
        <v>子宮体がん検査は痛みがありますか？</v>
      </c>
      <c r="B614" s="31" t="str">
        <f>IFERROR(__xludf.DUMMYFUNCTION("""COMPUTED_VALUE"""),"子宮体がん検査は、生理痛に似た痛みを感じることがありますが、検査は1〜2分程度で終わります。")</f>
        <v>子宮体がん検査は、生理痛に似た痛みを感じることがありますが、検査は1〜2分程度で終わります。</v>
      </c>
      <c r="C614" s="31" t="str">
        <f>IFERROR(__xludf.DUMMYFUNCTION("""COMPUTED_VALUE"""),"婦人科健診")</f>
        <v>婦人科健診</v>
      </c>
      <c r="D614" s="31" t="str">
        <f>IFERROR(__xludf.DUMMYFUNCTION("""COMPUTED_VALUE"""),"子宮体がん検査,痛み")</f>
        <v>子宮体がん検査,痛み</v>
      </c>
      <c r="E614" s="32" t="str">
        <f>IFERROR(__xludf.DUMMYFUNCTION("""COMPUTED_VALUE"""),"https://luna-dr.com/subjects/medical-checkup/")</f>
        <v>https://luna-dr.com/subjects/medical-checkup/</v>
      </c>
    </row>
    <row r="615">
      <c r="A615" s="31" t="str">
        <f>IFERROR(__xludf.DUMMYFUNCTION("""COMPUTED_VALUE"""),"子宮頸がんを予防する方法はありますか？/HPVを予防する方法はありますか？")</f>
        <v>子宮頸がんを予防する方法はありますか？/HPVを予防する方法はありますか？</v>
      </c>
      <c r="B615" s="31" t="str">
        <f>IFERROR(__xludf.DUMMYFUNCTION("""COMPUTED_VALUE"""),"子宮頸がんは、HPVワクチン接種と定期的な検診が最も有効な予防方法です。")</f>
        <v>子宮頸がんは、HPVワクチン接種と定期的な検診が最も有効な予防方法です。</v>
      </c>
      <c r="C615" s="31" t="str">
        <f>IFERROR(__xludf.DUMMYFUNCTION("""COMPUTED_VALUE"""),"婦人科健診")</f>
        <v>婦人科健診</v>
      </c>
      <c r="D615" s="31" t="str">
        <f>IFERROR(__xludf.DUMMYFUNCTION("""COMPUTED_VALUE"""),"子宮頸がん,HPVワクチン,予防,HPV検査,HPV")</f>
        <v>子宮頸がん,HPVワクチン,予防,HPV検査,HPV</v>
      </c>
      <c r="E615" s="32" t="str">
        <f>IFERROR(__xludf.DUMMYFUNCTION("""COMPUTED_VALUE"""),"https://luna-dr.com/subjects/medical-checkup/")</f>
        <v>https://luna-dr.com/subjects/medical-checkup/</v>
      </c>
    </row>
    <row r="616">
      <c r="A616" s="31" t="str">
        <f>IFERROR(__xludf.DUMMYFUNCTION("""COMPUTED_VALUE"""),"子宮体がんを予防する方法はありますか？")</f>
        <v>子宮体がんを予防する方法はありますか？</v>
      </c>
      <c r="B616" s="31" t="str">
        <f>IFERROR(__xludf.DUMMYFUNCTION("""COMPUTED_VALUE"""),"子宮体がんは、適正体重の維持やバランスの取れた食生活など、生活習慣を整えることが予防につながります。")</f>
        <v>子宮体がんは、適正体重の維持やバランスの取れた食生活など、生活習慣を整えることが予防につながります。</v>
      </c>
      <c r="C616" s="31" t="str">
        <f>IFERROR(__xludf.DUMMYFUNCTION("""COMPUTED_VALUE"""),"婦人科健診")</f>
        <v>婦人科健診</v>
      </c>
      <c r="D616" s="31" t="str">
        <f>IFERROR(__xludf.DUMMYFUNCTION("""COMPUTED_VALUE"""),"子宮体がん,予防,生活習慣")</f>
        <v>子宮体がん,予防,生活習慣</v>
      </c>
      <c r="E616" s="32" t="str">
        <f>IFERROR(__xludf.DUMMYFUNCTION("""COMPUTED_VALUE"""),"https://luna-dr.com/subjects/medical-checkup/")</f>
        <v>https://luna-dr.com/subjects/medical-checkup/</v>
      </c>
    </row>
    <row r="617">
      <c r="A617" s="31" t="str">
        <f>IFERROR(__xludf.DUMMYFUNCTION("""COMPUTED_VALUE"""),"婦人科検診の痛みはありますか？")</f>
        <v>婦人科検診の痛みはありますか？</v>
      </c>
      <c r="B617" s="31" t="str">
        <f>IFERROR(__xludf.DUMMYFUNCTION("""COMPUTED_VALUE"""),"子宮頸がん検診は、ブラシで軽くこする検査のため、痛みはほとんどないか、ごくわずかです。子宮体がん検査は、生理痛に似た痛みを感じることがありますが、短時間で終了します。")</f>
        <v>子宮頸がん検診は、ブラシで軽くこする検査のため、痛みはほとんどないか、ごくわずかです。子宮体がん検査は、生理痛に似た痛みを感じることがありますが、短時間で終了します。</v>
      </c>
      <c r="C617" s="31" t="str">
        <f>IFERROR(__xludf.DUMMYFUNCTION("""COMPUTED_VALUE"""),"婦人科健診")</f>
        <v>婦人科健診</v>
      </c>
      <c r="D617" s="31" t="str">
        <f>IFERROR(__xludf.DUMMYFUNCTION("""COMPUTED_VALUE"""),"婦人科検診,検査の痛み,内診")</f>
        <v>婦人科検診,検査の痛み,内診</v>
      </c>
      <c r="E617" s="32" t="str">
        <f>IFERROR(__xludf.DUMMYFUNCTION("""COMPUTED_VALUE"""),"https://luna-dr.com/subjects/medical-checkup/")</f>
        <v>https://luna-dr.com/subjects/medical-checkup/</v>
      </c>
    </row>
    <row r="618">
      <c r="A618" s="31" t="str">
        <f>IFERROR(__xludf.DUMMYFUNCTION("""COMPUTED_VALUE"""),"婦人科検診の費用はいくらですか？")</f>
        <v>婦人科検診の費用はいくらですか？</v>
      </c>
      <c r="B618" s="31" t="str">
        <f>IFERROR(__xludf.DUMMYFUNCTION("""COMPUTED_VALUE"""),"当院では、検査内容やご利用の制度（自費・自治体検診）によって費用が異なります。子宮頸がん検診は自費5,000円（税込）、子宮体がん検診は6,000円（税込）です。")</f>
        <v>当院では、検査内容やご利用の制度（自費・自治体検診）によって費用が異なります。子宮頸がん検診は自費5,000円（税込）、子宮体がん検診は6,000円（税込）です。</v>
      </c>
      <c r="C618" s="31" t="str">
        <f>IFERROR(__xludf.DUMMYFUNCTION("""COMPUTED_VALUE"""),"婦人科健診")</f>
        <v>婦人科健診</v>
      </c>
      <c r="D618" s="31" t="str">
        <f>IFERROR(__xludf.DUMMYFUNCTION("""COMPUTED_VALUE"""),"婦人科検診,費用,料金")</f>
        <v>婦人科検診,費用,料金</v>
      </c>
      <c r="E618" s="32" t="str">
        <f>IFERROR(__xludf.DUMMYFUNCTION("""COMPUTED_VALUE"""),"https://luna-dr.com/subjects/medical-checkup/")</f>
        <v>https://luna-dr.com/subjects/medical-checkup/</v>
      </c>
    </row>
    <row r="619">
      <c r="A619" s="31" t="str">
        <f>IFERROR(__xludf.DUMMYFUNCTION("""COMPUTED_VALUE"""),"子宮頸がん検診の費用はいくらですか？/HPV検査はいくらですか？/HPV検査の費用はいくらですか？")</f>
        <v>子宮頸がん検診の費用はいくらですか？/HPV検査はいくらですか？/HPV検査の費用はいくらですか？</v>
      </c>
      <c r="B619" s="31" t="str">
        <f>IFERROR(__xludf.DUMMYFUNCTION("""COMPUTED_VALUE"""),"当院の子宮頸がん検診（自費診療）の費用は5,000円（税込）です。")</f>
        <v>当院の子宮頸がん検診（自費診療）の費用は5,000円（税込）です。</v>
      </c>
      <c r="C619" s="31" t="str">
        <f>IFERROR(__xludf.DUMMYFUNCTION("""COMPUTED_VALUE"""),"婦人科健診")</f>
        <v>婦人科健診</v>
      </c>
      <c r="D619" s="31" t="str">
        <f>IFERROR(__xludf.DUMMYFUNCTION("""COMPUTED_VALUE"""),"子宮頸がん検診,費用,自費,HPV検査,HPV")</f>
        <v>子宮頸がん検診,費用,自費,HPV検査,HPV</v>
      </c>
      <c r="E619" s="32" t="str">
        <f>IFERROR(__xludf.DUMMYFUNCTION("""COMPUTED_VALUE"""),"https://luna-dr.com/subjects/medical-checkup/")</f>
        <v>https://luna-dr.com/subjects/medical-checkup/</v>
      </c>
    </row>
    <row r="620">
      <c r="A620" s="31" t="str">
        <f>IFERROR(__xludf.DUMMYFUNCTION("""COMPUTED_VALUE"""),"子宮体がん検診の費用はいくらですか？")</f>
        <v>子宮体がん検診の費用はいくらですか？</v>
      </c>
      <c r="B620" s="31" t="str">
        <f>IFERROR(__xludf.DUMMYFUNCTION("""COMPUTED_VALUE"""),"当院の子宮体がん検診（自費診療）の費用は6,000円（税込）です。")</f>
        <v>当院の子宮体がん検診（自費診療）の費用は6,000円（税込）です。</v>
      </c>
      <c r="C620" s="31" t="str">
        <f>IFERROR(__xludf.DUMMYFUNCTION("""COMPUTED_VALUE"""),"婦人科健診")</f>
        <v>婦人科健診</v>
      </c>
      <c r="D620" s="31" t="str">
        <f>IFERROR(__xludf.DUMMYFUNCTION("""COMPUTED_VALUE"""),"子宮体がん検診,費用,自費")</f>
        <v>子宮体がん検診,費用,自費</v>
      </c>
      <c r="E620" s="32" t="str">
        <f>IFERROR(__xludf.DUMMYFUNCTION("""COMPUTED_VALUE"""),"https://luna-dr.com/subjects/medical-checkup/")</f>
        <v>https://luna-dr.com/subjects/medical-checkup/</v>
      </c>
    </row>
    <row r="621">
      <c r="A621" s="31" t="str">
        <f>IFERROR(__xludf.DUMMYFUNCTION("""COMPUTED_VALUE"""),"横浜市のHPV検査単独法はいくらで受けられますか？")</f>
        <v>横浜市のHPV検査単独法はいくらで受けられますか？</v>
      </c>
      <c r="B621" s="31" t="str">
        <f>IFERROR(__xludf.DUMMYFUNCTION("""COMPUTED_VALUE"""),"横浜市のHPV検査単独法は、対象の方であれば2,000円（税込）で受診できます。")</f>
        <v>横浜市のHPV検査単独法は、対象の方であれば2,000円（税込）で受診できます。</v>
      </c>
      <c r="C621" s="31" t="str">
        <f>IFERROR(__xludf.DUMMYFUNCTION("""COMPUTED_VALUE"""),"婦人科健診")</f>
        <v>婦人科健診</v>
      </c>
      <c r="D621" s="31" t="str">
        <f>IFERROR(__xludf.DUMMYFUNCTION("""COMPUTED_VALUE"""),"横浜市,HPV検査,費用,子宮頸がん検査")</f>
        <v>横浜市,HPV検査,費用,子宮頸がん検査</v>
      </c>
      <c r="E621" s="32" t="str">
        <f>IFERROR(__xludf.DUMMYFUNCTION("""COMPUTED_VALUE"""),"https://luna-dr.com/subjects/medical-checkup/")</f>
        <v>https://luna-dr.com/subjects/medical-checkup/</v>
      </c>
    </row>
    <row r="622">
      <c r="A622" s="31" t="str">
        <f>IFERROR(__xludf.DUMMYFUNCTION("""COMPUTED_VALUE"""),"横浜市の子宮頸がん検診はいくらですか？")</f>
        <v>横浜市の子宮頸がん検診はいくらですか？</v>
      </c>
      <c r="B622" s="31" t="str">
        <f>IFERROR(__xludf.DUMMYFUNCTION("""COMPUTED_VALUE"""),"横浜市の子宮頸がん検診は、対象の方であれば1,360円（税込）で受診できます。")</f>
        <v>横浜市の子宮頸がん検診は、対象の方であれば1,360円（税込）で受診できます。</v>
      </c>
      <c r="C622" s="31" t="str">
        <f>IFERROR(__xludf.DUMMYFUNCTION("""COMPUTED_VALUE"""),"婦人科健診")</f>
        <v>婦人科健診</v>
      </c>
      <c r="D622" s="31" t="str">
        <f>IFERROR(__xludf.DUMMYFUNCTION("""COMPUTED_VALUE"""),"横浜市,子宮頸がん検診,費用,子宮頸がん健診")</f>
        <v>横浜市,子宮頸がん検診,費用,子宮頸がん健診</v>
      </c>
      <c r="E622" s="32" t="str">
        <f>IFERROR(__xludf.DUMMYFUNCTION("""COMPUTED_VALUE"""),"https://luna-dr.com/subjects/medical-checkup/")</f>
        <v>https://luna-dr.com/subjects/medical-checkup/</v>
      </c>
    </row>
    <row r="623">
      <c r="A623" s="31" t="str">
        <f>IFERROR(__xludf.DUMMYFUNCTION("""COMPUTED_VALUE"""),"町田市の子宮頸がん検診はいくらですか？")</f>
        <v>町田市の子宮頸がん検診はいくらですか？</v>
      </c>
      <c r="B623" s="31" t="str">
        <f>IFERROR(__xludf.DUMMYFUNCTION("""COMPUTED_VALUE"""),"町田市の子宮頸がん検診は、対象の方であれば1,000円（税込）で受診できます。")</f>
        <v>町田市の子宮頸がん検診は、対象の方であれば1,000円（税込）で受診できます。</v>
      </c>
      <c r="C623" s="31" t="str">
        <f>IFERROR(__xludf.DUMMYFUNCTION("""COMPUTED_VALUE"""),"婦人科健診")</f>
        <v>婦人科健診</v>
      </c>
      <c r="D623" s="31" t="str">
        <f>IFERROR(__xludf.DUMMYFUNCTION("""COMPUTED_VALUE"""),"町田市,子宮頸がん検診,費用")</f>
        <v>町田市,子宮頸がん検診,費用</v>
      </c>
      <c r="E623" s="32" t="str">
        <f>IFERROR(__xludf.DUMMYFUNCTION("""COMPUTED_VALUE"""),"https://luna-dr.com/subjects/medical-checkup/")</f>
        <v>https://luna-dr.com/subjects/medical-checkup/</v>
      </c>
    </row>
    <row r="624">
      <c r="A624" s="31" t="str">
        <f>IFERROR(__xludf.DUMMYFUNCTION("""COMPUTED_VALUE"""),"川崎市の子宮頸がん検診はいくらですか？")</f>
        <v>川崎市の子宮頸がん検診はいくらですか？</v>
      </c>
      <c r="B624" s="31" t="str">
        <f>IFERROR(__xludf.DUMMYFUNCTION("""COMPUTED_VALUE"""),"川崎市の子宮頸がん検診は、対象の方であれば1,000円（税込）で受診できます。")</f>
        <v>川崎市の子宮頸がん検診は、対象の方であれば1,000円（税込）で受診できます。</v>
      </c>
      <c r="C624" s="31" t="str">
        <f>IFERROR(__xludf.DUMMYFUNCTION("""COMPUTED_VALUE"""),"婦人科健診")</f>
        <v>婦人科健診</v>
      </c>
      <c r="D624" s="31" t="str">
        <f>IFERROR(__xludf.DUMMYFUNCTION("""COMPUTED_VALUE"""),"川崎市,子宮頸がん検診,費用,子宮頸がん健診")</f>
        <v>川崎市,子宮頸がん検診,費用,子宮頸がん健診</v>
      </c>
      <c r="E624" s="32" t="str">
        <f>IFERROR(__xludf.DUMMYFUNCTION("""COMPUTED_VALUE"""),"https://luna-dr.com/subjects/medical-checkup/")</f>
        <v>https://luna-dr.com/subjects/medical-checkup/</v>
      </c>
    </row>
    <row r="625">
      <c r="A625" s="31" t="str">
        <f>IFERROR(__xludf.DUMMYFUNCTION("""COMPUTED_VALUE"""),"川崎市の子宮体がん検診はいくらですか？")</f>
        <v>川崎市の子宮体がん検診はいくらですか？</v>
      </c>
      <c r="B625" s="31" t="str">
        <f>IFERROR(__xludf.DUMMYFUNCTION("""COMPUTED_VALUE"""),"川崎市の子宮頸がん＋子宮体がん検診は、対象の方であれば1,800円（税込）で受診できます。")</f>
        <v>川崎市の子宮頸がん＋子宮体がん検診は、対象の方であれば1,800円（税込）で受診できます。</v>
      </c>
      <c r="C625" s="31" t="str">
        <f>IFERROR(__xludf.DUMMYFUNCTION("""COMPUTED_VALUE"""),"婦人科健診")</f>
        <v>婦人科健診</v>
      </c>
      <c r="D625" s="31" t="str">
        <f>IFERROR(__xludf.DUMMYFUNCTION("""COMPUTED_VALUE"""),"川崎市,子宮体がん検診,子宮頸がん検診,費用")</f>
        <v>川崎市,子宮体がん検診,子宮頸がん検診,費用</v>
      </c>
      <c r="E625" s="32" t="str">
        <f>IFERROR(__xludf.DUMMYFUNCTION("""COMPUTED_VALUE"""),"https://luna-dr.com/subjects/medical-checkup/")</f>
        <v>https://luna-dr.com/subjects/medical-checkup/</v>
      </c>
    </row>
    <row r="626">
      <c r="A626" s="31" t="str">
        <f>IFERROR(__xludf.DUMMYFUNCTION("""COMPUTED_VALUE"""),"ホルモン検査の費用はいくらですか？/ホルモン検査はできますか？/ホルモン検査は行っていますか？/ホルモン検査について教えてください")</f>
        <v>ホルモン検査の費用はいくらですか？/ホルモン検査はできますか？/ホルモン検査は行っていますか？/ホルモン検査について教えてください</v>
      </c>
      <c r="B626" s="31" t="str">
        <f>IFERROR(__xludf.DUMMYFUNCTION("""COMPUTED_VALUE"""),"当院のホルモン検査は8,000円（税込）です。月経不順や体調不良の原因を調べる際に行います。")</f>
        <v>当院のホルモン検査は8,000円（税込）です。月経不順や体調不良の原因を調べる際に行います。</v>
      </c>
      <c r="C626" s="31" t="str">
        <f>IFERROR(__xludf.DUMMYFUNCTION("""COMPUTED_VALUE"""),"婦人科健診")</f>
        <v>婦人科健診</v>
      </c>
      <c r="D626" s="31" t="str">
        <f>IFERROR(__xludf.DUMMYFUNCTION("""COMPUTED_VALUE"""),"ホルモン検査,費用,婦人科")</f>
        <v>ホルモン検査,費用,婦人科</v>
      </c>
      <c r="E626" s="32" t="str">
        <f>IFERROR(__xludf.DUMMYFUNCTION("""COMPUTED_VALUE"""),"https://luna-dr.com/subjects/medical-checkup/")</f>
        <v>https://luna-dr.com/subjects/medical-checkup/</v>
      </c>
    </row>
    <row r="627">
      <c r="A627" s="31" t="str">
        <f>IFERROR(__xludf.DUMMYFUNCTION("""COMPUTED_VALUE"""),"AMH検査の費用はいくらですか？")</f>
        <v>AMH検査の費用はいくらですか？</v>
      </c>
      <c r="B627" s="31" t="str">
        <f>IFERROR(__xludf.DUMMYFUNCTION("""COMPUTED_VALUE"""),"当院のAMH検査（卵巣年齢の目安となる検査）の費用は10,000円（税込）です。")</f>
        <v>当院のAMH検査（卵巣年齢の目安となる検査）の費用は10,000円（税込）です。</v>
      </c>
      <c r="C627" s="31" t="str">
        <f>IFERROR(__xludf.DUMMYFUNCTION("""COMPUTED_VALUE"""),"婦人科健診")</f>
        <v>婦人科健診</v>
      </c>
      <c r="D627" s="31" t="str">
        <f>IFERROR(__xludf.DUMMYFUNCTION("""COMPUTED_VALUE"""),"AMH検査,費用,卵巣年齢")</f>
        <v>AMH検査,費用,卵巣年齢</v>
      </c>
      <c r="E627" s="32" t="str">
        <f>IFERROR(__xludf.DUMMYFUNCTION("""COMPUTED_VALUE"""),"https://luna-dr.com/subjects/medical-checkup/")</f>
        <v>https://luna-dr.com/subjects/medical-checkup/</v>
      </c>
    </row>
    <row r="628">
      <c r="A628" s="31" t="str">
        <f>IFERROR(__xludf.DUMMYFUNCTION("""COMPUTED_VALUE"""),"風疹の抗体検査の費用はいくらですか？")</f>
        <v>風疹の抗体検査の費用はいくらですか？</v>
      </c>
      <c r="B628" s="31" t="str">
        <f>IFERROR(__xludf.DUMMYFUNCTION("""COMPUTED_VALUE"""),"当院の風疹抗体検査の費用は4,000円（税込）です。")</f>
        <v>当院の風疹抗体検査の費用は4,000円（税込）です。</v>
      </c>
      <c r="C628" s="31" t="str">
        <f>IFERROR(__xludf.DUMMYFUNCTION("""COMPUTED_VALUE"""),"婦人科健診")</f>
        <v>婦人科健診</v>
      </c>
      <c r="D628" s="31" t="str">
        <f>IFERROR(__xludf.DUMMYFUNCTION("""COMPUTED_VALUE"""),"風疹抗体検査,費用,妊娠準備")</f>
        <v>風疹抗体検査,費用,妊娠準備</v>
      </c>
      <c r="E628" s="32" t="str">
        <f>IFERROR(__xludf.DUMMYFUNCTION("""COMPUTED_VALUE"""),"https://luna-dr.com/subjects/medical-checkup/")</f>
        <v>https://luna-dr.com/subjects/medical-checkup/</v>
      </c>
    </row>
    <row r="629">
      <c r="A629" s="31" t="str">
        <f>IFERROR(__xludf.DUMMYFUNCTION("""COMPUTED_VALUE"""),"妊娠中でも子宮頸がん検診は受けられますか？")</f>
        <v>妊娠中でも子宮頸がん検診は受けられますか？</v>
      </c>
      <c r="B629" s="31" t="str">
        <f>IFERROR(__xludf.DUMMYFUNCTION("""COMPUTED_VALUE"""),"子宮頸がん検診（自費・横浜市クーポン利用ともに）は、当院で妊娠10週までの経過を診ている場合に限り、妊娠中でも受けていただけます。")</f>
        <v>子宮頸がん検診（自費・横浜市クーポン利用ともに）は、当院で妊娠10週までの経過を診ている場合に限り、妊娠中でも受けていただけます。</v>
      </c>
      <c r="C629" s="31" t="str">
        <f>IFERROR(__xludf.DUMMYFUNCTION("""COMPUTED_VALUE"""),"婦人科健診")</f>
        <v>婦人科健診</v>
      </c>
      <c r="D629" s="31" t="str">
        <f>IFERROR(__xludf.DUMMYFUNCTION("""COMPUTED_VALUE"""),"妊娠中,子宮頸がん検診,条件")</f>
        <v>妊娠中,子宮頸がん検診,条件</v>
      </c>
      <c r="E629" s="32" t="str">
        <f>IFERROR(__xludf.DUMMYFUNCTION("""COMPUTED_VALUE"""),"https://luna-dr.com/subjects/medical-checkup/")</f>
        <v>https://luna-dr.com/subjects/medical-checkup/</v>
      </c>
    </row>
    <row r="630">
      <c r="A630" s="31" t="str">
        <f>IFERROR(__xludf.DUMMYFUNCTION("""COMPUTED_VALUE"""),"自治体の子宮がん検診は利用できますか？")</f>
        <v>自治体の子宮がん検診は利用できますか？</v>
      </c>
      <c r="B630" s="31" t="str">
        <f>IFERROR(__xludf.DUMMYFUNCTION("""COMPUTED_VALUE"""),"横浜市・町田市・川崎市の子宮頸がん検診、HPV検査単独法に対応しています。対象年齢や条件がありますので、詳細はご予約時にご確認ください。")</f>
        <v>横浜市・町田市・川崎市の子宮頸がん検診、HPV検査単独法に対応しています。対象年齢や条件がありますので、詳細はご予約時にご確認ください。</v>
      </c>
      <c r="C630" s="31" t="str">
        <f>IFERROR(__xludf.DUMMYFUNCTION("""COMPUTED_VALUE"""),"婦人科健診")</f>
        <v>婦人科健診</v>
      </c>
      <c r="D630" s="31" t="str">
        <f>IFERROR(__xludf.DUMMYFUNCTION("""COMPUTED_VALUE"""),"自治体検診,横浜市,町田市,川崎市")</f>
        <v>自治体検診,横浜市,町田市,川崎市</v>
      </c>
      <c r="E630" s="32" t="str">
        <f>IFERROR(__xludf.DUMMYFUNCTION("""COMPUTED_VALUE"""),"https://luna-dr.com/subjects/medical-checkup/")</f>
        <v>https://luna-dr.com/subjects/medical-checkup/</v>
      </c>
    </row>
    <row r="631">
      <c r="A631" s="31" t="str">
        <f>IFERROR(__xludf.DUMMYFUNCTION("""COMPUTED_VALUE"""),"婦人科健診の予約はどうすればいいですか？/子宮頸がん検査の予約はどうすればいいですか？/子宮体がん検査の予約はどうすればいいですか？")</f>
        <v>婦人科健診の予約はどうすればいいですか？/子宮頸がん検査の予約はどうすればいいですか？/子宮体がん検査の予約はどうすればいいですか？</v>
      </c>
      <c r="B631" s="31" t="str">
        <f>IFERROR(__xludf.DUMMYFUNCTION("""COMPUTED_VALUE"""),"婦人科健診（子宮頸がん・子宮体がん検査）のご予約は、公式LINEからお取りください。自治体のがん検診をご希望の場合は「市区町村のがん検診」のメニューでご予約ください。それ以外の婦人科検診は「一般婦人科診療」のメニューからお取りください。→https://cline-app.com/qr-codes/98ad6f149bfa20f4f2a9a2e91aac4187/preview")</f>
        <v>婦人科健診（子宮頸がん・子宮体がん検査）のご予約は、公式LINEからお取りください。自治体のがん検診をご希望の場合は「市区町村のがん検診」のメニューでご予約ください。それ以外の婦人科検診は「一般婦人科診療」のメニューからお取りください。→https://cline-app.com/qr-codes/98ad6f149bfa20f4f2a9a2e91aac4187/preview</v>
      </c>
      <c r="C631" s="31" t="str">
        <f>IFERROR(__xludf.DUMMYFUNCTION("""COMPUTED_VALUE"""),"婦人科健診")</f>
        <v>婦人科健診</v>
      </c>
      <c r="D631" s="31" t="str">
        <f>IFERROR(__xludf.DUMMYFUNCTION("""COMPUTED_VALUE"""),"婦人科健診,予約方法,LINE予約,子宮頸がん,子宮体がん検査")</f>
        <v>婦人科健診,予約方法,LINE予約,子宮頸がん,子宮体がん検査</v>
      </c>
      <c r="E631" s="32" t="str">
        <f>IFERROR(__xludf.DUMMYFUNCTION("""COMPUTED_VALUE"""),"https://luna-dr.com/subjects/medical-checkup/")</f>
        <v>https://luna-dr.com/subjects/medical-checkup/</v>
      </c>
    </row>
    <row r="632">
      <c r="A632" s="31" t="str">
        <f>IFERROR(__xludf.DUMMYFUNCTION("""COMPUTED_VALUE"""),"婦人科健診検査はどうやって予約しますか？/子宮頸がん検査はどうやって予約しますか？/子宮体がん検査はどうやって予約しますか？")</f>
        <v>婦人科健診検査はどうやって予約しますか？/子宮頸がん検査はどうやって予約しますか？/子宮体がん検査はどうやって予約しますか？</v>
      </c>
      <c r="B632" s="31" t="str">
        <f>IFERROR(__xludf.DUMMYFUNCTION("""COMPUTED_VALUE"""),"婦人科健診（子宮頸がん・子宮体がん検査）のご予約は、公式LINEからお取りください。自治体のがん検診をご希望の場合は「市区町村のがん検診」のメニューでご予約ください。それ以外の婦人科検診は「一般婦人科診療」のメニューからお取りください。→https://cline-app.com/qr-codes/98ad6f149bfa20f4f2a9a2e91aac4187/preview")</f>
        <v>婦人科健診（子宮頸がん・子宮体がん検査）のご予約は、公式LINEからお取りください。自治体のがん検診をご希望の場合は「市区町村のがん検診」のメニューでご予約ください。それ以外の婦人科検診は「一般婦人科診療」のメニューからお取りください。→https://cline-app.com/qr-codes/98ad6f149bfa20f4f2a9a2e91aac4187/preview</v>
      </c>
      <c r="C632" s="31" t="str">
        <f>IFERROR(__xludf.DUMMYFUNCTION("""COMPUTED_VALUE"""),"婦人科健診")</f>
        <v>婦人科健診</v>
      </c>
      <c r="D632" s="31" t="str">
        <f>IFERROR(__xludf.DUMMYFUNCTION("""COMPUTED_VALUE"""),"予約方法,LINE,電話,婦人科健診,子宮頸がん,子宮体がん検査")</f>
        <v>予約方法,LINE,電話,婦人科健診,子宮頸がん,子宮体がん検査</v>
      </c>
      <c r="E632" s="32" t="str">
        <f>IFERROR(__xludf.DUMMYFUNCTION("""COMPUTED_VALUE"""),"https://luna-dr.com/subjects/medical-checkup/")</f>
        <v>https://luna-dr.com/subjects/medical-checkup/</v>
      </c>
    </row>
    <row r="633">
      <c r="A633" s="31" t="str">
        <f>IFERROR(__xludf.DUMMYFUNCTION("""COMPUTED_VALUE"""),"婦人科健診はLINEから予約できますか？/子宮頸がん検査はLINEから予約できますか？/子宮体がん検査はLINEから予約できますか？")</f>
        <v>婦人科健診はLINEから予約できますか？/子宮頸がん検査はLINEから予約できますか？/子宮体がん検査はLINEから予約できますか？</v>
      </c>
      <c r="B633" s="31" t="str">
        <f>IFERROR(__xludf.DUMMYFUNCTION("""COMPUTED_VALUE"""),"公式LINEから24時間いつでも予約できます。自治体のがん検診をご希望の場合は「市区町村のがん検診」のメニューでご予約ください。それ以外の婦人科検診は「一般婦人科診療」のメニューからお取りください。→https://cline-app.com/qr-codes/98ad6f149bfa20f4f2a9a2e91aac4187/preview")</f>
        <v>公式LINEから24時間いつでも予約できます。自治体のがん検診をご希望の場合は「市区町村のがん検診」のメニューでご予約ください。それ以外の婦人科検診は「一般婦人科診療」のメニューからお取りください。→https://cline-app.com/qr-codes/98ad6f149bfa20f4f2a9a2e91aac4187/preview</v>
      </c>
      <c r="C633" s="31" t="str">
        <f>IFERROR(__xludf.DUMMYFUNCTION("""COMPUTED_VALUE"""),"婦人科健診")</f>
        <v>婦人科健診</v>
      </c>
      <c r="D633" s="31" t="str">
        <f>IFERROR(__xludf.DUMMYFUNCTION("""COMPUTED_VALUE"""),"LINE予約,婦人科予約,婦人科健診,子宮頸がん,子宮体がん検査")</f>
        <v>LINE予約,婦人科予約,婦人科健診,子宮頸がん,子宮体がん検査</v>
      </c>
      <c r="E633" s="32" t="str">
        <f>IFERROR(__xludf.DUMMYFUNCTION("""COMPUTED_VALUE"""),"https://luna-dr.com/subjects/medical-checkup/")</f>
        <v>https://luna-dr.com/subjects/medical-checkup/</v>
      </c>
    </row>
    <row r="634">
      <c r="A634" s="31" t="str">
        <f>IFERROR(__xludf.DUMMYFUNCTION("""COMPUTED_VALUE"""),"婦人科健診は電話でも予約できますか？/子宮頸がん検査は電話でも予約できますか？/子宮体がん検査は電話でも予約できますか？")</f>
        <v>婦人科健診は電話でも予約できますか？/子宮頸がん検査は電話でも予約できますか？/子宮体がん検査は電話でも予約できますか？</v>
      </c>
      <c r="B634" s="31" t="str">
        <f>IFERROR(__xludf.DUMMYFUNCTION("""COMPUTED_VALUE"""),"LINEでの予約後、事前問診等もLINEから行うことができ、スムーズに受診ができるため、当院ではLINEでのご予約を推奨しております。
自治体のがん検診をご希望の場合は「市区町村のがん検診」のメニューでご予約ください。それ以外の婦人科検診は「一般婦人科診療」のメニューからお取りください。→https://cline-app.com/qr-codes/98ad6f149bfa20f4f2a9a2e91aac4187/preview")</f>
        <v>LINEでの予約後、事前問診等もLINEから行うことができ、スムーズに受診ができるため、当院ではLINEでのご予約を推奨しております。
自治体のがん検診をご希望の場合は「市区町村のがん検診」のメニューでご予約ください。それ以外の婦人科検診は「一般婦人科診療」のメニューからお取りください。→https://cline-app.com/qr-codes/98ad6f149bfa20f4f2a9a2e91aac4187/preview</v>
      </c>
      <c r="C634" s="31" t="str">
        <f>IFERROR(__xludf.DUMMYFUNCTION("""COMPUTED_VALUE"""),"婦人科健診")</f>
        <v>婦人科健診</v>
      </c>
      <c r="D634" s="31" t="str">
        <f>IFERROR(__xludf.DUMMYFUNCTION("""COMPUTED_VALUE"""),"電話予約,問い合わせ,婦人科健診,子宮頸がん,子宮体がん検査")</f>
        <v>電話予約,問い合わせ,婦人科健診,子宮頸がん,子宮体がん検査</v>
      </c>
      <c r="E634" s="32" t="str">
        <f>IFERROR(__xludf.DUMMYFUNCTION("""COMPUTED_VALUE"""),"https://luna-dr.com/subjects/medical-checkup/")</f>
        <v>https://luna-dr.com/subjects/medical-checkup/</v>
      </c>
    </row>
    <row r="635">
      <c r="A635" s="31" t="str">
        <f>IFERROR(__xludf.DUMMYFUNCTION("""COMPUTED_VALUE"""),"婦人科健診の予約前に準備しておくことはありますか？/子宮頸がん検査の予約前に準備しておくことはありますか？/子宮体がん検査の予約前に準備しておくことはありますか？")</f>
        <v>婦人科健診の予約前に準備しておくことはありますか？/子宮頸がん検査の予約前に準備しておくことはありますか？/子宮体がん検査の予約前に準備しておくことはありますか？</v>
      </c>
      <c r="B635" s="31" t="str">
        <f>IFERROR(__xludf.DUMMYFUNCTION("""COMPUTED_VALUE"""),"ルナレディースクリニックでは、診察前にWEB問診の入力をお願いしています。事前にご入力いただくと診察がスムーズです。")</f>
        <v>ルナレディースクリニックでは、診察前にWEB問診の入力をお願いしています。事前にご入力いただくと診察がスムーズです。</v>
      </c>
      <c r="C635" s="31" t="str">
        <f>IFERROR(__xludf.DUMMYFUNCTION("""COMPUTED_VALUE"""),"婦人科健診")</f>
        <v>婦人科健診</v>
      </c>
      <c r="D635" s="31" t="str">
        <f>IFERROR(__xludf.DUMMYFUNCTION("""COMPUTED_VALUE"""),"WEB問診,事前準備,婦人科健診,子宮頸がん,子宮体がん検査")</f>
        <v>WEB問診,事前準備,婦人科健診,子宮頸がん,子宮体がん検査</v>
      </c>
      <c r="E635" s="32" t="str">
        <f>IFERROR(__xludf.DUMMYFUNCTION("""COMPUTED_VALUE"""),"https://luna-dr.com/subjects/medical-checkup/")</f>
        <v>https://luna-dr.com/subjects/medical-checkup/</v>
      </c>
    </row>
    <row r="636">
      <c r="A636" s="31" t="str">
        <f>IFERROR(__xludf.DUMMYFUNCTION("""COMPUTED_VALUE"""),"婦人科健診は初診でも予約できますか？/子宮頸がん検査は初診でも予約できますか？/子宮体がん検査は初診でも予約できますか？")</f>
        <v>婦人科健診は初診でも予約できますか？/子宮頸がん検査は初診でも予約できますか？/子宮体がん検査は初診でも予約できますか？</v>
      </c>
      <c r="B636" s="31" t="str">
        <f>IFERROR(__xludf.DUMMYFUNCTION("""COMPUTED_VALUE"""),"婦人科健診は初診の方もご予約いただけます。ご予約は公式LINEから受け付けておりますので、友だち追加の上ご利用ください。
自治体のがん検診をご希望の場合は「市区町村のがん検診」のメニューでご予約ください。それ以外の婦人科検診は「一般婦人科診療」のメニューからお取りください。→https://cline-app.com/qr-codes/98ad6f149bfa20f4f2a9a2e91aac4187/preview")</f>
        <v>婦人科健診は初診の方もご予約いただけます。ご予約は公式LINEから受け付けておりますので、友だち追加の上ご利用ください。
自治体のがん検診をご希望の場合は「市区町村のがん検診」のメニューでご予約ください。それ以外の婦人科検診は「一般婦人科診療」のメニューからお取りください。→https://cline-app.com/qr-codes/98ad6f149bfa20f4f2a9a2e91aac4187/preview</v>
      </c>
      <c r="C636" s="31" t="str">
        <f>IFERROR(__xludf.DUMMYFUNCTION("""COMPUTED_VALUE"""),"婦人科健診")</f>
        <v>婦人科健診</v>
      </c>
      <c r="D636" s="31" t="str">
        <f>IFERROR(__xludf.DUMMYFUNCTION("""COMPUTED_VALUE"""),"初診,予約,婦人科健診,子宮頸がん,子宮体がん検査")</f>
        <v>初診,予約,婦人科健診,子宮頸がん,子宮体がん検査</v>
      </c>
      <c r="E636" s="32" t="str">
        <f>IFERROR(__xludf.DUMMYFUNCTION("""COMPUTED_VALUE"""),"https://luna-dr.com/subjects/medical-checkup/")</f>
        <v>https://luna-dr.com/subjects/medical-checkup/</v>
      </c>
    </row>
    <row r="637">
      <c r="A637" s="31" t="str">
        <f>IFERROR(__xludf.DUMMYFUNCTION("""COMPUTED_VALUE"""),"婦人科健診は来院とオンライン、どちらで予約できますか？/子宮頸がん検査は来院とオンライン、どちらで予約できますか？子宮体がん検査は来院とオンライン、どちらで予約できますか？")</f>
        <v>婦人科健診は来院とオンライン、どちらで予約できますか？/子宮頸がん検査は来院とオンライン、どちらで予約できますか？子宮体がん検査は来院とオンライン、どちらで予約できますか？</v>
      </c>
      <c r="B637" s="31" t="str">
        <f>IFERROR(__xludf.DUMMYFUNCTION("""COMPUTED_VALUE"""),"ルナレディースクリニックでは、（子宮頸がん・子宮体がん検査）のご相談は来院診療のみで承っています。
自治体のがん検診をご希望の場合は「市区町村のがん検診」のメニューでご予約ください。それ以外の婦人科検診は「一般婦人科診療」のメニューからお取りください。→https://cline-app.com/qr-codes/98ad6f149bfa20f4f2a9a2e91aac4187/preview")</f>
        <v>ルナレディースクリニックでは、（子宮頸がん・子宮体がん検査）のご相談は来院診療のみで承っています。
自治体のがん検診をご希望の場合は「市区町村のがん検診」のメニューでご予約ください。それ以外の婦人科検診は「一般婦人科診療」のメニューからお取りください。→https://cline-app.com/qr-codes/98ad6f149bfa20f4f2a9a2e91aac4187/preview</v>
      </c>
      <c r="C637" s="31" t="str">
        <f>IFERROR(__xludf.DUMMYFUNCTION("""COMPUTED_VALUE"""),"婦人科健診")</f>
        <v>婦人科健診</v>
      </c>
      <c r="D637" s="31" t="str">
        <f>IFERROR(__xludf.DUMMYFUNCTION("""COMPUTED_VALUE"""),"来院診療,オンライン診療,婦人科健診,子宮頸がん,子宮体がん検査")</f>
        <v>来院診療,オンライン診療,婦人科健診,子宮頸がん,子宮体がん検査</v>
      </c>
      <c r="E637" s="32" t="str">
        <f>IFERROR(__xludf.DUMMYFUNCTION("""COMPUTED_VALUE"""),"https://luna-dr.com/subjects/medical-checkup/")</f>
        <v>https://luna-dr.com/subjects/medical-checkup/</v>
      </c>
    </row>
    <row r="638">
      <c r="A638" s="31" t="str">
        <f>IFERROR(__xludf.DUMMYFUNCTION("""COMPUTED_VALUE"""),"予約なしでも婦人科健診は受けられますか？/予約なしでも子宮頸がん検査は受けられますか？/予約なしでも子宮体がん検査は受けられますか？")</f>
        <v>予約なしでも婦人科健診は受けられますか？/予約なしでも子宮頸がん検査は受けられますか？/予約なしでも子宮体がん検査は受けられますか？</v>
      </c>
      <c r="B638" s="31" t="str">
        <f>IFERROR(__xludf.DUMMYFUNCTION("""COMPUTED_VALUE"""),"直接のご来院でも可能ですが、待ち時間が発生する場合があります。事前にご予約をいただくことでスムーズに診察に進むことができます。
ご予約は公式LINEからお取りください。自治体のがん検診をご希望の場合は「市区町村のがん検診」のメニューでご予約ください。それ以外の婦人科検診は「一般婦人科診療」のメニューからお取りください。→https://cline-app.com/qr-codes/98ad6f149bfa20f4f2a9a2e91aac4187/preview")</f>
        <v>直接のご来院でも可能ですが、待ち時間が発生する場合があります。事前にご予約をいただくことでスムーズに診察に進むことができます。
ご予約は公式LINEからお取りください。自治体のがん検診をご希望の場合は「市区町村のがん検診」のメニューでご予約ください。それ以外の婦人科検診は「一般婦人科診療」のメニューからお取りください。→https://cline-app.com/qr-codes/98ad6f149bfa20f4f2a9a2e91aac4187/preview</v>
      </c>
      <c r="C638" s="31" t="str">
        <f>IFERROR(__xludf.DUMMYFUNCTION("""COMPUTED_VALUE"""),"婦人科健診")</f>
        <v>婦人科健診</v>
      </c>
      <c r="D638" s="31" t="str">
        <f>IFERROR(__xludf.DUMMYFUNCTION("""COMPUTED_VALUE"""),"婦人科健診検査,予約なし,子宮頸がん,子宮体がん検査")</f>
        <v>婦人科健診検査,予約なし,子宮頸がん,子宮体がん検査</v>
      </c>
      <c r="E638" s="32" t="str">
        <f>IFERROR(__xludf.DUMMYFUNCTION("""COMPUTED_VALUE"""),"https://luna-dr.com/subjects/medical-checkup/")</f>
        <v>https://luna-dr.com/subjects/medical-checkup/</v>
      </c>
    </row>
    <row r="639">
      <c r="A639" s="31" t="str">
        <f>IFERROR(__xludf.DUMMYFUNCTION("""COMPUTED_VALUE"""),"不正出血がある場合も婦人科検診を受けられますか？")</f>
        <v>不正出血がある場合も婦人科検診を受けられますか？</v>
      </c>
      <c r="B639" s="31" t="str">
        <f>IFERROR(__xludf.DUMMYFUNCTION("""COMPUTED_VALUE"""),"不正出血がある場合は、子宮体がん検査や超音波検査を含めた詳しい検査をおすすめしています。自己判断せず、必ず婦人科を受診してください。")</f>
        <v>不正出血がある場合は、子宮体がん検査や超音波検査を含めた詳しい検査をおすすめしています。自己判断せず、必ず婦人科を受診してください。</v>
      </c>
      <c r="C639" s="31" t="str">
        <f>IFERROR(__xludf.DUMMYFUNCTION("""COMPUTED_VALUE"""),"婦人科健診")</f>
        <v>婦人科健診</v>
      </c>
      <c r="D639" s="31" t="str">
        <f>IFERROR(__xludf.DUMMYFUNCTION("""COMPUTED_VALUE"""),"不正出血,婦人科検診,子宮体がん")</f>
        <v>不正出血,婦人科検診,子宮体がん</v>
      </c>
      <c r="E639" s="32" t="str">
        <f>IFERROR(__xludf.DUMMYFUNCTION("""COMPUTED_VALUE"""),"https://luna-dr.com/subjects/medical-checkup/")</f>
        <v>https://luna-dr.com/subjects/medical-checkup/</v>
      </c>
    </row>
    <row r="640">
      <c r="A640" s="31" t="str">
        <f>IFERROR(__xludf.DUMMYFUNCTION("""COMPUTED_VALUE"""),"婦人科検診の流れはどのようになっていますか？/子宮頸がん検診の流れはどのようになっていますか？/子宮体がん検査の流れはどのようになっていますか？")</f>
        <v>婦人科検診の流れはどのようになっていますか？/子宮頸がん検診の流れはどのようになっていますか？/子宮体がん検査の流れはどのようになっていますか？</v>
      </c>
      <c r="B640" s="31" t="str">
        <f>IFERROR(__xludf.DUMMYFUNCTION("""COMPUTED_VALUE"""),"婦人科検診では、公式LINEまたはお電話でご予約のうえご来院いただきます。ご予約後にWEB問診をご入力いただくことで、受付時にデリケートな内容を口頭でお話しいただく必要がなく、スムーズに診察へ進めます。来院後は、医師が問診を行い、お体の状態や気になる症状を確認したうえで、必要な検査内容をご説明します。その後、内診台にて子宮頸がん検診や必要に応じて子宮体がん検査、超音波（エコー）検査を行います。検査結果は約2週間後にWebで確認でき、異常が見つかった場合は、今後の治療方針について丁寧にご説明します。")</f>
        <v>婦人科検診では、公式LINEまたはお電話でご予約のうえご来院いただきます。ご予約後にWEB問診をご入力いただくことで、受付時にデリケートな内容を口頭でお話しいただく必要がなく、スムーズに診察へ進めます。来院後は、医師が問診を行い、お体の状態や気になる症状を確認したうえで、必要な検査内容をご説明します。その後、内診台にて子宮頸がん検診や必要に応じて子宮体がん検査、超音波（エコー）検査を行います。検査結果は約2週間後にWebで確認でき、異常が見つかった場合は、今後の治療方針について丁寧にご説明します。</v>
      </c>
      <c r="C640" s="31" t="str">
        <f>IFERROR(__xludf.DUMMYFUNCTION("""COMPUTED_VALUE"""),"婦人科健診")</f>
        <v>婦人科健診</v>
      </c>
      <c r="D640" s="31" t="str">
        <f>IFERROR(__xludf.DUMMYFUNCTION("""COMPUTED_VALUE"""),"婦人科検診,検診の流れ,初めての婦人科検診,子宮頸がん検診,子宮体がん検査")</f>
        <v>婦人科検診,検診の流れ,初めての婦人科検診,子宮頸がん検診,子宮体がん検査</v>
      </c>
      <c r="E640" s="32" t="str">
        <f>IFERROR(__xludf.DUMMYFUNCTION("""COMPUTED_VALUE"""),"https://luna-dr.com/subjects/medical-checkup/")</f>
        <v>https://luna-dr.com/subjects/medical-checkup/</v>
      </c>
    </row>
    <row r="641">
      <c r="A641" s="31" t="str">
        <f>IFERROR(__xludf.DUMMYFUNCTION("""COMPUTED_VALUE"""),"婦人科検診ではどのような問診を行いますか？")</f>
        <v>婦人科検診ではどのような問診を行いますか？</v>
      </c>
      <c r="B641" s="31" t="str">
        <f>IFERROR(__xludf.DUMMYFUNCTION("""COMPUTED_VALUE"""),"婦人科検診では、医師が最終月経日、生理周期、不正出血の有無、下腹部痛やおりものの変化、妊娠・出産歴、既往歴などを確認します。これらの情報をもとに、子宮頸がん検診のみ行うか、子宮体がん検査や超音波検査を追加するかを判断します。")</f>
        <v>婦人科検診では、医師が最終月経日、生理周期、不正出血の有無、下腹部痛やおりものの変化、妊娠・出産歴、既往歴などを確認します。これらの情報をもとに、子宮頸がん検診のみ行うか、子宮体がん検査や超音波検査を追加するかを判断します。</v>
      </c>
      <c r="C641" s="31" t="str">
        <f>IFERROR(__xludf.DUMMYFUNCTION("""COMPUTED_VALUE"""),"婦人科健診")</f>
        <v>婦人科健診</v>
      </c>
      <c r="D641" s="31" t="str">
        <f>IFERROR(__xludf.DUMMYFUNCTION("""COMPUTED_VALUE"""),"婦人科検診,問診内容,不正出血,生理周期")</f>
        <v>婦人科検診,問診内容,不正出血,生理周期</v>
      </c>
      <c r="E641" s="32" t="str">
        <f>IFERROR(__xludf.DUMMYFUNCTION("""COMPUTED_VALUE"""),"https://luna-dr.com/subjects/medical-checkup/")</f>
        <v>https://luna-dr.com/subjects/medical-checkup/</v>
      </c>
    </row>
    <row r="642">
      <c r="A642" s="31" t="str">
        <f>IFERROR(__xludf.DUMMYFUNCTION("""COMPUTED_VALUE"""),"婦人科検診ではどんな検査をしますか？")</f>
        <v>婦人科検診ではどんな検査をしますか？</v>
      </c>
      <c r="B642" s="31" t="str">
        <f>IFERROR(__xludf.DUMMYFUNCTION("""COMPUTED_VALUE"""),"婦人科検診では、主に子宮頸がん検診を行います。症状がある場合や医師が必要と判断した場合には、子宮体がん検査や超音波（エコー）検査を追加します。子宮頸がん検診は痛みがほとんどなく、子宮体がん検査は生理痛に似た痛みを感じることがありますが、いずれも短時間で終了します。")</f>
        <v>婦人科検診では、主に子宮頸がん検診を行います。症状がある場合や医師が必要と判断した場合には、子宮体がん検査や超音波（エコー）検査を追加します。子宮頸がん検診は痛みがほとんどなく、子宮体がん検査は生理痛に似た痛みを感じることがありますが、いずれも短時間で終了します。</v>
      </c>
      <c r="C642" s="31" t="str">
        <f>IFERROR(__xludf.DUMMYFUNCTION("""COMPUTED_VALUE"""),"婦人科健診")</f>
        <v>婦人科健診</v>
      </c>
      <c r="D642" s="31" t="str">
        <f>IFERROR(__xludf.DUMMYFUNCTION("""COMPUTED_VALUE"""),"婦人科検診,検査内容,子宮頸がん検診,子宮体がん検査,エコー検査")</f>
        <v>婦人科検診,検査内容,子宮頸がん検診,子宮体がん検査,エコー検査</v>
      </c>
      <c r="E642" s="32" t="str">
        <f>IFERROR(__xludf.DUMMYFUNCTION("""COMPUTED_VALUE"""),"https://luna-dr.com/subjects/medical-checkup/")</f>
        <v>https://luna-dr.com/subjects/medical-checkup/</v>
      </c>
    </row>
    <row r="643">
      <c r="A643" s="31" t="str">
        <f>IFERROR(__xludf.DUMMYFUNCTION("""COMPUTED_VALUE"""),"婦人科検診の結果はいつ分かりますか？/子宮頸がん検診の結果はいつ分かりますか？/子宮体がん検査の結果はいつ分かりますか？")</f>
        <v>婦人科検診の結果はいつ分かりますか？/子宮頸がん検診の結果はいつ分かりますか？/子宮体がん検査の結果はいつ分かりますか？</v>
      </c>
      <c r="B643" s="31" t="str">
        <f>IFERROR(__xludf.DUMMYFUNCTION("""COMPUTED_VALUE"""),"婦人科検診の結果は、検査日から約2週間後にWebでご確認いただけます。精密検査や治療が必要な結果だった場合は、医師が改めて診察を行い、今後の治療方針について丁寧にご説明します。")</f>
        <v>婦人科検診の結果は、検査日から約2週間後にWebでご確認いただけます。精密検査や治療が必要な結果だった場合は、医師が改めて診察を行い、今後の治療方針について丁寧にご説明します。</v>
      </c>
      <c r="C643" s="31" t="str">
        <f>IFERROR(__xludf.DUMMYFUNCTION("""COMPUTED_VALUE"""),"婦人科健診")</f>
        <v>婦人科健診</v>
      </c>
      <c r="D643" s="31" t="str">
        <f>IFERROR(__xludf.DUMMYFUNCTION("""COMPUTED_VALUE"""),"婦人科検診,検査結果,結果の見方,精密検査")</f>
        <v>婦人科検診,検査結果,結果の見方,精密検査</v>
      </c>
      <c r="E643" s="32" t="str">
        <f>IFERROR(__xludf.DUMMYFUNCTION("""COMPUTED_VALUE"""),"https://luna-dr.com/subjects/medical-checkup/")</f>
        <v>https://luna-dr.com/subjects/medical-checkup/</v>
      </c>
    </row>
    <row r="644">
      <c r="A644" s="31" t="str">
        <f>IFERROR(__xludf.DUMMYFUNCTION("""COMPUTED_VALUE"""),"婦人科検診はどのように予約すればいいですか？/子宮頸がん検診はどのように予約すればいいですか？/子宮体がん検査はどのように予約すればいいですか？")</f>
        <v>婦人科検診はどのように予約すればいいですか？/子宮頸がん検診はどのように予約すればいいですか？/子宮体がん検査はどのように予約すればいいですか？</v>
      </c>
      <c r="B644" s="31" t="str">
        <f>IFERROR(__xludf.DUMMYFUNCTION("""COMPUTED_VALUE"""),"婦人科検診は公式LINEからご予約ください。自治体のがん検診をご希望の場合は「市区町村のがん検診」のメニューでご予約ください。それ以外の婦人科検診は「一般婦人科診療」のメニューからお取りください。→https://cline-app.com/qr-codes/98ad6f149bfa20f4f2a9a2e91aac4187/preview")</f>
        <v>婦人科検診は公式LINEからご予約ください。自治体のがん検診をご希望の場合は「市区町村のがん検診」のメニューでご予約ください。それ以外の婦人科検診は「一般婦人科診療」のメニューからお取りください。→https://cline-app.com/qr-codes/98ad6f149bfa20f4f2a9a2e91aac4187/preview</v>
      </c>
      <c r="C644" s="31" t="str">
        <f>IFERROR(__xludf.DUMMYFUNCTION("""COMPUTED_VALUE"""),"婦人科健診")</f>
        <v>婦人科健診</v>
      </c>
      <c r="D644" s="31" t="str">
        <f>IFERROR(__xludf.DUMMYFUNCTION("""COMPUTED_VALUE"""),"婦人科検診,予約,LINE予約,電話予約")</f>
        <v>婦人科検診,予約,LINE予約,電話予約</v>
      </c>
      <c r="E644" s="32" t="str">
        <f>IFERROR(__xludf.DUMMYFUNCTION("""COMPUTED_VALUE"""),"https://luna-dr.com/subjects/medical-checkup/")</f>
        <v>https://luna-dr.com/subjects/medical-checkup/</v>
      </c>
    </row>
    <row r="645">
      <c r="A645" s="31" t="str">
        <f>IFERROR(__xludf.DUMMYFUNCTION("""COMPUTED_VALUE"""),"婦人科検診の診察では何をしますか？/子宮頸がん検診の診察では何をしますか？/子宮体がん検査の診察では何をしますか？")</f>
        <v>婦人科検診の診察では何をしますか？/子宮頸がん検診の診察では何をしますか？/子宮体がん検査の診察では何をしますか？</v>
      </c>
      <c r="B645" s="31" t="str">
        <f>IFERROR(__xludf.DUMMYFUNCTION("""COMPUTED_VALUE"""),"診察では、医師が問診を行い、お体の状態や気になる症状についてお伺いします。その上で、必要な検査内容を丁寧にご説明します。")</f>
        <v>診察では、医師が問診を行い、お体の状態や気になる症状についてお伺いします。その上で、必要な検査内容を丁寧にご説明します。</v>
      </c>
      <c r="C645" s="31" t="str">
        <f>IFERROR(__xludf.DUMMYFUNCTION("""COMPUTED_VALUE"""),"婦人科健診")</f>
        <v>婦人科健診</v>
      </c>
      <c r="D645" s="31" t="str">
        <f>IFERROR(__xludf.DUMMYFUNCTION("""COMPUTED_VALUE"""),"婦人科検診,診察内容,問診")</f>
        <v>婦人科検診,診察内容,問診</v>
      </c>
      <c r="E645" s="32" t="str">
        <f>IFERROR(__xludf.DUMMYFUNCTION("""COMPUTED_VALUE"""),"https://luna-dr.com/subjects/medical-checkup/")</f>
        <v>https://luna-dr.com/subjects/medical-checkup/</v>
      </c>
    </row>
    <row r="646">
      <c r="A646" s="31" t="str">
        <f>IFERROR(__xludf.DUMMYFUNCTION("""COMPUTED_VALUE"""),"不正出血がある場合も婦人科検診を受けられますか？")</f>
        <v>不正出血がある場合も婦人科検診を受けられますか？</v>
      </c>
      <c r="B646" s="31" t="str">
        <f>IFERROR(__xludf.DUMMYFUNCTION("""COMPUTED_VALUE"""),"受けられます。不正出血がある場合は、子宮頸がん検診に加えて、子宮体がん検査を併せて行うことを推奨する場合があります。")</f>
        <v>受けられます。不正出血がある場合は、子宮頸がん検診に加えて、子宮体がん検査を併せて行うことを推奨する場合があります。</v>
      </c>
      <c r="C646" s="31" t="str">
        <f>IFERROR(__xludf.DUMMYFUNCTION("""COMPUTED_VALUE"""),"婦人科健診")</f>
        <v>婦人科健診</v>
      </c>
      <c r="D646" s="31" t="str">
        <f>IFERROR(__xludf.DUMMYFUNCTION("""COMPUTED_VALUE"""),"不正出血,婦人科検診,子宮体がん検査")</f>
        <v>不正出血,婦人科検診,子宮体がん検査</v>
      </c>
      <c r="E646" s="32" t="str">
        <f>IFERROR(__xludf.DUMMYFUNCTION("""COMPUTED_VALUE"""),"https://luna-dr.com/subjects/medical-checkup/")</f>
        <v>https://luna-dr.com/subjects/medical-checkup/</v>
      </c>
    </row>
    <row r="647">
      <c r="A647" s="31" t="str">
        <f>IFERROR(__xludf.DUMMYFUNCTION("""COMPUTED_VALUE"""),"子宮頸がん検診ではどんな検査をしますか？")</f>
        <v>子宮頸がん検診ではどんな検査をしますか？</v>
      </c>
      <c r="B647" s="31" t="str">
        <f>IFERROR(__xludf.DUMMYFUNCTION("""COMPUTED_VALUE"""),"子宮頸がん検診では、ブラシのような器具で子宮の入り口を優しくこすり、細胞を採取します。痛みはほとんどなく、数分で終了します。")</f>
        <v>子宮頸がん検診では、ブラシのような器具で子宮の入り口を優しくこすり、細胞を採取します。痛みはほとんどなく、数分で終了します。</v>
      </c>
      <c r="C647" s="31" t="str">
        <f>IFERROR(__xludf.DUMMYFUNCTION("""COMPUTED_VALUE"""),"婦人科健診")</f>
        <v>婦人科健診</v>
      </c>
      <c r="D647" s="31" t="str">
        <f>IFERROR(__xludf.DUMMYFUNCTION("""COMPUTED_VALUE"""),"子宮頸がん検診,検査方法,痛み")</f>
        <v>子宮頸がん検診,検査方法,痛み</v>
      </c>
      <c r="E647" s="32" t="str">
        <f>IFERROR(__xludf.DUMMYFUNCTION("""COMPUTED_VALUE"""),"https://luna-dr.com/subjects/medical-checkup/")</f>
        <v>https://luna-dr.com/subjects/medical-checkup/</v>
      </c>
    </row>
    <row r="648">
      <c r="A648" s="31" t="str">
        <f>IFERROR(__xludf.DUMMYFUNCTION("""COMPUTED_VALUE"""),"子宮体がん検査ではどんな検査をしますか？")</f>
        <v>子宮体がん検査ではどんな検査をしますか？</v>
      </c>
      <c r="B648" s="31" t="str">
        <f>IFERROR(__xludf.DUMMYFUNCTION("""COMPUTED_VALUE"""),"子宮体がん検査では、子宮の奥に細いストロー状の器具を挿入し、細胞を採取します。生理痛に似た痛みを感じることがありますが、1〜2分で終了します。")</f>
        <v>子宮体がん検査では、子宮の奥に細いストロー状の器具を挿入し、細胞を採取します。生理痛に似た痛みを感じることがありますが、1〜2分で終了します。</v>
      </c>
      <c r="C648" s="31" t="str">
        <f>IFERROR(__xludf.DUMMYFUNCTION("""COMPUTED_VALUE"""),"婦人科健診")</f>
        <v>婦人科健診</v>
      </c>
      <c r="D648" s="31" t="str">
        <f>IFERROR(__xludf.DUMMYFUNCTION("""COMPUTED_VALUE"""),"子宮体がん検査,検査方法,痛み")</f>
        <v>子宮体がん検査,検査方法,痛み</v>
      </c>
      <c r="E648" s="32" t="str">
        <f>IFERROR(__xludf.DUMMYFUNCTION("""COMPUTED_VALUE"""),"https://luna-dr.com/subjects/medical-checkup/")</f>
        <v>https://luna-dr.com/subjects/medical-checkup/</v>
      </c>
    </row>
    <row r="649">
      <c r="A649" s="31" t="str">
        <f>IFERROR(__xludf.DUMMYFUNCTION("""COMPUTED_VALUE"""),"婦人科検診でエコー検査は行いますか？")</f>
        <v>婦人科検診でエコー検査は行いますか？</v>
      </c>
      <c r="B649" s="31" t="str">
        <f>IFERROR(__xludf.DUMMYFUNCTION("""COMPUTED_VALUE"""),"症状や診察内容に応じて、超音波（エコー）検査で子宮や卵巣の状態を詳しく確認することがあります。")</f>
        <v>症状や診察内容に応じて、超音波（エコー）検査で子宮や卵巣の状態を詳しく確認することがあります。</v>
      </c>
      <c r="C649" s="31" t="str">
        <f>IFERROR(__xludf.DUMMYFUNCTION("""COMPUTED_VALUE"""),"婦人科健診")</f>
        <v>婦人科健診</v>
      </c>
      <c r="D649" s="31" t="str">
        <f>IFERROR(__xludf.DUMMYFUNCTION("""COMPUTED_VALUE"""),"婦人科検診,エコー検査,超音波")</f>
        <v>婦人科検診,エコー検査,超音波</v>
      </c>
      <c r="E649" s="32" t="str">
        <f>IFERROR(__xludf.DUMMYFUNCTION("""COMPUTED_VALUE"""),"https://luna-dr.com/subjects/medical-checkup/")</f>
        <v>https://luna-dr.com/subjects/medical-checkup/</v>
      </c>
    </row>
    <row r="650">
      <c r="A650" s="31" t="str">
        <f>IFERROR(__xludf.DUMMYFUNCTION("""COMPUTED_VALUE"""),"婦人科検診は痛みがありますか？")</f>
        <v>婦人科検診は痛みがありますか？</v>
      </c>
      <c r="B650" s="31" t="str">
        <f>IFERROR(__xludf.DUMMYFUNCTION("""COMPUTED_VALUE"""),"子宮頸がん検診は、痛みを感じない方がほとんどです。子宮体がん検査は、生理痛のような痛みを感じることがありますが、数分で終わります。いずれの検査も、痛みが不安な方には滑りを良くするゼリーを使用するなど、できる限り苦痛を和らげるよう配慮しますのでご安心ください。")</f>
        <v>子宮頸がん検診は、痛みを感じない方がほとんどです。子宮体がん検査は、生理痛のような痛みを感じることがありますが、数分で終わります。いずれの検査も、痛みが不安な方には滑りを良くするゼリーを使用するなど、できる限り苦痛を和らげるよう配慮しますのでご安心ください。</v>
      </c>
      <c r="C650" s="31" t="str">
        <f>IFERROR(__xludf.DUMMYFUNCTION("""COMPUTED_VALUE"""),"婦人科健診")</f>
        <v>婦人科健診</v>
      </c>
      <c r="D650" s="31" t="str">
        <f>IFERROR(__xludf.DUMMYFUNCTION("""COMPUTED_VALUE"""),"婦人科検診,痛み,検査の不安")</f>
        <v>婦人科検診,痛み,検査の不安</v>
      </c>
      <c r="E650" s="32" t="str">
        <f>IFERROR(__xludf.DUMMYFUNCTION("""COMPUTED_VALUE"""),"https://luna-dr.com/subjects/medical-checkup/")</f>
        <v>https://luna-dr.com/subjects/medical-checkup/</v>
      </c>
    </row>
    <row r="651">
      <c r="A651" s="31" t="str">
        <f>IFERROR(__xludf.DUMMYFUNCTION("""COMPUTED_VALUE"""),"子宮頸がん検診は痛みがありますか？")</f>
        <v>子宮頸がん検診は痛みがありますか？</v>
      </c>
      <c r="B651" s="31" t="str">
        <f>IFERROR(__xludf.DUMMYFUNCTION("""COMPUTED_VALUE"""),"子宮頸がん検診は、痛みを感じない方がほとんどです。痛みが不安な方には滑りを良くするゼリーを使用するなど、できる限り苦痛を和らげるよう配慮しますのでご安心ください。")</f>
        <v>子宮頸がん検診は、痛みを感じない方がほとんどです。痛みが不安な方には滑りを良くするゼリーを使用するなど、できる限り苦痛を和らげるよう配慮しますのでご安心ください。</v>
      </c>
      <c r="C651" s="31" t="str">
        <f>IFERROR(__xludf.DUMMYFUNCTION("""COMPUTED_VALUE"""),"婦人科健診")</f>
        <v>婦人科健診</v>
      </c>
      <c r="D651" s="31" t="str">
        <f>IFERROR(__xludf.DUMMYFUNCTION("""COMPUTED_VALUE"""),"婦人科検診,痛み,検査の不安")</f>
        <v>婦人科検診,痛み,検査の不安</v>
      </c>
      <c r="E651" s="32" t="str">
        <f>IFERROR(__xludf.DUMMYFUNCTION("""COMPUTED_VALUE"""),"https://luna-dr.com/subjects/medical-checkup/")</f>
        <v>https://luna-dr.com/subjects/medical-checkup/</v>
      </c>
    </row>
    <row r="652">
      <c r="A652" s="31" t="str">
        <f>IFERROR(__xludf.DUMMYFUNCTION("""COMPUTED_VALUE"""),"子宮体がん検査は痛みがありますか？")</f>
        <v>子宮体がん検査は痛みがありますか？</v>
      </c>
      <c r="B652" s="31" t="str">
        <f>IFERROR(__xludf.DUMMYFUNCTION("""COMPUTED_VALUE"""),"子宮体がん検査は、生理痛のような痛みを感じることがありますが、数分で終わります。い痛みが不安な方には滑りを良くするゼリーを使用するなど、できる限り苦痛を和らげるよう配慮しますのでご安心ください。")</f>
        <v>子宮体がん検査は、生理痛のような痛みを感じることがありますが、数分で終わります。い痛みが不安な方には滑りを良くするゼリーを使用するなど、できる限り苦痛を和らげるよう配慮しますのでご安心ください。</v>
      </c>
      <c r="C652" s="31" t="str">
        <f>IFERROR(__xludf.DUMMYFUNCTION("""COMPUTED_VALUE"""),"婦人科健診")</f>
        <v>婦人科健診</v>
      </c>
      <c r="D652" s="31" t="str">
        <f>IFERROR(__xludf.DUMMYFUNCTION("""COMPUTED_VALUE"""),"婦人科検診,痛み,検査の不安")</f>
        <v>婦人科検診,痛み,検査の不安</v>
      </c>
      <c r="E652" s="32" t="str">
        <f>IFERROR(__xludf.DUMMYFUNCTION("""COMPUTED_VALUE"""),"https://luna-dr.com/subjects/medical-checkup/")</f>
        <v>https://luna-dr.com/subjects/medical-checkup/</v>
      </c>
    </row>
    <row r="653">
      <c r="A653" s="31" t="str">
        <f>IFERROR(__xludf.DUMMYFUNCTION("""COMPUTED_VALUE"""),"不正出血があっても検査は受けたほうがいいですか？")</f>
        <v>不正出血があっても検査は受けたほうがいいですか？</v>
      </c>
      <c r="B653" s="31" t="str">
        <f>IFERROR(__xludf.DUMMYFUNCTION("""COMPUTED_VALUE"""),"はい。不正出血は子宮がんのサインである可能性もあるため、症状がある方こそ積極的に婦人科検診を受けていただくことをおすすめします。")</f>
        <v>はい。不正出血は子宮がんのサインである可能性もあるため、症状がある方こそ積極的に婦人科検診を受けていただくことをおすすめします。</v>
      </c>
      <c r="C653" s="31" t="str">
        <f>IFERROR(__xludf.DUMMYFUNCTION("""COMPUTED_VALUE"""),"婦人科健診")</f>
        <v>婦人科健診</v>
      </c>
      <c r="D653" s="31" t="str">
        <f>IFERROR(__xludf.DUMMYFUNCTION("""COMPUTED_VALUE"""),"不正出血,婦人科検診,受診目安")</f>
        <v>不正出血,婦人科検診,受診目安</v>
      </c>
      <c r="E653" s="32" t="str">
        <f>IFERROR(__xludf.DUMMYFUNCTION("""COMPUTED_VALUE"""),"https://luna-dr.com/subjects/medical-checkup/")</f>
        <v>https://luna-dr.com/subjects/medical-checkup/</v>
      </c>
    </row>
    <row r="654">
      <c r="A654" s="31" t="str">
        <f>IFERROR(__xludf.DUMMYFUNCTION("""COMPUTED_VALUE"""),"横浜市のがん検診クーポンは使えますか？/川崎市のがん検診クーポンは使えますか？/町田市のがん検診クーポンは使えますか？")</f>
        <v>横浜市のがん検診クーポンは使えますか？/川崎市のがん検診クーポンは使えますか？/町田市のがん検診クーポンは使えますか？</v>
      </c>
      <c r="B654" s="31" t="str">
        <f>IFERROR(__xludf.DUMMYFUNCTION("""COMPUTED_VALUE"""),"お住まいの市区町村が発行する子宮頸がん検診のクーポンをご利用いただけます。ただし、クーポンの対象となる検査項目やご利用条件（年齢など）は、各自治体によって異なります。「ご自身が対象かどうか」「どの検査までが無料（または一部負担）か」といった詳細につきましては、大変お手数ですが、お手元のクーポンをご確認いただくか、お住まいの市区町村の担当窓口（保健所など）へ直接お問い合わせくださいますようお願いいたします。")</f>
        <v>お住まいの市区町村が発行する子宮頸がん検診のクーポンをご利用いただけます。ただし、クーポンの対象となる検査項目やご利用条件（年齢など）は、各自治体によって異なります。「ご自身が対象かどうか」「どの検査までが無料（または一部負担）か」といった詳細につきましては、大変お手数ですが、お手元のクーポンをご確認いただくか、お住まいの市区町村の担当窓口（保健所など）へ直接お問い合わせくださいますようお願いいたします。</v>
      </c>
      <c r="C654" s="31" t="str">
        <f>IFERROR(__xludf.DUMMYFUNCTION("""COMPUTED_VALUE"""),"婦人科健診")</f>
        <v>婦人科健診</v>
      </c>
      <c r="D654" s="31" t="str">
        <f>IFERROR(__xludf.DUMMYFUNCTION("""COMPUTED_VALUE"""),"横浜市,川崎市,町田市,がん検診クーポン")</f>
        <v>横浜市,川崎市,町田市,がん検診クーポン</v>
      </c>
      <c r="E654" s="32" t="str">
        <f>IFERROR(__xludf.DUMMYFUNCTION("""COMPUTED_VALUE"""),"https://luna-dr.com/subjects/medical-checkup/")</f>
        <v>https://luna-dr.com/subjects/medical-checkup/</v>
      </c>
    </row>
    <row r="655">
      <c r="A655" s="31" t="str">
        <f>IFERROR(__xludf.DUMMYFUNCTION("""COMPUTED_VALUE"""),"がんを予防する方法はありますか？")</f>
        <v>がんを予防する方法はありますか？</v>
      </c>
      <c r="B655" s="31" t="str">
        <f>IFERROR(__xludf.DUMMYFUNCTION("""COMPUTED_VALUE"""),"子宮頸がんは、原因となるHPVウイルスの感染を予防する「HPVワクチン」の接種が最も有効な予防法です。子宮体がんは、高血圧や糖尿病、肥満がリスクを高めるため、血糖値のコントロールや健康的な体重の維持など、生活習慣を整えることが予防に繋がります。")</f>
        <v>子宮頸がんは、原因となるHPVウイルスの感染を予防する「HPVワクチン」の接種が最も有効な予防法です。子宮体がんは、高血圧や糖尿病、肥満がリスクを高めるため、血糖値のコントロールや健康的な体重の維持など、生活習慣を整えることが予防に繋がります。</v>
      </c>
      <c r="C655" s="31" t="str">
        <f>IFERROR(__xludf.DUMMYFUNCTION("""COMPUTED_VALUE"""),"婦人科健診")</f>
        <v>婦人科健診</v>
      </c>
      <c r="D655" s="31" t="str">
        <f>IFERROR(__xludf.DUMMYFUNCTION("""COMPUTED_VALUE"""),"子宮頸がん予防,子宮体がん予防,HPVワクチン")</f>
        <v>子宮頸がん予防,子宮体がん予防,HPVワクチン</v>
      </c>
      <c r="E655" s="32" t="str">
        <f>IFERROR(__xludf.DUMMYFUNCTION("""COMPUTED_VALUE"""),"https://luna-dr.com/subjects/medical-checkup/")</f>
        <v>https://luna-dr.com/subjects/medical-checkup/</v>
      </c>
    </row>
    <row r="656">
      <c r="A656" s="31" t="str">
        <f>IFERROR(__xludf.DUMMYFUNCTION("""COMPUTED_VALUE"""),"婦人科検診の後に注意することはありますか？")</f>
        <v>婦人科検診の後に注意することはありますか？</v>
      </c>
      <c r="B656" s="31" t="str">
        <f>IFERROR(__xludf.DUMMYFUNCTION("""COMPUTED_VALUE"""),"検査後の日常生活に制限はありません。少量の出血がみられることがありますが、数日で自然に収まりますのでご安心ください。")</f>
        <v>検査後の日常生活に制限はありません。少量の出血がみられることがありますが、数日で自然に収まりますのでご安心ください。</v>
      </c>
      <c r="C656" s="31" t="str">
        <f>IFERROR(__xludf.DUMMYFUNCTION("""COMPUTED_VALUE"""),"婦人科健診")</f>
        <v>婦人科健診</v>
      </c>
      <c r="D656" s="31" t="str">
        <f>IFERROR(__xludf.DUMMYFUNCTION("""COMPUTED_VALUE"""),"婦人科検診,検査後の注意")</f>
        <v>婦人科検診,検査後の注意</v>
      </c>
      <c r="E656" s="32" t="str">
        <f>IFERROR(__xludf.DUMMYFUNCTION("""COMPUTED_VALUE"""),"https://luna-dr.com/subjects/medical-checkup/")</f>
        <v>https://luna-dr.com/subjects/medical-checkup/</v>
      </c>
    </row>
    <row r="657">
      <c r="A657" s="31" t="str">
        <f>IFERROR(__xludf.DUMMYFUNCTION("""COMPUTED_VALUE"""),"子宮頸がんは予防できる病気ですか？")</f>
        <v>子宮頸がんは予防できる病気ですか？</v>
      </c>
      <c r="B657" s="31" t="str">
        <f>IFERROR(__xludf.DUMMYFUNCTION("""COMPUTED_VALUE"""),"子宮頸がんは、原因のほぼ100％がHPV（ヒトパピローマウイルス）感染であるため、HPVワクチンの接種によって予防が可能ながんです。特に9価ワクチンを接種することで、子宮頸がんの原因の約90％を防ぐことができます。")</f>
        <v>子宮頸がんは、原因のほぼ100％がHPV（ヒトパピローマウイルス）感染であるため、HPVワクチンの接種によって予防が可能ながんです。特に9価ワクチンを接種することで、子宮頸がんの原因の約90％を防ぐことができます。</v>
      </c>
      <c r="C657" s="31" t="str">
        <f>IFERROR(__xludf.DUMMYFUNCTION("""COMPUTED_VALUE"""),"HPVワクチン")</f>
        <v>HPVワクチン</v>
      </c>
      <c r="D657" s="31" t="str">
        <f>IFERROR(__xludf.DUMMYFUNCTION("""COMPUTED_VALUE"""),"子宮頸がん,HPVワクチン,予防できるがん,女性のがん")</f>
        <v>子宮頸がん,HPVワクチン,予防できるがん,女性のがん</v>
      </c>
      <c r="E657" s="32" t="str">
        <f>IFERROR(__xludf.DUMMYFUNCTION("""COMPUTED_VALUE"""),"https://luna-dr.com/subjects/hpv-vaccine/")</f>
        <v>https://luna-dr.com/subjects/hpv-vaccine/</v>
      </c>
    </row>
    <row r="658">
      <c r="A658" s="31" t="str">
        <f>IFERROR(__xludf.DUMMYFUNCTION("""COMPUTED_VALUE"""),"子宮頸がんはどの年代に多い病気ですか？")</f>
        <v>子宮頸がんはどの年代に多い病気ですか？</v>
      </c>
      <c r="B658" s="31" t="str">
        <f>IFERROR(__xludf.DUMMYFUNCTION("""COMPUTED_VALUE"""),"子宮頸がんは20代後半から40代の女性に多く、若い世代にとって非常に身近な病気です。近年は若年層での発症が増加しており、早い段階での予防が重要とされています。")</f>
        <v>子宮頸がんは20代後半から40代の女性に多く、若い世代にとって非常に身近な病気です。近年は若年層での発症が増加しており、早い段階での予防が重要とされています。</v>
      </c>
      <c r="C658" s="31" t="str">
        <f>IFERROR(__xludf.DUMMYFUNCTION("""COMPUTED_VALUE"""),"HPVワクチン")</f>
        <v>HPVワクチン</v>
      </c>
      <c r="D658" s="31" t="str">
        <f>IFERROR(__xludf.DUMMYFUNCTION("""COMPUTED_VALUE"""),"子宮頸がん,若い女性,20代,30代,40代")</f>
        <v>子宮頸がん,若い女性,20代,30代,40代</v>
      </c>
      <c r="E658" s="32" t="str">
        <f>IFERROR(__xludf.DUMMYFUNCTION("""COMPUTED_VALUE"""),"https://luna-dr.com/subjects/hpv-vaccine/")</f>
        <v>https://luna-dr.com/subjects/hpv-vaccine/</v>
      </c>
    </row>
    <row r="659">
      <c r="A659" s="31" t="str">
        <f>IFERROR(__xludf.DUMMYFUNCTION("""COMPUTED_VALUE"""),"HPVとは何ですか？")</f>
        <v>HPVとは何ですか？</v>
      </c>
      <c r="B659" s="31" t="str">
        <f>IFERROR(__xludf.DUMMYFUNCTION("""COMPUTED_VALUE"""),"HPV（ヒトパピローマウイルス）は、主に性交渉によって感染するウイルスです。性交渉の経験がある女性であれば誰でも感染する可能性があり、その中の一部の型が子宮頸がんの原因となります。")</f>
        <v>HPV（ヒトパピローマウイルス）は、主に性交渉によって感染するウイルスです。性交渉の経験がある女性であれば誰でも感染する可能性があり、その中の一部の型が子宮頸がんの原因となります。</v>
      </c>
      <c r="C659" s="31" t="str">
        <f>IFERROR(__xludf.DUMMYFUNCTION("""COMPUTED_VALUE"""),"HPVワクチン")</f>
        <v>HPVワクチン</v>
      </c>
      <c r="D659" s="31" t="str">
        <f>IFERROR(__xludf.DUMMYFUNCTION("""COMPUTED_VALUE"""),"HPV,ヒトパピローマウイルス,感染経路,子宮頸がん")</f>
        <v>HPV,ヒトパピローマウイルス,感染経路,子宮頸がん</v>
      </c>
      <c r="E659" s="32" t="str">
        <f>IFERROR(__xludf.DUMMYFUNCTION("""COMPUTED_VALUE"""),"https://luna-dr.com/subjects/hpv-vaccine/")</f>
        <v>https://luna-dr.com/subjects/hpv-vaccine/</v>
      </c>
    </row>
    <row r="660">
      <c r="A660" s="31" t="str">
        <f>IFERROR(__xludf.DUMMYFUNCTION("""COMPUTED_VALUE"""),"HPVワクチンにはどんな種類がありますか？/子宮頸がんワクチンにはどんな種類がありますか？")</f>
        <v>HPVワクチンにはどんな種類がありますか？/子宮頸がんワクチンにはどんな種類がありますか？</v>
      </c>
      <c r="B660" s="31" t="str">
        <f>IFERROR(__xludf.DUMMYFUNCTION("""COMPUTED_VALUE"""),"HPVワクチンには2価・4価・9価の3種類があります。2価は2種類、4価は4種類、9価ワクチン（シルガード9）は9種類のHPVを予防でき、子宮頸がん予防効果は約90％と最も高いのが特長です。当院では、子宮頸がんの原因の約90％を予防できる9価ワクチン（シルガード9）が、現時点で最も高い予防効果が期待できるため、積極的に推奨しています。")</f>
        <v>HPVワクチンには2価・4価・9価の3種類があります。2価は2種類、4価は4種類、9価ワクチン（シルガード9）は9種類のHPVを予防でき、子宮頸がん予防効果は約90％と最も高いのが特長です。当院では、子宮頸がんの原因の約90％を予防できる9価ワクチン（シルガード9）が、現時点で最も高い予防効果が期待できるため、積極的に推奨しています。</v>
      </c>
      <c r="C660" s="31" t="str">
        <f>IFERROR(__xludf.DUMMYFUNCTION("""COMPUTED_VALUE"""),"HPVワクチン")</f>
        <v>HPVワクチン</v>
      </c>
      <c r="D660" s="31" t="str">
        <f>IFERROR(__xludf.DUMMYFUNCTION("""COMPUTED_VALUE"""),"HPVワクチン種類,2価,4価,9価,シルガード9,子宮頸がん")</f>
        <v>HPVワクチン種類,2価,4価,9価,シルガード9,子宮頸がん</v>
      </c>
      <c r="E660" s="32" t="str">
        <f>IFERROR(__xludf.DUMMYFUNCTION("""COMPUTED_VALUE"""),"https://luna-dr.com/subjects/hpv-vaccine/")</f>
        <v>https://luna-dr.com/subjects/hpv-vaccine/</v>
      </c>
    </row>
    <row r="661">
      <c r="A661" s="31" t="str">
        <f>IFERROR(__xludf.DUMMYFUNCTION("""COMPUTED_VALUE"""),"ルナレディースクリニックではどのワクチンを接種できますか？")</f>
        <v>ルナレディースクリニックではどのワクチンを接種できますか？</v>
      </c>
      <c r="B661" s="31" t="str">
        <f>IFERROR(__xludf.DUMMYFUNCTION("""COMPUTED_VALUE"""),"当院では、子宮頸がん予防効果が最も高い9価ワクチン「シルガード9」を中心に接種を行っています。公費接種・自費接種のいずれにも対応しています。")</f>
        <v>当院では、子宮頸がん予防効果が最も高い9価ワクチン「シルガード9」を中心に接種を行っています。公費接種・自費接種のいずれにも対応しています。</v>
      </c>
      <c r="C661" s="31" t="str">
        <f>IFERROR(__xludf.DUMMYFUNCTION("""COMPUTED_VALUE"""),"HPVワクチン")</f>
        <v>HPVワクチン</v>
      </c>
      <c r="D661" s="31" t="str">
        <f>IFERROR(__xludf.DUMMYFUNCTION("""COMPUTED_VALUE"""),"シルガード9,9価ワクチン,接種対応,子宮頸がん")</f>
        <v>シルガード9,9価ワクチン,接種対応,子宮頸がん</v>
      </c>
      <c r="E661" s="32" t="str">
        <f>IFERROR(__xludf.DUMMYFUNCTION("""COMPUTED_VALUE"""),"https://luna-dr.com/subjects/hpv-vaccine/")</f>
        <v>https://luna-dr.com/subjects/hpv-vaccine/</v>
      </c>
    </row>
    <row r="662">
      <c r="A662" s="31" t="str">
        <f>IFERROR(__xludf.DUMMYFUNCTION("""COMPUTED_VALUE"""),"HPVワクチンは公費で接種できますか？/HPVワクチンは無料で接種できますか？/子宮頸がんワクチンは公費で接種できますか？/子宮頸がんワクチンは無料で接種できますか？")</f>
        <v>HPVワクチンは公費で接種できますか？/HPVワクチンは無料で接種できますか？/子宮頸がんワクチンは公費で接種できますか？/子宮頸がんワクチンは無料で接種できますか？</v>
      </c>
      <c r="B662" s="31" t="str">
        <f>IFERROR(__xludf.DUMMYFUNCTION("""COMPUTED_VALUE"""),"一定の年齢条件を満たす方は、公費（自己負担0円）でHPVワクチンを接種できます。対象は小学校6年生から高校1年生相当の女子、またはキャッチアップ接種の対象となる世代です。
※制度の詳細は自治体によって異なり、対象年齢や実施期間も変更される可能性があるため、必ずお住まいの市区町村の公式ホームページで最新の情報をご確認ください。")</f>
        <v>一定の年齢条件を満たす方は、公費（自己負担0円）でHPVワクチンを接種できます。対象は小学校6年生から高校1年生相当の女子、またはキャッチアップ接種の対象となる世代です。
※制度の詳細は自治体によって異なり、対象年齢や実施期間も変更される可能性があるため、必ずお住まいの市区町村の公式ホームページで最新の情報をご確認ください。</v>
      </c>
      <c r="C662" s="31" t="str">
        <f>IFERROR(__xludf.DUMMYFUNCTION("""COMPUTED_VALUE"""),"HPVワクチン")</f>
        <v>HPVワクチン</v>
      </c>
      <c r="D662" s="31" t="str">
        <f>IFERROR(__xludf.DUMMYFUNCTION("""COMPUTED_VALUE"""),"HPVワクチン,公費接種,無料,定期接種,キャッチアップ,子宮頸がん")</f>
        <v>HPVワクチン,公費接種,無料,定期接種,キャッチアップ,子宮頸がん</v>
      </c>
      <c r="E662" s="32" t="str">
        <f>IFERROR(__xludf.DUMMYFUNCTION("""COMPUTED_VALUE"""),"https://luna-dr.com/subjects/hpv-vaccine/")</f>
        <v>https://luna-dr.com/subjects/hpv-vaccine/</v>
      </c>
    </row>
    <row r="663">
      <c r="A663" s="31" t="str">
        <f>IFERROR(__xludf.DUMMYFUNCTION("""COMPUTED_VALUE"""),"キャッチアップ接種とは何ですか？")</f>
        <v>キャッチアップ接種とは何ですか？</v>
      </c>
      <c r="B663" s="31" t="str">
        <f>IFERROR(__xludf.DUMMYFUNCTION("""COMPUTED_VALUE"""),"キャッチアップ接種とは、過去にHPVワクチンの積極的勧奨が控えられていた時期に接種機会を逃した方を対象とした、期間限定の公費接種制度です。対象年齢や期限があるため、早めの確認が重要です。")</f>
        <v>キャッチアップ接種とは、過去にHPVワクチンの積極的勧奨が控えられていた時期に接種機会を逃した方を対象とした、期間限定の公費接種制度です。対象年齢や期限があるため、早めの確認が重要です。</v>
      </c>
      <c r="C663" s="31" t="str">
        <f>IFERROR(__xludf.DUMMYFUNCTION("""COMPUTED_VALUE"""),"HPVワクチン")</f>
        <v>HPVワクチン</v>
      </c>
      <c r="D663" s="31" t="str">
        <f>IFERROR(__xludf.DUMMYFUNCTION("""COMPUTED_VALUE"""),"キャッチアップ接種,HPVワクチン,救済措置,子宮頸がん")</f>
        <v>キャッチアップ接種,HPVワクチン,救済措置,子宮頸がん</v>
      </c>
      <c r="E663" s="32" t="str">
        <f>IFERROR(__xludf.DUMMYFUNCTION("""COMPUTED_VALUE"""),"https://luna-dr.com/subjects/hpv-vaccine/")</f>
        <v>https://luna-dr.com/subjects/hpv-vaccine/</v>
      </c>
    </row>
    <row r="664">
      <c r="A664" s="31" t="str">
        <f>IFERROR(__xludf.DUMMYFUNCTION("""COMPUTED_VALUE"""),"HPVワクチンの費用はいくらですか？/子宮頸がんワクチンの費用はいくらですか？")</f>
        <v>HPVワクチンの費用はいくらですか？/子宮頸がんワクチンの費用はいくらですか？</v>
      </c>
      <c r="B664" s="31" t="str">
        <f>IFERROR(__xludf.DUMMYFUNCTION("""COMPUTED_VALUE"""),"公費接種の対象となる方は自己負担0円です。自費接種の場合、当院では9価ワクチン（シルガード9）を1回33,000円（税込）でご提供しています。")</f>
        <v>公費接種の対象となる方は自己負担0円です。自費接種の場合、当院では9価ワクチン（シルガード9）を1回33,000円（税込）でご提供しています。</v>
      </c>
      <c r="C664" s="31" t="str">
        <f>IFERROR(__xludf.DUMMYFUNCTION("""COMPUTED_VALUE"""),"HPVワクチン")</f>
        <v>HPVワクチン</v>
      </c>
      <c r="D664" s="31" t="str">
        <f>IFERROR(__xludf.DUMMYFUNCTION("""COMPUTED_VALUE"""),"HPVワクチン費用,自費接種,価格,子宮頸がん")</f>
        <v>HPVワクチン費用,自費接種,価格,子宮頸がん</v>
      </c>
      <c r="E664" s="32" t="str">
        <f>IFERROR(__xludf.DUMMYFUNCTION("""COMPUTED_VALUE"""),"https://luna-dr.com/subjects/hpv-vaccine/")</f>
        <v>https://luna-dr.com/subjects/hpv-vaccine/</v>
      </c>
    </row>
    <row r="665">
      <c r="A665" s="31" t="str">
        <f>IFERROR(__xludf.DUMMYFUNCTION("""COMPUTED_VALUE"""),"ルナレディースクリニックがHPVワクチンで選ばれる理由は何ですか？/ルナレディースクリニックが子宮頸がんワクチンで選ばれる理由は何ですか？")</f>
        <v>ルナレディースクリニックがHPVワクチンで選ばれる理由は何ですか？/ルナレディースクリニックが子宮頸がんワクチンで選ばれる理由は何ですか？</v>
      </c>
      <c r="B665" s="31" t="str">
        <f>IFERROR(__xludf.DUMMYFUNCTION("""COMPUTED_VALUE"""),"ルナレディースクリニックでは、子宮頸がん予防に最も効果が高い9価ワクチンを中心に、価格・安全性・通いやすさのバランスを重視した体制を整えており、安心して接種いただける環境を提供しています。")</f>
        <v>ルナレディースクリニックでは、子宮頸がん予防に最も効果が高い9価ワクチンを中心に、価格・安全性・通いやすさのバランスを重視した体制を整えており、安心して接種いただける環境を提供しています。</v>
      </c>
      <c r="C665" s="31" t="str">
        <f>IFERROR(__xludf.DUMMYFUNCTION("""COMPUTED_VALUE"""),"HPVワクチン")</f>
        <v>HPVワクチン</v>
      </c>
      <c r="D665" s="31" t="str">
        <f>IFERROR(__xludf.DUMMYFUNCTION("""COMPUTED_VALUE"""),"ルナレディースクリニック,HPVワクチン,選ばれる理由,子宮頸がん")</f>
        <v>ルナレディースクリニック,HPVワクチン,選ばれる理由,子宮頸がん</v>
      </c>
      <c r="E665" s="32" t="str">
        <f>IFERROR(__xludf.DUMMYFUNCTION("""COMPUTED_VALUE"""),"https://luna-dr.com/subjects/hpv-vaccine/")</f>
        <v>https://luna-dr.com/subjects/hpv-vaccine/</v>
      </c>
    </row>
    <row r="666">
      <c r="A666" s="31" t="str">
        <f>IFERROR(__xludf.DUMMYFUNCTION("""COMPUTED_VALUE"""),"なぜ9価ワクチンを推奨しているのですか？")</f>
        <v>なぜ9価ワクチンを推奨しているのですか？</v>
      </c>
      <c r="B666" s="31" t="str">
        <f>IFERROR(__xludf.DUMMYFUNCTION("""COMPUTED_VALUE"""),"当院では、子宮頸がんの原因の約90％を予防できる9価ワクチン（シルガード9）が、現時点で最も高い予防効果が期待できるため、積極的に推奨しています。")</f>
        <v>当院では、子宮頸がんの原因の約90％を予防できる9価ワクチン（シルガード9）が、現時点で最も高い予防効果が期待できるため、積極的に推奨しています。</v>
      </c>
      <c r="C666" s="31" t="str">
        <f>IFERROR(__xludf.DUMMYFUNCTION("""COMPUTED_VALUE"""),"HPVワクチン")</f>
        <v>HPVワクチン</v>
      </c>
      <c r="D666" s="31" t="str">
        <f>IFERROR(__xludf.DUMMYFUNCTION("""COMPUTED_VALUE"""),"9価ワクチン,シルガード9,予防効果,子宮頸がん")</f>
        <v>9価ワクチン,シルガード9,予防効果,子宮頸がん</v>
      </c>
      <c r="E666" s="32" t="str">
        <f>IFERROR(__xludf.DUMMYFUNCTION("""COMPUTED_VALUE"""),"https://luna-dr.com/subjects/hpv-vaccine/")</f>
        <v>https://luna-dr.com/subjects/hpv-vaccine/</v>
      </c>
    </row>
    <row r="667">
      <c r="A667" s="31" t="str">
        <f>IFERROR(__xludf.DUMMYFUNCTION("""COMPUTED_VALUE"""),"自費でHPVワクチンを受ける場合、費用は高くありませんか？/自費で子宮頸がんワクチンを受ける場合、費用は高くありませんか？")</f>
        <v>自費でHPVワクチンを受ける場合、費用は高くありませんか？/自費で子宮頸がんワクチンを受ける場合、費用は高くありませんか？</v>
      </c>
      <c r="B667" s="31" t="str">
        <f>IFERROR(__xludf.DUMMYFUNCTION("""COMPUTED_VALUE"""),"当院では、自費接種の場合でも1回26,500円（税込）と、継続して通いやすい価格設定にしています。将来の健康への投資として、安心して選んでいただける費用を心がけています。")</f>
        <v>当院では、自費接種の場合でも1回26,500円（税込）と、継続して通いやすい価格設定にしています。将来の健康への投資として、安心して選んでいただける費用を心がけています。</v>
      </c>
      <c r="C667" s="31" t="str">
        <f>IFERROR(__xludf.DUMMYFUNCTION("""COMPUTED_VALUE"""),"HPVワクチン")</f>
        <v>HPVワクチン</v>
      </c>
      <c r="D667" s="31" t="str">
        <f>IFERROR(__xludf.DUMMYFUNCTION("""COMPUTED_VALUE"""),"HPVワクチン費用,自費接種,価格,子宮頸がん")</f>
        <v>HPVワクチン費用,自費接種,価格,子宮頸がん</v>
      </c>
      <c r="E667" s="32" t="str">
        <f>IFERROR(__xludf.DUMMYFUNCTION("""COMPUTED_VALUE"""),"https://luna-dr.com/subjects/hpv-vaccine/")</f>
        <v>https://luna-dr.com/subjects/hpv-vaccine/</v>
      </c>
    </row>
    <row r="668">
      <c r="A668" s="31" t="str">
        <f>IFERROR(__xludf.DUMMYFUNCTION("""COMPUTED_VALUE"""),"HPVワクチンは公費接種にも対応していますか？/子宮頸がんワクチンは公費接種にも対応していますか？")</f>
        <v>HPVワクチンは公費接種にも対応していますか？/子宮頸がんワクチンは公費接種にも対応していますか？</v>
      </c>
      <c r="B668" s="31" t="str">
        <f>IFERROR(__xludf.DUMMYFUNCTION("""COMPUTED_VALUE"""),"当院では定期接種およびキャッチアップ接種の対象となる方の公費接種に対応しています。対象の方は自己負担0円で接種が可能です。
※制度の詳細は自治体によって異なり、対象年齢や実施期間も変更される可能性があるため、必ずお住まいの市区町村の公式ホームページで最新の情報をご確認ください。")</f>
        <v>当院では定期接種およびキャッチアップ接種の対象となる方の公費接種に対応しています。対象の方は自己負担0円で接種が可能です。
※制度の詳細は自治体によって異なり、対象年齢や実施期間も変更される可能性があるため、必ずお住まいの市区町村の公式ホームページで最新の情報をご確認ください。</v>
      </c>
      <c r="C668" s="31" t="str">
        <f>IFERROR(__xludf.DUMMYFUNCTION("""COMPUTED_VALUE"""),"HPVワクチン")</f>
        <v>HPVワクチン</v>
      </c>
      <c r="D668" s="31" t="str">
        <f>IFERROR(__xludf.DUMMYFUNCTION("""COMPUTED_VALUE"""),"公費接種,定期接種,キャッチアップ接種")</f>
        <v>公費接種,定期接種,キャッチアップ接種</v>
      </c>
      <c r="E668" s="32" t="str">
        <f>IFERROR(__xludf.DUMMYFUNCTION("""COMPUTED_VALUE"""),"https://luna-dr.com/subjects/hpv-vaccine/")</f>
        <v>https://luna-dr.com/subjects/hpv-vaccine/</v>
      </c>
    </row>
    <row r="669">
      <c r="A669" s="31" t="str">
        <f>IFERROR(__xludf.DUMMYFUNCTION("""COMPUTED_VALUE"""),"接種後の相談やフォローは受けられますか？")</f>
        <v>接種後の相談やフォローは受けられますか？</v>
      </c>
      <c r="B669" s="31" t="str">
        <f>IFERROR(__xludf.DUMMYFUNCTION("""COMPUTED_VALUE"""),"当院では接種後の体調や副反応について、オンライン診療でのアフターフォローにも対応しています。不安な点があればいつでもご相談いただけます。")</f>
        <v>当院では接種後の体調や副反応について、オンライン診療でのアフターフォローにも対応しています。不安な点があればいつでもご相談いただけます。</v>
      </c>
      <c r="C669" s="31" t="str">
        <f>IFERROR(__xludf.DUMMYFUNCTION("""COMPUTED_VALUE"""),"HPVワクチン")</f>
        <v>HPVワクチン</v>
      </c>
      <c r="D669" s="31" t="str">
        <f>IFERROR(__xludf.DUMMYFUNCTION("""COMPUTED_VALUE"""),"オンライン診療,アフターフォロー,副反応相談")</f>
        <v>オンライン診療,アフターフォロー,副反応相談</v>
      </c>
      <c r="E669" s="32" t="str">
        <f>IFERROR(__xludf.DUMMYFUNCTION("""COMPUTED_VALUE"""),"https://luna-dr.com/subjects/hpv-vaccine/")</f>
        <v>https://luna-dr.com/subjects/hpv-vaccine/</v>
      </c>
    </row>
    <row r="670">
      <c r="A670" s="31" t="str">
        <f>IFERROR(__xludf.DUMMYFUNCTION("""COMPUTED_VALUE"""),"HPVワクチン接種の流れを教えてください/子宮頸がんワクチン接種の流れを教えてください")</f>
        <v>HPVワクチン接種の流れを教えてください/子宮頸がんワクチン接種の流れを教えてください</v>
      </c>
      <c r="B670" s="31" t="str">
        <f>IFERROR(__xludf.DUMMYFUNCTION("""COMPUTED_VALUE"""),"ルナレディースクリニックでは、①お電話でご予約、②ご来院後に医師がワクチンの効果や副反応について説明し予診票・母子健康手帳（お持ちの方）を確認、③腕の筋肉へのワクチン接種、④接種後30分間の院内待機とお会計、という流れでHPVワクチン接種を行います。急な副反応に備え、安全を最優先にご案内しています。")</f>
        <v>ルナレディースクリニックでは、①お電話でご予約、②ご来院後に医師がワクチンの効果や副反応について説明し予診票・母子健康手帳（お持ちの方）を確認、③腕の筋肉へのワクチン接種、④接種後30分間の院内待機とお会計、という流れでHPVワクチン接種を行います。急な副反応に備え、安全を最優先にご案内しています。</v>
      </c>
      <c r="C670" s="31" t="str">
        <f>IFERROR(__xludf.DUMMYFUNCTION("""COMPUTED_VALUE"""),"HPVワクチン")</f>
        <v>HPVワクチン</v>
      </c>
      <c r="D670" s="31" t="str">
        <f>IFERROR(__xludf.DUMMYFUNCTION("""COMPUTED_VALUE"""),"HPVワクチン,接種の流れ,予約,問診,接種後待機,子宮頸がん")</f>
        <v>HPVワクチン,接種の流れ,予約,問診,接種後待機,子宮頸がん</v>
      </c>
      <c r="E670" s="32" t="str">
        <f>IFERROR(__xludf.DUMMYFUNCTION("""COMPUTED_VALUE"""),"https://luna-dr.com/subjects/hpv-vaccine/")</f>
        <v>https://luna-dr.com/subjects/hpv-vaccine/</v>
      </c>
    </row>
    <row r="671">
      <c r="A671" s="31" t="str">
        <f>IFERROR(__xludf.DUMMYFUNCTION("""COMPUTED_VALUE"""),"HPVワクチン接種は予約が必要ですか？/子宮頸がんワクチン接種は予約が必要ですか？")</f>
        <v>HPVワクチン接種は予約が必要ですか？/子宮頸がんワクチン接種は予約が必要ですか？</v>
      </c>
      <c r="B671" s="31" t="str">
        <f>IFERROR(__xludf.DUMMYFUNCTION("""COMPUTED_VALUE"""),"HPVワクチンが限定出荷となり、ワクチン納品されないケースが発生しております。そのため、ワクチンのご予約を出来かねる場合もございますので、お電話でご予約が必要となります。お電話でご希望の日時をお伝えいただき、ご予約をお願いいたします。お電話は 050-1730-2768 までご連絡ください。電話受付時間は、平日9:45〜13:40・15:15〜19:40、土日祝9:45〜13:40・15:15〜18:40です。")</f>
        <v>HPVワクチンが限定出荷となり、ワクチン納品されないケースが発生しております。そのため、ワクチンのご予約を出来かねる場合もございますので、お電話でご予約が必要となります。お電話でご希望の日時をお伝えいただき、ご予約をお願いいたします。お電話は 050-1730-2768 までご連絡ください。電話受付時間は、平日9:45〜13:40・15:15〜19:40、土日祝9:45〜13:40・15:15〜18:40です。</v>
      </c>
      <c r="C671" s="31" t="str">
        <f>IFERROR(__xludf.DUMMYFUNCTION("""COMPUTED_VALUE"""),"HPVワクチン")</f>
        <v>HPVワクチン</v>
      </c>
      <c r="D671" s="31" t="str">
        <f>IFERROR(__xludf.DUMMYFUNCTION("""COMPUTED_VALUE"""),"HPVワクチン,予約方法,電話予約,子宮頸がん")</f>
        <v>HPVワクチン,予約方法,電話予約,子宮頸がん</v>
      </c>
      <c r="E671" s="32" t="str">
        <f>IFERROR(__xludf.DUMMYFUNCTION("""COMPUTED_VALUE"""),"https://luna-dr.com/subjects/hpv-vaccine/")</f>
        <v>https://luna-dr.com/subjects/hpv-vaccine/</v>
      </c>
    </row>
    <row r="672">
      <c r="A672" s="31" t="str">
        <f>IFERROR(__xludf.DUMMYFUNCTION("""COMPUTED_VALUE"""),"HPVワクチン接種はどのように予約すれば良いですか？/子宮頸がんワクチン接種はどのように予約すれば良いですか？")</f>
        <v>HPVワクチン接種はどのように予約すれば良いですか？/子宮頸がんワクチン接種はどのように予約すれば良いですか？</v>
      </c>
      <c r="B672" s="31" t="str">
        <f>IFERROR(__xludf.DUMMYFUNCTION("""COMPUTED_VALUE"""),"HPVワクチン接種はお電話（050-1730-2768）でご予約ください。電話受付時間は、平日9:45〜13:40・15:15〜19:40、土日祝9:45〜13:40・15:15〜18:40です。")</f>
        <v>HPVワクチン接種はお電話（050-1730-2768）でご予約ください。電話受付時間は、平日9:45〜13:40・15:15〜19:40、土日祝9:45〜13:40・15:15〜18:40です。</v>
      </c>
      <c r="C672" s="31" t="str">
        <f>IFERROR(__xludf.DUMMYFUNCTION("""COMPUTED_VALUE"""),"HPVワクチン")</f>
        <v>HPVワクチン</v>
      </c>
      <c r="D672" s="31" t="str">
        <f>IFERROR(__xludf.DUMMYFUNCTION("""COMPUTED_VALUE"""),"HPVワクチン,予約方法,予約,子宮頸がん")</f>
        <v>HPVワクチン,予約方法,予約,子宮頸がん</v>
      </c>
      <c r="E672" s="32" t="str">
        <f>IFERROR(__xludf.DUMMYFUNCTION("""COMPUTED_VALUE"""),"https://luna-dr.com/subjects/hpv-vaccine/")</f>
        <v>https://luna-dr.com/subjects/hpv-vaccine/</v>
      </c>
    </row>
    <row r="673">
      <c r="A673" s="31" t="str">
        <f>IFERROR(__xludf.DUMMYFUNCTION("""COMPUTED_VALUE"""),"HPVワクチン接種はLINEから予約できますか？/子宮頸がん予防ワクチン接種はLINEから予約できますか？")</f>
        <v>HPVワクチン接種はLINEから予約できますか？/子宮頸がん予防ワクチン接種はLINEから予約できますか？</v>
      </c>
      <c r="B673" s="31" t="str">
        <f>IFERROR(__xludf.DUMMYFUNCTION("""COMPUTED_VALUE"""),"HPVワクチン接種はお電話（050-1730-2768）のみでご予約を承っています。お手数をおかけしますが、お電話をお願いいたします。電話受付時間は、平日9:45〜13:40・15:15〜19:40、土日祝9:45〜13:40・15:15〜18:40です。")</f>
        <v>HPVワクチン接種はお電話（050-1730-2768）のみでご予約を承っています。お手数をおかけしますが、お電話をお願いいたします。電話受付時間は、平日9:45〜13:40・15:15〜19:40、土日祝9:45〜13:40・15:15〜18:40です。</v>
      </c>
      <c r="C673" s="31" t="str">
        <f>IFERROR(__xludf.DUMMYFUNCTION("""COMPUTED_VALUE"""),"HPVワクチン")</f>
        <v>HPVワクチン</v>
      </c>
      <c r="D673" s="31" t="str">
        <f>IFERROR(__xludf.DUMMYFUNCTION("""COMPUTED_VALUE"""),"LINE予約,婦人科予約,HPVワクチン,子宮頸がん予防")</f>
        <v>LINE予約,婦人科予約,HPVワクチン,子宮頸がん予防</v>
      </c>
      <c r="E673" s="32" t="str">
        <f>IFERROR(__xludf.DUMMYFUNCTION("""COMPUTED_VALUE"""),"https://luna-dr.com/subjects/hpv-vaccine/")</f>
        <v>https://luna-dr.com/subjects/hpv-vaccine/</v>
      </c>
    </row>
    <row r="674">
      <c r="A674" s="31" t="str">
        <f>IFERROR(__xludf.DUMMYFUNCTION("""COMPUTED_VALUE"""),"HPVワクチンは電話でも予約できますか？/子宮頸がん予防ワクチンは電話でも予約できますか？/HPVワクチンの電話対応時間を教えてください/HPVワクチンの電話受付時間は？")</f>
        <v>HPVワクチンは電話でも予約できますか？/子宮頸がん予防ワクチンは電話でも予約できますか？/HPVワクチンの電話対応時間を教えてください/HPVワクチンの電話受付時間は？</v>
      </c>
      <c r="B674" s="31" t="str">
        <f>IFERROR(__xludf.DUMMYFUNCTION("""COMPUTED_VALUE"""),"HPVワクチンのご予約はお電話（050-1730-2768）での受付となります。電話受付時間は、平日9:45〜13:40・15:15〜19:40、土日祝9:45〜13:40・15:15〜18:40です。")</f>
        <v>HPVワクチンのご予約はお電話（050-1730-2768）での受付となります。電話受付時間は、平日9:45〜13:40・15:15〜19:40、土日祝9:45〜13:40・15:15〜18:40です。</v>
      </c>
      <c r="C674" s="31" t="str">
        <f>IFERROR(__xludf.DUMMYFUNCTION("""COMPUTED_VALUE"""),"HPVワクチン")</f>
        <v>HPVワクチン</v>
      </c>
      <c r="D674" s="31" t="str">
        <f>IFERROR(__xludf.DUMMYFUNCTION("""COMPUTED_VALUE"""),"電話予約,問い合わせ,HPVワクチン,子宮頸がん予防")</f>
        <v>電話予約,問い合わせ,HPVワクチン,子宮頸がん予防</v>
      </c>
      <c r="E674" s="32" t="str">
        <f>IFERROR(__xludf.DUMMYFUNCTION("""COMPUTED_VALUE"""),"https://luna-dr.com/subjects/hpv-vaccine/")</f>
        <v>https://luna-dr.com/subjects/hpv-vaccine/</v>
      </c>
    </row>
    <row r="675">
      <c r="A675" s="31" t="str">
        <f>IFERROR(__xludf.DUMMYFUNCTION("""COMPUTED_VALUE"""),"HPVワクチンの予約前に準備しておくことはありますか？/子宮頸がん予防ワクチンの予約前に準備しておくことはありますか？")</f>
        <v>HPVワクチンの予約前に準備しておくことはありますか？/子宮頸がん予防ワクチンの予約前に準備しておくことはありますか？</v>
      </c>
      <c r="B675" s="31" t="str">
        <f>IFERROR(__xludf.DUMMYFUNCTION("""COMPUTED_VALUE"""),"ルナレディースクリニックでは、診察前にWEB問診の入力をお願いしています。事前にご入力いただくと診察がスムーズです。")</f>
        <v>ルナレディースクリニックでは、診察前にWEB問診の入力をお願いしています。事前にご入力いただくと診察がスムーズです。</v>
      </c>
      <c r="C675" s="31" t="str">
        <f>IFERROR(__xludf.DUMMYFUNCTION("""COMPUTED_VALUE"""),"HPVワクチン")</f>
        <v>HPVワクチン</v>
      </c>
      <c r="D675" s="31" t="str">
        <f>IFERROR(__xludf.DUMMYFUNCTION("""COMPUTED_VALUE"""),"WEB問診,事前準備,HPVワクチン,子宮頸がん予防")</f>
        <v>WEB問診,事前準備,HPVワクチン,子宮頸がん予防</v>
      </c>
      <c r="E675" s="32" t="str">
        <f>IFERROR(__xludf.DUMMYFUNCTION("""COMPUTED_VALUE"""),"https://luna-dr.com/subjects/hpv-vaccine/")</f>
        <v>https://luna-dr.com/subjects/hpv-vaccine/</v>
      </c>
    </row>
    <row r="676">
      <c r="A676" s="31" t="str">
        <f>IFERROR(__xludf.DUMMYFUNCTION("""COMPUTED_VALUE"""),"HPVワクチンは初診でも予約できますか？/子宮頸がん予防ワクチンは初診でも予約できますか？")</f>
        <v>HPVワクチンは初診でも予約できますか？/子宮頸がん予防ワクチンは初診でも予約できますか？</v>
      </c>
      <c r="B676" s="31" t="str">
        <f>IFERROR(__xludf.DUMMYFUNCTION("""COMPUTED_VALUE"""),"ルナレディースクリニックでは、初診の方もご予約いただけます。HPVワクチン接種のご予約はお電話（050-1730-2768）のみで承っています。お手数をおかけしますが、お電話をお願いいたします。")</f>
        <v>ルナレディースクリニックでは、初診の方もご予約いただけます。HPVワクチン接種のご予約はお電話（050-1730-2768）のみで承っています。お手数をおかけしますが、お電話をお願いいたします。</v>
      </c>
      <c r="C676" s="31" t="str">
        <f>IFERROR(__xludf.DUMMYFUNCTION("""COMPUTED_VALUE"""),"HPVワクチン")</f>
        <v>HPVワクチン</v>
      </c>
      <c r="D676" s="31" t="str">
        <f>IFERROR(__xludf.DUMMYFUNCTION("""COMPUTED_VALUE"""),"初診,予約,HPVワクチン,子宮頸がん予防")</f>
        <v>初診,予約,HPVワクチン,子宮頸がん予防</v>
      </c>
      <c r="E676" s="32" t="str">
        <f>IFERROR(__xludf.DUMMYFUNCTION("""COMPUTED_VALUE"""),"https://luna-dr.com/subjects/hpv-vaccine/")</f>
        <v>https://luna-dr.com/subjects/hpv-vaccine/</v>
      </c>
    </row>
    <row r="677">
      <c r="A677" s="31" t="str">
        <f>IFERROR(__xludf.DUMMYFUNCTION("""COMPUTED_VALUE"""),"HPVワクチンは来院とオンライン、どちらで予約できますか？/子宮頸がん予防ワクチンは来院とオンライン、どちらで予約できますか？")</f>
        <v>HPVワクチンは来院とオンライン、どちらで予約できますか？/子宮頸がん予防ワクチンは来院とオンライン、どちらで予約できますか？</v>
      </c>
      <c r="B677" s="31" t="str">
        <f>IFERROR(__xludf.DUMMYFUNCTION("""COMPUTED_VALUE"""),"ルナレディースクリニックでは、HPVワクチンのご相談は来院診療のみで承っています。HPVワクチン接種のご予約はお電話（050-1730-2768）のみで承っています。お手数をおかけしますが、お電話をお願いいたします。")</f>
        <v>ルナレディースクリニックでは、HPVワクチンのご相談は来院診療のみで承っています。HPVワクチン接種のご予約はお電話（050-1730-2768）のみで承っています。お手数をおかけしますが、お電話をお願いいたします。</v>
      </c>
      <c r="C677" s="31" t="str">
        <f>IFERROR(__xludf.DUMMYFUNCTION("""COMPUTED_VALUE"""),"HPVワクチン")</f>
        <v>HPVワクチン</v>
      </c>
      <c r="D677" s="31" t="str">
        <f>IFERROR(__xludf.DUMMYFUNCTION("""COMPUTED_VALUE"""),"来院診療,オンライン診療,HPVワクチン,子宮頸がん予防")</f>
        <v>来院診療,オンライン診療,HPVワクチン,子宮頸がん予防</v>
      </c>
      <c r="E677" s="32" t="str">
        <f>IFERROR(__xludf.DUMMYFUNCTION("""COMPUTED_VALUE"""),"https://luna-dr.com/subjects/hpv-vaccine/")</f>
        <v>https://luna-dr.com/subjects/hpv-vaccine/</v>
      </c>
    </row>
    <row r="678">
      <c r="A678" s="31" t="str">
        <f>IFERROR(__xludf.DUMMYFUNCTION("""COMPUTED_VALUE"""),"予約なしでもHPVワクチンは受けられますか？/予約なしでも子宮頸がん予防は受けられますか？")</f>
        <v>予約なしでもHPVワクチンは受けられますか？/予約なしでも子宮頸がん予防は受けられますか？</v>
      </c>
      <c r="B678" s="31" t="str">
        <f>IFERROR(__xludf.DUMMYFUNCTION("""COMPUTED_VALUE"""),"HPVワクチンが限定出荷となり、ワクチン納品されないケースが発生しております。そのため、ワクチンのご予約を出来かねる場合もございますので、お電話でご予約の上ご来院をお願いいたします。")</f>
        <v>HPVワクチンが限定出荷となり、ワクチン納品されないケースが発生しております。そのため、ワクチンのご予約を出来かねる場合もございますので、お電話でご予約の上ご来院をお願いいたします。</v>
      </c>
      <c r="C678" s="31" t="str">
        <f>IFERROR(__xludf.DUMMYFUNCTION("""COMPUTED_VALUE"""),"ブライダルチェック")</f>
        <v>ブライダルチェック</v>
      </c>
      <c r="D678" s="31" t="str">
        <f>IFERROR(__xludf.DUMMYFUNCTION("""COMPUTED_VALUE"""),"ブライダルチェック検査,予約なし,子宮頸がん予防")</f>
        <v>ブライダルチェック検査,予約なし,子宮頸がん予防</v>
      </c>
      <c r="E678" s="32" t="str">
        <f>IFERROR(__xludf.DUMMYFUNCTION("""COMPUTED_VALUE"""),"https://luna-dr.com/subjects/hpv-vaccine/")</f>
        <v>https://luna-dr.com/subjects/hpv-vaccine/</v>
      </c>
    </row>
    <row r="679">
      <c r="A679" s="31" t="str">
        <f>IFERROR(__xludf.DUMMYFUNCTION("""COMPUTED_VALUE"""),"HPVワクチン接種当日は何をしますか？/子宮頸がんワクチン接種当日は何をしますか？")</f>
        <v>HPVワクチン接種当日は何をしますか？/子宮頸がんワクチン接種当日は何をしますか？</v>
      </c>
      <c r="B679" s="31" t="str">
        <f>IFERROR(__xludf.DUMMYFUNCTION("""COMPUTED_VALUE"""),"ご来院後、医師がワクチンの効果や副反応について丁寧に説明し、ご不安や疑問にお答えします。予診票や母子健康手帳（お持ちの方）を確認した上で、接種が可能か判断します。")</f>
        <v>ご来院後、医師がワクチンの効果や副反応について丁寧に説明し、ご不安や疑問にお答えします。予診票や母子健康手帳（お持ちの方）を確認した上で、接種が可能か判断します。</v>
      </c>
      <c r="C679" s="31" t="str">
        <f>IFERROR(__xludf.DUMMYFUNCTION("""COMPUTED_VALUE"""),"HPVワクチン")</f>
        <v>HPVワクチン</v>
      </c>
      <c r="D679" s="31" t="str">
        <f>IFERROR(__xludf.DUMMYFUNCTION("""COMPUTED_VALUE"""),"HPVワクチン,問診,当日の流れ,子宮頸がん")</f>
        <v>HPVワクチン,問診,当日の流れ,子宮頸がん</v>
      </c>
      <c r="E679" s="32" t="str">
        <f>IFERROR(__xludf.DUMMYFUNCTION("""COMPUTED_VALUE"""),"https://luna-dr.com/subjects/hpv-vaccine/")</f>
        <v>https://luna-dr.com/subjects/hpv-vaccine/</v>
      </c>
    </row>
    <row r="680">
      <c r="A680" s="31" t="str">
        <f>IFERROR(__xludf.DUMMYFUNCTION("""COMPUTED_VALUE"""),"HPVワクチンはどのように接種しますか？/子宮頸がんワクチンはどのように接種しますか？")</f>
        <v>HPVワクチンはどのように接種しますか？/子宮頸がんワクチンはどのように接種しますか？</v>
      </c>
      <c r="B680" s="31" t="str">
        <f>IFERROR(__xludf.DUMMYFUNCTION("""COMPUTED_VALUE"""),"HPVワクチンは腕の筋肉に注射します。接種自体は短時間で終了しますのでご安心ください。")</f>
        <v>HPVワクチンは腕の筋肉に注射します。接種自体は短時間で終了しますのでご安心ください。</v>
      </c>
      <c r="C680" s="31" t="str">
        <f>IFERROR(__xludf.DUMMYFUNCTION("""COMPUTED_VALUE"""),"HPVワクチン")</f>
        <v>HPVワクチン</v>
      </c>
      <c r="D680" s="31" t="str">
        <f>IFERROR(__xludf.DUMMYFUNCTION("""COMPUTED_VALUE"""),"HPVワクチン,注射,接種方法,子宮頸がん")</f>
        <v>HPVワクチン,注射,接種方法,子宮頸がん</v>
      </c>
      <c r="E680" s="32" t="str">
        <f>IFERROR(__xludf.DUMMYFUNCTION("""COMPUTED_VALUE"""),"https://luna-dr.com/subjects/hpv-vaccine/")</f>
        <v>https://luna-dr.com/subjects/hpv-vaccine/</v>
      </c>
    </row>
    <row r="681">
      <c r="A681" s="31" t="str">
        <f>IFERROR(__xludf.DUMMYFUNCTION("""COMPUTED_VALUE"""),"HPVワクチン接種後はすぐに帰れますか？/子宮頸がんワクチン接種後はすぐに帰れますか？")</f>
        <v>HPVワクチン接種後はすぐに帰れますか？/子宮頸がんワクチン接種後はすぐに帰れますか？</v>
      </c>
      <c r="B681" s="31" t="str">
        <f>IFERROR(__xludf.DUMMYFUNCTION("""COMPUTED_VALUE"""),"接種後は、急な副反応に備えて30分間院内で安静にお過ごしいただきます。問題がなければ、お会計後にご帰宅いただけます。")</f>
        <v>接種後は、急な副反応に備えて30分間院内で安静にお過ごしいただきます。問題がなければ、お会計後にご帰宅いただけます。</v>
      </c>
      <c r="C681" s="31" t="str">
        <f>IFERROR(__xludf.DUMMYFUNCTION("""COMPUTED_VALUE"""),"HPVワクチン")</f>
        <v>HPVワクチン</v>
      </c>
      <c r="D681" s="31" t="str">
        <f>IFERROR(__xludf.DUMMYFUNCTION("""COMPUTED_VALUE"""),"HPVワクチン,接種後,待機時間,子宮頸がん")</f>
        <v>HPVワクチン,接種後,待機時間,子宮頸がん</v>
      </c>
      <c r="E681" s="32" t="str">
        <f>IFERROR(__xludf.DUMMYFUNCTION("""COMPUTED_VALUE"""),"https://luna-dr.com/subjects/hpv-vaccine/")</f>
        <v>https://luna-dr.com/subjects/hpv-vaccine/</v>
      </c>
    </row>
    <row r="682">
      <c r="A682" s="31" t="str">
        <f>IFERROR(__xludf.DUMMYFUNCTION("""COMPUTED_VALUE"""),"HPVワクチンの副反応は危険ではありませんか？/子宮頸がんワクチンの副反応は危険ではありませんか？")</f>
        <v>HPVワクチンの副反応は危険ではありませんか？/子宮頸がんワクチンの副反応は危険ではありませんか？</v>
      </c>
      <c r="B682" s="31" t="str">
        <f>IFERROR(__xludf.DUMMYFUNCTION("""COMPUTED_VALUE"""),"HPVワクチンは、世界保健機関（WHO）も一貫して安全性を認めており、これまでの数多くの研究から、その有効性と安全性が科学的に確認されています。主な副反応は、接種した部位の痛みや腫れ、赤みなどで、これらは数日で自然に軽快します。重い症状（アナフィラキシーなど）は極めて稀ですが、万が一に備え、接種後30分は院内で待機していただくなど、安全対策を徹底していますのでご安心ください。")</f>
        <v>HPVワクチンは、世界保健機関（WHO）も一貫して安全性を認めており、これまでの数多くの研究から、その有効性と安全性が科学的に確認されています。主な副反応は、接種した部位の痛みや腫れ、赤みなどで、これらは数日で自然に軽快します。重い症状（アナフィラキシーなど）は極めて稀ですが、万が一に備え、接種後30分は院内で待機していただくなど、安全対策を徹底していますのでご安心ください。</v>
      </c>
      <c r="C682" s="31" t="str">
        <f>IFERROR(__xludf.DUMMYFUNCTION("""COMPUTED_VALUE"""),"HPVワクチン")</f>
        <v>HPVワクチン</v>
      </c>
      <c r="D682" s="31" t="str">
        <f>IFERROR(__xludf.DUMMYFUNCTION("""COMPUTED_VALUE"""),"HPVワクチン,副反応,安全性,子宮頸がん")</f>
        <v>HPVワクチン,副反応,安全性,子宮頸がん</v>
      </c>
      <c r="E682" s="32" t="str">
        <f>IFERROR(__xludf.DUMMYFUNCTION("""COMPUTED_VALUE"""),"https://luna-dr.com/subjects/hpv-vaccine/")</f>
        <v>https://luna-dr.com/subjects/hpv-vaccine/</v>
      </c>
    </row>
    <row r="683">
      <c r="A683" s="31" t="str">
        <f>IFERROR(__xludf.DUMMYFUNCTION("""COMPUTED_VALUE"""),"すでに性交渉の経験がありますが、HPVワクチンは効果がありますか？/すでに性交渉の経験がありますが、子宮頸がんワクチンは効果がありますか？")</f>
        <v>すでに性交渉の経験がありますが、HPVワクチンは効果がありますか？/すでに性交渉の経験がありますが、子宮頸がんワクチンは効果がありますか？</v>
      </c>
      <c r="B683" s="31" t="str">
        <f>IFERROR(__xludf.DUMMYFUNCTION("""COMPUTED_VALUE"""),"効果は期待できます。HPVには複数の型があり、すでに特定の型に感染していても、ワクチンを接種することで、まだ感染していない他の型のウイルスへの感染を防ぐことができます。そのため、性交渉の経験がある方でも接種する価値は十分にあります。")</f>
        <v>効果は期待できます。HPVには複数の型があり、すでに特定の型に感染していても、ワクチンを接種することで、まだ感染していない他の型のウイルスへの感染を防ぐことができます。そのため、性交渉の経験がある方でも接種する価値は十分にあります。</v>
      </c>
      <c r="C683" s="31" t="str">
        <f>IFERROR(__xludf.DUMMYFUNCTION("""COMPUTED_VALUE"""),"HPVワクチン")</f>
        <v>HPVワクチン</v>
      </c>
      <c r="D683" s="31" t="str">
        <f>IFERROR(__xludf.DUMMYFUNCTION("""COMPUTED_VALUE"""),"HPVワクチン,性交渉後,効果,子宮頸がん")</f>
        <v>HPVワクチン,性交渉後,効果,子宮頸がん</v>
      </c>
      <c r="E683" s="32" t="str">
        <f>IFERROR(__xludf.DUMMYFUNCTION("""COMPUTED_VALUE"""),"https://luna-dr.com/subjects/hpv-vaccine/")</f>
        <v>https://luna-dr.com/subjects/hpv-vaccine/</v>
      </c>
    </row>
    <row r="684">
      <c r="A684" s="31" t="str">
        <f>IFERROR(__xludf.DUMMYFUNCTION("""COMPUTED_VALUE"""),"HPVワクチンを接種すれば子宮頸がん検診は不要ですか？/子宮頸がんワクチンを接種すれば子宮頸がん検診は不要ですか？")</f>
        <v>HPVワクチンを接種すれば子宮頸がん検診は不要ですか？/子宮頸がんワクチンを接種すれば子宮頸がん検診は不要ですか？</v>
      </c>
      <c r="B684" s="31" t="str">
        <f>IFERROR(__xludf.DUMMYFUNCTION("""COMPUTED_VALUE"""),"検診は必ず受けてください。9価ワクチンは子宮頸がんの原因の約90%を防ぎますが、すべての型のHPV感染を防ぐものではありません。ワクチンで感染リスクを大幅に減らし、定期的な子宮頸がん検診で万が一の病変を早期発見する。この「両方」を受けることが、あなた自身の体を守るために非常に重要です。")</f>
        <v>検診は必ず受けてください。9価ワクチンは子宮頸がんの原因の約90%を防ぎますが、すべての型のHPV感染を防ぐものではありません。ワクチンで感染リスクを大幅に減らし、定期的な子宮頸がん検診で万が一の病変を早期発見する。この「両方」を受けることが、あなた自身の体を守るために非常に重要です。</v>
      </c>
      <c r="C684" s="31" t="str">
        <f>IFERROR(__xludf.DUMMYFUNCTION("""COMPUTED_VALUE"""),"HPVワクチン")</f>
        <v>HPVワクチン</v>
      </c>
      <c r="D684" s="31" t="str">
        <f>IFERROR(__xludf.DUMMYFUNCTION("""COMPUTED_VALUE"""),"HPVワクチン,子宮頸がん検診,予防,子宮頸がん")</f>
        <v>HPVワクチン,子宮頸がん検診,予防,子宮頸がん</v>
      </c>
      <c r="E684" s="32" t="str">
        <f>IFERROR(__xludf.DUMMYFUNCTION("""COMPUTED_VALUE"""),"https://luna-dr.com/subjects/hpv-vaccine/")</f>
        <v>https://luna-dr.com/subjects/hpv-vaccine/</v>
      </c>
    </row>
    <row r="685">
      <c r="A685" s="31" t="str">
        <f>IFERROR(__xludf.DUMMYFUNCTION("""COMPUTED_VALUE"""),"男性もHPVワクチンを接種できますか？/男性も子宮頸がんワクチンを接種できますか？")</f>
        <v>男性もHPVワクチンを接種できますか？/男性も子宮頸がんワクチンを接種できますか？</v>
      </c>
      <c r="B685" s="31" t="str">
        <f>IFERROR(__xludf.DUMMYFUNCTION("""COMPUTED_VALUE"""),"申し訳ございませんが、当院は女性専用のため、男性の接種には対応しておりません。ご理解のほどよろしくお願いいたします。")</f>
        <v>申し訳ございませんが、当院は女性専用のため、男性の接種には対応しておりません。ご理解のほどよろしくお願いいたします。</v>
      </c>
      <c r="C685" s="31" t="str">
        <f>IFERROR(__xludf.DUMMYFUNCTION("""COMPUTED_VALUE"""),"HPVワクチン")</f>
        <v>HPVワクチン</v>
      </c>
      <c r="D685" s="31" t="str">
        <f>IFERROR(__xludf.DUMMYFUNCTION("""COMPUTED_VALUE"""),"HPVワクチン,男性接種,対象者,子宮頸がん")</f>
        <v>HPVワクチン,男性接種,対象者,子宮頸がん</v>
      </c>
      <c r="E685" s="32" t="str">
        <f>IFERROR(__xludf.DUMMYFUNCTION("""COMPUTED_VALUE"""),"https://luna-dr.com/subjects/hpv-vaccine/")</f>
        <v>https://luna-dr.com/subjects/hpv-vaccine/</v>
      </c>
    </row>
    <row r="686">
      <c r="A686" s="31" t="str">
        <f>IFERROR(__xludf.DUMMYFUNCTION("""COMPUTED_VALUE"""),"HPVワクチン接種と他の保険診療を同日に受けられますか？/子宮頸がんワクチン接種と他の保険診療を同日に受けられますか？/ピル処方とがん検診を同日に受けられますか？/公費の検診と保険診療は同時にできますか？")</f>
        <v>HPVワクチン接種と他の保険診療を同日に受けられますか？/子宮頸がんワクチン接種と他の保険診療を同日に受けられますか？/ピル処方とがん検診を同日に受けられますか？/公費の検診と保険診療は同時にできますか？</v>
      </c>
      <c r="B686" s="31" t="str">
        <f>IFERROR(__xludf.DUMMYFUNCTION("""COMPUTED_VALUE"""),"申し訳ありませんが、同日に行うことはできません。HPVワクチン（公費）と、病気の治療を目的とした保険診療は、国のルール（混合診療の禁止）により、同じ日に行うことが原則として認められていません。患者様にご不便をおかけしないための大切なルールですので、ご理解いただけますと幸いです。お手数ですが、保険診療をご希望の場合は、ワクチン接種日とは別の日をご予約ください。")</f>
        <v>申し訳ありませんが、同日に行うことはできません。HPVワクチン（公費）と、病気の治療を目的とした保険診療は、国のルール（混合診療の禁止）により、同じ日に行うことが原則として認められていません。患者様にご不便をおかけしないための大切なルールですので、ご理解いただけますと幸いです。お手数ですが、保険診療をご希望の場合は、ワクチン接種日とは別の日をご予約ください。</v>
      </c>
      <c r="C686" s="31" t="str">
        <f>IFERROR(__xludf.DUMMYFUNCTION("""COMPUTED_VALUE"""),"HPVワクチン")</f>
        <v>HPVワクチン</v>
      </c>
      <c r="D686" s="31" t="str">
        <f>IFERROR(__xludf.DUMMYFUNCTION("""COMPUTED_VALUE"""),"HPVワクチン,混合診療,同日診療不可,子宮頸がん")</f>
        <v>HPVワクチン,混合診療,同日診療不可,子宮頸がん</v>
      </c>
      <c r="E686" s="32" t="str">
        <f>IFERROR(__xludf.DUMMYFUNCTION("""COMPUTED_VALUE"""),"https://luna-dr.com/subjects/hpv-vaccine/")</f>
        <v>https://luna-dr.com/subjects/hpv-vaccine/</v>
      </c>
    </row>
    <row r="687">
      <c r="A687" s="31" t="str">
        <f>IFERROR(__xludf.DUMMYFUNCTION("""COMPUTED_VALUE"""),"提携医療機関はありますか？/連携している病院はありますか？/紹介先の病院を教えてください")</f>
        <v>提携医療機関はありますか？/連携している病院はありますか？/紹介先の病院を教えてください</v>
      </c>
      <c r="B687" s="31" t="str">
        <f>IFERROR(__xludf.DUMMYFUNCTION("""COMPUTED_VALUE"""),"当院では特定の連携医療機関はございません。紹介状（診療情報提供書）の発行は可能ですが、紹介先の医療機関は患者さまご自身でお探しいただいております。紹介状の発行をご希望の場合は、診察時に医師へご相談ください。")</f>
        <v>当院では特定の連携医療機関はございません。紹介状（診療情報提供書）の発行は可能ですが、紹介先の医療機関は患者さまご自身でお探しいただいております。紹介状の発行をご希望の場合は、診察時に医師へご相談ください。</v>
      </c>
      <c r="C687" s="31" t="str">
        <f>IFERROR(__xludf.DUMMYFUNCTION("""COMPUTED_VALUE"""),"医療連携,受診案内")</f>
        <v>医療連携,受診案内</v>
      </c>
      <c r="D687" s="31" t="str">
        <f>IFERROR(__xludf.DUMMYFUNCTION("""COMPUTED_VALUE"""),"提携,連携,紹介先,紹介状,病院")</f>
        <v>提携,連携,紹介先,紹介状,病院</v>
      </c>
      <c r="E687" s="31"/>
    </row>
    <row r="688">
      <c r="A688" s="31" t="str">
        <f>IFERROR(__xludf.DUMMYFUNCTION("""COMPUTED_VALUE"""),"郵送検査とはどのようなサービスですか？/FemCHECKとはどのようなサービスですか？/おりもの検査とはどのようなサービスですか？")</f>
        <v>郵送検査とはどのようなサービスですか？/FemCHECKとはどのようなサービスですか？/おりもの検査とはどのようなサービスですか？</v>
      </c>
      <c r="B688" s="31" t="str">
        <f>IFERROR(__xludf.DUMMYFUNCTION("""COMPUTED_VALUE"""),"FemCHECK（フェムチェック）は、婦人科医が監修した女性のためのおりもの・性感染症の郵送検査キットです。検査キットの購入から検体採取、結果確認まですべてご自宅で完結し、検体はポスト投函で返送できます。結果はWEBで確認でき、陽性の場合もオンライン診療で治療までサポートします。")</f>
        <v>FemCHECK（フェムチェック）は、婦人科医が監修した女性のためのおりもの・性感染症の郵送検査キットです。検査キットの購入から検体採取、結果確認まですべてご自宅で完結し、検体はポスト投函で返送できます。結果はWEBで確認でき、陽性の場合もオンライン診療で治療までサポートします。</v>
      </c>
      <c r="C688" s="31" t="str">
        <f>IFERROR(__xludf.DUMMYFUNCTION("""COMPUTED_VALUE"""),"郵送検査/FemCHECK")</f>
        <v>郵送検査/FemCHECK</v>
      </c>
      <c r="D688" s="31" t="str">
        <f>IFERROR(__xludf.DUMMYFUNCTION("""COMPUTED_VALUE"""),"FemCHECK,郵送検査,おりもの検査,性感染症検査,自宅検査")</f>
        <v>FemCHECK,郵送検査,おりもの検査,性感染症検査,自宅検査</v>
      </c>
      <c r="E688" s="32" t="str">
        <f>IFERROR(__xludf.DUMMYFUNCTION("""COMPUTED_VALUE"""),"https://luna-dr.com/femcheck/begginer/")</f>
        <v>https://luna-dr.com/femcheck/begginer/</v>
      </c>
    </row>
    <row r="689">
      <c r="A689" s="31" t="str">
        <f>IFERROR(__xludf.DUMMYFUNCTION("""COMPUTED_VALUE"""),"郵送検査は他の性病検査キットと何が違いますか？/FemCHECKは他の性病検査キットと何が違いますか？/おりもの検査は他の性病検査キットと何が違いますか？")</f>
        <v>郵送検査は他の性病検査キットと何が違いますか？/FemCHECKは他の性病検査キットと何が違いますか？/おりもの検査は他の性病検査キットと何が違いますか？</v>
      </c>
      <c r="B689" s="31" t="str">
        <f>IFERROR(__xludf.DUMMYFUNCTION("""COMPUTED_VALUE"""),"FemCHECKは産婦人科医が女性の膣内環境・おりものの状態を総合的に評価する目的で開発した検査キットです。一般的な性感染症の有無だけでなく、膣内の炎症や臭いのリスク、治療方針の判断に役立つ情報まで確認できる点が特長です。")</f>
        <v>FemCHECKは産婦人科医が女性の膣内環境・おりものの状態を総合的に評価する目的で開発した検査キットです。一般的な性感染症の有無だけでなく、膣内の炎症や臭いのリスク、治療方針の判断に役立つ情報まで確認できる点が特長です。</v>
      </c>
      <c r="C689" s="31" t="str">
        <f>IFERROR(__xludf.DUMMYFUNCTION("""COMPUTED_VALUE"""),"郵送検査/FemCHECK")</f>
        <v>郵送検査/FemCHECK</v>
      </c>
      <c r="D689" s="31" t="str">
        <f>IFERROR(__xludf.DUMMYFUNCTION("""COMPUTED_VALUE"""),"FemCHECK,性病検査キット,おりもの異常,婦人科医監修")</f>
        <v>FemCHECK,性病検査キット,おりもの異常,婦人科医監修</v>
      </c>
      <c r="E689" s="32" t="str">
        <f>IFERROR(__xludf.DUMMYFUNCTION("""COMPUTED_VALUE"""),"https://luna-dr.com/femcheck/begginer/")</f>
        <v>https://luna-dr.com/femcheck/begginer/</v>
      </c>
    </row>
    <row r="690">
      <c r="A690" s="31" t="str">
        <f>IFERROR(__xludf.DUMMYFUNCTION("""COMPUTED_VALUE"""),"郵送検査はどのような流れで行いますか？/FemCHECKはどのような流れで行いますか？/おりもの検査はどのような流れで行いますか？")</f>
        <v>郵送検査はどのような流れで行いますか？/FemCHECKはどのような流れで行いますか？/おりもの検査はどのような流れで行いますか？</v>
      </c>
      <c r="B690" s="31" t="str">
        <f>IFERROR(__xludf.DUMMYFUNCTION("""COMPUTED_VALUE"""),"FemCHECKでは、①自宅に検査キットが届く、②説明動画に従って検体を採取し24時間以内にポスト投函、③検査機関で解析、④WEBで結果確認、⑤陽性の場合はオンライン診療、という流れで進みます。検体到着後、最短当日に結果が確認できます。※すべての検査結果が揃うまでに、最大で6営業日程度かかる場合があります。")</f>
        <v>FemCHECKでは、①自宅に検査キットが届く、②説明動画に従って検体を採取し24時間以内にポスト投函、③検査機関で解析、④WEBで結果確認、⑤陽性の場合はオンライン診療、という流れで進みます。検体到着後、最短当日に結果が確認できます。※すべての検査結果が揃うまでに、最大で6営業日程度かかる場合があります。</v>
      </c>
      <c r="C690" s="31" t="str">
        <f>IFERROR(__xludf.DUMMYFUNCTION("""COMPUTED_VALUE"""),"郵送検査/FemCHECK")</f>
        <v>郵送検査/FemCHECK</v>
      </c>
      <c r="D690" s="31" t="str">
        <f>IFERROR(__xludf.DUMMYFUNCTION("""COMPUTED_VALUE"""),"検査の流れ,郵送検査,オンライン診療")</f>
        <v>検査の流れ,郵送検査,オンライン診療</v>
      </c>
      <c r="E690" s="32" t="str">
        <f>IFERROR(__xludf.DUMMYFUNCTION("""COMPUTED_VALUE"""),"https://luna-dr.com/femcheck/begginer/")</f>
        <v>https://luna-dr.com/femcheck/begginer/</v>
      </c>
    </row>
    <row r="691">
      <c r="A691" s="31" t="str">
        <f>IFERROR(__xludf.DUMMYFUNCTION("""COMPUTED_VALUE"""),"郵送検査の結果が陽性だった場合はどうなりますか？/FemCHECKの結果が陽性だった場合はどうなりますか？/おりもの検査の結果が陽性だった場合はどうなりますか？")</f>
        <v>郵送検査の結果が陽性だった場合はどうなりますか？/FemCHECKの結果が陽性だった場合はどうなりますか？/おりもの検査の結果が陽性だった場合はどうなりますか？</v>
      </c>
      <c r="B691" s="31" t="str">
        <f>IFERROR(__xludf.DUMMYFUNCTION("""COMPUTED_VALUE"""),"検査結果が陽性だった場合は、WEB上の案内からオンライン診療を受診できます。医師の判断によりお薬が処方され、決済後にご自宅へ郵送されます。通院不要で治療まで完結しますが、症状によっては来院をお願いする場合があります。")</f>
        <v>検査結果が陽性だった場合は、WEB上の案内からオンライン診療を受診できます。医師の判断によりお薬が処方され、決済後にご自宅へ郵送されます。通院不要で治療まで完結しますが、症状によっては来院をお願いする場合があります。</v>
      </c>
      <c r="C691" s="31" t="str">
        <f>IFERROR(__xludf.DUMMYFUNCTION("""COMPUTED_VALUE"""),"郵送検査/FemCHECK")</f>
        <v>郵送検査/FemCHECK</v>
      </c>
      <c r="D691" s="31" t="str">
        <f>IFERROR(__xludf.DUMMYFUNCTION("""COMPUTED_VALUE"""),"陽性,オンライン診療,薬の処方,自宅治療")</f>
        <v>陽性,オンライン診療,薬の処方,自宅治療</v>
      </c>
      <c r="E691" s="32" t="str">
        <f>IFERROR(__xludf.DUMMYFUNCTION("""COMPUTED_VALUE"""),"https://luna-dr.com/femcheck/begginer/")</f>
        <v>https://luna-dr.com/femcheck/begginer/</v>
      </c>
    </row>
    <row r="692">
      <c r="A692" s="31" t="str">
        <f>IFERROR(__xludf.DUMMYFUNCTION("""COMPUTED_VALUE"""),"郵送検査はプライバシーは守られますか？/FemCHECKはプライバシーは守られますか？/おりもの検査はプライバシーは守られますか？")</f>
        <v>郵送検査はプライバシーは守られますか？/FemCHECKはプライバシーは守られますか？/おりもの検査はプライバシーは守られますか？</v>
      </c>
      <c r="B692" s="31" t="str">
        <f>IFERROR(__xludf.DUMMYFUNCTION("""COMPUTED_VALUE"""),"FemCHECKでは、性感染症検査という特性を踏まえ、外見から中身が分からないプライバシーに配慮した梱包・配送を行っています。ご家族や同居人、周囲の方に知られる心配なくご利用いただけます。")</f>
        <v>FemCHECKでは、性感染症検査という特性を踏まえ、外見から中身が分からないプライバシーに配慮した梱包・配送を行っています。ご家族や同居人、周囲の方に知られる心配なくご利用いただけます。</v>
      </c>
      <c r="C692" s="31" t="str">
        <f>IFERROR(__xludf.DUMMYFUNCTION("""COMPUTED_VALUE"""),"郵送検査/FemCHECK")</f>
        <v>郵送検査/FemCHECK</v>
      </c>
      <c r="D692" s="31" t="str">
        <f>IFERROR(__xludf.DUMMYFUNCTION("""COMPUTED_VALUE"""),"プライバシー,匿名配送,郵送検査")</f>
        <v>プライバシー,匿名配送,郵送検査</v>
      </c>
      <c r="E692" s="32" t="str">
        <f>IFERROR(__xludf.DUMMYFUNCTION("""COMPUTED_VALUE"""),"https://luna-dr.com/femcheck/begginer/")</f>
        <v>https://luna-dr.com/femcheck/begginer/</v>
      </c>
    </row>
    <row r="693">
      <c r="A693" s="31" t="str">
        <f>IFERROR(__xludf.DUMMYFUNCTION("""COMPUTED_VALUE"""),"郵送検査は注文してからどのくらいで結果が分かりますか？/FemCHECKは注文してからどのくらいで結果が分かりますか？/おりもの検査は注文してからどのくらいで結果が分かりますか？")</f>
        <v>郵送検査は注文してからどのくらいで結果が分かりますか？/FemCHECKは注文してからどのくらいで結果が分かりますか？/おりもの検査は注文してからどのくらいで結果が分かりますか？</v>
      </c>
      <c r="B693" s="31" t="str">
        <f>IFERROR(__xludf.DUMMYFUNCTION("""COMPUTED_VALUE"""),"返送された検体が検査機関に到着後、最短当日に検査結果をWEBで確認できます。すべての検査結果が揃うまでに、最大で6営業日程度かかる場合があります。検査結果は、当院の検査結果確認サイトからご確認いただけます。こちらのURLにアクセスしてください。https://result.luna-dr.com/clinic_login 患者番号は、会計時にお渡ししている領収書に記載のある10桁の番号となります。")</f>
        <v>返送された検体が検査機関に到着後、最短当日に検査結果をWEBで確認できます。すべての検査結果が揃うまでに、最大で6営業日程度かかる場合があります。検査結果は、当院の検査結果確認サイトからご確認いただけます。こちらのURLにアクセスしてください。https://result.luna-dr.com/clinic_login 患者番号は、会計時にお渡ししている領収書に記載のある10桁の番号となります。</v>
      </c>
      <c r="C693" s="31" t="str">
        <f>IFERROR(__xludf.DUMMYFUNCTION("""COMPUTED_VALUE"""),"郵送検査/FemCHECK")</f>
        <v>郵送検査/FemCHECK</v>
      </c>
      <c r="D693" s="31" t="str">
        <f>IFERROR(__xludf.DUMMYFUNCTION("""COMPUTED_VALUE"""),"検査結果,所要日数,郵送検査")</f>
        <v>検査結果,所要日数,郵送検査</v>
      </c>
      <c r="E693" s="32" t="str">
        <f>IFERROR(__xludf.DUMMYFUNCTION("""COMPUTED_VALUE"""),"https://luna-dr.com/femcheck/begginer/")</f>
        <v>https://luna-dr.com/femcheck/begginer/</v>
      </c>
    </row>
    <row r="694">
      <c r="A694" s="31" t="str">
        <f>IFERROR(__xludf.DUMMYFUNCTION("""COMPUTED_VALUE"""),"郵送検査は生理中でも検査は受けられますか？/FemCHECKは生理中でも検査は受けられますか？/おりもの検査は生理中でも検査は受けられますか？")</f>
        <v>郵送検査は生理中でも検査は受けられますか？/FemCHECKは生理中でも検査は受けられますか？/おりもの検査は生理中でも検査は受けられますか？</v>
      </c>
      <c r="B694" s="31" t="str">
        <f>IFERROR(__xludf.DUMMYFUNCTION("""COMPUTED_VALUE"""),"生理中でも検査は可能ですが、経血量が多い時期は検査精度に影響する可能性があるため、可能な限り避けていただくことをおすすめしています。")</f>
        <v>生理中でも検査は可能ですが、経血量が多い時期は検査精度に影響する可能性があるため、可能な限り避けていただくことをおすすめしています。</v>
      </c>
      <c r="C694" s="31" t="str">
        <f>IFERROR(__xludf.DUMMYFUNCTION("""COMPUTED_VALUE"""),"郵送検査/FemCHECK")</f>
        <v>郵送検査/FemCHECK</v>
      </c>
      <c r="D694" s="31" t="str">
        <f>IFERROR(__xludf.DUMMYFUNCTION("""COMPUTED_VALUE"""),"生理中,おりもの検査,郵送検査")</f>
        <v>生理中,おりもの検査,郵送検査</v>
      </c>
      <c r="E694" s="32" t="str">
        <f>IFERROR(__xludf.DUMMYFUNCTION("""COMPUTED_VALUE"""),"https://luna-dr.com/femcheck/begginer/")</f>
        <v>https://luna-dr.com/femcheck/begginer/</v>
      </c>
    </row>
    <row r="695">
      <c r="A695" s="31" t="str">
        <f>IFERROR(__xludf.DUMMYFUNCTION("""COMPUTED_VALUE"""),"郵送検査の検体の採取方法が分かりません/FemCHECKの検体の採取方法が分かりません/おりもの検査の検体の採取方法が分かりません")</f>
        <v>郵送検査の検体の採取方法が分かりません/FemCHECKの検体の採取方法が分かりません/おりもの検査の検体の採取方法が分かりません</v>
      </c>
      <c r="B695" s="31" t="str">
        <f>IFERROR(__xludf.DUMMYFUNCTION("""COMPUTED_VALUE"""),"FemCHECKでは、検査キットに同封された案内および採取方法の説明動画をご用意しています。初めての方でも分かりやすく、簡単に採取できる内容となっています。")</f>
        <v>FemCHECKでは、検査キットに同封された案内および採取方法の説明動画をご用意しています。初めての方でも分かりやすく、簡単に採取できる内容となっています。</v>
      </c>
      <c r="C695" s="31" t="str">
        <f>IFERROR(__xludf.DUMMYFUNCTION("""COMPUTED_VALUE"""),"郵送検査/FemCHECK")</f>
        <v>郵送検査/FemCHECK</v>
      </c>
      <c r="D695" s="31" t="str">
        <f>IFERROR(__xludf.DUMMYFUNCTION("""COMPUTED_VALUE"""),"検体採取,使い方,FemCHECK")</f>
        <v>検体採取,使い方,FemCHECK</v>
      </c>
      <c r="E695" s="32" t="str">
        <f>IFERROR(__xludf.DUMMYFUNCTION("""COMPUTED_VALUE"""),"https://luna-dr.com/femcheck/begginer/")</f>
        <v>https://luna-dr.com/femcheck/begginer/</v>
      </c>
    </row>
    <row r="696">
      <c r="A696" s="31" t="str">
        <f>IFERROR(__xludf.DUMMYFUNCTION("""COMPUTED_VALUE"""),"郵送検査の検査キットに使用期限はありますか？/FemCHECKの検査キットに使用期限はありますか？/おりもの検査の検査キットに使用期限はありますか？")</f>
        <v>郵送検査の検査キットに使用期限はありますか？/FemCHECKの検査キットに使用期限はありますか？/おりもの検査の検査キットに使用期限はありますか？</v>
      </c>
      <c r="B696" s="31" t="str">
        <f>IFERROR(__xludf.DUMMYFUNCTION("""COMPUTED_VALUE"""),"検査キットには使用期限が設定されており、期限は検体に記載されています。必ず使用期限内に採取・返送を行ってください。")</f>
        <v>検査キットには使用期限が設定されており、期限は検体に記載されています。必ず使用期限内に採取・返送を行ってください。</v>
      </c>
      <c r="C696" s="31" t="str">
        <f>IFERROR(__xludf.DUMMYFUNCTION("""COMPUTED_VALUE"""),"郵送検査/FemCHECK")</f>
        <v>郵送検査/FemCHECK</v>
      </c>
      <c r="D696" s="31" t="str">
        <f>IFERROR(__xludf.DUMMYFUNCTION("""COMPUTED_VALUE"""),"使用期限,検査キット,FemCHECK")</f>
        <v>使用期限,検査キット,FemCHECK</v>
      </c>
      <c r="E696" s="32" t="str">
        <f>IFERROR(__xludf.DUMMYFUNCTION("""COMPUTED_VALUE"""),"https://luna-dr.com/femcheck/begginer/")</f>
        <v>https://luna-dr.com/femcheck/begginer/</v>
      </c>
    </row>
    <row r="697">
      <c r="A697" s="31" t="str">
        <f>IFERROR(__xludf.DUMMYFUNCTION("""COMPUTED_VALUE"""),"男性もFemCHECKで検査できますか？")</f>
        <v>男性もFemCHECKで検査できますか？</v>
      </c>
      <c r="B697" s="31" t="str">
        <f>IFERROR(__xludf.DUMMYFUNCTION("""COMPUTED_VALUE"""),"FemCHECKは女性向け検査キットですが、男性向けの性感染症郵送検査キットも別途ご用意しています。詳細はこちらをご確認ください→https://shop.luna-dr.com/?_gl=1*1gzqy87*_gcl_au*MTc3MTM0OTMwNy4xNzY1NTA2ODQx*_ga*OTc3MTM3ODY4LjE3NjU1MDY3NzE.*_ga_5LWNWXJSB3*czE3NjcyNzY3MDQkbzYkZzEkdDE3NjcyNzcwOTckajYwJGwwJGgxNDE3MTIwNTY.")</f>
        <v>FemCHECKは女性向け検査キットですが、男性向けの性感染症郵送検査キットも別途ご用意しています。詳細はこちらをご確認ください→https://shop.luna-dr.com/?_gl=1*1gzqy87*_gcl_au*MTc3MTM0OTMwNy4xNzY1NTA2ODQx*_ga*OTc3MTM3ODY4LjE3NjU1MDY3NzE.*_ga_5LWNWXJSB3*czE3NjcyNzY3MDQkbzYkZzEkdDE3NjcyNzcwOTckajYwJGwwJGgxNDE3MTIwNTY.</v>
      </c>
      <c r="C697" s="31" t="str">
        <f>IFERROR(__xludf.DUMMYFUNCTION("""COMPUTED_VALUE"""),"郵送検査/FemCHECK")</f>
        <v>郵送検査/FemCHECK</v>
      </c>
      <c r="D697" s="31" t="str">
        <f>IFERROR(__xludf.DUMMYFUNCTION("""COMPUTED_VALUE"""),"男性検査,性感染症,郵送検査")</f>
        <v>男性検査,性感染症,郵送検査</v>
      </c>
      <c r="E697" s="32" t="str">
        <f>IFERROR(__xludf.DUMMYFUNCTION("""COMPUTED_VALUE"""),"https://luna-dr.com/femcheck/begginer/")</f>
        <v>https://luna-dr.com/femcheck/begginer/</v>
      </c>
    </row>
    <row r="698">
      <c r="A698" s="31" t="str">
        <f>IFERROR(__xludf.DUMMYFUNCTION("""COMPUTED_VALUE"""),"おりものが多く下腹部が痛みます。考えられる病気はありますか？")</f>
        <v>おりものが多く下腹部が痛みます。考えられる病気はありますか？</v>
      </c>
      <c r="B698" s="31" t="str">
        <f>IFERROR(__xludf.DUMMYFUNCTION("""COMPUTED_VALUE"""),"おりものが多く下腹部痛がある場合、淋病感染症（淋菌）、クラミジアの可能性があります。淋病感染症は、淋菌が子宮頸部に感染して起こる性感染症で、女性は無症状のことも多く、放置すると子宮外妊娠や不妊の原因になることがあります。クラミジアは約80％が無症状で気づきにくく、放置すると卵管炎や卵管障害、着床障害などを引き起こし、不妊の原因となることがあります。個別の症状やお体のご状況については診察にてご確認いただくことをおすすめいたします。当院でのご受診をご希望の場合は、ご予約をお取りの上、クリニックにご受診ください"&amp;"。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f>
        <v>おりものが多く下腹部痛がある場合、淋病感染症（淋菌）、クラミジアの可能性があります。淋病感染症は、淋菌が子宮頸部に感染して起こる性感染症で、女性は無症状のことも多く、放置すると子宮外妊娠や不妊の原因になることがあります。クラミジアは約80％が無症状で気づきにくく、放置すると卵管炎や卵管障害、着床障害などを引き起こし、不妊の原因となることがありま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698" s="31" t="str">
        <f>IFERROR(__xludf.DUMMYFUNCTION("""COMPUTED_VALUE"""),"郵送検査/FemCHECK")</f>
        <v>郵送検査/FemCHECK</v>
      </c>
      <c r="D698" s="31" t="str">
        <f>IFERROR(__xludf.DUMMYFUNCTION("""COMPUTED_VALUE"""),"おりもの多い,下腹部痛,淋病,淋菌,性感染症")</f>
        <v>おりもの多い,下腹部痛,淋病,淋菌,性感染症</v>
      </c>
      <c r="E698" s="32" t="str">
        <f>IFERROR(__xludf.DUMMYFUNCTION("""COMPUTED_VALUE"""),"https://luna-dr.com/femcheck/about/")</f>
        <v>https://luna-dr.com/femcheck/about/</v>
      </c>
    </row>
    <row r="699">
      <c r="A699" s="31" t="str">
        <f>IFERROR(__xludf.DUMMYFUNCTION("""COMPUTED_VALUE"""),"チーズ状のおりものが出ます。考えられる病気は？")</f>
        <v>チーズ状のおりものが出ます。考えられる病気は？</v>
      </c>
      <c r="B699" s="31" t="str">
        <f>IFERROR(__xludf.DUMMYFUNCTION("""COMPUTED_VALUE"""),"おりものの状態の変化は、体からのサインである可能性がありま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amp;"障害の治療、不妊治療、体重100kg以上の方への診療、救急対応（緊急搬送・急性期対応）は行っておりませんのであらかじめご了承くださいませ。")</f>
        <v>おりものの状態の変化は、体からのサインである可能性がありま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699" s="31" t="str">
        <f>IFERROR(__xludf.DUMMYFUNCTION("""COMPUTED_VALUE"""),"郵送検査/FemCHECK")</f>
        <v>郵送検査/FemCHECK</v>
      </c>
      <c r="D699" s="31" t="str">
        <f>IFERROR(__xludf.DUMMYFUNCTION("""COMPUTED_VALUE"""),"チーズ状おりもの,カンジダ,かゆみ,膣炎")</f>
        <v>チーズ状おりもの,カンジダ,かゆみ,膣炎</v>
      </c>
      <c r="E699" s="32" t="str">
        <f>IFERROR(__xludf.DUMMYFUNCTION("""COMPUTED_VALUE"""),"https://luna-dr.com/femcheck/about/")</f>
        <v>https://luna-dr.com/femcheck/about/</v>
      </c>
    </row>
    <row r="700">
      <c r="A700" s="31" t="str">
        <f>IFERROR(__xludf.DUMMYFUNCTION("""COMPUTED_VALUE"""),"性器周辺にかゆみや痛みがあります。何が考えられますか？")</f>
        <v>性器周辺にかゆみや痛みがあります。何が考えられますか？</v>
      </c>
      <c r="B700" s="31" t="str">
        <f>IFERROR(__xludf.DUMMYFUNCTION("""COMPUTED_VALUE"""),"性器周辺のかゆみや痛みは、さまざまな原因が考えられま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amp;"治療、不妊治療、体重100kg以上の方への診療、救急対応（緊急搬送・急性期対応）は行っておりませんのであらかじめご了承くださいませ。")</f>
        <v>性器周辺のかゆみや痛みは、さまざまな原因が考えられま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700" s="31" t="str">
        <f>IFERROR(__xludf.DUMMYFUNCTION("""COMPUTED_VALUE"""),"郵送検査/FemCHECK")</f>
        <v>郵送検査/FemCHECK</v>
      </c>
      <c r="D700" s="31" t="str">
        <f>IFERROR(__xludf.DUMMYFUNCTION("""COMPUTED_VALUE"""),"かゆみ,痛み,細菌性膣症,膣炎")</f>
        <v>かゆみ,痛み,細菌性膣症,膣炎</v>
      </c>
      <c r="E700" s="32" t="str">
        <f>IFERROR(__xludf.DUMMYFUNCTION("""COMPUTED_VALUE"""),"https://luna-dr.com/femcheck/about/")</f>
        <v>https://luna-dr.com/femcheck/about/</v>
      </c>
    </row>
    <row r="701">
      <c r="A701" s="31" t="str">
        <f>IFERROR(__xludf.DUMMYFUNCTION("""COMPUTED_VALUE"""),"下半身が熱く感じます。考えられる性感染症は？")</f>
        <v>下半身が熱く感じます。考えられる性感染症は？</v>
      </c>
      <c r="B701" s="31" t="str">
        <f>IFERROR(__xludf.DUMMYFUNCTION("""COMPUTED_VALUE"""),"下半身の熱感や違和感は、さまざまな原因が考えられま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amp;"療、不妊治療、体重100kg以上の方への診療、救急対応（緊急搬送・急性期対応）は行っておりませんのであらかじめご了承くださいませ。")</f>
        <v>下半身の熱感や違和感は、さまざまな原因が考えられま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701" s="31" t="str">
        <f>IFERROR(__xludf.DUMMYFUNCTION("""COMPUTED_VALUE"""),"郵送検査/FemCHECK")</f>
        <v>郵送検査/FemCHECK</v>
      </c>
      <c r="D701" s="31" t="str">
        <f>IFERROR(__xludf.DUMMYFUNCTION("""COMPUTED_VALUE"""),"下半身が熱い,クラミジア,性感染症")</f>
        <v>下半身が熱い,クラミジア,性感染症</v>
      </c>
      <c r="E701" s="32" t="str">
        <f>IFERROR(__xludf.DUMMYFUNCTION("""COMPUTED_VALUE"""),"https://luna-dr.com/femcheck/about/")</f>
        <v>https://luna-dr.com/femcheck/about/</v>
      </c>
    </row>
    <row r="702">
      <c r="A702" s="31" t="str">
        <f>IFERROR(__xludf.DUMMYFUNCTION("""COMPUTED_VALUE"""),"高熱が出ています。性感染症が原因のことはありますか？")</f>
        <v>高熱が出ています。性感染症が原因のことはありますか？</v>
      </c>
      <c r="B702" s="31" t="str">
        <f>IFERROR(__xludf.DUMMYFUNCTION("""COMPUTED_VALUE"""),"高熱が続く場合は、早めにご受診ください。個別の症状やお体のご状況については診察にてご確認いただくことをおすすめいたします。当院でのご受診をご希望の場合は、ご予約をお取りの上、クリニックにご受診ください。ただし、当院は37.5℃以上の熱がある場合は受診ができませんので、熱が一度下がってからご予約くださいませ。ご予約はLINEで受け付けています。LINEはこちら→https://cline-app.com/qr-codes/98ad6f149bfa20f4f2a9a2e91aac4187/preview　なお"&amp;"、恐れ入りますが、当院では乳房に関する診療（乳がん検診・乳腺外来など）、更年期障害の治療、不妊治療、体重100kg以上の方への診療、救急対応（緊急搬送・急性期対応）は行っておりませんのであらかじめご了承くださいませ。")</f>
        <v>高熱が続く場合は、早めにご受診ください。個別の症状やお体のご状況については診察にてご確認いただくことをおすすめいたします。当院でのご受診をご希望の場合は、ご予約をお取りの上、クリニックにご受診ください。ただし、当院は37.5℃以上の熱がある場合は受診ができませんので、熱が一度下がってからご予約くださいませ。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702" s="31" t="str">
        <f>IFERROR(__xludf.DUMMYFUNCTION("""COMPUTED_VALUE"""),"郵送検査/FemCHECK")</f>
        <v>郵送検査/FemCHECK</v>
      </c>
      <c r="D702" s="31" t="str">
        <f>IFERROR(__xludf.DUMMYFUNCTION("""COMPUTED_VALUE"""),"高熱,クラミジア,性感染症")</f>
        <v>高熱,クラミジア,性感染症</v>
      </c>
      <c r="E702" s="32" t="str">
        <f>IFERROR(__xludf.DUMMYFUNCTION("""COMPUTED_VALUE"""),"https://luna-dr.com/femcheck/about/")</f>
        <v>https://luna-dr.com/femcheck/about/</v>
      </c>
    </row>
    <row r="703">
      <c r="A703" s="31" t="str">
        <f>IFERROR(__xludf.DUMMYFUNCTION("""COMPUTED_VALUE"""),"クラミジアとは何ですか？")</f>
        <v>クラミジアとは何ですか？</v>
      </c>
      <c r="B703" s="31" t="str">
        <f>IFERROR(__xludf.DUMMYFUNCTION("""COMPUTED_VALUE"""),"クラミジアとは、クラミジア・トラコマティスという細菌が原因で起こる性感染症です。主に性交渉によって感染し、女性では無症状のまま進行することが多いのが特徴です。")</f>
        <v>クラミジアとは、クラミジア・トラコマティスという細菌が原因で起こる性感染症です。主に性交渉によって感染し、女性では無症状のまま進行することが多いのが特徴です。</v>
      </c>
      <c r="C703" s="31" t="str">
        <f>IFERROR(__xludf.DUMMYFUNCTION("""COMPUTED_VALUE"""),"郵送検査/FemCHECK")</f>
        <v>郵送検査/FemCHECK</v>
      </c>
      <c r="D703" s="31" t="str">
        <f>IFERROR(__xludf.DUMMYFUNCTION("""COMPUTED_VALUE"""),"クラミジア,性器クラミジア,性感染症,STD")</f>
        <v>クラミジア,性器クラミジア,性感染症,STD</v>
      </c>
      <c r="E703" s="32" t="str">
        <f>IFERROR(__xludf.DUMMYFUNCTION("""COMPUTED_VALUE"""),"https://luna-dr.com/femcheck/about/")</f>
        <v>https://luna-dr.com/femcheck/about/</v>
      </c>
    </row>
    <row r="704">
      <c r="A704" s="31" t="str">
        <f>IFERROR(__xludf.DUMMYFUNCTION("""COMPUTED_VALUE"""),"クラミジアはどんな症状が出ますか？")</f>
        <v>クラミジアはどんな症状が出ますか？</v>
      </c>
      <c r="B704" s="31" t="str">
        <f>IFERROR(__xludf.DUMMYFUNCTION("""COMPUTED_VALUE"""),"クラミジアは女性では約80％が無症状といわれています。症状が出る場合は、おりものの増加、下腹部痛、性交時の痛み、不正出血などがあります。")</f>
        <v>クラミジアは女性では約80％が無症状といわれています。症状が出る場合は、おりものの増加、下腹部痛、性交時の痛み、不正出血などがあります。</v>
      </c>
      <c r="C704" s="31" t="str">
        <f>IFERROR(__xludf.DUMMYFUNCTION("""COMPUTED_VALUE"""),"郵送検査/FemCHECK")</f>
        <v>郵送検査/FemCHECK</v>
      </c>
      <c r="D704" s="31" t="str">
        <f>IFERROR(__xludf.DUMMYFUNCTION("""COMPUTED_VALUE"""),"クラミジア,症状,おりもの,下腹部痛")</f>
        <v>クラミジア,症状,おりもの,下腹部痛</v>
      </c>
      <c r="E704" s="32" t="str">
        <f>IFERROR(__xludf.DUMMYFUNCTION("""COMPUTED_VALUE"""),"https://luna-dr.com/femcheck/about/")</f>
        <v>https://luna-dr.com/femcheck/about/</v>
      </c>
    </row>
    <row r="705">
      <c r="A705" s="31" t="str">
        <f>IFERROR(__xludf.DUMMYFUNCTION("""COMPUTED_VALUE"""),"クラミジアを放置するとどうなりますか？")</f>
        <v>クラミジアを放置するとどうなりますか？</v>
      </c>
      <c r="B705" s="31" t="str">
        <f>IFERROR(__xludf.DUMMYFUNCTION("""COMPUTED_VALUE"""),"クラミジアを放置すると、卵管炎や卵管閉塞を起こし、不妊症や子宮外妊娠の原因になることがあります。")</f>
        <v>クラミジアを放置すると、卵管炎や卵管閉塞を起こし、不妊症や子宮外妊娠の原因になることがあります。</v>
      </c>
      <c r="C705" s="31" t="str">
        <f>IFERROR(__xludf.DUMMYFUNCTION("""COMPUTED_VALUE"""),"郵送検査/FemCHECK")</f>
        <v>郵送検査/FemCHECK</v>
      </c>
      <c r="D705" s="31" t="str">
        <f>IFERROR(__xludf.DUMMYFUNCTION("""COMPUTED_VALUE"""),"クラミジア,放置,不妊,子宮外妊娠")</f>
        <v>クラミジア,放置,不妊,子宮外妊娠</v>
      </c>
      <c r="E705" s="32" t="str">
        <f>IFERROR(__xludf.DUMMYFUNCTION("""COMPUTED_VALUE"""),"https://luna-dr.com/femcheck/about/")</f>
        <v>https://luna-dr.com/femcheck/about/</v>
      </c>
    </row>
    <row r="706">
      <c r="A706" s="31" t="str">
        <f>IFERROR(__xludf.DUMMYFUNCTION("""COMPUTED_VALUE"""),"クラミジアの検査方法を教えてください。")</f>
        <v>クラミジアの検査方法を教えてください。</v>
      </c>
      <c r="B706" s="31" t="str">
        <f>IFERROR(__xludf.DUMMYFUNCTION("""COMPUTED_VALUE"""),"クラミジアの検査は、おりもの検査や尿検査、郵送検査キットなどで行います。症状や状況に応じて適切な方法を選択します。")</f>
        <v>クラミジアの検査は、おりもの検査や尿検査、郵送検査キットなどで行います。症状や状況に応じて適切な方法を選択します。</v>
      </c>
      <c r="C706" s="31" t="str">
        <f>IFERROR(__xludf.DUMMYFUNCTION("""COMPUTED_VALUE"""),"郵送検査/FemCHECK")</f>
        <v>郵送検査/FemCHECK</v>
      </c>
      <c r="D706" s="31" t="str">
        <f>IFERROR(__xludf.DUMMYFUNCTION("""COMPUTED_VALUE"""),"クラミジア検査,おりもの検査,郵送検査")</f>
        <v>クラミジア検査,おりもの検査,郵送検査</v>
      </c>
      <c r="E706" s="32" t="str">
        <f>IFERROR(__xludf.DUMMYFUNCTION("""COMPUTED_VALUE"""),"https://luna-dr.com/femcheck/about/")</f>
        <v>https://luna-dr.com/femcheck/about/</v>
      </c>
    </row>
    <row r="707">
      <c r="A707" s="31" t="str">
        <f>IFERROR(__xludf.DUMMYFUNCTION("""COMPUTED_VALUE"""),"クラミジアは治りますか？")</f>
        <v>クラミジアは治りますか？</v>
      </c>
      <c r="B707" s="31" t="str">
        <f>IFERROR(__xludf.DUMMYFUNCTION("""COMPUTED_VALUE"""),"クラミジアは抗菌薬の内服治療で完治します。ただし、治療後の確認検査を受けることが重要で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amp;"検診・乳腺外来など）、更年期障害の治療、不妊治療、体重100kg以上の方への診療、救急対応（緊急搬送・急性期対応）は行っておりませんのであらかじめご了承くださいませ。")</f>
        <v>クラミジアは抗菌薬の内服治療で完治します。ただし、治療後の確認検査を受けることが重要で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707" s="31" t="str">
        <f>IFERROR(__xludf.DUMMYFUNCTION("""COMPUTED_VALUE"""),"郵送検査/FemCHECK")</f>
        <v>郵送検査/FemCHECK</v>
      </c>
      <c r="D707" s="31" t="str">
        <f>IFERROR(__xludf.DUMMYFUNCTION("""COMPUTED_VALUE"""),"クラミジア,治療,抗菌薬,完治")</f>
        <v>クラミジア,治療,抗菌薬,完治</v>
      </c>
      <c r="E707" s="32" t="str">
        <f>IFERROR(__xludf.DUMMYFUNCTION("""COMPUTED_VALUE"""),"https://luna-dr.com/femcheck/about/")</f>
        <v>https://luna-dr.com/femcheck/about/</v>
      </c>
    </row>
    <row r="708">
      <c r="A708" s="31" t="str">
        <f>IFERROR(__xludf.DUMMYFUNCTION("""COMPUTED_VALUE"""),"クラミジアは自然に治りますか？")</f>
        <v>クラミジアは自然に治りますか？</v>
      </c>
      <c r="B708" s="31" t="str">
        <f>IFERROR(__xludf.DUMMYFUNCTION("""COMPUTED_VALUE"""),"クラミジアは自然に治ることはほとんどありません。適切な抗菌薬による治療が必要です。症状が軽くても、必ず治療を受けることが重要で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amp;"ますが、当院では乳房に関する診療（乳がん検診・乳腺外来など）、更年期障害の治療、不妊治療、体重100kg以上の方への診療、救急対応（緊急搬送・急性期対応）は行っておりませんのであらかじめご了承くださいませ。")</f>
        <v>クラミジアは自然に治ることはほとんどありません。適切な抗菌薬による治療が必要です。症状が軽くても、必ず治療を受けることが重要で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708" s="31" t="str">
        <f>IFERROR(__xludf.DUMMYFUNCTION("""COMPUTED_VALUE"""),"郵送検査/FemCHECK")</f>
        <v>郵送検査/FemCHECK</v>
      </c>
      <c r="D708" s="31" t="str">
        <f>IFERROR(__xludf.DUMMYFUNCTION("""COMPUTED_VALUE"""),"クラミジア,自然治癒,治療")</f>
        <v>クラミジア,自然治癒,治療</v>
      </c>
      <c r="E708" s="32" t="str">
        <f>IFERROR(__xludf.DUMMYFUNCTION("""COMPUTED_VALUE"""),"https://luna-dr.com/femcheck/about/")</f>
        <v>https://luna-dr.com/femcheck/about/</v>
      </c>
    </row>
    <row r="709">
      <c r="A709" s="31" t="str">
        <f>IFERROR(__xludf.DUMMYFUNCTION("""COMPUTED_VALUE"""),"クラミジアは郵送検査でも調べられますか？")</f>
        <v>クラミジアは郵送検査でも調べられますか？</v>
      </c>
      <c r="B709" s="31" t="str">
        <f>IFERROR(__xludf.DUMMYFUNCTION("""COMPUTED_VALUE"""),"クラミジアは郵送検査キットでも調べることが可能です。ご自宅で検体を採取し、結果をWEBで確認できます。陽性の場合はオンライン診療で治療まで対応できます。")</f>
        <v>クラミジアは郵送検査キットでも調べることが可能です。ご自宅で検体を採取し、結果をWEBで確認できます。陽性の場合はオンライン診療で治療まで対応できます。</v>
      </c>
      <c r="C709" s="31" t="str">
        <f>IFERROR(__xludf.DUMMYFUNCTION("""COMPUTED_VALUE"""),"郵送検査/FemCHECK")</f>
        <v>郵送検査/FemCHECK</v>
      </c>
      <c r="D709" s="31" t="str">
        <f>IFERROR(__xludf.DUMMYFUNCTION("""COMPUTED_VALUE"""),"クラミジア,郵送検査,FemCHECK")</f>
        <v>クラミジア,郵送検査,FemCHECK</v>
      </c>
      <c r="E709" s="32" t="str">
        <f>IFERROR(__xludf.DUMMYFUNCTION("""COMPUTED_VALUE"""),"https://luna-dr.com/femcheck/about/")</f>
        <v>https://luna-dr.com/femcheck/about/</v>
      </c>
    </row>
    <row r="710">
      <c r="A710" s="31" t="str">
        <f>IFERROR(__xludf.DUMMYFUNCTION("""COMPUTED_VALUE"""),"クラミジアの治療方法を教えてください。")</f>
        <v>クラミジアの治療方法を教えてください。</v>
      </c>
      <c r="B710" s="31" t="str">
        <f>IFERROR(__xludf.DUMMYFUNCTION("""COMPUTED_VALUE"""),"クラミジアの治療は抗菌薬の内服が基本です。医師の指示通りに服用することで、多くの場合完治します。治療後は治癒確認の検査が重要です。")</f>
        <v>クラミジアの治療は抗菌薬の内服が基本です。医師の指示通りに服用することで、多くの場合完治します。治療後は治癒確認の検査が重要です。</v>
      </c>
      <c r="C710" s="31" t="str">
        <f>IFERROR(__xludf.DUMMYFUNCTION("""COMPUTED_VALUE"""),"郵送検査/FemCHECK")</f>
        <v>郵送検査/FemCHECK</v>
      </c>
      <c r="D710" s="31" t="str">
        <f>IFERROR(__xludf.DUMMYFUNCTION("""COMPUTED_VALUE"""),"クラミジア,治療,抗菌薬")</f>
        <v>クラミジア,治療,抗菌薬</v>
      </c>
      <c r="E710" s="32" t="str">
        <f>IFERROR(__xludf.DUMMYFUNCTION("""COMPUTED_VALUE"""),"https://luna-dr.com/femcheck/about/")</f>
        <v>https://luna-dr.com/femcheck/about/</v>
      </c>
    </row>
    <row r="711">
      <c r="A711" s="31" t="str">
        <f>IFERROR(__xludf.DUMMYFUNCTION("""COMPUTED_VALUE"""),"クラミジアはパートナーも治療が必要ですか？")</f>
        <v>クラミジアはパートナーも治療が必要ですか？</v>
      </c>
      <c r="B711" s="31" t="str">
        <f>IFERROR(__xludf.DUMMYFUNCTION("""COMPUTED_VALUE"""),"クラミジアと診断された場合は、パートナーも同時に検査・治療を受けることが非常に重要です。治療しないと再感染（ピンポン感染）の原因になります。")</f>
        <v>クラミジアと診断された場合は、パートナーも同時に検査・治療を受けることが非常に重要です。治療しないと再感染（ピンポン感染）の原因になります。</v>
      </c>
      <c r="C711" s="31" t="str">
        <f>IFERROR(__xludf.DUMMYFUNCTION("""COMPUTED_VALUE"""),"郵送検査/FemCHECK")</f>
        <v>郵送検査/FemCHECK</v>
      </c>
      <c r="D711" s="31" t="str">
        <f>IFERROR(__xludf.DUMMYFUNCTION("""COMPUTED_VALUE"""),"クラミジア,パートナー,再感染")</f>
        <v>クラミジア,パートナー,再感染</v>
      </c>
      <c r="E711" s="32" t="str">
        <f>IFERROR(__xludf.DUMMYFUNCTION("""COMPUTED_VALUE"""),"https://luna-dr.com/femcheck/about/")</f>
        <v>https://luna-dr.com/femcheck/about/</v>
      </c>
    </row>
    <row r="712">
      <c r="A712" s="31" t="str">
        <f>IFERROR(__xludf.DUMMYFUNCTION("""COMPUTED_VALUE"""),"クラミジアは完治しますか？")</f>
        <v>クラミジアは完治しますか？</v>
      </c>
      <c r="B712" s="31" t="str">
        <f>IFERROR(__xludf.DUMMYFUNCTION("""COMPUTED_VALUE"""),"クラミジアは適切な治療を行えば完治します。ただし、治療後の確認検査を受けずに放置すると、治りきっていない場合がありま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amp;"院では乳房に関する診療（乳がん検診・乳腺外来など）、更年期障害の治療、不妊治療、体重100kg以上の方への診療、救急対応（緊急搬送・急性期対応）は行っておりませんのであらかじめご了承くださいませ。")</f>
        <v>クラミジアは適切な治療を行えば完治します。ただし、治療後の確認検査を受けずに放置すると、治りきっていない場合がありま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712" s="31" t="str">
        <f>IFERROR(__xludf.DUMMYFUNCTION("""COMPUTED_VALUE"""),"郵送検査/FemCHECK")</f>
        <v>郵送検査/FemCHECK</v>
      </c>
      <c r="D712" s="31" t="str">
        <f>IFERROR(__xludf.DUMMYFUNCTION("""COMPUTED_VALUE"""),"クラミジア,完治,治癒確認")</f>
        <v>クラミジア,完治,治癒確認</v>
      </c>
      <c r="E712" s="32" t="str">
        <f>IFERROR(__xludf.DUMMYFUNCTION("""COMPUTED_VALUE"""),"https://luna-dr.com/femcheck/about/")</f>
        <v>https://luna-dr.com/femcheck/about/</v>
      </c>
    </row>
    <row r="713">
      <c r="A713" s="31" t="str">
        <f>IFERROR(__xludf.DUMMYFUNCTION("""COMPUTED_VALUE"""),"淋病とは何ですか？")</f>
        <v>淋病とは何ですか？</v>
      </c>
      <c r="B713" s="31" t="str">
        <f>IFERROR(__xludf.DUMMYFUNCTION("""COMPUTED_VALUE"""),"淋病とは、淋菌という細菌が原因で起こる性感染症です。クラミジアに次いで多い性感染症で、女性では症状が出にくいことがあります。")</f>
        <v>淋病とは、淋菌という細菌が原因で起こる性感染症です。クラミジアに次いで多い性感染症で、女性では症状が出にくいことがあります。</v>
      </c>
      <c r="C713" s="31" t="str">
        <f>IFERROR(__xludf.DUMMYFUNCTION("""COMPUTED_VALUE"""),"郵送検査/FemCHECK")</f>
        <v>郵送検査/FemCHECK</v>
      </c>
      <c r="D713" s="31" t="str">
        <f>IFERROR(__xludf.DUMMYFUNCTION("""COMPUTED_VALUE"""),"淋病,淋菌,性感染症,STD")</f>
        <v>淋病,淋菌,性感染症,STD</v>
      </c>
      <c r="E713" s="32" t="str">
        <f>IFERROR(__xludf.DUMMYFUNCTION("""COMPUTED_VALUE"""),"https://luna-dr.com/femcheck/about/")</f>
        <v>https://luna-dr.com/femcheck/about/</v>
      </c>
    </row>
    <row r="714">
      <c r="A714" s="31" t="str">
        <f>IFERROR(__xludf.DUMMYFUNCTION("""COMPUTED_VALUE"""),"淋病はどんな症状がありますか？")</f>
        <v>淋病はどんな症状がありますか？</v>
      </c>
      <c r="B714" s="31" t="str">
        <f>IFERROR(__xludf.DUMMYFUNCTION("""COMPUTED_VALUE"""),"淋病では、おりものの増加、下腹部痛、排尿時の違和感などがみられることがありますが、女性では無症状のことも少なくありません。")</f>
        <v>淋病では、おりものの増加、下腹部痛、排尿時の違和感などがみられることがありますが、女性では無症状のことも少なくありません。</v>
      </c>
      <c r="C714" s="31" t="str">
        <f>IFERROR(__xludf.DUMMYFUNCTION("""COMPUTED_VALUE"""),"郵送検査/FemCHECK")</f>
        <v>郵送検査/FemCHECK</v>
      </c>
      <c r="D714" s="31" t="str">
        <f>IFERROR(__xludf.DUMMYFUNCTION("""COMPUTED_VALUE"""),"淋病,症状,おりもの,下腹部痛")</f>
        <v>淋病,症状,おりもの,下腹部痛</v>
      </c>
      <c r="E714" s="32" t="str">
        <f>IFERROR(__xludf.DUMMYFUNCTION("""COMPUTED_VALUE"""),"https://luna-dr.com/femcheck/about/")</f>
        <v>https://luna-dr.com/femcheck/about/</v>
      </c>
    </row>
    <row r="715">
      <c r="A715" s="31" t="str">
        <f>IFERROR(__xludf.DUMMYFUNCTION("""COMPUTED_VALUE"""),"淋病を放置するとどうなりますか？")</f>
        <v>淋病を放置するとどうなりますか？</v>
      </c>
      <c r="B715" s="31" t="str">
        <f>IFERROR(__xludf.DUMMYFUNCTION("""COMPUTED_VALUE"""),"淋病を放置すると、子宮や卵管に炎症が広がり、不妊症や子宮外妊娠の原因になることがあります。")</f>
        <v>淋病を放置すると、子宮や卵管に炎症が広がり、不妊症や子宮外妊娠の原因になることがあります。</v>
      </c>
      <c r="C715" s="31" t="str">
        <f>IFERROR(__xludf.DUMMYFUNCTION("""COMPUTED_VALUE"""),"郵送検査/FemCHECK")</f>
        <v>郵送検査/FemCHECK</v>
      </c>
      <c r="D715" s="31" t="str">
        <f>IFERROR(__xludf.DUMMYFUNCTION("""COMPUTED_VALUE"""),"淋病,放置,不妊,子宮外妊娠")</f>
        <v>淋病,放置,不妊,子宮外妊娠</v>
      </c>
      <c r="E715" s="32" t="str">
        <f>IFERROR(__xludf.DUMMYFUNCTION("""COMPUTED_VALUE"""),"https://luna-dr.com/femcheck/about/")</f>
        <v>https://luna-dr.com/femcheck/about/</v>
      </c>
    </row>
    <row r="716">
      <c r="A716" s="31" t="str">
        <f>IFERROR(__xludf.DUMMYFUNCTION("""COMPUTED_VALUE"""),"淋病の検査方法を教えてください。")</f>
        <v>淋病の検査方法を教えてください。</v>
      </c>
      <c r="B716" s="31" t="str">
        <f>IFERROR(__xludf.DUMMYFUNCTION("""COMPUTED_VALUE"""),"淋病の検査は、おりもの検査や尿検査で行います。クラミジアと同時に検査することが一般的です。")</f>
        <v>淋病の検査は、おりもの検査や尿検査で行います。クラミジアと同時に検査することが一般的です。</v>
      </c>
      <c r="C716" s="31" t="str">
        <f>IFERROR(__xludf.DUMMYFUNCTION("""COMPUTED_VALUE"""),"郵送検査/FemCHECK")</f>
        <v>郵送検査/FemCHECK</v>
      </c>
      <c r="D716" s="31" t="str">
        <f>IFERROR(__xludf.DUMMYFUNCTION("""COMPUTED_VALUE"""),"淋病検査,淋菌検査,おりもの検査")</f>
        <v>淋病検査,淋菌検査,おりもの検査</v>
      </c>
      <c r="E716" s="32" t="str">
        <f>IFERROR(__xludf.DUMMYFUNCTION("""COMPUTED_VALUE"""),"https://luna-dr.com/femcheck/about/")</f>
        <v>https://luna-dr.com/femcheck/about/</v>
      </c>
    </row>
    <row r="717">
      <c r="A717" s="31" t="str">
        <f>IFERROR(__xludf.DUMMYFUNCTION("""COMPUTED_VALUE"""),"淋病は治りますか？")</f>
        <v>淋病は治りますか？</v>
      </c>
      <c r="B717" s="31" t="str">
        <f>IFERROR(__xludf.DUMMYFUNCTION("""COMPUTED_VALUE"""),"淋病は適切な抗菌薬による治療で完治します。医師の指示に従って治療を受けることが重要で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amp;"診・乳腺外来など）、更年期障害の治療、不妊治療、体重100kg以上の方への診療、救急対応（緊急搬送・急性期対応）は行っておりませんのであらかじめご了承くださいませ。")</f>
        <v>淋病は適切な抗菌薬による治療で完治します。医師の指示に従って治療を受けることが重要で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717" s="31" t="str">
        <f>IFERROR(__xludf.DUMMYFUNCTION("""COMPUTED_VALUE"""),"郵送検査/FemCHECK")</f>
        <v>郵送検査/FemCHECK</v>
      </c>
      <c r="D717" s="31" t="str">
        <f>IFERROR(__xludf.DUMMYFUNCTION("""COMPUTED_VALUE"""),"淋病,治療,抗菌薬,完治")</f>
        <v>淋病,治療,抗菌薬,完治</v>
      </c>
      <c r="E717" s="32" t="str">
        <f>IFERROR(__xludf.DUMMYFUNCTION("""COMPUTED_VALUE"""),"https://luna-dr.com/femcheck/about/")</f>
        <v>https://luna-dr.com/femcheck/about/</v>
      </c>
    </row>
    <row r="718">
      <c r="A718" s="31" t="str">
        <f>IFERROR(__xludf.DUMMYFUNCTION("""COMPUTED_VALUE"""),"性器カンジダ症とは何ですか？")</f>
        <v>性器カンジダ症とは何ですか？</v>
      </c>
      <c r="B718" s="31" t="str">
        <f>IFERROR(__xludf.DUMMYFUNCTION("""COMPUTED_VALUE"""),"性器カンジダ症とは、膣内に存在するカンジダ菌が異常に増殖して起こる膣の炎症です。性感染症ではありません。")</f>
        <v>性器カンジダ症とは、膣内に存在するカンジダ菌が異常に増殖して起こる膣の炎症です。性感染症ではありません。</v>
      </c>
      <c r="C718" s="31" t="str">
        <f>IFERROR(__xludf.DUMMYFUNCTION("""COMPUTED_VALUE"""),"郵送検査/FemCHECK")</f>
        <v>郵送検査/FemCHECK</v>
      </c>
      <c r="D718" s="31" t="str">
        <f>IFERROR(__xludf.DUMMYFUNCTION("""COMPUTED_VALUE"""),"カンジダ,性器カンジダ,カンジダ膣炎")</f>
        <v>カンジダ,性器カンジダ,カンジダ膣炎</v>
      </c>
      <c r="E718" s="32" t="str">
        <f>IFERROR(__xludf.DUMMYFUNCTION("""COMPUTED_VALUE"""),"https://luna-dr.com/femcheck/about/")</f>
        <v>https://luna-dr.com/femcheck/about/</v>
      </c>
    </row>
    <row r="719">
      <c r="A719" s="31" t="str">
        <f>IFERROR(__xludf.DUMMYFUNCTION("""COMPUTED_VALUE"""),"カンジダ症の症状を教えてください。")</f>
        <v>カンジダ症の症状を教えてください。</v>
      </c>
      <c r="B719" s="31" t="str">
        <f>IFERROR(__xludf.DUMMYFUNCTION("""COMPUTED_VALUE"""),"カンジダ症では、強いかゆみや、白くポロポロしたチーズ状のおりものが出ることがあります。")</f>
        <v>カンジダ症では、強いかゆみや、白くポロポロしたチーズ状のおりものが出ることがあります。</v>
      </c>
      <c r="C719" s="31" t="str">
        <f>IFERROR(__xludf.DUMMYFUNCTION("""COMPUTED_VALUE"""),"郵送検査/FemCHECK")</f>
        <v>郵送検査/FemCHECK</v>
      </c>
      <c r="D719" s="31" t="str">
        <f>IFERROR(__xludf.DUMMYFUNCTION("""COMPUTED_VALUE"""),"カンジダ,症状,かゆみ,おりもの")</f>
        <v>カンジダ,症状,かゆみ,おりもの</v>
      </c>
      <c r="E719" s="32" t="str">
        <f>IFERROR(__xludf.DUMMYFUNCTION("""COMPUTED_VALUE"""),"https://luna-dr.com/femcheck/about/")</f>
        <v>https://luna-dr.com/femcheck/about/</v>
      </c>
    </row>
    <row r="720">
      <c r="A720" s="31" t="str">
        <f>IFERROR(__xludf.DUMMYFUNCTION("""COMPUTED_VALUE"""),"カンジダはなぜ起こりますか？")</f>
        <v>カンジダはなぜ起こりますか？</v>
      </c>
      <c r="B720" s="31" t="str">
        <f>IFERROR(__xludf.DUMMYFUNCTION("""COMPUTED_VALUE"""),"疲労やストレス、抗生物質の使用などで免疫力が低下すると、常在菌であるカンジダが増殖して発症します。")</f>
        <v>疲労やストレス、抗生物質の使用などで免疫力が低下すると、常在菌であるカンジダが増殖して発症します。</v>
      </c>
      <c r="C720" s="31" t="str">
        <f>IFERROR(__xludf.DUMMYFUNCTION("""COMPUTED_VALUE"""),"郵送検査/FemCHECK")</f>
        <v>郵送検査/FemCHECK</v>
      </c>
      <c r="D720" s="31" t="str">
        <f>IFERROR(__xludf.DUMMYFUNCTION("""COMPUTED_VALUE"""),"カンジダ,原因,免疫低下")</f>
        <v>カンジダ,原因,免疫低下</v>
      </c>
      <c r="E720" s="32" t="str">
        <f>IFERROR(__xludf.DUMMYFUNCTION("""COMPUTED_VALUE"""),"https://luna-dr.com/femcheck/about/")</f>
        <v>https://luna-dr.com/femcheck/about/</v>
      </c>
    </row>
    <row r="721">
      <c r="A721" s="31" t="str">
        <f>IFERROR(__xludf.DUMMYFUNCTION("""COMPUTED_VALUE"""),"カンジダ症の検査方法を教えてください。")</f>
        <v>カンジダ症の検査方法を教えてください。</v>
      </c>
      <c r="B721" s="31" t="str">
        <f>IFERROR(__xludf.DUMMYFUNCTION("""COMPUTED_VALUE"""),"カンジダ症は、おりものを採取して顕微鏡検査などで診断します。")</f>
        <v>カンジダ症は、おりものを採取して顕微鏡検査などで診断します。</v>
      </c>
      <c r="C721" s="31" t="str">
        <f>IFERROR(__xludf.DUMMYFUNCTION("""COMPUTED_VALUE"""),"郵送検査/FemCHECK")</f>
        <v>郵送検査/FemCHECK</v>
      </c>
      <c r="D721" s="31" t="str">
        <f>IFERROR(__xludf.DUMMYFUNCTION("""COMPUTED_VALUE"""),"カンジダ検査,おりもの検査")</f>
        <v>カンジダ検査,おりもの検査</v>
      </c>
      <c r="E721" s="32" t="str">
        <f>IFERROR(__xludf.DUMMYFUNCTION("""COMPUTED_VALUE"""),"https://luna-dr.com/femcheck/about/")</f>
        <v>https://luna-dr.com/femcheck/about/</v>
      </c>
    </row>
    <row r="722">
      <c r="A722" s="31" t="str">
        <f>IFERROR(__xludf.DUMMYFUNCTION("""COMPUTED_VALUE"""),"カンジダ症は治りますか？")</f>
        <v>カンジダ症は治りますか？</v>
      </c>
      <c r="B722" s="31" t="str">
        <f>IFERROR(__xludf.DUMMYFUNCTION("""COMPUTED_VALUE"""),"膣錠や内服薬による治療で改善します。再発しやすいため、再発時は早めの受診が大切で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amp;"乳腺外来など）、更年期障害の治療、不妊治療、体重100kg以上の方への診療、救急対応（緊急搬送・急性期対応）は行っておりませんのであらかじめご了承くださいませ。")</f>
        <v>膣錠や内服薬による治療で改善します。再発しやすいため、再発時は早めの受診が大切で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722" s="31" t="str">
        <f>IFERROR(__xludf.DUMMYFUNCTION("""COMPUTED_VALUE"""),"郵送検査/FemCHECK")</f>
        <v>郵送検査/FemCHECK</v>
      </c>
      <c r="D722" s="31" t="str">
        <f>IFERROR(__xludf.DUMMYFUNCTION("""COMPUTED_VALUE"""),"カンジダ,治療,膣錠,再発")</f>
        <v>カンジダ,治療,膣錠,再発</v>
      </c>
      <c r="E722" s="32" t="str">
        <f>IFERROR(__xludf.DUMMYFUNCTION("""COMPUTED_VALUE"""),"https://luna-dr.com/femcheck/about/")</f>
        <v>https://luna-dr.com/femcheck/about/</v>
      </c>
    </row>
    <row r="723">
      <c r="A723" s="31" t="str">
        <f>IFERROR(__xludf.DUMMYFUNCTION("""COMPUTED_VALUE"""),"細菌性膣症とは何ですか？")</f>
        <v>細菌性膣症とは何ですか？</v>
      </c>
      <c r="B723" s="31" t="str">
        <f>IFERROR(__xludf.DUMMYFUNCTION("""COMPUTED_VALUE"""),"細菌性膣症とは、膣内の善玉菌が減少し、雑菌が増えることで起こる膣内環境の乱れです。性感染症ではありません。")</f>
        <v>細菌性膣症とは、膣内の善玉菌が減少し、雑菌が増えることで起こる膣内環境の乱れです。性感染症ではありません。</v>
      </c>
      <c r="C723" s="31" t="str">
        <f>IFERROR(__xludf.DUMMYFUNCTION("""COMPUTED_VALUE"""),"郵送検査/FemCHECK")</f>
        <v>郵送検査/FemCHECK</v>
      </c>
      <c r="D723" s="31" t="str">
        <f>IFERROR(__xludf.DUMMYFUNCTION("""COMPUTED_VALUE"""),"細菌性膣症,細菌性膣炎,膣内環境")</f>
        <v>細菌性膣症,細菌性膣炎,膣内環境</v>
      </c>
      <c r="E723" s="32" t="str">
        <f>IFERROR(__xludf.DUMMYFUNCTION("""COMPUTED_VALUE"""),"https://luna-dr.com/femcheck/about/")</f>
        <v>https://luna-dr.com/femcheck/about/</v>
      </c>
    </row>
    <row r="724">
      <c r="A724" s="31" t="str">
        <f>IFERROR(__xludf.DUMMYFUNCTION("""COMPUTED_VALUE"""),"細菌性膣症の症状を教えてください。")</f>
        <v>細菌性膣症の症状を教えてください。</v>
      </c>
      <c r="B724" s="31" t="str">
        <f>IFERROR(__xludf.DUMMYFUNCTION("""COMPUTED_VALUE"""),"細菌性膣症では、灰色や白色のおりものや、魚が腐ったような生臭いにおいがすることがあります。")</f>
        <v>細菌性膣症では、灰色や白色のおりものや、魚が腐ったような生臭いにおいがすることがあります。</v>
      </c>
      <c r="C724" s="31" t="str">
        <f>IFERROR(__xludf.DUMMYFUNCTION("""COMPUTED_VALUE"""),"郵送検査/FemCHECK")</f>
        <v>郵送検査/FemCHECK</v>
      </c>
      <c r="D724" s="31" t="str">
        <f>IFERROR(__xludf.DUMMYFUNCTION("""COMPUTED_VALUE"""),"細菌性膣症,症状,おりもの,臭い")</f>
        <v>細菌性膣症,症状,おりもの,臭い</v>
      </c>
      <c r="E724" s="32" t="str">
        <f>IFERROR(__xludf.DUMMYFUNCTION("""COMPUTED_VALUE"""),"https://luna-dr.com/femcheck/about/")</f>
        <v>https://luna-dr.com/femcheck/about/</v>
      </c>
    </row>
    <row r="725">
      <c r="A725" s="31" t="str">
        <f>IFERROR(__xludf.DUMMYFUNCTION("""COMPUTED_VALUE"""),"細菌性膣症は放置するとどうなりますか？")</f>
        <v>細菌性膣症は放置するとどうなりますか？</v>
      </c>
      <c r="B725" s="31" t="str">
        <f>IFERROR(__xludf.DUMMYFUNCTION("""COMPUTED_VALUE"""),"細菌性膣症を放置すると、流産や早産のリスクが高まることがありま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amp;"年期障害の治療、不妊治療、体重100kg以上の方への診療、救急対応（緊急搬送・急性期対応）は行っておりませんのであらかじめご了承くださいませ。")</f>
        <v>細菌性膣症を放置すると、流産や早産のリスクが高まることがありま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725" s="31" t="str">
        <f>IFERROR(__xludf.DUMMYFUNCTION("""COMPUTED_VALUE"""),"郵送検査/FemCHECK")</f>
        <v>郵送検査/FemCHECK</v>
      </c>
      <c r="D725" s="31" t="str">
        <f>IFERROR(__xludf.DUMMYFUNCTION("""COMPUTED_VALUE"""),"細菌性膣症,放置,早産,流産")</f>
        <v>細菌性膣症,放置,早産,流産</v>
      </c>
      <c r="E725" s="32" t="str">
        <f>IFERROR(__xludf.DUMMYFUNCTION("""COMPUTED_VALUE"""),"https://luna-dr.com/femcheck/about/")</f>
        <v>https://luna-dr.com/femcheck/about/</v>
      </c>
    </row>
    <row r="726">
      <c r="A726" s="31" t="str">
        <f>IFERROR(__xludf.DUMMYFUNCTION("""COMPUTED_VALUE"""),"細菌性膣症の検査方法を教えてください。")</f>
        <v>細菌性膣症の検査方法を教えてください。</v>
      </c>
      <c r="B726" s="31" t="str">
        <f>IFERROR(__xludf.DUMMYFUNCTION("""COMPUTED_VALUE"""),"細菌性膣症は、おりもの検査により膣内の細菌バランスを調べて診断します。")</f>
        <v>細菌性膣症は、おりもの検査により膣内の細菌バランスを調べて診断します。</v>
      </c>
      <c r="C726" s="31" t="str">
        <f>IFERROR(__xludf.DUMMYFUNCTION("""COMPUTED_VALUE"""),"郵送検査/FemCHECK")</f>
        <v>郵送検査/FemCHECK</v>
      </c>
      <c r="D726" s="31" t="str">
        <f>IFERROR(__xludf.DUMMYFUNCTION("""COMPUTED_VALUE"""),"細菌性膣症検査,おりもの検査")</f>
        <v>細菌性膣症検査,おりもの検査</v>
      </c>
      <c r="E726" s="32" t="str">
        <f>IFERROR(__xludf.DUMMYFUNCTION("""COMPUTED_VALUE"""),"https://luna-dr.com/femcheck/about/")</f>
        <v>https://luna-dr.com/femcheck/about/</v>
      </c>
    </row>
    <row r="727">
      <c r="A727" s="31" t="str">
        <f>IFERROR(__xludf.DUMMYFUNCTION("""COMPUTED_VALUE"""),"細菌性膣症は治りますか？")</f>
        <v>細菌性膣症は治りますか？</v>
      </c>
      <c r="B727" s="31" t="str">
        <f>IFERROR(__xludf.DUMMYFUNCTION("""COMPUTED_VALUE"""),"抗菌薬による治療で改善します。再発しやすいため、生活習慣の見直しも重要で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amp;"など）、更年期障害の治療、不妊治療、体重100kg以上の方への診療、救急対応（緊急搬送・急性期対応）は行っておりませんのであらかじめご了承くださいませ。")</f>
        <v>抗菌薬による治療で改善します。再発しやすいため、生活習慣の見直しも重要で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727" s="31" t="str">
        <f>IFERROR(__xludf.DUMMYFUNCTION("""COMPUTED_VALUE"""),"郵送検査/FemCHECK")</f>
        <v>郵送検査/FemCHECK</v>
      </c>
      <c r="D727" s="31" t="str">
        <f>IFERROR(__xludf.DUMMYFUNCTION("""COMPUTED_VALUE"""),"細菌性膣症,治療,抗菌薬,再発")</f>
        <v>細菌性膣症,治療,抗菌薬,再発</v>
      </c>
      <c r="E727" s="32" t="str">
        <f>IFERROR(__xludf.DUMMYFUNCTION("""COMPUTED_VALUE"""),"https://luna-dr.com/femcheck/about/")</f>
        <v>https://luna-dr.com/femcheck/about/</v>
      </c>
    </row>
    <row r="728">
      <c r="A728" s="31" t="str">
        <f>IFERROR(__xludf.DUMMYFUNCTION("""COMPUTED_VALUE"""),"おりものの様子がいつもと違います。病気でしょうか？")</f>
        <v>おりものの様子がいつもと違います。病気でしょうか？</v>
      </c>
      <c r="B728" s="31" t="str">
        <f>IFERROR(__xludf.DUMMYFUNCTION("""COMPUTED_VALUE"""),"おりものの変化は体からのサインである場合がありま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amp;"、不妊治療、体重100kg以上の方への診療、救急対応（緊急搬送・急性期対応）は行っておりませんのであらかじめご了承くださいませ。")</f>
        <v>おりものの変化は体からのサインである場合がありま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728" s="31" t="str">
        <f>IFERROR(__xludf.DUMMYFUNCTION("""COMPUTED_VALUE"""),"郵送検査/FemCHECK")</f>
        <v>郵送検査/FemCHECK</v>
      </c>
      <c r="D728" s="31" t="str">
        <f>IFERROR(__xludf.DUMMYFUNCTION("""COMPUTED_VALUE"""),"おりもの異常,おりもの 色,おりもの かゆみ,性感染症")</f>
        <v>おりもの異常,おりもの 色,おりもの かゆみ,性感染症</v>
      </c>
      <c r="E728" s="32" t="str">
        <f>IFERROR(__xludf.DUMMYFUNCTION("""COMPUTED_VALUE"""),"https://luna-dr.com/femcheck/about/")</f>
        <v>https://luna-dr.com/femcheck/about/</v>
      </c>
    </row>
    <row r="729">
      <c r="A729" s="31" t="str">
        <f>IFERROR(__xludf.DUMMYFUNCTION("""COMPUTED_VALUE"""),"いろいろな性感染症について詳しく知りたいです。")</f>
        <v>いろいろな性感染症について詳しく知りたいです。</v>
      </c>
      <c r="B729" s="31" t="str">
        <f>IFERROR(__xludf.DUMMYFUNCTION("""COMPUTED_VALUE"""),"性感染症は正しい知識を知ることで、早期発見や予防につなげることができます。当院では、クラミジアや淋菌などの性感染症や関連する病気について、分かりやすく解説しています。")</f>
        <v>性感染症は正しい知識を知ることで、早期発見や予防につなげることができます。当院では、クラミジアや淋菌などの性感染症や関連する病気について、分かりやすく解説しています。</v>
      </c>
      <c r="C729" s="31" t="str">
        <f>IFERROR(__xludf.DUMMYFUNCTION("""COMPUTED_VALUE"""),"郵送検査/FemCHECK")</f>
        <v>郵送検査/FemCHECK</v>
      </c>
      <c r="D729" s="31" t="str">
        <f>IFERROR(__xludf.DUMMYFUNCTION("""COMPUTED_VALUE"""),"性感染症,性病 種類,STD 解説")</f>
        <v>性感染症,性病 種類,STD 解説</v>
      </c>
      <c r="E729" s="32" t="str">
        <f>IFERROR(__xludf.DUMMYFUNCTION("""COMPUTED_VALUE"""),"https://luna-dr.com/femcheck/about/")</f>
        <v>https://luna-dr.com/femcheck/about/</v>
      </c>
    </row>
    <row r="730">
      <c r="A730" s="31" t="str">
        <f>IFERROR(__xludf.DUMMYFUNCTION("""COMPUTED_VALUE"""),"症状がなければ、性感染症の検査は必要ないですか？")</f>
        <v>症状がなければ、性感染症の検査は必要ないですか？</v>
      </c>
      <c r="B730" s="31" t="str">
        <f>IFERROR(__xludf.DUMMYFUNCTION("""COMPUTED_VALUE"""),"性感染症は、感染していても症状が出にくいことが多く、自覚がないまま進行する場合があります。気づかないうちにパートナーへ感染させたり、不妊症の原因になることもあるため、感染の機会があった場合は症状がなくても検査を受けることが大切で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amp;"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f>
        <v>性感染症は、感染していても症状が出にくいことが多く、自覚がないまま進行する場合があります。気づかないうちにパートナーへ感染させたり、不妊症の原因になることもあるため、感染の機会があった場合は症状がなくても検査を受けることが大切で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730" s="31" t="str">
        <f>IFERROR(__xludf.DUMMYFUNCTION("""COMPUTED_VALUE"""),"郵送検査/FemCHECK")</f>
        <v>郵送検査/FemCHECK</v>
      </c>
      <c r="D730" s="31" t="str">
        <f>IFERROR(__xludf.DUMMYFUNCTION("""COMPUTED_VALUE"""),"性感染症 検査,無症状 性病,STD 検査")</f>
        <v>性感染症 検査,無症状 性病,STD 検査</v>
      </c>
      <c r="E730" s="32" t="str">
        <f>IFERROR(__xludf.DUMMYFUNCTION("""COMPUTED_VALUE"""),"https://luna-dr.com/femcheck/about/")</f>
        <v>https://luna-dr.com/femcheck/about/</v>
      </c>
    </row>
    <row r="731">
      <c r="A731" s="31" t="str">
        <f>IFERROR(__xludf.DUMMYFUNCTION("""COMPUTED_VALUE"""),"パートナーが性感染症に感染しました。自分はどうすればよいですか？")</f>
        <v>パートナーが性感染症に感染しました。自分はどうすればよいですか？</v>
      </c>
      <c r="B731" s="31" t="str">
        <f>IFERROR(__xludf.DUMMYFUNCTION("""COMPUTED_VALUE"""),"性感染症は、精液や腟分泌液、血液などを介して感染します。コンドームなどの予防をしていなかった場合は、ご自身も感染している可能性があるため、検査を受けることをおすすめします。")</f>
        <v>性感染症は、精液や腟分泌液、血液などを介して感染します。コンドームなどの予防をしていなかった場合は、ご自身も感染している可能性があるため、検査を受けることをおすすめします。</v>
      </c>
      <c r="C731" s="31" t="str">
        <f>IFERROR(__xludf.DUMMYFUNCTION("""COMPUTED_VALUE"""),"郵送検査/FemCHECK")</f>
        <v>郵送検査/FemCHECK</v>
      </c>
      <c r="D731" s="31" t="str">
        <f>IFERROR(__xludf.DUMMYFUNCTION("""COMPUTED_VALUE"""),"パートナー 性病,性感染症 感染,検査")</f>
        <v>パートナー 性病,性感染症 感染,検査</v>
      </c>
      <c r="E731" s="32" t="str">
        <f>IFERROR(__xludf.DUMMYFUNCTION("""COMPUTED_VALUE"""),"https://luna-dr.com/femcheck/about/")</f>
        <v>https://luna-dr.com/femcheck/about/</v>
      </c>
    </row>
    <row r="732">
      <c r="A732" s="31" t="str">
        <f>IFERROR(__xludf.DUMMYFUNCTION("""COMPUTED_VALUE"""),"陽性だった場合、検査結果を病院に持参すれば再検査は不要ですか？")</f>
        <v>陽性だった場合、検査結果を病院に持参すれば再検査は不要ですか？</v>
      </c>
      <c r="B732" s="31" t="str">
        <f>IFERROR(__xludf.DUMMYFUNCTION("""COMPUTED_VALUE"""),"FemCHECKがご紹介する提携医療機関で診療を受ける場合、原則として再検査は不要です。ただし、他の医療機関で治療を受ける場合は、医師の判断により再検査を行うことがあります。")</f>
        <v>FemCHECKがご紹介する提携医療機関で診療を受ける場合、原則として再検査は不要です。ただし、他の医療機関で治療を受ける場合は、医師の判断により再検査を行うことがあります。</v>
      </c>
      <c r="C732" s="31" t="str">
        <f>IFERROR(__xludf.DUMMYFUNCTION("""COMPUTED_VALUE"""),"郵送検査/FemCHECK")</f>
        <v>郵送検査/FemCHECK</v>
      </c>
      <c r="D732" s="31" t="str">
        <f>IFERROR(__xludf.DUMMYFUNCTION("""COMPUTED_VALUE"""),"性病 陽性,再検査,検査結果")</f>
        <v>性病 陽性,再検査,検査結果</v>
      </c>
      <c r="E732" s="32" t="str">
        <f>IFERROR(__xludf.DUMMYFUNCTION("""COMPUTED_VALUE"""),"https://luna-dr.com/femcheck/about/")</f>
        <v>https://luna-dr.com/femcheck/about/</v>
      </c>
    </row>
    <row r="733">
      <c r="A733" s="31" t="str">
        <f>IFERROR(__xludf.DUMMYFUNCTION("""COMPUTED_VALUE"""),"共同浴場の椅子で性感染症にうつることはありますか？")</f>
        <v>共同浴場の椅子で性感染症にうつることはありますか？</v>
      </c>
      <c r="B733" s="31" t="str">
        <f>IFERROR(__xludf.DUMMYFUNCTION("""COMPUTED_VALUE"""),"性感染症は、病原体を含む精液や腟分泌液、血液などが粘膜や皮膚に接触することで感染します。そのため、一般的に共同浴場の椅子で感染することは考えられていません。")</f>
        <v>性感染症は、病原体を含む精液や腟分泌液、血液などが粘膜や皮膚に接触することで感染します。そのため、一般的に共同浴場の椅子で感染することは考えられていません。</v>
      </c>
      <c r="C733" s="31" t="str">
        <f>IFERROR(__xludf.DUMMYFUNCTION("""COMPUTED_VALUE"""),"郵送検査/FemCHECK")</f>
        <v>郵送検査/FemCHECK</v>
      </c>
      <c r="D733" s="31" t="str">
        <f>IFERROR(__xludf.DUMMYFUNCTION("""COMPUTED_VALUE"""),"性感染症 うつる,温泉 性病,感染経路")</f>
        <v>性感染症 うつる,温泉 性病,感染経路</v>
      </c>
      <c r="E733" s="32" t="str">
        <f>IFERROR(__xludf.DUMMYFUNCTION("""COMPUTED_VALUE"""),"https://luna-dr.com/femcheck/about/")</f>
        <v>https://luna-dr.com/femcheck/about/</v>
      </c>
    </row>
    <row r="734">
      <c r="A734" s="31" t="str">
        <f>IFERROR(__xludf.DUMMYFUNCTION("""COMPUTED_VALUE"""),"使用したホテルの玩具が消毒されていなかったら感染しますか？")</f>
        <v>使用したホテルの玩具が消毒されていなかったら感染しますか？</v>
      </c>
      <c r="B734" s="31" t="str">
        <f>IFERROR(__xludf.DUMMYFUNCTION("""COMPUTED_VALUE"""),"性感染症は、精液や腟分泌液などが粘膜に直接触れることで感染します。一般的には、消毒されていない玩具から感染する可能性は低いと考えられますが、気になる場合は使用前に洗浄することをおすすめします。")</f>
        <v>性感染症は、精液や腟分泌液などが粘膜に直接触れることで感染します。一般的には、消毒されていない玩具から感染する可能性は低いと考えられますが、気になる場合は使用前に洗浄することをおすすめします。</v>
      </c>
      <c r="C734" s="31" t="str">
        <f>IFERROR(__xludf.DUMMYFUNCTION("""COMPUTED_VALUE"""),"郵送検査/FemCHECK")</f>
        <v>郵送検査/FemCHECK</v>
      </c>
      <c r="D734" s="31" t="str">
        <f>IFERROR(__xludf.DUMMYFUNCTION("""COMPUTED_VALUE"""),"性病 感染経路,玩具 性病,STD")</f>
        <v>性病 感染経路,玩具 性病,STD</v>
      </c>
      <c r="E734" s="32" t="str">
        <f>IFERROR(__xludf.DUMMYFUNCTION("""COMPUTED_VALUE"""),"https://luna-dr.com/femcheck/about/")</f>
        <v>https://luna-dr.com/femcheck/about/</v>
      </c>
    </row>
    <row r="735">
      <c r="A735" s="31" t="str">
        <f>IFERROR(__xludf.DUMMYFUNCTION("""COMPUTED_VALUE"""),"感染を予防するためには何をすればいいですか？")</f>
        <v>感染を予防するためには何をすればいいですか？</v>
      </c>
      <c r="B735" s="31" t="str">
        <f>IFERROR(__xludf.DUMMYFUNCTION("""COMPUTED_VALUE"""),"最も現実的で効果的な予防方法は、コンドームを正しく使用することです。また、性行為の相手を限定することも感染リスクを下げることにつながります。")</f>
        <v>最も現実的で効果的な予防方法は、コンドームを正しく使用することです。また、性行為の相手を限定することも感染リスクを下げることにつながります。</v>
      </c>
      <c r="C735" s="31" t="str">
        <f>IFERROR(__xludf.DUMMYFUNCTION("""COMPUTED_VALUE"""),"郵送検査/FemCHECK")</f>
        <v>郵送検査/FemCHECK</v>
      </c>
      <c r="D735" s="31" t="str">
        <f>IFERROR(__xludf.DUMMYFUNCTION("""COMPUTED_VALUE"""),"性感染症 予防,コンドーム,性病 防止")</f>
        <v>性感染症 予防,コンドーム,性病 防止</v>
      </c>
      <c r="E735" s="32" t="str">
        <f>IFERROR(__xludf.DUMMYFUNCTION("""COMPUTED_VALUE"""),"https://luna-dr.com/femcheck/about/")</f>
        <v>https://luna-dr.com/femcheck/about/</v>
      </c>
    </row>
    <row r="736">
      <c r="A736" s="31" t="str">
        <f>IFERROR(__xludf.DUMMYFUNCTION("""COMPUTED_VALUE"""),"妊娠したら子どもにも感染しますか？")</f>
        <v>妊娠したら子どもにも感染しますか？</v>
      </c>
      <c r="B736" s="31" t="str">
        <f>IFERROR(__xludf.DUMMYFUNCTION("""COMPUTED_VALUE"""),"妊娠中に性感染症に感染している場合、赤ちゃんに感染することがあります。妊婦健診では性感染症の検査も行われますので、必ず定期的に健診を受けましょう。")</f>
        <v>妊娠中に性感染症に感染している場合、赤ちゃんに感染することがあります。妊婦健診では性感染症の検査も行われますので、必ず定期的に健診を受けましょう。</v>
      </c>
      <c r="C736" s="31" t="str">
        <f>IFERROR(__xludf.DUMMYFUNCTION("""COMPUTED_VALUE"""),"郵送検査/FemCHECK")</f>
        <v>郵送検査/FemCHECK</v>
      </c>
      <c r="D736" s="31" t="str">
        <f>IFERROR(__xludf.DUMMYFUNCTION("""COMPUTED_VALUE"""),"妊娠 性感染症,母子感染,妊婦健診")</f>
        <v>妊娠 性感染症,母子感染,妊婦健診</v>
      </c>
      <c r="E736" s="32" t="str">
        <f>IFERROR(__xludf.DUMMYFUNCTION("""COMPUTED_VALUE"""),"https://luna-dr.com/femcheck/about/")</f>
        <v>https://luna-dr.com/femcheck/about/</v>
      </c>
    </row>
    <row r="737">
      <c r="A737" s="31" t="str">
        <f>IFERROR(__xludf.DUMMYFUNCTION("""COMPUTED_VALUE"""),"同性との性行為でも感染することはありますか？")</f>
        <v>同性との性行為でも感染することはありますか？</v>
      </c>
      <c r="B737" s="31" t="str">
        <f>IFERROR(__xludf.DUMMYFUNCTION("""COMPUTED_VALUE"""),"あります。性感染症は粘膜同士の接触や体液を介して感染するため、男性同士・女性同士の性行為であっても感染する可能性がありま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amp;"、当院では乳房に関する診療（乳がん検診・乳腺外来など）、更年期障害の治療、不妊治療、体重100kg以上の方への診療、救急対応（緊急搬送・急性期対応）は行っておりませんのであらかじめご了承くださいませ。")</f>
        <v>あります。性感染症は粘膜同士の接触や体液を介して感染するため、男性同士・女性同士の性行為であっても感染する可能性がありま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737" s="31" t="str">
        <f>IFERROR(__xludf.DUMMYFUNCTION("""COMPUTED_VALUE"""),"郵送検査/FemCHECK")</f>
        <v>郵送検査/FemCHECK</v>
      </c>
      <c r="D737" s="31" t="str">
        <f>IFERROR(__xludf.DUMMYFUNCTION("""COMPUTED_VALUE"""),"同性 性病,性感染症 同性,STD")</f>
        <v>同性 性病,性感染症 同性,STD</v>
      </c>
      <c r="E737" s="32" t="str">
        <f>IFERROR(__xludf.DUMMYFUNCTION("""COMPUTED_VALUE"""),"https://luna-dr.com/femcheck/about/")</f>
        <v>https://luna-dr.com/femcheck/about/</v>
      </c>
    </row>
    <row r="738">
      <c r="A738" s="31" t="str">
        <f>IFERROR(__xludf.DUMMYFUNCTION("""COMPUTED_VALUE"""),"パートナーが1人だけでも性感染症に感染することはありますか？")</f>
        <v>パートナーが1人だけでも性感染症に感染することはありますか？</v>
      </c>
      <c r="B738" s="31" t="str">
        <f>IFERROR(__xludf.DUMMYFUNCTION("""COMPUTED_VALUE"""),"お互いに検査を受け、感染していないことが確認できていれば感染の可能性は低いですが、確認ができていない場合は、パートナーが1人でも感染する可能性はありま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amp;"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f>
        <v>お互いに検査を受け、感染していないことが確認できていれば感染の可能性は低いですが、確認ができていない場合は、パートナーが1人でも感染する可能性はありま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738" s="31" t="str">
        <f>IFERROR(__xludf.DUMMYFUNCTION("""COMPUTED_VALUE"""),"郵送検査/FemCHECK")</f>
        <v>郵送検査/FemCHECK</v>
      </c>
      <c r="D738" s="31" t="str">
        <f>IFERROR(__xludf.DUMMYFUNCTION("""COMPUTED_VALUE"""),"性病 パートナー1人,性感染症 リスク")</f>
        <v>性病 パートナー1人,性感染症 リスク</v>
      </c>
      <c r="E738" s="32" t="str">
        <f>IFERROR(__xludf.DUMMYFUNCTION("""COMPUTED_VALUE"""),"https://luna-dr.com/femcheck/about/")</f>
        <v>https://luna-dr.com/femcheck/about/</v>
      </c>
    </row>
    <row r="739">
      <c r="A739" s="31" t="str">
        <f>IFERROR(__xludf.DUMMYFUNCTION("""COMPUTED_VALUE"""),"郵送検査はいつ発送されますか？/FemCHECKはいつ発送されますか？/おりもの検査はいつ発送されますか？")</f>
        <v>郵送検査はいつ発送されますか？/FemCHECKはいつ発送されますか？/おりもの検査はいつ発送されますか？</v>
      </c>
      <c r="B739" s="31" t="str">
        <f>IFERROR(__xludf.DUMMYFUNCTION("""COMPUTED_VALUE"""),"14時までにご注文いただいた場合は、当日中に発送いたします。14時以降のご注文は翌日の発送となります。なお、年末年始は発送を行っておりませんので、あらかじめご了承ください。")</f>
        <v>14時までにご注文いただいた場合は、当日中に発送いたします。14時以降のご注文は翌日の発送となります。なお、年末年始は発送を行っておりませんので、あらかじめご了承ください。</v>
      </c>
      <c r="C739" s="31" t="str">
        <f>IFERROR(__xludf.DUMMYFUNCTION("""COMPUTED_VALUE"""),"郵送検査/FemCHECK")</f>
        <v>郵送検査/FemCHECK</v>
      </c>
      <c r="D739" s="31" t="str">
        <f>IFERROR(__xludf.DUMMYFUNCTION("""COMPUTED_VALUE"""),"郵送検査 発送,FemCHECK 発送,おりもの検査 配送")</f>
        <v>郵送検査 発送,FemCHECK 発送,おりもの検査 配送</v>
      </c>
      <c r="E739" s="32" t="str">
        <f>IFERROR(__xludf.DUMMYFUNCTION("""COMPUTED_VALUE"""),"https://luna-dr.com/femcheck/deliver/")</f>
        <v>https://luna-dr.com/femcheck/deliver/</v>
      </c>
    </row>
    <row r="740">
      <c r="A740" s="31" t="str">
        <f>IFERROR(__xludf.DUMMYFUNCTION("""COMPUTED_VALUE"""),"郵送検査を土日や祝日に注文した場合はどうなりますか？/FemCHECKを土日や祝日に注文した場合はどうなりますか？/おりもの検査を土日や祝日に注文した場合はどうなりますか？")</f>
        <v>郵送検査を土日や祝日に注文した場合はどうなりますか？/FemCHECKを土日や祝日に注文した場合はどうなりますか？/おりもの検査を土日や祝日に注文した場合はどうなりますか？</v>
      </c>
      <c r="B740" s="31" t="str">
        <f>IFERROR(__xludf.DUMMYFUNCTION("""COMPUTED_VALUE"""),"土日・祝日に14時までにご注文いただいた場合も、原則として当日発送となります。14時以降のご注文は翌日の発送となります。")</f>
        <v>土日・祝日に14時までにご注文いただいた場合も、原則として当日発送となります。14時以降のご注文は翌日の発送となります。</v>
      </c>
      <c r="C740" s="31" t="str">
        <f>IFERROR(__xludf.DUMMYFUNCTION("""COMPUTED_VALUE"""),"郵送検査/FemCHECK")</f>
        <v>郵送検査/FemCHECK</v>
      </c>
      <c r="D740" s="31" t="str">
        <f>IFERROR(__xludf.DUMMYFUNCTION("""COMPUTED_VALUE"""),"土日 発送,祝日 発送,検査キット 配送")</f>
        <v>土日 発送,祝日 発送,検査キット 配送</v>
      </c>
      <c r="E740" s="32" t="str">
        <f>IFERROR(__xludf.DUMMYFUNCTION("""COMPUTED_VALUE"""),"https://luna-dr.com/femcheck/deliver/")</f>
        <v>https://luna-dr.com/femcheck/deliver/</v>
      </c>
    </row>
    <row r="741">
      <c r="A741" s="31" t="str">
        <f>IFERROR(__xludf.DUMMYFUNCTION("""COMPUTED_VALUE"""),"郵送検査を14時以降に注文した場合はどうなりますか？/FemCHECKを14時以降に注文した場合はどうなりますか？/おりもの検査を14時以降に注文した場合はどうなりますか？")</f>
        <v>郵送検査を14時以降に注文した場合はどうなりますか？/FemCHECKを14時以降に注文した場合はどうなりますか？/おりもの検査を14時以降に注文した場合はどうなりますか？</v>
      </c>
      <c r="B741" s="31" t="str">
        <f>IFERROR(__xludf.DUMMYFUNCTION("""COMPUTED_VALUE"""),"14時以降にご注文いただいた場合は、翌日の発送となります。お急ぎの場合は、14時までのご注文をおすすめします。")</f>
        <v>14時以降にご注文いただいた場合は、翌日の発送となります。お急ぎの場合は、14時までのご注文をおすすめします。</v>
      </c>
      <c r="C741" s="31" t="str">
        <f>IFERROR(__xludf.DUMMYFUNCTION("""COMPUTED_VALUE"""),"郵送検査/FemCHECK")</f>
        <v>郵送検査/FemCHECK</v>
      </c>
      <c r="D741" s="31" t="str">
        <f>IFERROR(__xludf.DUMMYFUNCTION("""COMPUTED_VALUE"""),"14時以降 注文,翌日発送")</f>
        <v>14時以降 注文,翌日発送</v>
      </c>
      <c r="E741" s="32" t="str">
        <f>IFERROR(__xludf.DUMMYFUNCTION("""COMPUTED_VALUE"""),"https://luna-dr.com/femcheck/deliver/")</f>
        <v>https://luna-dr.com/femcheck/deliver/</v>
      </c>
    </row>
    <row r="742">
      <c r="A742" s="31" t="str">
        <f>IFERROR(__xludf.DUMMYFUNCTION("""COMPUTED_VALUE"""),"郵送検査の支払い方法を教えてください。/FemCHECKの支払い方法を教えてください。/おりもの検査の支払い方法を教えてください。")</f>
        <v>郵送検査の支払い方法を教えてください。/FemCHECKの支払い方法を教えてください。/おりもの検査の支払い方法を教えてください。</v>
      </c>
      <c r="B742" s="31" t="str">
        <f>IFERROR(__xludf.DUMMYFUNCTION("""COMPUTED_VALUE"""),"お支払い方法はクレジットカード決済のみ対応しております。
※「リボ払い」「ボーナス一括払い」のお取り扱いはございません。")</f>
        <v>お支払い方法はクレジットカード決済のみ対応しております。
※「リボ払い」「ボーナス一括払い」のお取り扱いはございません。</v>
      </c>
      <c r="C742" s="31" t="str">
        <f>IFERROR(__xludf.DUMMYFUNCTION("""COMPUTED_VALUE"""),"郵送検査/FemCHECK")</f>
        <v>郵送検査/FemCHECK</v>
      </c>
      <c r="D742" s="31" t="str">
        <f>IFERROR(__xludf.DUMMYFUNCTION("""COMPUTED_VALUE"""),"支払い方法,クレジットカード決済,FemCHECK,郵送検査,検査キット")</f>
        <v>支払い方法,クレジットカード決済,FemCHECK,郵送検査,検査キット</v>
      </c>
      <c r="E742" s="32" t="str">
        <f>IFERROR(__xludf.DUMMYFUNCTION("""COMPUTED_VALUE"""),"https://luna-dr.com/femcheck/deliver/")</f>
        <v>https://luna-dr.com/femcheck/deliver/</v>
      </c>
    </row>
    <row r="743">
      <c r="A743" s="31" t="str">
        <f>IFERROR(__xludf.DUMMYFUNCTION("""COMPUTED_VALUE"""),"郵送検査のカード決済に手数料はかかりますか？/FemCHECKのカード決済に手数料はかかりますか？/おりもの検査のカード決済に手数料はかかりますか？")</f>
        <v>郵送検査のカード決済に手数料はかかりますか？/FemCHECKのカード決済に手数料はかかりますか？/おりもの検査のカード決済に手数料はかかりますか？</v>
      </c>
      <c r="B743" s="31" t="str">
        <f>IFERROR(__xludf.DUMMYFUNCTION("""COMPUTED_VALUE"""),"クレジットカード決済に手数料はかかりません。表示されている金額のみでご利用いただけます。")</f>
        <v>クレジットカード決済に手数料はかかりません。表示されている金額のみでご利用いただけます。</v>
      </c>
      <c r="C743" s="31" t="str">
        <f>IFERROR(__xludf.DUMMYFUNCTION("""COMPUTED_VALUE"""),"郵送検査/FemCHECK")</f>
        <v>郵送検査/FemCHECK</v>
      </c>
      <c r="D743" s="31" t="str">
        <f>IFERROR(__xludf.DUMMYFUNCTION("""COMPUTED_VALUE"""),"カード決済 手数料,無料")</f>
        <v>カード決済 手数料,無料</v>
      </c>
      <c r="E743" s="32" t="str">
        <f>IFERROR(__xludf.DUMMYFUNCTION("""COMPUTED_VALUE"""),"https://luna-dr.com/femcheck/deliver/")</f>
        <v>https://luna-dr.com/femcheck/deliver/</v>
      </c>
    </row>
    <row r="744">
      <c r="A744" s="31" t="str">
        <f>IFERROR(__xludf.DUMMYFUNCTION("""COMPUTED_VALUE"""),"郵送検査で使えるクレジットカード会社を教えてください。/FemCHECKで使えるクレジットカード会社を教えてください。/おりもの検査で使えるクレジットカード会社を教えてください。")</f>
        <v>郵送検査で使えるクレジットカード会社を教えてください。/FemCHECKで使えるクレジットカード会社を教えてください。/おりもの検査で使えるクレジットカード会社を教えてください。</v>
      </c>
      <c r="B744" s="31" t="str">
        <f>IFERROR(__xludf.DUMMYFUNCTION("""COMPUTED_VALUE"""),"VISA、Mastercard、JCB、American Express（AMEX）のクレジットカードをご利用いただけます。")</f>
        <v>VISA、Mastercard、JCB、American Express（AMEX）のクレジットカードをご利用いただけます。</v>
      </c>
      <c r="C744" s="31" t="str">
        <f>IFERROR(__xludf.DUMMYFUNCTION("""COMPUTED_VALUE"""),"郵送検査/FemCHECK")</f>
        <v>郵送検査/FemCHECK</v>
      </c>
      <c r="D744" s="31" t="str">
        <f>IFERROR(__xludf.DUMMYFUNCTION("""COMPUTED_VALUE"""),"対応カード,VISA,MASTER,JCB,AMEX")</f>
        <v>対応カード,VISA,MASTER,JCB,AMEX</v>
      </c>
      <c r="E744" s="32" t="str">
        <f>IFERROR(__xludf.DUMMYFUNCTION("""COMPUTED_VALUE"""),"https://luna-dr.com/femcheck/deliver/")</f>
        <v>https://luna-dr.com/femcheck/deliver/</v>
      </c>
    </row>
    <row r="745">
      <c r="A745" s="31" t="str">
        <f>IFERROR(__xludf.DUMMYFUNCTION("""COMPUTED_VALUE"""),"郵送検査は分割払いできますか？/FemCHECKは分割払いできますか？/おりもの検査は分割払いできますか？")</f>
        <v>郵送検査は分割払いできますか？/FemCHECKは分割払いできますか？/おりもの検査は分割払いできますか？</v>
      </c>
      <c r="B745" s="31" t="str">
        <f>IFERROR(__xludf.DUMMYFUNCTION("""COMPUTED_VALUE"""),"お支払いは一括払いのみ対応しております。リボ払い・ボーナス一括払いはご利用いただけませんので、ご了承ください。")</f>
        <v>お支払いは一括払いのみ対応しております。リボ払い・ボーナス一括払いはご利用いただけませんので、ご了承ください。</v>
      </c>
      <c r="C745" s="31" t="str">
        <f>IFERROR(__xludf.DUMMYFUNCTION("""COMPUTED_VALUE"""),"郵送検査/FemCHECK")</f>
        <v>郵送検査/FemCHECK</v>
      </c>
      <c r="D745" s="31" t="str">
        <f>IFERROR(__xludf.DUMMYFUNCTION("""COMPUTED_VALUE"""),"一括払い,分割不可,支払い回数")</f>
        <v>一括払い,分割不可,支払い回数</v>
      </c>
      <c r="E745" s="32" t="str">
        <f>IFERROR(__xludf.DUMMYFUNCTION("""COMPUTED_VALUE"""),"https://luna-dr.com/femcheck/deliver/")</f>
        <v>https://luna-dr.com/femcheck/deliver/</v>
      </c>
    </row>
    <row r="746">
      <c r="A746" s="31" t="str">
        <f>IFERROR(__xludf.DUMMYFUNCTION("""COMPUTED_VALUE"""),"郵送検査の送料はかかりますか？/FemCHECKの送料はかかりますか？/おりもの検査の送料はかかりますか？")</f>
        <v>郵送検査の送料はかかりますか？/FemCHECKの送料はかかりますか？/おりもの検査の送料はかかりますか？</v>
      </c>
      <c r="B746" s="31" t="str">
        <f>IFERROR(__xludf.DUMMYFUNCTION("""COMPUTED_VALUE"""),"送料はかかりません。全国どこでも送料無料でお届けいたします。")</f>
        <v>送料はかかりません。全国どこでも送料無料でお届けいたします。</v>
      </c>
      <c r="C746" s="31" t="str">
        <f>IFERROR(__xludf.DUMMYFUNCTION("""COMPUTED_VALUE"""),"郵送検査/FemCHECK")</f>
        <v>郵送検査/FemCHECK</v>
      </c>
      <c r="D746" s="31" t="str">
        <f>IFERROR(__xludf.DUMMYFUNCTION("""COMPUTED_VALUE"""),"送料無料,送料 無料,検査キット 配送")</f>
        <v>送料無料,送料 無料,検査キット 配送</v>
      </c>
      <c r="E746" s="32" t="str">
        <f>IFERROR(__xludf.DUMMYFUNCTION("""COMPUTED_VALUE"""),"https://luna-dr.com/femcheck/faq/")</f>
        <v>https://luna-dr.com/femcheck/faq/</v>
      </c>
    </row>
    <row r="747">
      <c r="A747" s="31" t="str">
        <f>IFERROR(__xludf.DUMMYFUNCTION("""COMPUTED_VALUE"""),"郵送検査は電話で注文できますか？/FemCHECKは電話で注文できますか？/おりもの検査は電話で注文できますか？")</f>
        <v>郵送検査は電話で注文できますか？/FemCHECKは電話で注文できますか？/おりもの検査は電話で注文できますか？</v>
      </c>
      <c r="B747" s="31" t="str">
        <f>IFERROR(__xludf.DUMMYFUNCTION("""COMPUTED_VALUE"""),"申し訳ございませんが、お電話でのご注文は承っておりません。ご注文はインターネットからのみ可能です。")</f>
        <v>申し訳ございませんが、お電話でのご注文は承っておりません。ご注文はインターネットからのみ可能です。</v>
      </c>
      <c r="C747" s="31" t="str">
        <f>IFERROR(__xludf.DUMMYFUNCTION("""COMPUTED_VALUE"""),"郵送検査/FemCHECK")</f>
        <v>郵送検査/FemCHECK</v>
      </c>
      <c r="D747" s="31" t="str">
        <f>IFERROR(__xludf.DUMMYFUNCTION("""COMPUTED_VALUE"""),"電話注文 不可,ネット注文")</f>
        <v>電話注文 不可,ネット注文</v>
      </c>
      <c r="E747" s="32" t="str">
        <f>IFERROR(__xludf.DUMMYFUNCTION("""COMPUTED_VALUE"""),"https://luna-dr.com/femcheck/faq/")</f>
        <v>https://luna-dr.com/femcheck/faq/</v>
      </c>
    </row>
    <row r="748">
      <c r="A748" s="31" t="str">
        <f>IFERROR(__xludf.DUMMYFUNCTION("""COMPUTED_VALUE"""),"郵送検査の返品や不良品はどうすればよいですか？/FemCHECKの返品や不良品はどうすればよいですか？/おりもの検査の返品や不良品はどうすればよいですか？")</f>
        <v>郵送検査の返品や不良品はどうすればよいですか？/FemCHECKの返品や不良品はどうすればよいですか？/おりもの検査の返品や不良品はどうすればよいですか？</v>
      </c>
      <c r="B748" s="31" t="str">
        <f>IFERROR(__xludf.DUMMYFUNCTION("""COMPUTED_VALUE"""),"配送による破損やご注文内容と異なる商品が届いた場合は、商品到着後7日以内にお問い合わせください。商品に欠陥がある場合の返品送料は当方で負担いたします。なお、お客様都合による返品・交換はお受けできません。")</f>
        <v>配送による破損やご注文内容と異なる商品が届いた場合は、商品到着後7日以内にお問い合わせください。商品に欠陥がある場合の返品送料は当方で負担いたします。なお、お客様都合による返品・交換はお受けできません。</v>
      </c>
      <c r="C748" s="31" t="str">
        <f>IFERROR(__xludf.DUMMYFUNCTION("""COMPUTED_VALUE"""),"郵送検査/FemCHECK")</f>
        <v>郵送検査/FemCHECK</v>
      </c>
      <c r="D748" s="31" t="str">
        <f>IFERROR(__xludf.DUMMYFUNCTION("""COMPUTED_VALUE"""),"返品,不良品,交換不可")</f>
        <v>返品,不良品,交換不可</v>
      </c>
      <c r="E748" s="32" t="str">
        <f>IFERROR(__xludf.DUMMYFUNCTION("""COMPUTED_VALUE"""),"https://luna-dr.com/femcheck/faq/")</f>
        <v>https://luna-dr.com/femcheck/faq/</v>
      </c>
    </row>
    <row r="749">
      <c r="A749" s="31" t="str">
        <f>IFERROR(__xludf.DUMMYFUNCTION("""COMPUTED_VALUE"""),"郵送検査で返品できないケースはありますか？/FemCHECKで返品できないケースはありますか？/おりもの検査で返品できないケースはありますか？")</f>
        <v>郵送検査で返品できないケースはありますか？/FemCHECKで返品できないケースはありますか？/おりもの検査で返品できないケースはありますか？</v>
      </c>
      <c r="B749" s="31" t="str">
        <f>IFERROR(__xludf.DUMMYFUNCTION("""COMPUTED_VALUE"""),"商品到着後8日以上経過した商品、開封済み・使用済みの商品、お客様による汚損・破損が生じた商品については、返品をお受けできません。")</f>
        <v>商品到着後8日以上経過した商品、開封済み・使用済みの商品、お客様による汚損・破損が生じた商品については、返品をお受けできません。</v>
      </c>
      <c r="C749" s="31" t="str">
        <f>IFERROR(__xludf.DUMMYFUNCTION("""COMPUTED_VALUE"""),"郵送検査/FemCHECK")</f>
        <v>郵送検査/FemCHECK</v>
      </c>
      <c r="D749" s="31" t="str">
        <f>IFERROR(__xludf.DUMMYFUNCTION("""COMPUTED_VALUE"""),"返品不可,使用済み,開封済み")</f>
        <v>返品不可,使用済み,開封済み</v>
      </c>
      <c r="E749" s="32" t="str">
        <f>IFERROR(__xludf.DUMMYFUNCTION("""COMPUTED_VALUE"""),"https://luna-dr.com/femcheck/faq/")</f>
        <v>https://luna-dr.com/femcheck/faq/</v>
      </c>
    </row>
    <row r="750">
      <c r="A750" s="31" t="str">
        <f>IFERROR(__xludf.DUMMYFUNCTION("""COMPUTED_VALUE"""),"郵送検査のプライバシーは守られていますか？/FemCHECKのプライバシーは守られていますか？/おりもの検査のプライバシーは守られていますか？")</f>
        <v>郵送検査のプライバシーは守られていますか？/FemCHECKのプライバシーは守られていますか？/おりもの検査のプライバシーは守られていますか？</v>
      </c>
      <c r="B750" s="31" t="str">
        <f>IFERROR(__xludf.DUMMYFUNCTION("""COMPUTED_VALUE"""),"検査キットは中身が分からない梱包と伝票でお届けします。また、病院のカルテ管理と同様のセキュリティ体制で個人情報を管理し、検体検査はID管理で行うなど、プライバシーに最大限配慮しています。")</f>
        <v>検査キットは中身が分からない梱包と伝票でお届けします。また、病院のカルテ管理と同様のセキュリティ体制で個人情報を管理し、検体検査はID管理で行うなど、プライバシーに最大限配慮しています。</v>
      </c>
      <c r="C750" s="31" t="str">
        <f>IFERROR(__xludf.DUMMYFUNCTION("""COMPUTED_VALUE"""),"郵送検査/FemCHECK")</f>
        <v>郵送検査/FemCHECK</v>
      </c>
      <c r="D750" s="31" t="str">
        <f>IFERROR(__xludf.DUMMYFUNCTION("""COMPUTED_VALUE"""),"匿名,プライバシー,梱包 配慮")</f>
        <v>匿名,プライバシー,梱包 配慮</v>
      </c>
      <c r="E750" s="32" t="str">
        <f>IFERROR(__xludf.DUMMYFUNCTION("""COMPUTED_VALUE"""),"https://luna-dr.com/femcheck/faq/")</f>
        <v>https://luna-dr.com/femcheck/faq/</v>
      </c>
    </row>
    <row r="751">
      <c r="A751" s="31" t="str">
        <f>IFERROR(__xludf.DUMMYFUNCTION("""COMPUTED_VALUE"""),"郵送検査で入力した個人情報は守られていますか？/FemCHECKで入力した個人情報は守られていますか？/おりもの検査で入力した個人情報は守られていますか？")</f>
        <v>郵送検査で入力した個人情報は守られていますか？/FemCHECKで入力した個人情報は守られていますか？/おりもの検査で入力した個人情報は守られていますか？</v>
      </c>
      <c r="B751" s="31" t="str">
        <f>IFERROR(__xludf.DUMMYFUNCTION("""COMPUTED_VALUE"""),"当社では個人情報の重要性を認識し、漏洩防止のため厳重な管理体制を整えています。詳細はプライバシーポリシーをご確認ください。")</f>
        <v>当社では個人情報の重要性を認識し、漏洩防止のため厳重な管理体制を整えています。詳細はプライバシーポリシーをご確認ください。</v>
      </c>
      <c r="C751" s="31" t="str">
        <f>IFERROR(__xludf.DUMMYFUNCTION("""COMPUTED_VALUE"""),"郵送検査/FemCHECK")</f>
        <v>郵送検査/FemCHECK</v>
      </c>
      <c r="D751" s="31" t="str">
        <f>IFERROR(__xludf.DUMMYFUNCTION("""COMPUTED_VALUE"""),"個人情報,セキュリティ")</f>
        <v>個人情報,セキュリティ</v>
      </c>
      <c r="E751" s="32" t="str">
        <f>IFERROR(__xludf.DUMMYFUNCTION("""COMPUTED_VALUE"""),"https://luna-dr.com/femcheck/faq/")</f>
        <v>https://luna-dr.com/femcheck/faq/</v>
      </c>
    </row>
    <row r="752">
      <c r="A752" s="31" t="str">
        <f>IFERROR(__xludf.DUMMYFUNCTION("""COMPUTED_VALUE"""),"郵送検査で陽性だった場合、結果は他の機関に報告されますか？/FemCHECKで陽性だった場合、結果は他の機関に報告されますか？/おりもの検査で陽性だった場合、結果は他の機関に報告されますか？")</f>
        <v>郵送検査で陽性だった場合、結果は他の機関に報告されますか？/FemCHECKで陽性だった場合、結果は他の機関に報告されますか？/おりもの検査で陽性だった場合、結果は他の機関に報告されますか？</v>
      </c>
      <c r="B752" s="31" t="str">
        <f>IFERROR(__xludf.DUMMYFUNCTION("""COMPUTED_VALUE"""),"検査結果を国や医療機関など第三者に報告することは一切ありません。検査は匿名で実施していますのでご安心ください。")</f>
        <v>検査結果を国や医療機関など第三者に報告することは一切ありません。検査は匿名で実施していますのでご安心ください。</v>
      </c>
      <c r="C752" s="31" t="str">
        <f>IFERROR(__xludf.DUMMYFUNCTION("""COMPUTED_VALUE"""),"郵送検査/FemCHECK")</f>
        <v>郵送検査/FemCHECK</v>
      </c>
      <c r="D752" s="31" t="str">
        <f>IFERROR(__xludf.DUMMYFUNCTION("""COMPUTED_VALUE"""),"匿名検査,結果 共有なし")</f>
        <v>匿名検査,結果 共有なし</v>
      </c>
      <c r="E752" s="32" t="str">
        <f>IFERROR(__xludf.DUMMYFUNCTION("""COMPUTED_VALUE"""),"https://luna-dr.com/femcheck/faq/")</f>
        <v>https://luna-dr.com/femcheck/faq/</v>
      </c>
    </row>
    <row r="753">
      <c r="A753" s="31" t="str">
        <f>IFERROR(__xludf.DUMMYFUNCTION("""COMPUTED_VALUE"""),"郵送検査の「匿名検査」とは何ですか？/FemCHECKの「匿名検査」とは何ですか？/おりもの検査の「匿名検査」とは何ですか？")</f>
        <v>郵送検査の「匿名検査」とは何ですか？/FemCHECKの「匿名検査」とは何ですか？/おりもの検査の「匿名検査」とは何ですか？</v>
      </c>
      <c r="B753" s="31" t="str">
        <f>IFERROR(__xludf.DUMMYFUNCTION("""COMPUTED_VALUE"""),"検査申込時にお名前やご住所の記入は不要です。検体採取器具に貼付するIDコードで管理し、個人を特定せずに検査を行います。")</f>
        <v>検査申込時にお名前やご住所の記入は不要です。検体採取器具に貼付するIDコードで管理し、個人を特定せずに検査を行います。</v>
      </c>
      <c r="C753" s="31" t="str">
        <f>IFERROR(__xludf.DUMMYFUNCTION("""COMPUTED_VALUE"""),"郵送検査/FemCHECK")</f>
        <v>郵送検査/FemCHECK</v>
      </c>
      <c r="D753" s="31" t="str">
        <f>IFERROR(__xludf.DUMMYFUNCTION("""COMPUTED_VALUE"""),"匿名検査,ID管理")</f>
        <v>匿名検査,ID管理</v>
      </c>
      <c r="E753" s="32" t="str">
        <f>IFERROR(__xludf.DUMMYFUNCTION("""COMPUTED_VALUE"""),"https://luna-dr.com/femcheck/faq/")</f>
        <v>https://luna-dr.com/femcheck/faq/</v>
      </c>
    </row>
    <row r="754">
      <c r="A754" s="31" t="str">
        <f>IFERROR(__xludf.DUMMYFUNCTION("""COMPUTED_VALUE"""),"郵送検査の検査精度は信頼できますか？/FemCHECKの検査精度は信頼できますか？/おりもの検査の検査精度は信頼できますか？")</f>
        <v>郵送検査の検査精度は信頼できますか？/FemCHECKの検査精度は信頼できますか？/おりもの検査の検査精度は信頼できますか？</v>
      </c>
      <c r="B754" s="31" t="str">
        <f>IFERROR(__xludf.DUMMYFUNCTION("""COMPUTED_VALUE"""),"検査は医療機関や保健所と同様に、認可を受けた登録衛生検査所で実施しています。安心してご利用ください。")</f>
        <v>検査は医療機関や保健所と同様に、認可を受けた登録衛生検査所で実施しています。安心してご利用ください。</v>
      </c>
      <c r="C754" s="31" t="str">
        <f>IFERROR(__xludf.DUMMYFUNCTION("""COMPUTED_VALUE"""),"郵送検査/FemCHECK")</f>
        <v>郵送検査/FemCHECK</v>
      </c>
      <c r="D754" s="31" t="str">
        <f>IFERROR(__xludf.DUMMYFUNCTION("""COMPUTED_VALUE"""),"検査精度,登録衛生検査所")</f>
        <v>検査精度,登録衛生検査所</v>
      </c>
      <c r="E754" s="32" t="str">
        <f>IFERROR(__xludf.DUMMYFUNCTION("""COMPUTED_VALUE"""),"https://luna-dr.com/femcheck/faq/")</f>
        <v>https://luna-dr.com/femcheck/faq/</v>
      </c>
    </row>
    <row r="755">
      <c r="A755" s="31" t="str">
        <f>IFERROR(__xludf.DUMMYFUNCTION("""COMPUTED_VALUE"""),"郵送検査で陽性だった場合、病院を紹介してもらえますか？/FemCHECKで陽性だった場合、病院を紹介してもらえますか？/おりもの検査で陽性だった場合、病院を紹介してもらえますか？")</f>
        <v>郵送検査で陽性だった場合、病院を紹介してもらえますか？/FemCHECKで陽性だった場合、病院を紹介してもらえますか？/おりもの検査で陽性だった場合、病院を紹介してもらえますか？</v>
      </c>
      <c r="B755" s="31" t="str">
        <f>IFERROR(__xludf.DUMMYFUNCTION("""COMPUTED_VALUE"""),"提携クリニックでのオンライン診療をご利用いただけます。対面診療をご希望の場合は、提携医療機関のご紹介も可能です。")</f>
        <v>提携クリニックでのオンライン診療をご利用いただけます。対面診療をご希望の場合は、提携医療機関のご紹介も可能です。</v>
      </c>
      <c r="C755" s="31" t="str">
        <f>IFERROR(__xludf.DUMMYFUNCTION("""COMPUTED_VALUE"""),"郵送検査/FemCHECK")</f>
        <v>郵送検査/FemCHECK</v>
      </c>
      <c r="D755" s="31" t="str">
        <f>IFERROR(__xludf.DUMMYFUNCTION("""COMPUTED_VALUE"""),"陽性,病院 紹介,オンライン診療")</f>
        <v>陽性,病院 紹介,オンライン診療</v>
      </c>
      <c r="E755" s="32" t="str">
        <f>IFERROR(__xludf.DUMMYFUNCTION("""COMPUTED_VALUE"""),"https://luna-dr.com/femcheck/faq/")</f>
        <v>https://luna-dr.com/femcheck/faq/</v>
      </c>
    </row>
    <row r="756">
      <c r="A756" s="31" t="str">
        <f>IFERROR(__xludf.DUMMYFUNCTION("""COMPUTED_VALUE"""),"郵送検査で陽性だった場合、オンライン診療はどうやって受けますか？/FemCHECKで陽性だった場合、オンライン診療はどうやって受けますか？/おりもの検査で陽性だった場合、オンライン診療はどうやって受けますか？")</f>
        <v>郵送検査で陽性だった場合、オンライン診療はどうやって受けますか？/FemCHECKで陽性だった場合、オンライン診療はどうやって受けますか？/おりもの検査で陽性だった場合、オンライン診療はどうやって受けますか？</v>
      </c>
      <c r="B756" s="31" t="str">
        <f>IFERROR(__xludf.DUMMYFUNCTION("""COMPUTED_VALUE"""),"検査結果ページから、オンライン診療のご案内をご確認いただけます。案内に沿ってご予約ください。検査結果は、[【こちら】](https://result.luna-dr.com/clinic_login?clinic_id=10001)よりご確認いただけます。
※必ず受診クリニックを正しくご選択の上、ご確認ください。")</f>
        <v>検査結果ページから、オンライン診療のご案内をご確認いただけます。案内に沿ってご予約ください。検査結果は、[【こちら】](https://result.luna-dr.com/clinic_login?clinic_id=10001)よりご確認いただけます。
※必ず受診クリニックを正しくご選択の上、ご確認ください。</v>
      </c>
      <c r="C756" s="31" t="str">
        <f>IFERROR(__xludf.DUMMYFUNCTION("""COMPUTED_VALUE"""),"郵送検査/FemCHECK")</f>
        <v>郵送検査/FemCHECK</v>
      </c>
      <c r="D756" s="31" t="str">
        <f>IFERROR(__xludf.DUMMYFUNCTION("""COMPUTED_VALUE"""),"オンライン診療 予約,陽性")</f>
        <v>オンライン診療 予約,陽性</v>
      </c>
      <c r="E756" s="32" t="str">
        <f>IFERROR(__xludf.DUMMYFUNCTION("""COMPUTED_VALUE"""),"https://luna-dr.com/femcheck/faq/")</f>
        <v>https://luna-dr.com/femcheck/faq/</v>
      </c>
    </row>
    <row r="757">
      <c r="A757" s="31" t="str">
        <f>IFERROR(__xludf.DUMMYFUNCTION("""COMPUTED_VALUE"""),"郵送検査で陽性だった場合、薬はもらえますか？/FemCHECKで陽性だった場合、薬はもらえますか？/おりもの検査で陽性だった場合、薬はもらえますか？")</f>
        <v>郵送検査で陽性だった場合、薬はもらえますか？/FemCHECKで陽性だった場合、薬はもらえますか？/おりもの検査で陽性だった場合、薬はもらえますか？</v>
      </c>
      <c r="B757" s="31" t="str">
        <f>IFERROR(__xludf.DUMMYFUNCTION("""COMPUTED_VALUE"""),"オンライン診療にて医師が判断し、必要に応じてお薬を処方します。お薬はご自宅へ郵送されます。")</f>
        <v>オンライン診療にて医師が判断し、必要に応じてお薬を処方します。お薬はご自宅へ郵送されます。</v>
      </c>
      <c r="C757" s="31" t="str">
        <f>IFERROR(__xludf.DUMMYFUNCTION("""COMPUTED_VALUE"""),"郵送検査/FemCHECK")</f>
        <v>郵送検査/FemCHECK</v>
      </c>
      <c r="D757" s="31" t="str">
        <f>IFERROR(__xludf.DUMMYFUNCTION("""COMPUTED_VALUE"""),"薬 処方,郵送")</f>
        <v>薬 処方,郵送</v>
      </c>
      <c r="E757" s="32" t="str">
        <f>IFERROR(__xludf.DUMMYFUNCTION("""COMPUTED_VALUE"""),"https://luna-dr.com/femcheck/faq/")</f>
        <v>https://luna-dr.com/femcheck/faq/</v>
      </c>
    </row>
    <row r="758">
      <c r="A758" s="31" t="str">
        <f>IFERROR(__xludf.DUMMYFUNCTION("""COMPUTED_VALUE"""),"郵送検査で陰性でもオンライン診療は受けられますか？/FemCHECKで陰性でもオンライン診療は受けられますか？/おりもの検査で陰性でもオンライン診療は受けられますか？")</f>
        <v>郵送検査で陰性でもオンライン診療は受けられますか？/FemCHECKで陰性でもオンライン診療は受けられますか？/おりもの検査で陰性でもオンライン診療は受けられますか？</v>
      </c>
      <c r="B758" s="31" t="str">
        <f>IFERROR(__xludf.DUMMYFUNCTION("""COMPUTED_VALUE"""),"可能です。検査結果画面よりオンライン診療のご案内をご確認いただけます。検査結果は、[【こちら】](https://result.luna-dr.com/clinic_login)よりご確認いただけます。
※必ず受診クリニックを正しくご選択の上、ご確認ください。患者番号は、会計時にお渡ししている領収書に記載のある10桁の番号となります。")</f>
        <v>可能です。検査結果画面よりオンライン診療のご案内をご確認いただけます。検査結果は、[【こちら】](https://result.luna-dr.com/clinic_login)よりご確認いただけます。
※必ず受診クリニックを正しくご選択の上、ご確認ください。患者番号は、会計時にお渡ししている領収書に記載のある10桁の番号となります。</v>
      </c>
      <c r="C758" s="31" t="str">
        <f>IFERROR(__xludf.DUMMYFUNCTION("""COMPUTED_VALUE"""),"郵送検査/FemCHECK")</f>
        <v>郵送検査/FemCHECK</v>
      </c>
      <c r="D758" s="31" t="str">
        <f>IFERROR(__xludf.DUMMYFUNCTION("""COMPUTED_VALUE"""),"陰性,オンライン相談")</f>
        <v>陰性,オンライン相談</v>
      </c>
      <c r="E758" s="32" t="str">
        <f>IFERROR(__xludf.DUMMYFUNCTION("""COMPUTED_VALUE"""),"https://luna-dr.com/femcheck/faq/")</f>
        <v>https://luna-dr.com/femcheck/faq/</v>
      </c>
    </row>
    <row r="759">
      <c r="A759" s="31" t="str">
        <f>IFERROR(__xludf.DUMMYFUNCTION("""COMPUTED_VALUE"""),"郵送検査ではパートナーの治療も必要ですか？/FemCHECKではパートナーの治療も必要ですか？/おりもの検査ではパートナーの治療も必要ですか？")</f>
        <v>郵送検査ではパートナーの治療も必要ですか？/FemCHECKではパートナーの治療も必要ですか？/おりもの検査ではパートナーの治療も必要ですか？</v>
      </c>
      <c r="B759" s="31" t="str">
        <f>IFERROR(__xludf.DUMMYFUNCTION("""COMPUTED_VALUE"""),"精液、腟分泌液、血液、患部組織などには原因となる細菌やウイルスが含まれることがあり、コンドームなどで予防していない性行為があった場合は、パートナーにも感染している可能性があります。そのため、この場合はパートナーの方も検査を受けることをおすすめします。")</f>
        <v>精液、腟分泌液、血液、患部組織などには原因となる細菌やウイルスが含まれることがあり、コンドームなどで予防していない性行為があった場合は、パートナーにも感染している可能性があります。そのため、この場合はパートナーの方も検査を受けることをおすすめします。</v>
      </c>
      <c r="C759" s="31" t="str">
        <f>IFERROR(__xludf.DUMMYFUNCTION("""COMPUTED_VALUE"""),"郵送検査/FemCHECK")</f>
        <v>郵送検査/FemCHECK</v>
      </c>
      <c r="D759" s="31" t="str">
        <f>IFERROR(__xludf.DUMMYFUNCTION("""COMPUTED_VALUE"""),"パートナー治療,再感染,ピンポン感染")</f>
        <v>パートナー治療,再感染,ピンポン感染</v>
      </c>
      <c r="E759" s="32" t="str">
        <f>IFERROR(__xludf.DUMMYFUNCTION("""COMPUTED_VALUE"""),"https://luna-dr.com/femcheck/faq/")</f>
        <v>https://luna-dr.com/femcheck/faq/</v>
      </c>
    </row>
    <row r="760">
      <c r="A760" s="31" t="str">
        <f>IFERROR(__xludf.DUMMYFUNCTION("""COMPUTED_VALUE"""),"郵送検査の検査結果は正しいですか？/FemCHECKの検査結果は正しいですか？/おりもの検査の検査結果は正しいですか？")</f>
        <v>郵送検査の検査結果は正しいですか？/FemCHECKの検査結果は正しいですか？/おりもの検査の検査結果は正しいですか？</v>
      </c>
      <c r="B760" s="31" t="str">
        <f>IFERROR(__xludf.DUMMYFUNCTION("""COMPUTED_VALUE"""),"検査は、医療機関や保健所と同様に、国の認可を受けた登録衛生検査所で実施しています。適切な精度管理のもとで行われているため、安心してご利用いただけます。")</f>
        <v>検査は、医療機関や保健所と同様に、国の認可を受けた登録衛生検査所で実施しています。適切な精度管理のもとで行われているため、安心してご利用いただけます。</v>
      </c>
      <c r="C760" s="31" t="str">
        <f>IFERROR(__xludf.DUMMYFUNCTION("""COMPUTED_VALUE"""),"郵送検査/FemCHECK")</f>
        <v>郵送検査/FemCHECK</v>
      </c>
      <c r="D760" s="31" t="str">
        <f>IFERROR(__xludf.DUMMYFUNCTION("""COMPUTED_VALUE"""),"検査精度,登録衛生検査所,信頼性")</f>
        <v>検査精度,登録衛生検査所,信頼性</v>
      </c>
      <c r="E760" s="32" t="str">
        <f>IFERROR(__xludf.DUMMYFUNCTION("""COMPUTED_VALUE"""),"https://luna-dr.com/femcheck/faq/")</f>
        <v>https://luna-dr.com/femcheck/faq/</v>
      </c>
    </row>
    <row r="761">
      <c r="A761" s="31" t="str">
        <f>IFERROR(__xludf.DUMMYFUNCTION("""COMPUTED_VALUE"""),"ルナレディースクリニックの医師を教えてください")</f>
        <v>ルナレディースクリニックの医師を教えてください</v>
      </c>
      <c r="B761" s="31" t="str">
        <f>IFERROR(__xludf.DUMMYFUNCTION("""COMPUTED_VALUE"""),"ルナレディースクリニックでは、産婦人科の専門知識と豊富な臨床経験を持つ医師が診療を担当しています。院長の川原正行医師は、岡山大学医学部卒業後、大学病院や総合病院での産婦人科研修を経て、医薬品医療機器総合機構（PMDA）にて医薬品・医療機器の承認審査に従事しました。その後、こうのとりレディースクリニック、新宿レディースクリニックでの勤務を経て、2021年よりルナレディースクリニック院長として診療を行っています。また、近都真侑医師は近畿大学医学部卒業後、名戸ケ谷病院での初期研修、千葉西総合病院・昭和大学での産"&amp;"婦人科勤務を経験し、産業医としても多数の企業での実績があります。")</f>
        <v>ルナレディースクリニックでは、産婦人科の専門知識と豊富な臨床経験を持つ医師が診療を担当しています。院長の川原正行医師は、岡山大学医学部卒業後、大学病院や総合病院での産婦人科研修を経て、医薬品医療機器総合機構（PMDA）にて医薬品・医療機器の承認審査に従事しました。その後、こうのとりレディースクリニック、新宿レディースクリニックでの勤務を経て、2021年よりルナレディースクリニック院長として診療を行っています。また、近都真侑医師は近畿大学医学部卒業後、名戸ケ谷病院での初期研修、千葉西総合病院・昭和大学での産婦人科勤務を経験し、産業医としても多数の企業での実績があります。</v>
      </c>
      <c r="C761" s="31" t="str">
        <f>IFERROR(__xludf.DUMMYFUNCTION("""COMPUTED_VALUE"""),"医師紹介")</f>
        <v>医師紹介</v>
      </c>
      <c r="D761" s="31" t="str">
        <f>IFERROR(__xludf.DUMMYFUNCTION("""COMPUTED_VALUE"""),"医師紹介,院長,産婦人科医,川原正行,近都真侑")</f>
        <v>医師紹介,院長,産婦人科医,川原正行,近都真侑</v>
      </c>
      <c r="E761" s="32" t="str">
        <f>IFERROR(__xludf.DUMMYFUNCTION("""COMPUTED_VALUE"""),"https://luna-dr.com/")</f>
        <v>https://luna-dr.com/</v>
      </c>
    </row>
    <row r="762">
      <c r="A762" s="31" t="str">
        <f>IFERROR(__xludf.DUMMYFUNCTION("""COMPUTED_VALUE"""),"低用量ピルの定期配送を申し込みたいです/ピルの定期便を申し込みたい/ピルの定期購入をしたい/ピルのサブスクを始めたい")</f>
        <v>低用量ピルの定期配送を申し込みたいです/ピルの定期便を申し込みたい/ピルの定期購入をしたい/ピルのサブスクを始めたい</v>
      </c>
      <c r="B762" s="31" t="str">
        <f>IFERROR(__xludf.DUMMYFUNCTION("""COMPUTED_VALUE"""),"【当院もしくはオンライン診療で処方歴のある方】
当院でラベルフィーユ・ファボワールの処方歴がある場合、低用量ピルの定期配送をご利用いただけます。
定期配送の購入はこちら：
https://shop.luna-dr.com/collections/low_dose_pill_subscription
※カルテ確認の結果、処方が難しいと判断した場合は別途ご連絡することがあります。
※保険ピルの定期配送は対応しておりません。
【当院のご利用が初めての方】
まずは診察が必要となります。
オンライン診療はこちら"&amp;"のLINEからご予約ください。
https://liff-gateway.lineml.jp/landing?follow=%40590gpxrd&amp;lp=rJHUjK&amp;liff_id=1657094566-LmjNPPbV
またはこちらのLINEからクリニック診察をご予約ください
https://cline-app.com/qr-codes/98ad6f149bfa20f4f2a9a2e91aac4187/preview")</f>
        <v>【当院もしくはオンライン診療で処方歴のある方】
当院でラベルフィーユ・ファボワールの処方歴がある場合、低用量ピルの定期配送をご利用いただけます。
定期配送の購入はこちら：
https://shop.luna-dr.com/collections/low_dose_pill_subscription
※カルテ確認の結果、処方が難しいと判断した場合は別途ご連絡することがあります。
※保険ピルの定期配送は対応しておりません。
【当院のご利用が初めての方】
まずは診察が必要となります。
オンライン診療はこちらのLINEからご予約ください。
https://liff-gateway.lineml.jp/landing?follow=%40590gpxrd&amp;lp=rJHUjK&amp;liff_id=1657094566-LmjNPPbV
またはこちらのLINEからクリニック診察をご予約ください
https://cline-app.com/qr-codes/98ad6f149bfa20f4f2a9a2e91aac4187/preview</v>
      </c>
      <c r="C762" s="31" t="str">
        <f>IFERROR(__xludf.DUMMYFUNCTION("""COMPUTED_VALUE"""),"低用量ピル")</f>
        <v>低用量ピル</v>
      </c>
      <c r="D762" s="31" t="str">
        <f>IFERROR(__xludf.DUMMYFUNCTION("""COMPUTED_VALUE"""),"ピル,定期配送,サブスク,ラベルフィーユ,ファボワール,定期便,定期購入,サブスク")</f>
        <v>ピル,定期配送,サブスク,ラベルフィーユ,ファボワール,定期便,定期購入,サブスク</v>
      </c>
      <c r="E762" s="32" t="str">
        <f>IFERROR(__xludf.DUMMYFUNCTION("""COMPUTED_VALUE"""),"https://shop.luna-dr.com/collections/low_dose_pill_subscription")</f>
        <v>https://shop.luna-dr.com/collections/low_dose_pill_subscription</v>
      </c>
    </row>
    <row r="763">
      <c r="A763" s="31" t="str">
        <f>IFERROR(__xludf.DUMMYFUNCTION("""COMPUTED_VALUE"""),"クリニック受け取りから低用量ピルの定期配送に変更できますか？/来院からピルの定期便に切り替えたい/ピルの定期購入に変更したい")</f>
        <v>クリニック受け取りから低用量ピルの定期配送に変更できますか？/来院からピルの定期便に切り替えたい/ピルの定期購入に変更したい</v>
      </c>
      <c r="B763" s="31" t="str">
        <f>IFERROR(__xludf.DUMMYFUNCTION("""COMPUTED_VALUE"""),"当院またはオンライン診療でラベルフィーユ・ファボワールの処方歴がある場合、定期配送への変更が可能です。定期配送の購入はこちら（https://shop.luna-dr.com/collections/low_dose_pill_subscription）。
※保険ピルの定期配送は対応しておりません。")</f>
        <v>当院またはオンライン診療でラベルフィーユ・ファボワールの処方歴がある場合、定期配送への変更が可能です。定期配送の購入はこちら（https://shop.luna-dr.com/collections/low_dose_pill_subscription）。
※保険ピルの定期配送は対応しておりません。</v>
      </c>
      <c r="C763" s="31" t="str">
        <f>IFERROR(__xludf.DUMMYFUNCTION("""COMPUTED_VALUE"""),"低用量ピル")</f>
        <v>低用量ピル</v>
      </c>
      <c r="D763" s="31" t="str">
        <f>IFERROR(__xludf.DUMMYFUNCTION("""COMPUTED_VALUE"""),"ピル,定期配送,変更,サブスク,定期便,定期購入,サブスク")</f>
        <v>ピル,定期配送,変更,サブスク,定期便,定期購入,サブスク</v>
      </c>
      <c r="E763" s="32" t="str">
        <f>IFERROR(__xludf.DUMMYFUNCTION("""COMPUTED_VALUE"""),"https://shop.luna-dr.com/collections/low_dose_pill_subscription")</f>
        <v>https://shop.luna-dr.com/collections/low_dose_pill_subscription</v>
      </c>
    </row>
    <row r="764">
      <c r="A764" s="31" t="str">
        <f>IFERROR(__xludf.DUMMYFUNCTION("""COMPUTED_VALUE"""),"低用量ピルの定期配送を再開したいです/ピルの定期便を再開したい/ピルの定期購入を再開したい")</f>
        <v>低用量ピルの定期配送を再開したいです/ピルの定期便を再開したい/ピルの定期購入を再開したい</v>
      </c>
      <c r="B764" s="31" t="str">
        <f>IFERROR(__xludf.DUMMYFUNCTION("""COMPUTED_VALUE"""),"当院またはオンライン診療でラベルフィーユ・ファボワールの処方歴がある方は、再度定期配送をご利用いただけます。定期配送の購入はこちら（https://shop.luna-dr.com/collections/low_dose_pill_subscription）。")</f>
        <v>当院またはオンライン診療でラベルフィーユ・ファボワールの処方歴がある方は、再度定期配送をご利用いただけます。定期配送の購入はこちら（https://shop.luna-dr.com/collections/low_dose_pill_subscription）。</v>
      </c>
      <c r="C764" s="31" t="str">
        <f>IFERROR(__xludf.DUMMYFUNCTION("""COMPUTED_VALUE"""),"低用量ピル")</f>
        <v>低用量ピル</v>
      </c>
      <c r="D764" s="31" t="str">
        <f>IFERROR(__xludf.DUMMYFUNCTION("""COMPUTED_VALUE"""),"ピル,定期配送,再開,定期便,定期購入,サブスク")</f>
        <v>ピル,定期配送,再開,定期便,定期購入,サブスク</v>
      </c>
      <c r="E764" s="32" t="str">
        <f>IFERROR(__xludf.DUMMYFUNCTION("""COMPUTED_VALUE"""),"https://shop.luna-dr.com/collections/low_dose_pill_subscription")</f>
        <v>https://shop.luna-dr.com/collections/low_dose_pill_subscription</v>
      </c>
    </row>
    <row r="765">
      <c r="A765" s="31" t="str">
        <f>IFERROR(__xludf.DUMMYFUNCTION("""COMPUTED_VALUE"""),"低用量ピルを使わなくなったので返品できますか？/ピルの定期便を返品したい/定期購入のピルを返品できますか")</f>
        <v>低用量ピルを使わなくなったので返品できますか？/ピルの定期便を返品したい/定期購入のピルを返品できますか</v>
      </c>
      <c r="B765" s="31" t="str">
        <f>IFERROR(__xludf.DUMMYFUNCTION("""COMPUTED_VALUE"""),"申し訳ございませんが、配送後の商品は返品・キャンセルを承ることができません。あらかじめご了承ください。定期配送の解約をご希望の場合は、こちらのフォーム（https://docs.google.com/forms/d/e/1FAIpQLSe41t1VsvN-rfcwsRSkalz89S2yqQc4zpWrbdcrwPo95Iif-Q/viewform）よりご連絡ください。")</f>
        <v>申し訳ございませんが、配送後の商品は返品・キャンセルを承ることができません。あらかじめご了承ください。定期配送の解約をご希望の場合は、こちらのフォーム（https://docs.google.com/forms/d/e/1FAIpQLSe41t1VsvN-rfcwsRSkalz89S2yqQc4zpWrbdcrwPo95Iif-Q/viewform）よりご連絡ください。</v>
      </c>
      <c r="C765" s="31" t="str">
        <f>IFERROR(__xludf.DUMMYFUNCTION("""COMPUTED_VALUE"""),"低用量ピル")</f>
        <v>低用量ピル</v>
      </c>
      <c r="D765" s="31" t="str">
        <f>IFERROR(__xludf.DUMMYFUNCTION("""COMPUTED_VALUE"""),"ピル,返品,定期便,定期購入,サブスク")</f>
        <v>ピル,返品,定期便,定期購入,サブスク</v>
      </c>
      <c r="E765" s="32" t="str">
        <f>IFERROR(__xludf.DUMMYFUNCTION("""COMPUTED_VALUE"""),"https://shop.luna-dr.com/")</f>
        <v>https://shop.luna-dr.com/</v>
      </c>
    </row>
    <row r="766">
      <c r="A766" s="31" t="str">
        <f>IFERROR(__xludf.DUMMYFUNCTION("""COMPUTED_VALUE"""),"乳酸桿菌の定期配送を購入したいです/ラクトフローラの定期配送を購入したいです/ラクトフローラについて知りたい/ラクトフローラとは何ですか？/ラクトフローラについて教えてください")</f>
        <v>乳酸桿菌の定期配送を購入したいです/ラクトフローラの定期配送を購入したいです/ラクトフローラについて知りたい/ラクトフローラとは何ですか？/ラクトフローラについて教えてください</v>
      </c>
      <c r="B766" s="31" t="str">
        <f>IFERROR(__xludf.DUMMYFUNCTION("""COMPUTED_VALUE"""),"乳酸桿菌（ラクトフローラ）は膣内環境を整えるための製品で、継続的な使用により予防効果が期待できます。購入はこちら（https://shop.luna-dr.com/products/lactobacillus）。")</f>
        <v>乳酸桿菌（ラクトフローラ）は膣内環境を整えるための製品で、継続的な使用により予防効果が期待できます。購入はこちら（https://shop.luna-dr.com/products/lactobacillus）。</v>
      </c>
      <c r="C766" s="31" t="str">
        <f>IFERROR(__xludf.DUMMYFUNCTION("""COMPUTED_VALUE"""),"フェムケア")</f>
        <v>フェムケア</v>
      </c>
      <c r="D766" s="31" t="str">
        <f>IFERROR(__xludf.DUMMYFUNCTION("""COMPUTED_VALUE"""),"乳酸桿菌,ラクトフローラ,おりもの,カンジダ,定期便,定期購入,サブスク")</f>
        <v>乳酸桿菌,ラクトフローラ,おりもの,カンジダ,定期便,定期購入,サブスク</v>
      </c>
      <c r="E766" s="32" t="str">
        <f>IFERROR(__xludf.DUMMYFUNCTION("""COMPUTED_VALUE"""),"https://shop.luna-dr.com/products/lactobacillus")</f>
        <v>https://shop.luna-dr.com/products/lactobacillus</v>
      </c>
    </row>
    <row r="767">
      <c r="A767" s="31" t="str">
        <f>IFERROR(__xludf.DUMMYFUNCTION("""COMPUTED_VALUE"""),"定期配送の配送先住所を変更したいです/定期便の届け先を変更したい/定期購入の住所変更")</f>
        <v>定期配送の配送先住所を変更したいです/定期便の届け先を変更したい/定期購入の住所変更</v>
      </c>
      <c r="B767" s="31" t="str">
        <f>IFERROR(__xludf.DUMMYFUNCTION("""COMPUTED_VALUE"""),"お手数ですが、こちらのフォーム（https://docs.google.com/forms/d/e/1FAIpQLSe41t1VsvN-rfcwsRSkalz89S2yqQc4zpWrbdcrwPo95Iif-Q/viewform）よりご連絡ください。内容確認後、3日以内にカウンセラーよりメールでご連絡いたします。")</f>
        <v>お手数ですが、こちらのフォーム（https://docs.google.com/forms/d/e/1FAIpQLSe41t1VsvN-rfcwsRSkalz89S2yqQc4zpWrbdcrwPo95Iif-Q/viewform）よりご連絡ください。内容確認後、3日以内にカウンセラーよりメールでご連絡いたします。</v>
      </c>
      <c r="C767" s="31" t="str">
        <f>IFERROR(__xludf.DUMMYFUNCTION("""COMPUTED_VALUE"""),"定期配送")</f>
        <v>定期配送</v>
      </c>
      <c r="D767" s="31" t="str">
        <f>IFERROR(__xludf.DUMMYFUNCTION("""COMPUTED_VALUE"""),"住所変更,配送先,定期便,定期購入,サブスク")</f>
        <v>住所変更,配送先,定期便,定期購入,サブスク</v>
      </c>
      <c r="E767" s="32" t="str">
        <f>IFERROR(__xludf.DUMMYFUNCTION("""COMPUTED_VALUE"""),"https://docs.google.com/forms/d/e/1FAIpQLSe41t1VsvN-rfcwsRSkalz89S2yqQc4zpWrbdcrwPo95Iif-Q/viewform")</f>
        <v>https://docs.google.com/forms/d/e/1FAIpQLSe41t1VsvN-rfcwsRSkalz89S2yqQc4zpWrbdcrwPo95Iif-Q/viewform</v>
      </c>
    </row>
    <row r="768">
      <c r="A768" s="31" t="str">
        <f>IFERROR(__xludf.DUMMYFUNCTION("""COMPUTED_VALUE"""),"氏名を変更したいです/名前が変わったのですが変更できますか？/改姓の手続きをしたい/苗字が変わりました/定期配送の氏名を変更したい/定期便の氏名を変更したい/定期購入の名前変更/登録情報の変更/登録情報を変更したい/個人情報の変更")</f>
        <v>氏名を変更したいです/名前が変わったのですが変更できますか？/改姓の手続きをしたい/苗字が変わりました/定期配送の氏名を変更したい/定期便の氏名を変更したい/定期購入の名前変更/登録情報の変更/登録情報を変更したい/個人情報の変更</v>
      </c>
      <c r="B768" s="31" t="str">
        <f>IFERROR(__xludf.DUMMYFUNCTION("""COMPUTED_VALUE"""),"【定期配送をご利用の方】お手数ですが、こちらのフォーム（https://docs.google.com/forms/d/e/1FAIpQLSe41t1VsvN-rfcwsRSkalz89S2yqQc4zpWrbdcrwPo95Iif-Q/viewform）よりご連絡ください。内容確認後、3日以内にカウンセラーよりメールでご連絡いたします。【クリニックにご来院の方】次回ご来院の際に受付にてお申し付けください。")</f>
        <v>【定期配送をご利用の方】お手数ですが、こちらのフォーム（https://docs.google.com/forms/d/e/1FAIpQLSe41t1VsvN-rfcwsRSkalz89S2yqQc4zpWrbdcrwPo95Iif-Q/viewform）よりご連絡ください。内容確認後、3日以内にカウンセラーよりメールでご連絡いたします。【クリニックにご来院の方】次回ご来院の際に受付にてお申し付けください。</v>
      </c>
      <c r="C768" s="31" t="str">
        <f>IFERROR(__xludf.DUMMYFUNCTION("""COMPUTED_VALUE"""),"受診案内・手続き")</f>
        <v>受診案内・手続き</v>
      </c>
      <c r="D768" s="31" t="str">
        <f>IFERROR(__xludf.DUMMYFUNCTION("""COMPUTED_VALUE"""),"氏名変更,名前変更,改姓,苗字,名義変更,定期便,定期購入,サブスク")</f>
        <v>氏名変更,名前変更,改姓,苗字,名義変更,定期便,定期購入,サブスク</v>
      </c>
      <c r="E768" s="32" t="str">
        <f>IFERROR(__xludf.DUMMYFUNCTION("""COMPUTED_VALUE"""),"https://docs.google.com/forms/d/e/1FAIpQLSe41t1VsvN-rfcwsRSkalz89S2yqQc4zpWrbdcrwPo95Iif-Q/viewform")</f>
        <v>https://docs.google.com/forms/d/e/1FAIpQLSe41t1VsvN-rfcwsRSkalz89S2yqQc4zpWrbdcrwPo95Iif-Q/viewform</v>
      </c>
    </row>
    <row r="769">
      <c r="A769" s="31" t="str">
        <f>IFERROR(__xludf.DUMMYFUNCTION("""COMPUTED_VALUE"""),"定期配送の次回配送日を変更したいです/定期便の届く日を変更したい/定期購入の配送日変更")</f>
        <v>定期配送の次回配送日を変更したいです/定期便の届く日を変更したい/定期購入の配送日変更</v>
      </c>
      <c r="B769" s="31" t="str">
        <f>IFERROR(__xludf.DUMMYFUNCTION("""COMPUTED_VALUE"""),"お手数ですが、こちらのフォーム（https://docs.google.com/forms/d/e/1FAIpQLSe41t1VsvN-rfcwsRSkalz89S2yqQc4zpWrbdcrwPo95Iif-Q/viewform）よりご連絡ください。内容確認後、3日以内にカウンセラーよりメールでご連絡いたします。")</f>
        <v>お手数ですが、こちらのフォーム（https://docs.google.com/forms/d/e/1FAIpQLSe41t1VsvN-rfcwsRSkalz89S2yqQc4zpWrbdcrwPo95Iif-Q/viewform）よりご連絡ください。内容確認後、3日以内にカウンセラーよりメールでご連絡いたします。</v>
      </c>
      <c r="C769" s="31" t="str">
        <f>IFERROR(__xludf.DUMMYFUNCTION("""COMPUTED_VALUE"""),"定期配送")</f>
        <v>定期配送</v>
      </c>
      <c r="D769" s="31" t="str">
        <f>IFERROR(__xludf.DUMMYFUNCTION("""COMPUTED_VALUE"""),"配送日変更,定期便,定期購入,サブスク")</f>
        <v>配送日変更,定期便,定期購入,サブスク</v>
      </c>
      <c r="E769" s="32" t="str">
        <f>IFERROR(__xludf.DUMMYFUNCTION("""COMPUTED_VALUE"""),"https://docs.google.com/forms/d/e/1FAIpQLSe41t1VsvN-rfcwsRSkalz89S2yqQc4zpWrbdcrwPo95Iif-Q/viewform")</f>
        <v>https://docs.google.com/forms/d/e/1FAIpQLSe41t1VsvN-rfcwsRSkalz89S2yqQc4zpWrbdcrwPo95Iif-Q/viewform</v>
      </c>
    </row>
    <row r="770">
      <c r="A770" s="31" t="str">
        <f>IFERROR(__xludf.DUMMYFUNCTION("""COMPUTED_VALUE"""),"定期配送を解約したいです/定期購入を解約したい/定期便を解約したい/サブスクを解約したい/定期購入をやめたい/ピルの定期購入を解約したい/ピルの定期配送を解約したいです/ピルの定期便を解約したい/ピルのサブスクを解約したい/ピルの定期購入をやめたい/定期購入をキャンセルしたい/定期購入のキャンセル方法/定期購入2回目のキャンセル")</f>
        <v>定期配送を解約したいです/定期購入を解約したい/定期便を解約したい/サブスクを解約したい/定期購入をやめたい/ピルの定期購入を解約したい/ピルの定期配送を解約したいです/ピルの定期便を解約したい/ピルのサブスクを解約したい/ピルの定期購入をやめたい/定期購入をキャンセルしたい/定期購入のキャンセル方法/定期購入2回目のキャンセル</v>
      </c>
      <c r="B770" s="31" t="str">
        <f>IFERROR(__xludf.DUMMYFUNCTION("""COMPUTED_VALUE"""),"お手数ですが、こちらのフォーム（https://docs.google.com/forms/d/e/1FAIpQLSe41t1VsvN-rfcwsRSkalz89S2yqQc4zpWrbdcrwPo95Iif-Q/viewform）よりご連絡ください。内容確認後、3日以内にカウンセラーよりメールでご連絡いたします。")</f>
        <v>お手数ですが、こちらのフォーム（https://docs.google.com/forms/d/e/1FAIpQLSe41t1VsvN-rfcwsRSkalz89S2yqQc4zpWrbdcrwPo95Iif-Q/viewform）よりご連絡ください。内容確認後、3日以内にカウンセラーよりメールでご連絡いたします。</v>
      </c>
      <c r="C770" s="31" t="str">
        <f>IFERROR(__xludf.DUMMYFUNCTION("""COMPUTED_VALUE"""),"定期配送")</f>
        <v>定期配送</v>
      </c>
      <c r="D770" s="31" t="str">
        <f>IFERROR(__xludf.DUMMYFUNCTION("""COMPUTED_VALUE"""),"解約,サブスク,定期購入,定期便,定期便,定期購入,サブスク")</f>
        <v>解約,サブスク,定期購入,定期便,定期便,定期購入,サブスク</v>
      </c>
      <c r="E770" s="32" t="str">
        <f>IFERROR(__xludf.DUMMYFUNCTION("""COMPUTED_VALUE"""),"https://docs.google.com/forms/d/e/1FAIpQLSe41t1VsvN-rfcwsRSkalz89S2yqQc4zpWrbdcrwPo95Iif-Q/viewform")</f>
        <v>https://docs.google.com/forms/d/e/1FAIpQLSe41t1VsvN-rfcwsRSkalz89S2yqQc4zpWrbdcrwPo95Iif-Q/viewform</v>
      </c>
    </row>
    <row r="771">
      <c r="A771" s="31" t="str">
        <f>IFERROR(__xludf.DUMMYFUNCTION("""COMPUTED_VALUE"""),"定期配送の契約プランを変更したいです/定期便のプランを変更したい/定期購入のコース変更/現在の自分の契約コースを知りたい")</f>
        <v>定期配送の契約プランを変更したいです/定期便のプランを変更したい/定期購入のコース変更/現在の自分の契約コースを知りたい</v>
      </c>
      <c r="B771" s="31" t="str">
        <f>IFERROR(__xludf.DUMMYFUNCTION("""COMPUTED_VALUE"""),"お手数ですが、こちらのフォーム（https://docs.google.com/forms/d/e/1FAIpQLSe41t1VsvN-rfcwsRSkalz89S2yqQc4zpWrbdcrwPo95Iif-Q/viewform）よりご連絡ください。内容確認後、3日以内にカウンセラーよりメールでご連絡いたします。")</f>
        <v>お手数ですが、こちらのフォーム（https://docs.google.com/forms/d/e/1FAIpQLSe41t1VsvN-rfcwsRSkalz89S2yqQc4zpWrbdcrwPo95Iif-Q/viewform）よりご連絡ください。内容確認後、3日以内にカウンセラーよりメールでご連絡いたします。</v>
      </c>
      <c r="C771" s="31" t="str">
        <f>IFERROR(__xludf.DUMMYFUNCTION("""COMPUTED_VALUE"""),"定期配送")</f>
        <v>定期配送</v>
      </c>
      <c r="D771" s="31" t="str">
        <f>IFERROR(__xludf.DUMMYFUNCTION("""COMPUTED_VALUE"""),"契約プラン,変更,サブスク,定期配送,定期便,定期購入,サブスク")</f>
        <v>契約プラン,変更,サブスク,定期配送,定期便,定期購入,サブスク</v>
      </c>
      <c r="E771" s="32" t="str">
        <f>IFERROR(__xludf.DUMMYFUNCTION("""COMPUTED_VALUE"""),"https://docs.google.com/forms/d/e/1FAIpQLSe41t1VsvN-rfcwsRSkalz89S2yqQc4zpWrbdcrwPo95Iif-Q/viewform")</f>
        <v>https://docs.google.com/forms/d/e/1FAIpQLSe41t1VsvN-rfcwsRSkalz89S2yqQc4zpWrbdcrwPo95Iif-Q/viewform</v>
      </c>
    </row>
    <row r="772">
      <c r="A772" s="31" t="str">
        <f>IFERROR(__xludf.DUMMYFUNCTION("""COMPUTED_VALUE"""),"定期配送の次回配送日がいつか確認したい/定期便の次回発送日はいつ/定期購入の次はいつ届く/定期便の次回発送日はいつですか？/次の定期便はいつ届きますか？/定期購入の次回発送日を確認したい/次回の定期発送/契約済みのピルの配送日を知りたい/次回のピル配送")</f>
        <v>定期配送の次回配送日がいつか確認したい/定期便の次回発送日はいつ/定期購入の次はいつ届く/定期便の次回発送日はいつですか？/次の定期便はいつ届きますか？/定期購入の次回発送日を確認したい/次回の定期発送/契約済みのピルの配送日を知りたい/次回のピル配送</v>
      </c>
      <c r="B772" s="31" t="str">
        <f>IFERROR(__xludf.DUMMYFUNCTION("""COMPUTED_VALUE"""),"お手数ですが、こちらのフォーム（https://docs.google.com/forms/d/e/1FAIpQLSe41t1VsvN-rfcwsRSkalz89S2yqQc4zpWrbdcrwPo95Iif-Q/viewform）よりご連絡ください。内容確認後、3日以内にカウンセラーよりメールでご連絡いたします。")</f>
        <v>お手数ですが、こちらのフォーム（https://docs.google.com/forms/d/e/1FAIpQLSe41t1VsvN-rfcwsRSkalz89S2yqQc4zpWrbdcrwPo95Iif-Q/viewform）よりご連絡ください。内容確認後、3日以内にカウンセラーよりメールでご連絡いたします。</v>
      </c>
      <c r="C772" s="31" t="str">
        <f>IFERROR(__xludf.DUMMYFUNCTION("""COMPUTED_VALUE"""),"定期配送")</f>
        <v>定期配送</v>
      </c>
      <c r="D772" s="31" t="str">
        <f>IFERROR(__xludf.DUMMYFUNCTION("""COMPUTED_VALUE"""),"次回配送日,定期配送,サブスク,定期便,定期購入,サブスク,次回発送,発送日")</f>
        <v>次回配送日,定期配送,サブスク,定期便,定期購入,サブスク,次回発送,発送日</v>
      </c>
      <c r="E772" s="32" t="str">
        <f>IFERROR(__xludf.DUMMYFUNCTION("""COMPUTED_VALUE"""),"https://docs.google.com/forms/d/e/1FAIpQLSe41t1VsvN-rfcwsRSkalz89S2yqQc4zpWrbdcrwPo95Iif-Q/viewform")</f>
        <v>https://docs.google.com/forms/d/e/1FAIpQLSe41t1VsvN-rfcwsRSkalz89S2yqQc4zpWrbdcrwPo95Iif-Q/viewform</v>
      </c>
    </row>
    <row r="773">
      <c r="A773" s="31" t="str">
        <f>IFERROR(__xludf.DUMMYFUNCTION("""COMPUTED_VALUE"""),"定期配送の配購入回数に制限はありますか？/定期便に回数制限はある？/定期購入は何回まで？")</f>
        <v>定期配送の配購入回数に制限はありますか？/定期便に回数制限はある？/定期購入は何回まで？</v>
      </c>
      <c r="B773" s="31" t="str">
        <f>IFERROR(__xludf.DUMMYFUNCTION("""COMPUTED_VALUE"""),"定期配送のご利用に回数制限はございません。ただし、配送後の返品・キャンセルはできませんのでご了承ください。")</f>
        <v>定期配送のご利用に回数制限はございません。ただし、配送後の返品・キャンセルはできませんのでご了承ください。</v>
      </c>
      <c r="C773" s="31" t="str">
        <f>IFERROR(__xludf.DUMMYFUNCTION("""COMPUTED_VALUE"""),"定期配送")</f>
        <v>定期配送</v>
      </c>
      <c r="D773" s="31" t="str">
        <f>IFERROR(__xludf.DUMMYFUNCTION("""COMPUTED_VALUE"""),"回数制限,購入条件,定期便,定期購入,サブスク")</f>
        <v>回数制限,購入条件,定期便,定期購入,サブスク</v>
      </c>
      <c r="E773" s="32" t="str">
        <f>IFERROR(__xludf.DUMMYFUNCTION("""COMPUTED_VALUE"""),"https://shop.luna-dr.com/collections/low_dose_pill_subscription")</f>
        <v>https://shop.luna-dr.com/collections/low_dose_pill_subscription</v>
      </c>
    </row>
    <row r="774">
      <c r="A774" s="31" t="str">
        <f>IFERROR(__xludf.DUMMYFUNCTION("""COMPUTED_VALUE"""),"定期配送のクレジットカード決済でエラーの連絡が来た/定期便の決済エラー/定期購入のカードエラー")</f>
        <v>定期配送のクレジットカード決済でエラーの連絡が来た/定期便の決済エラー/定期購入のカードエラー</v>
      </c>
      <c r="B774" s="31" t="str">
        <f>IFERROR(__xludf.DUMMYFUNCTION("""COMPUTED_VALUE"""),"定期配送は自動決済のため再購入は不要です。カード変更や限度額超過の場合は、カード情報の更新が必要です。エラー時は登録メール宛にご連絡しております。不明点はフォーム（https://docs.google.com/forms/d/e/1FAIpQLSe41t1VsvN-rfcwsRSkalz89S2yqQc4zpWrbdcrwPo95Iif-Q/viewform）よりお問い合わせください。")</f>
        <v>定期配送は自動決済のため再購入は不要です。カード変更や限度額超過の場合は、カード情報の更新が必要です。エラー時は登録メール宛にご連絡しております。不明点はフォーム（https://docs.google.com/forms/d/e/1FAIpQLSe41t1VsvN-rfcwsRSkalz89S2yqQc4zpWrbdcrwPo95Iif-Q/viewform）よりお問い合わせください。</v>
      </c>
      <c r="C774" s="31" t="str">
        <f>IFERROR(__xludf.DUMMYFUNCTION("""COMPUTED_VALUE"""),"支払い")</f>
        <v>支払い</v>
      </c>
      <c r="D774" s="31" t="str">
        <f>IFERROR(__xludf.DUMMYFUNCTION("""COMPUTED_VALUE"""),"クレジットカード,決済エラー,定期便,定期購入,サブスク")</f>
        <v>クレジットカード,決済エラー,定期便,定期購入,サブスク</v>
      </c>
      <c r="E774" s="32" t="str">
        <f>IFERROR(__xludf.DUMMYFUNCTION("""COMPUTED_VALUE"""),"https://docs.google.com/forms/d/e/1FAIpQLSe41t1VsvN-rfcwsRSkalz89S2yqQc4zpWrbdcrwPo95Iif-Q/viewform")</f>
        <v>https://docs.google.com/forms/d/e/1FAIpQLSe41t1VsvN-rfcwsRSkalz89S2yqQc4zpWrbdcrwPo95Iif-Q/viewform</v>
      </c>
    </row>
    <row r="775">
      <c r="A775" s="31" t="str">
        <f>IFERROR(__xludf.DUMMYFUNCTION("""COMPUTED_VALUE"""),"定期配送は毎回申し込みが必要ですか？/定期配送は再登録が必要ですか/定期便は毎回注文が必要？/定期購入は自動更新？")</f>
        <v>定期配送は毎回申し込みが必要ですか？/定期配送は再登録が必要ですか/定期便は毎回注文が必要？/定期購入は自動更新？</v>
      </c>
      <c r="B775" s="31" t="str">
        <f>IFERROR(__xludf.DUMMYFUNCTION("""COMPUTED_VALUE"""),"再登録は不要です。契約コースごとに自動で決済・配送されます。決済エラーが発生した場合のみカード情報の更新が必要です。不明点はフォーム（https://docs.google.com/forms/d/e/1FAIpQLSe41t1VsvN-rfcwsRSkalz89S2yqQc4zpWrbdcrwPo95Iif-Q/viewform）よりお問い合わせください。")</f>
        <v>再登録は不要です。契約コースごとに自動で決済・配送されます。決済エラーが発生した場合のみカード情報の更新が必要です。不明点はフォーム（https://docs.google.com/forms/d/e/1FAIpQLSe41t1VsvN-rfcwsRSkalz89S2yqQc4zpWrbdcrwPo95Iif-Q/viewform）よりお問い合わせください。</v>
      </c>
      <c r="C775" s="31" t="str">
        <f>IFERROR(__xludf.DUMMYFUNCTION("""COMPUTED_VALUE"""),"定期配送")</f>
        <v>定期配送</v>
      </c>
      <c r="D775" s="31" t="str">
        <f>IFERROR(__xludf.DUMMYFUNCTION("""COMPUTED_VALUE"""),"自動更新,サブスク,定期便,定期購入")</f>
        <v>自動更新,サブスク,定期便,定期購入</v>
      </c>
      <c r="E775" s="32" t="str">
        <f>IFERROR(__xludf.DUMMYFUNCTION("""COMPUTED_VALUE"""),"https://shop.luna-dr.com/collections/low_dose_pill_subscription")</f>
        <v>https://shop.luna-dr.com/collections/low_dose_pill_subscription</v>
      </c>
    </row>
    <row r="776">
      <c r="A776" s="31" t="str">
        <f>IFERROR(__xludf.DUMMYFUNCTION("""COMPUTED_VALUE"""),"定期配送の返品はできますか？/定期配送のキャンセルはできますか？/定期便の返品/定期購入をキャンセルしたい")</f>
        <v>定期配送の返品はできますか？/定期配送のキャンセルはできますか？/定期便の返品/定期購入をキャンセルしたい</v>
      </c>
      <c r="B776" s="31" t="str">
        <f>IFERROR(__xludf.DUMMYFUNCTION("""COMPUTED_VALUE"""),"配送前のキャンセル・解約をご希望の場合は、こちらのフォーム（https://docs.google.com/forms/d/e/1FAIpQLSe41t1VsvN-rfcwsRSkalz89S2yqQc4zpWrbdcrwPo95Iif-Q/viewform）よりご連絡ください。決済後の返品・キャンセルはできませんので、あらかじめご了承ください。なお、定期配送のご利用に制限はございません。")</f>
        <v>配送前のキャンセル・解約をご希望の場合は、こちらのフォーム（https://docs.google.com/forms/d/e/1FAIpQLSe41t1VsvN-rfcwsRSkalz89S2yqQc4zpWrbdcrwPo95Iif-Q/viewform）よりご連絡ください。決済後の返品・キャンセルはできませんので、あらかじめご了承ください。なお、定期配送のご利用に制限はございません。</v>
      </c>
      <c r="C776" s="31" t="str">
        <f>IFERROR(__xludf.DUMMYFUNCTION("""COMPUTED_VALUE"""),"定期配送")</f>
        <v>定期配送</v>
      </c>
      <c r="D776" s="31" t="str">
        <f>IFERROR(__xludf.DUMMYFUNCTION("""COMPUTED_VALUE"""),"定期配送,キャンセル,返品,定期便,定期購入,サブスク")</f>
        <v>定期配送,キャンセル,返品,定期便,定期購入,サブスク</v>
      </c>
      <c r="E776" s="32" t="str">
        <f>IFERROR(__xludf.DUMMYFUNCTION("""COMPUTED_VALUE"""),"https://shop.luna-dr.com/collections/low_dose_pill_subscription")</f>
        <v>https://shop.luna-dr.com/collections/low_dose_pill_subscription</v>
      </c>
    </row>
    <row r="777">
      <c r="A777" s="31" t="str">
        <f>IFERROR(__xludf.DUMMYFUNCTION("""COMPUTED_VALUE"""),"オンライン診療の料金を知りたい")</f>
        <v>オンライン診療の料金を知りたい</v>
      </c>
      <c r="B777" s="31" t="str">
        <f>IFERROR(__xludf.DUMMYFUNCTION("""COMPUTED_VALUE"""),"お薬の費用、送料、診察料はこちらのページをご確認ください→https://luna-dr.notion.site/1962f1eed8ff817497d6e727d9c32c73")</f>
        <v>お薬の費用、送料、診察料はこちらのページをご確認ください→https://luna-dr.notion.site/1962f1eed8ff817497d6e727d9c32c73</v>
      </c>
      <c r="C777" s="31" t="str">
        <f>IFERROR(__xludf.DUMMYFUNCTION("""COMPUTED_VALUE"""),"オンライン診療")</f>
        <v>オンライン診療</v>
      </c>
      <c r="D777" s="31" t="str">
        <f>IFERROR(__xludf.DUMMYFUNCTION("""COMPUTED_VALUE"""),"オンライン診療,料金")</f>
        <v>オンライン診療,料金</v>
      </c>
      <c r="E777" s="32" t="str">
        <f>IFERROR(__xludf.DUMMYFUNCTION("""COMPUTED_VALUE"""),"https://luna-dr.notion.site/1962f1eed8ff817497d6e727d9c32c73")</f>
        <v>https://luna-dr.notion.site/1962f1eed8ff817497d6e727d9c32c73</v>
      </c>
    </row>
    <row r="778">
      <c r="A778" s="31" t="str">
        <f>IFERROR(__xludf.DUMMYFUNCTION("""COMPUTED_VALUE"""),"オンライン診療は何歳から利用できますか？")</f>
        <v>オンライン診療は何歳から利用できますか？</v>
      </c>
      <c r="B778" s="31" t="str">
        <f>IFERROR(__xludf.DUMMYFUNCTION("""COMPUTED_VALUE"""),"オンライン診療は18歳以上が対象です。低用量ピルは初回処方が18歳以上40歳未満、定期配送は45歳までご利用いただけます。")</f>
        <v>オンライン診療は18歳以上が対象です。低用量ピルは初回処方が18歳以上40歳未満、定期配送は45歳までご利用いただけます。</v>
      </c>
      <c r="C778" s="31" t="str">
        <f>IFERROR(__xludf.DUMMYFUNCTION("""COMPUTED_VALUE"""),"オンライン診療")</f>
        <v>オンライン診療</v>
      </c>
      <c r="D778" s="31" t="str">
        <f>IFERROR(__xludf.DUMMYFUNCTION("""COMPUTED_VALUE"""),"オンライン診療,年齢制限,ピル")</f>
        <v>オンライン診療,年齢制限,ピル</v>
      </c>
      <c r="E778" s="32" t="str">
        <f>IFERROR(__xludf.DUMMYFUNCTION("""COMPUTED_VALUE"""),"https://luna-dr.com/")</f>
        <v>https://luna-dr.com/</v>
      </c>
    </row>
    <row r="779">
      <c r="A779" s="31" t="str">
        <f>IFERROR(__xludf.DUMMYFUNCTION("""COMPUTED_VALUE"""),"オンライン診療の診療時間を教えてください")</f>
        <v>オンライン診療の診療時間を教えてください</v>
      </c>
      <c r="B779" s="31" t="str">
        <f>IFERROR(__xludf.DUMMYFUNCTION("""COMPUTED_VALUE"""),"オンライン診療は年中無休で診療を行っております。医師とのオンライン診療は11時～18時にご利用いただけます。
診療申し込みやご質問などは24時間受付けておりますので、お気軽にご相談ください。年末年始の休診は公式HPをご確認ください。")</f>
        <v>オンライン診療は年中無休で診療を行っております。医師とのオンライン診療は11時～18時にご利用いただけます。
診療申し込みやご質問などは24時間受付けておりますので、お気軽にご相談ください。年末年始の休診は公式HPをご確認ください。</v>
      </c>
      <c r="C779" s="31" t="str">
        <f>IFERROR(__xludf.DUMMYFUNCTION("""COMPUTED_VALUE"""),"オンライン診療")</f>
        <v>オンライン診療</v>
      </c>
      <c r="D779" s="31" t="str">
        <f>IFERROR(__xludf.DUMMYFUNCTION("""COMPUTED_VALUE"""),"オンライン診療,診療時間")</f>
        <v>オンライン診療,診療時間</v>
      </c>
      <c r="E779" s="32" t="str">
        <f>IFERROR(__xludf.DUMMYFUNCTION("""COMPUTED_VALUE"""),"https://luna-dr.com/")</f>
        <v>https://luna-dr.com/</v>
      </c>
    </row>
    <row r="780">
      <c r="A780" s="31" t="str">
        <f>IFERROR(__xludf.DUMMYFUNCTION("""COMPUTED_VALUE"""),"オンライン診療は保険適用ですか？費用はいくらですか？")</f>
        <v>オンライン診療は保険適用ですか？費用はいくらですか？</v>
      </c>
      <c r="B780" s="31" t="str">
        <f>IFERROR(__xludf.DUMMYFUNCTION("""COMPUTED_VALUE"""),"オンライン診療はすべて自費診療となり、保険は適用されません。")</f>
        <v>オンライン診療はすべて自費診療となり、保険は適用されません。</v>
      </c>
      <c r="C780" s="31" t="str">
        <f>IFERROR(__xludf.DUMMYFUNCTION("""COMPUTED_VALUE"""),"オンライン診療")</f>
        <v>オンライン診療</v>
      </c>
      <c r="D780" s="31" t="str">
        <f>IFERROR(__xludf.DUMMYFUNCTION("""COMPUTED_VALUE"""),"保険,費用,自費診療")</f>
        <v>保険,費用,自費診療</v>
      </c>
      <c r="E780" s="32" t="str">
        <f>IFERROR(__xludf.DUMMYFUNCTION("""COMPUTED_VALUE"""),"https://luna-dr.com/")</f>
        <v>https://luna-dr.com/</v>
      </c>
    </row>
    <row r="781">
      <c r="A781" s="31" t="str">
        <f>IFERROR(__xludf.DUMMYFUNCTION("""COMPUTED_VALUE"""),"診察番号が分かりません/診察番号を教えてください/診察番号はどこで確認できますか？")</f>
        <v>診察番号が分かりません/診察番号を教えてください/診察番号はどこで確認できますか？</v>
      </c>
      <c r="B781" s="31" t="str">
        <f>IFERROR(__xludf.DUMMYFUNCTION("""COMPUTED_VALUE"""),"診察番号（患者番号）の確認方法についてご案内します。診察番号はLINEまたは領収書からご確認いただけます。詳しい確認手順はこちらのページをご参照ください。→https://luna-dr.notion.site/f0a26ab231534d8fa9cb069193c411a4")</f>
        <v>診察番号（患者番号）の確認方法についてご案内します。診察番号はLINEまたは領収書からご確認いただけます。詳しい確認手順はこちらのページをご参照ください。→https://luna-dr.notion.site/f0a26ab231534d8fa9cb069193c411a4</v>
      </c>
      <c r="C781" s="31" t="str">
        <f>IFERROR(__xludf.DUMMYFUNCTION("""COMPUTED_VALUE"""),"オンライン診療｜各種手続き")</f>
        <v>オンライン診療｜各種手続き</v>
      </c>
      <c r="D781" s="31" t="str">
        <f>IFERROR(__xludf.DUMMYFUNCTION("""COMPUTED_VALUE"""),"診察番号,確認方法,オンライン診療")</f>
        <v>診察番号,確認方法,オンライン診療</v>
      </c>
      <c r="E781" s="32" t="str">
        <f>IFERROR(__xludf.DUMMYFUNCTION("""COMPUTED_VALUE"""),"https://luna-dr.notion.site/f0a26ab231534d8fa9cb069193c411a4")</f>
        <v>https://luna-dr.notion.site/f0a26ab231534d8fa9cb069193c411a4</v>
      </c>
    </row>
    <row r="782">
      <c r="A782" s="31" t="str">
        <f>IFERROR(__xludf.DUMMYFUNCTION("""COMPUTED_VALUE"""),"オンライン診療ではレシートを発行してもらえますか？")</f>
        <v>オンライン診療ではレシートを発行してもらえますか？</v>
      </c>
      <c r="B782" s="31" t="str">
        <f>IFERROR(__xludf.DUMMYFUNCTION("""COMPUTED_VALUE"""),"オンライン診療の決済確認後、メールアドレスまたはSMS宛に電子レシートを送信することが可能です。ご希望の場合は、オンラインチャットでカウンセラーへご相談ください。")</f>
        <v>オンライン診療の決済確認後、メールアドレスまたはSMS宛に電子レシートを送信することが可能です。ご希望の場合は、オンラインチャットでカウンセラーへご相談ください。</v>
      </c>
      <c r="C782" s="31" t="str">
        <f>IFERROR(__xludf.DUMMYFUNCTION("""COMPUTED_VALUE"""),"オンライン診療｜支払い・書類")</f>
        <v>オンライン診療｜支払い・書類</v>
      </c>
      <c r="D782" s="31" t="str">
        <f>IFERROR(__xludf.DUMMYFUNCTION("""COMPUTED_VALUE"""),"レシート,電子レシート,支払い")</f>
        <v>レシート,電子レシート,支払い</v>
      </c>
      <c r="E782" s="31"/>
    </row>
    <row r="783">
      <c r="A783" s="31" t="str">
        <f>IFERROR(__xludf.DUMMYFUNCTION("""COMPUTED_VALUE"""),"オンライン診療では領収書を発行してもらえますか？")</f>
        <v>オンライン診療では領収書を発行してもらえますか？</v>
      </c>
      <c r="B783" s="31" t="str">
        <f>IFERROR(__xludf.DUMMYFUNCTION("""COMPUTED_VALUE"""),"オンライン診療の決済確認後、PDF形式にて領収書の発行が可能です。オンラインチャットでカウンセラーへご相談ください。")</f>
        <v>オンライン診療の決済確認後、PDF形式にて領収書の発行が可能です。オンラインチャットでカウンセラーへご相談ください。</v>
      </c>
      <c r="C783" s="31" t="str">
        <f>IFERROR(__xludf.DUMMYFUNCTION("""COMPUTED_VALUE"""),"オンライン診療｜支払い・書類")</f>
        <v>オンライン診療｜支払い・書類</v>
      </c>
      <c r="D783" s="31" t="str">
        <f>IFERROR(__xludf.DUMMYFUNCTION("""COMPUTED_VALUE"""),"領収書,PDF,支払い")</f>
        <v>領収書,PDF,支払い</v>
      </c>
      <c r="E783" s="31"/>
    </row>
    <row r="784">
      <c r="A784" s="31" t="str">
        <f>IFERROR(__xludf.DUMMYFUNCTION("""COMPUTED_VALUE"""),"マイナンバーがなくても受診できますか？")</f>
        <v>マイナンバーがなくても受診できますか？</v>
      </c>
      <c r="B784" s="31" t="str">
        <f>IFERROR(__xludf.DUMMYFUNCTION("""COMPUTED_VALUE"""),"マイナンバーカードがない場合のご対応は受診内容や保険診療の有無によって異なります。詳しくはお電話にてお問い合わせください。お電話は 050-1730-2768 となります。オンライン診療の場合は、ご本人様であることが確認できるものであれば、マイナンバー（顔写真付きの身分証明書）でなくてもオンライン診療が可能です。利用できるもの：運転免許証、保険証、パスポート、在留カード 等")</f>
        <v>マイナンバーカードがない場合のご対応は受診内容や保険診療の有無によって異なります。詳しくはお電話にてお問い合わせください。お電話は 050-1730-2768 となります。オンライン診療の場合は、ご本人様であることが確認できるものであれば、マイナンバー（顔写真付きの身分証明書）でなくてもオンライン診療が可能です。利用できるもの：運転免許証、保険証、パスポート、在留カード 等</v>
      </c>
      <c r="C784" s="31" t="str">
        <f>IFERROR(__xludf.DUMMYFUNCTION("""COMPUTED_VALUE"""),"受診案内・本人確認")</f>
        <v>受診案内・本人確認</v>
      </c>
      <c r="D784" s="31" t="str">
        <f>IFERROR(__xludf.DUMMYFUNCTION("""COMPUTED_VALUE"""),"マイナンバー,本人確認,身分証,受診,来院,オンライン診療,持ち物,受診方法")</f>
        <v>マイナンバー,本人確認,身分証,受診,来院,オンライン診療,持ち物,受診方法</v>
      </c>
      <c r="E784" s="31"/>
    </row>
    <row r="785">
      <c r="A785" s="31" t="str">
        <f>IFERROR(__xludf.DUMMYFUNCTION("""COMPUTED_VALUE"""),"マイナンバーがなくてもオンライン診療は受けられますか？")</f>
        <v>マイナンバーがなくてもオンライン診療は受けられますか？</v>
      </c>
      <c r="B785" s="31" t="str">
        <f>IFERROR(__xludf.DUMMYFUNCTION("""COMPUTED_VALUE"""),"ルナレディースクリニックでは、ご本人様であることが確認できるものであれば、マイナンバー（顔写真付きの身分証明書）でなくてもオンライン診療が可能です。利用できるもの：運転免許証、保険証、パスポート、在留カード 等")</f>
        <v>ルナレディースクリニックでは、ご本人様であることが確認できるものであれば、マイナンバー（顔写真付きの身分証明書）でなくてもオンライン診療が可能です。利用できるもの：運転免許証、保険証、パスポート、在留カード 等</v>
      </c>
      <c r="C785" s="31" t="str">
        <f>IFERROR(__xludf.DUMMYFUNCTION("""COMPUTED_VALUE"""),"オンライン診療｜本人確認")</f>
        <v>オンライン診療｜本人確認</v>
      </c>
      <c r="D785" s="31" t="str">
        <f>IFERROR(__xludf.DUMMYFUNCTION("""COMPUTED_VALUE"""),"オンライン診療,本人確認,身分証,マイナンバー,免許証,保険証,パスポート,在留カード")</f>
        <v>オンライン診療,本人確認,身分証,マイナンバー,免許証,保険証,パスポート,在留カード</v>
      </c>
      <c r="E785" s="31"/>
    </row>
    <row r="786">
      <c r="A786" s="31" t="str">
        <f>IFERROR(__xludf.DUMMYFUNCTION("""COMPUTED_VALUE"""),"健康保険証は必要ですか？/保険証はいりますか？/受診に必要な持ち物は？/何を持っていけばいいですか？	")</f>
        <v>健康保険証は必要ですか？/保険証はいりますか？/受診に必要な持ち物は？/何を持っていけばいいですか？	</v>
      </c>
      <c r="B786" s="31" t="str">
        <f>IFERROR(__xludf.DUMMYFUNCTION("""COMPUTED_VALUE"""),"受診に必要な持ち物は「来院」か「オンライン診療」かで異なる場合があります。
来院の場合：
・保険証またはマイナンバーカード
・お薬手帳（お持ちの方）
・筆記用具（説明内容をメモしたい方）
オンライン診療の場合の持ち物：
ご本人様であることが確認できるもの　※顔写真付きの身分証明書でなくても可能です
・運転免許証
・マイナンバー
・保険証
・パスポート
・在留カード　等")</f>
        <v>受診に必要な持ち物は「来院」か「オンライン診療」かで異なる場合があります。
来院の場合：
・保険証またはマイナンバーカード
・お薬手帳（お持ちの方）
・筆記用具（説明内容をメモしたい方）
オンライン診療の場合の持ち物：
ご本人様であることが確認できるもの　※顔写真付きの身分証明書でなくても可能です
・運転免許証
・マイナンバー
・保険証
・パスポート
・在留カード　等</v>
      </c>
      <c r="C786" s="31" t="str">
        <f>IFERROR(__xludf.DUMMYFUNCTION("""COMPUTED_VALUE"""),"受診案内・持ち物")</f>
        <v>受診案内・持ち物</v>
      </c>
      <c r="D786" s="31" t="str">
        <f>IFERROR(__xludf.DUMMYFUNCTION("""COMPUTED_VALUE"""),"持ち物,受診,本人確認,身分証,オンライン診療,来院,マイナンバー")</f>
        <v>持ち物,受診,本人確認,身分証,オンライン診療,来院,マイナンバー</v>
      </c>
      <c r="E786" s="31"/>
    </row>
    <row r="787">
      <c r="A787" s="31" t="str">
        <f>IFERROR(__xludf.DUMMYFUNCTION("""COMPUTED_VALUE"""),"顔写真付きの身分証明書がありませんが、オンライン診療は受けられますか？")</f>
        <v>顔写真付きの身分証明書がありませんが、オンライン診療は受けられますか？</v>
      </c>
      <c r="B787" s="31" t="str">
        <f>IFERROR(__xludf.DUMMYFUNCTION("""COMPUTED_VALUE"""),"ご本人様であることが確認できるものであれば、顔写真付きの身分証明書でなくてもオンライン診療が可能です。
- 運転免許証
- マイナンバー
- 保険証
- パスポート
- 在留カード　等")</f>
        <v>ご本人様であることが確認できるものであれば、顔写真付きの身分証明書でなくてもオンライン診療が可能です。
- 運転免許証
- マイナンバー
- 保険証
- パスポート
- 在留カード　等</v>
      </c>
      <c r="C787" s="31" t="str">
        <f>IFERROR(__xludf.DUMMYFUNCTION("""COMPUTED_VALUE"""),"オンライン診療｜本人確認")</f>
        <v>オンライン診療｜本人確認</v>
      </c>
      <c r="D787" s="31" t="str">
        <f>IFERROR(__xludf.DUMMYFUNCTION("""COMPUTED_VALUE"""),"身分証,本人確認,オンライン診療")</f>
        <v>身分証,本人確認,オンライン診療</v>
      </c>
      <c r="E787" s="31"/>
    </row>
    <row r="788">
      <c r="A788" s="31" t="str">
        <f>IFERROR(__xludf.DUMMYFUNCTION("""COMPUTED_VALUE"""),"マイナンバーカードを忘れた場合は受診できますか？/マイナンバーカードわすれた")</f>
        <v>マイナンバーカードを忘れた場合は受診できますか？/マイナンバーカードわすれた</v>
      </c>
      <c r="B788" s="31" t="str">
        <f>IFERROR(__xludf.DUMMYFUNCTION("""COMPUTED_VALUE"""),"マイナンバーカードをお忘れの場合のご対応は受診内容や保険診療の有無によって異なります。詳しくはお電話にてお問い合わせください。お電話は 050-1730-2768 となります。")</f>
        <v>マイナンバーカードをお忘れの場合のご対応は受診内容や保険診療の有無によって異なります。詳しくはお電話にてお問い合わせください。お電話は 050-1730-2768 となります。</v>
      </c>
      <c r="C788" s="31" t="str">
        <f>IFERROR(__xludf.DUMMYFUNCTION("""COMPUTED_VALUE"""),"受診案内・本人確認")</f>
        <v>受診案内・本人確認</v>
      </c>
      <c r="D788" s="31" t="str">
        <f>IFERROR(__xludf.DUMMYFUNCTION("""COMPUTED_VALUE"""),"マイナンバー忘れ,マイナンバーカード,保険証,10割負担,本人確認,受診可否,電話問い合わせ")</f>
        <v>マイナンバー忘れ,マイナンバーカード,保険証,10割負担,本人確認,受診可否,電話問い合わせ</v>
      </c>
      <c r="E788" s="31"/>
    </row>
    <row r="789">
      <c r="A789" s="31" t="str">
        <f>IFERROR(__xludf.DUMMYFUNCTION("""COMPUTED_VALUE"""),"BMIとは")</f>
        <v>BMIとは</v>
      </c>
      <c r="B789" s="31" t="str">
        <f>IFERROR(__xludf.DUMMYFUNCTION("""COMPUTED_VALUE"""),"体重（kg）÷｛身長（m）×2乗｝で計算された数字です。
[【こちら】](https://keisan.casio.jp/exec/system/1161228732)のサイトにて自動計算が可能でございます。")</f>
        <v>体重（kg）÷｛身長（m）×2乗｝で計算された数字です。
[【こちら】](https://keisan.casio.jp/exec/system/1161228732)のサイトにて自動計算が可能でございます。</v>
      </c>
      <c r="C789" s="31" t="str">
        <f>IFERROR(__xludf.DUMMYFUNCTION("""COMPUTED_VALUE"""),"オンライン診療")</f>
        <v>オンライン診療</v>
      </c>
      <c r="D789" s="31" t="str">
        <f>IFERROR(__xludf.DUMMYFUNCTION("""COMPUTED_VALUE"""),"オンライン診療,BMI,BMI計算")</f>
        <v>オンライン診療,BMI,BMI計算</v>
      </c>
      <c r="E789" s="31"/>
    </row>
    <row r="790">
      <c r="A790" s="31" t="str">
        <f>IFERROR(__xludf.DUMMYFUNCTION("""COMPUTED_VALUE"""),"オンライン診療で処方されるお薬を教えて下さい/オンライン診療で処方されるお薬と費用を教えてください。")</f>
        <v>オンライン診療で処方されるお薬を教えて下さい/オンライン診療で処方されるお薬と費用を教えてください。</v>
      </c>
      <c r="B790" s="31" t="str">
        <f>IFERROR(__xludf.DUMMYFUNCTION("""COMPUTED_VALUE"""),"診療費は0円です。
低用量ピル（ラベルフィーユ28・ファボワール28）は1シート3,000円〜（定期配送割引あり）です。
月経移動ピル（中用量ピル：プラノバール）は1シート21錠5,000円（別途吐き気止め200円〜）です。
アフターピルは、レボノルゲストレル（72時間以内）12,000円、ウリプリスタル酢酸エステル（120時間以内）14,000円です。
※別途送料500円〜がかかります。
※診療後、処方を希望されない場合は診療代3,000円がかかります。")</f>
        <v>診療費は0円です。
低用量ピル（ラベルフィーユ28・ファボワール28）は1シート3,000円〜（定期配送割引あり）です。
月経移動ピル（中用量ピル：プラノバール）は1シート21錠5,000円（別途吐き気止め200円〜）です。
アフターピルは、レボノルゲストレル（72時間以内）12,000円、ウリプリスタル酢酸エステル（120時間以内）14,000円です。
※別途送料500円〜がかかります。
※診療後、処方を希望されない場合は診療代3,000円がかかります。</v>
      </c>
      <c r="C790" s="31" t="str">
        <f>IFERROR(__xludf.DUMMYFUNCTION("""COMPUTED_VALUE"""),"オンライン診療｜料金・薬剤")</f>
        <v>オンライン診療｜料金・薬剤</v>
      </c>
      <c r="D790" s="31" t="str">
        <f>IFERROR(__xludf.DUMMYFUNCTION("""COMPUTED_VALUE"""),"薬の種類,料金,オンライン診療")</f>
        <v>薬の種類,料金,オンライン診療</v>
      </c>
      <c r="E790" s="31"/>
    </row>
    <row r="791">
      <c r="A791" s="31" t="str">
        <f>IFERROR(__xludf.DUMMYFUNCTION("""COMPUTED_VALUE"""),"オンライン診療の配送お届け日時についておしえてください/オンライン診療の配送お届け日についておしえてください/いつ配送されますか？")</f>
        <v>オンライン診療の配送お届け日時についておしえてください/オンライン診療の配送お届け日についておしえてください/いつ配送されますか？</v>
      </c>
      <c r="B791" s="31" t="str">
        <f>IFERROR(__xludf.DUMMYFUNCTION("""COMPUTED_VALUE"""),"【通常配送】
16時までのお支払いで当日発送し、ポスト投函にてお届けします。到着までは最短翌日〜7日程度です。日付・時間指定はできません。
※お急ぎ便をご希望の患者様は、決済完了前にチャットにてカウンセラーへご相談ください。
※定期配送は配送方法の変更ができない為、配送日を早める等で患者様ご自身で調節をお願いいたします。
配送日変更はこちら
https://docs.google.com/forms/d/e/1FAIpQLSe41t1VsvN-rfcwsRSkalz89S2yqQc4zpWrbdcrwPo"&amp;"95Iif-Q/viewform
【お急ぎ便】（別途500円）
16時までにお支払いが完了したご注文は、一部地域を除き翌日に対面受け取りにてお届けいたします。
※日付・時間指定ご希望の患者様は、決済完了前にチャットにてカウンセラーへご相談ください。
アフターピルをご注文の患者様に限り、追加料金なしでご利用いただけます。")</f>
        <v>【通常配送】
16時までのお支払いで当日発送し、ポスト投函にてお届けします。到着までは最短翌日〜7日程度です。日付・時間指定はできません。
※お急ぎ便をご希望の患者様は、決済完了前にチャットにてカウンセラーへご相談ください。
※定期配送は配送方法の変更ができない為、配送日を早める等で患者様ご自身で調節をお願いいたします。
配送日変更はこちら
https://docs.google.com/forms/d/e/1FAIpQLSe41t1VsvN-rfcwsRSkalz89S2yqQc4zpWrbdcrwPo95Iif-Q/viewform
【お急ぎ便】（別途500円）
16時までにお支払いが完了したご注文は、一部地域を除き翌日に対面受け取りにてお届けいたします。
※日付・時間指定ご希望の患者様は、決済完了前にチャットにてカウンセラーへご相談ください。
アフターピルをご注文の患者様に限り、追加料金なしでご利用いただけます。</v>
      </c>
      <c r="C791" s="31" t="str">
        <f>IFERROR(__xludf.DUMMYFUNCTION("""COMPUTED_VALUE"""),"オンライン診療｜配送")</f>
        <v>オンライン診療｜配送</v>
      </c>
      <c r="D791" s="31" t="str">
        <f>IFERROR(__xludf.DUMMYFUNCTION("""COMPUTED_VALUE"""),"配送,梱包,お急ぎ便")</f>
        <v>配送,梱包,お急ぎ便</v>
      </c>
      <c r="E791" s="31"/>
    </row>
    <row r="792">
      <c r="A792" s="31" t="str">
        <f>IFERROR(__xludf.DUMMYFUNCTION("""COMPUTED_VALUE"""),"オンライン診療で処方された薬はどこで受け取れますか？")</f>
        <v>オンライン診療で処方された薬はどこで受け取れますか？</v>
      </c>
      <c r="B792" s="31" t="str">
        <f>IFERROR(__xludf.DUMMYFUNCTION("""COMPUTED_VALUE"""),"当院より、ご自宅へ配送いたします。※オンライン診療で処方された薬が対象となります")</f>
        <v>当院より、ご自宅へ配送いたします。※オンライン診療で処方された薬が対象となります</v>
      </c>
      <c r="C792" s="31" t="str">
        <f>IFERROR(__xludf.DUMMYFUNCTION("""COMPUTED_VALUE"""),"オンライン診療｜受け取り")</f>
        <v>オンライン診療｜受け取り</v>
      </c>
      <c r="D792" s="31" t="str">
        <f>IFERROR(__xludf.DUMMYFUNCTION("""COMPUTED_VALUE"""),"薬の受け取り,配送")</f>
        <v>薬の受け取り,配送</v>
      </c>
      <c r="E792" s="31"/>
    </row>
    <row r="793">
      <c r="A793" s="31" t="str">
        <f>IFERROR(__xludf.DUMMYFUNCTION("""COMPUTED_VALUE"""),"オンライン診療で本人以外の住所で薬を受け取れますか？")</f>
        <v>オンライン診療で本人以外の住所で薬を受け取れますか？</v>
      </c>
      <c r="B793" s="31" t="str">
        <f>IFERROR(__xludf.DUMMYFUNCTION("""COMPUTED_VALUE"""),"原則としてご本人様のご自宅でのお受け取りとなりますので、ご了承くださいませ。特別なご事情がある場合、決済前にカウンセラーへご相談ください。")</f>
        <v>原則としてご本人様のご自宅でのお受け取りとなりますので、ご了承くださいませ。特別なご事情がある場合、決済前にカウンセラーへご相談ください。</v>
      </c>
      <c r="C793" s="31" t="str">
        <f>IFERROR(__xludf.DUMMYFUNCTION("""COMPUTED_VALUE"""),"オンライン診療｜受け取り")</f>
        <v>オンライン診療｜受け取り</v>
      </c>
      <c r="D793" s="31" t="str">
        <f>IFERROR(__xludf.DUMMYFUNCTION("""COMPUTED_VALUE"""),"本人以外,営業所受け取り")</f>
        <v>本人以外,営業所受け取り</v>
      </c>
      <c r="E793" s="31"/>
    </row>
    <row r="794">
      <c r="A794" s="31" t="str">
        <f>IFERROR(__xludf.DUMMYFUNCTION("""COMPUTED_VALUE"""),"オンライン診療でコンビニで薬を受け取ることはできますか？")</f>
        <v>オンライン診療でコンビニで薬を受け取ることはできますか？</v>
      </c>
      <c r="B794" s="31" t="str">
        <f>IFERROR(__xludf.DUMMYFUNCTION("""COMPUTED_VALUE"""),"申し訳ありませんが、コンビニでのお受け取りはできません。原則ご自宅への配送とさせていただいております。特別なご事情がある場合は、決済前にカウンセラーへご相談ください。※追加料金が発生する場合がございます。")</f>
        <v>申し訳ありませんが、コンビニでのお受け取りはできません。原則ご自宅への配送とさせていただいております。特別なご事情がある場合は、決済前にカウンセラーへご相談ください。※追加料金が発生する場合がございます。</v>
      </c>
      <c r="C794" s="31" t="str">
        <f>IFERROR(__xludf.DUMMYFUNCTION("""COMPUTED_VALUE"""),"オンライン診療｜受け取り")</f>
        <v>オンライン診療｜受け取り</v>
      </c>
      <c r="D794" s="31" t="str">
        <f>IFERROR(__xludf.DUMMYFUNCTION("""COMPUTED_VALUE"""),"コンビニ受取,配送")</f>
        <v>コンビニ受取,配送</v>
      </c>
      <c r="E794" s="31"/>
    </row>
    <row r="795">
      <c r="A795" s="31" t="str">
        <f>IFERROR(__xludf.DUMMYFUNCTION("""COMPUTED_VALUE"""),"低用量ピルとはどのような薬ですか？")</f>
        <v>低用量ピルとはどのような薬ですか？</v>
      </c>
      <c r="B795" s="31" t="str">
        <f>IFERROR(__xludf.DUMMYFUNCTION("""COMPUTED_VALUE"""),"低用量ピルは、毎日1錠服用することで生理周期を安定させるお薬です。避妊を目的とした自費ピル（OC）と、治療目的で保険適用となるLEPがありますが、オンライン診療ではOCのみを取り扱っています。")</f>
        <v>低用量ピルは、毎日1錠服用することで生理周期を安定させるお薬です。避妊を目的とした自費ピル（OC）と、治療目的で保険適用となるLEPがありますが、オンライン診療ではOCのみを取り扱っています。</v>
      </c>
      <c r="C795" s="31" t="str">
        <f>IFERROR(__xludf.DUMMYFUNCTION("""COMPUTED_VALUE"""),"オンライン診療｜ピル基礎知識")</f>
        <v>オンライン診療｜ピル基礎知識</v>
      </c>
      <c r="D795" s="31" t="str">
        <f>IFERROR(__xludf.DUMMYFUNCTION("""COMPUTED_VALUE"""),"低用量ピル,OC,LEP")</f>
        <v>低用量ピル,OC,LEP</v>
      </c>
      <c r="E795" s="31"/>
    </row>
    <row r="796">
      <c r="A796" s="31" t="str">
        <f>IFERROR(__xludf.DUMMYFUNCTION("""COMPUTED_VALUE"""),"低用量ピルのメリットとデメリットを教えてください。")</f>
        <v>低用量ピルのメリットとデメリットを教えてください。</v>
      </c>
      <c r="B796" s="31" t="str">
        <f>IFERROR(__xludf.DUMMYFUNCTION("""COMPUTED_VALUE"""),"低用量ピルのメリットとして避妊・肌荒れ改善・PMS・生理痛緩和などが挙げられます。
デメリットとしては、服用開始時に吐き気やむくみなどが多少気になる方もいらっしゃいます。
また、血栓症のリスクやご本人様またはご家族に乳がんの既往歴がある場合は、服用されていない方に比べリスクが上がります。
服用中は1年に1度、婦人科にて定期健診をお願いいたします。")</f>
        <v>低用量ピルのメリットとして避妊・肌荒れ改善・PMS・生理痛緩和などが挙げられます。
デメリットとしては、服用開始時に吐き気やむくみなどが多少気になる方もいらっしゃいます。
また、血栓症のリスクやご本人様またはご家族に乳がんの既往歴がある場合は、服用されていない方に比べリスクが上がります。
服用中は1年に1度、婦人科にて定期健診をお願いいたします。</v>
      </c>
      <c r="C796" s="31" t="str">
        <f>IFERROR(__xludf.DUMMYFUNCTION("""COMPUTED_VALUE"""),"オンライン診療｜ピル")</f>
        <v>オンライン診療｜ピル</v>
      </c>
      <c r="D796" s="31" t="str">
        <f>IFERROR(__xludf.DUMMYFUNCTION("""COMPUTED_VALUE"""),"メリット,デメリット,副作用")</f>
        <v>メリット,デメリット,副作用</v>
      </c>
      <c r="E796" s="31"/>
    </row>
    <row r="797">
      <c r="A797" s="31" t="str">
        <f>IFERROR(__xludf.DUMMYFUNCTION("""COMPUTED_VALUE"""),"ラベルフィーユとファボワールの違い")</f>
        <v>ラベルフィーユとファボワールの違い</v>
      </c>
      <c r="B797" s="31" t="str">
        <f>IFERROR(__xludf.DUMMYFUNCTION("""COMPUTED_VALUE"""),"ラベルフィーユは3相性、ファボワールは1相性のお薬です。
ラベルフィーユは避妊、月経痛・生理不順、ファボワールは避妊、ニキビ、肌荒れ、抜け毛、PMSに効果があると言われています。
ピルの種類でご希望がございましたら、問診回答時に記載をお願いいたします。
※医師の判断でご希望に添えない場合がございます。ご了承ください。")</f>
        <v>ラベルフィーユは3相性、ファボワールは1相性のお薬です。
ラベルフィーユは避妊、月経痛・生理不順、ファボワールは避妊、ニキビ、肌荒れ、抜け毛、PMSに効果があると言われています。
ピルの種類でご希望がございましたら、問診回答時に記載をお願いいたします。
※医師の判断でご希望に添えない場合がございます。ご了承ください。</v>
      </c>
      <c r="C797" s="31" t="str">
        <f>IFERROR(__xludf.DUMMYFUNCTION("""COMPUTED_VALUE"""),"オンライン診療｜ピル")</f>
        <v>オンライン診療｜ピル</v>
      </c>
      <c r="D797" s="31" t="str">
        <f>IFERROR(__xludf.DUMMYFUNCTION("""COMPUTED_VALUE"""),"ピル,種類,ラベルフィーユ,ファボワール,違い")</f>
        <v>ピル,種類,ラベルフィーユ,ファボワール,違い</v>
      </c>
      <c r="E797" s="31"/>
    </row>
    <row r="798">
      <c r="A798" s="31" t="str">
        <f>IFERROR(__xludf.DUMMYFUNCTION("""COMPUTED_VALUE"""),"低用量ピルの副作用にはどんなものがありますか？")</f>
        <v>低用量ピルの副作用にはどんなものがありますか？</v>
      </c>
      <c r="B798" s="31" t="str">
        <f>IFERROR(__xludf.DUMMYFUNCTION("""COMPUTED_VALUE"""),"低用量ピルには副作用がいくつかあり、特に飲み始めに起こりやすいとされています。
主に、吐き気・頭痛・下腹部痛・乳房の張り・むくみ・眠気・不正出血・下痢などの症状が挙げられます。
どの副作用も飲み続けることで改善されていくことがほとんどのため、無理のない範囲で飲み続けることが大切です。
ですが、3カ月以上低用量ピルの服用を継続しても副作用が軽減されない場合は、ピルが体に合っていない可能性があります。
無理せずに低用量ピルの変更をご検討ください。
変更した場合は、また3カ月のホルモンバランスは1から開始となり"&amp;"ます。")</f>
        <v>低用量ピルには副作用がいくつかあり、特に飲み始めに起こりやすいとされています。
主に、吐き気・頭痛・下腹部痛・乳房の張り・むくみ・眠気・不正出血・下痢などの症状が挙げられます。
どの副作用も飲み続けることで改善されていくことがほとんどのため、無理のない範囲で飲み続けることが大切です。
ですが、3カ月以上低用量ピルの服用を継続しても副作用が軽減されない場合は、ピルが体に合っていない可能性があります。
無理せずに低用量ピルの変更をご検討ください。
変更した場合は、また3カ月のホルモンバランスは1から開始となります。</v>
      </c>
      <c r="C798" s="31" t="str">
        <f>IFERROR(__xludf.DUMMYFUNCTION("""COMPUTED_VALUE"""),"オンライン診療｜ピル")</f>
        <v>オンライン診療｜ピル</v>
      </c>
      <c r="D798" s="31" t="str">
        <f>IFERROR(__xludf.DUMMYFUNCTION("""COMPUTED_VALUE"""),"副作用,不正出血,吐き気")</f>
        <v>副作用,不正出血,吐き気</v>
      </c>
      <c r="E798" s="31"/>
    </row>
    <row r="799">
      <c r="A799" s="31" t="str">
        <f>IFERROR(__xludf.DUMMYFUNCTION("""COMPUTED_VALUE"""),"ピルを飲み始めてPMSが悪化した")</f>
        <v>ピルを飲み始めてPMSが悪化した</v>
      </c>
      <c r="B799" s="31" t="str">
        <f>IFERROR(__xludf.DUMMYFUNCTION("""COMPUTED_VALUE"""),"ピルを飲み始めて最初の頃は、気分の落ち込みや情緒の不安定が出現する事があります。
ピルの内服を3シート継続すると、症状が落ち着く事が多いです。
ピルの飲み始めよりもPMSの症状が強くなっていたり、日常生活に支障をきたしている場合は一度ご相談ください。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amp;"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f>
        <v>ピルを飲み始めて最初の頃は、気分の落ち込みや情緒の不安定が出現する事があります。
ピルの内服を3シート継続すると、症状が落ち着く事が多いです。
ピルの飲み始めよりもPMSの症状が強くなっていたり、日常生活に支障をきたしている場合は一度ご相談ください。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799" s="31" t="str">
        <f>IFERROR(__xludf.DUMMYFUNCTION("""COMPUTED_VALUE"""),"オンライン診療｜ピル")</f>
        <v>オンライン診療｜ピル</v>
      </c>
      <c r="D799" s="31" t="str">
        <f>IFERROR(__xludf.DUMMYFUNCTION("""COMPUTED_VALUE"""),"PMS,情緒不安定")</f>
        <v>PMS,情緒不安定</v>
      </c>
      <c r="E799" s="31"/>
    </row>
    <row r="800">
      <c r="A800" s="31" t="str">
        <f>IFERROR(__xludf.DUMMYFUNCTION("""COMPUTED_VALUE"""),"低用量ピルは誰でも服用できますか？")</f>
        <v>低用量ピルは誰でも服用できますか？</v>
      </c>
      <c r="B800" s="31" t="str">
        <f>IFERROR(__xludf.DUMMYFUNCTION("""COMPUTED_VALUE"""),"低用量ピルの処方は、年齢、既往歴、喫煙の有無、BMI、高血圧などの健康状態によって異なります。
オンラインの申し込みをいただき、その内容をもとに医師が処方の可否を判断いたします。")</f>
        <v>低用量ピルの処方は、年齢、既往歴、喫煙の有無、BMI、高血圧などの健康状態によって異なります。
オンラインの申し込みをいただき、その内容をもとに医師が処方の可否を判断いたします。</v>
      </c>
      <c r="C800" s="31" t="str">
        <f>IFERROR(__xludf.DUMMYFUNCTION("""COMPUTED_VALUE"""),"オンライン診療｜ピル")</f>
        <v>オンライン診療｜ピル</v>
      </c>
      <c r="D800" s="31" t="str">
        <f>IFERROR(__xludf.DUMMYFUNCTION("""COMPUTED_VALUE"""),"服用条件,処方基準")</f>
        <v>服用条件,処方基準</v>
      </c>
      <c r="E800" s="31"/>
    </row>
    <row r="801">
      <c r="A801" s="31" t="str">
        <f>IFERROR(__xludf.DUMMYFUNCTION("""COMPUTED_VALUE"""),"ヤーズフレックスなど保険ピルをオンラインで定期購入できますか？")</f>
        <v>ヤーズフレックスなど保険ピルをオンラインで定期購入できますか？</v>
      </c>
      <c r="B801" s="31" t="str">
        <f>IFERROR(__xludf.DUMMYFUNCTION("""COMPUTED_VALUE"""),"保険適用ピル（ヤーズフレックス等）は、オンライン診療や定期配送では処方できません。ご希望の場合はクリニック受診をご検討ください。
受診のご予約はLINEから受け付けております→https://cline-app.com/qr-codes/98ad6f149bfa20f4f2a9a2e91aac4187/preview")</f>
        <v>保険適用ピル（ヤーズフレックス等）は、オンライン診療や定期配送では処方できません。ご希望の場合はクリニック受診をご検討ください。
受診のご予約はLINEから受け付けております→https://cline-app.com/qr-codes/98ad6f149bfa20f4f2a9a2e91aac4187/preview</v>
      </c>
      <c r="C801" s="31" t="str">
        <f>IFERROR(__xludf.DUMMYFUNCTION("""COMPUTED_VALUE"""),"オンライン診療｜ピル")</f>
        <v>オンライン診療｜ピル</v>
      </c>
      <c r="D801" s="31" t="str">
        <f>IFERROR(__xludf.DUMMYFUNCTION("""COMPUTED_VALUE"""),"保険ピル,ヤーズフレックス")</f>
        <v>保険ピル,ヤーズフレックス</v>
      </c>
      <c r="E801" s="31"/>
    </row>
    <row r="802">
      <c r="A802" s="31" t="str">
        <f>IFERROR(__xludf.DUMMYFUNCTION("""COMPUTED_VALUE"""),"低用量ピルで月経移動はできますか？")</f>
        <v>低用量ピルで月経移動はできますか？</v>
      </c>
      <c r="B802" s="31" t="str">
        <f>IFERROR(__xludf.DUMMYFUNCTION("""COMPUTED_VALUE"""),"3カ月以上低用量ピルを服用している場合は可能です。服用方法によって月経を早める・遅らせる調整ができます。服用歴がない場合は中用量ピルをご提案することがあります。")</f>
        <v>3カ月以上低用量ピルを服用している場合は可能です。服用方法によって月経を早める・遅らせる調整ができます。服用歴がない場合は中用量ピルをご提案することがあります。</v>
      </c>
      <c r="C802" s="31" t="str">
        <f>IFERROR(__xludf.DUMMYFUNCTION("""COMPUTED_VALUE"""),"オンライン診療｜月経移動")</f>
        <v>オンライン診療｜月経移動</v>
      </c>
      <c r="D802" s="31" t="str">
        <f>IFERROR(__xludf.DUMMYFUNCTION("""COMPUTED_VALUE"""),"月経移動,ピル")</f>
        <v>月経移動,ピル</v>
      </c>
      <c r="E802" s="31"/>
    </row>
    <row r="803">
      <c r="A803" s="31" t="str">
        <f>IFERROR(__xludf.DUMMYFUNCTION("""COMPUTED_VALUE"""),"生理を早めたいのですが、低用量ピルでできますか？")</f>
        <v>生理を早めたいのですが、低用量ピルでできますか？</v>
      </c>
      <c r="B803" s="31" t="str">
        <f>IFERROR(__xludf.DUMMYFUNCTION("""COMPUTED_VALUE"""),"3カ月以上OC（自費）の低用量ピルを継続して服用している場合、生理を早めることが可能です。現在服用中のシートの3列目（15錠目～21錠目）のうち、早めたい日数分（最大7日間）を服用せず、4列目（休薬期間）に進んでください。その後は通常どおり新しいシートの服用を開始します。4列目を内服している間に月経が来ることを想定しています。※7日以上早めたい場合はご相談ください。※使用しなかったピルは破棄してください。")</f>
        <v>3カ月以上OC（自費）の低用量ピルを継続して服用している場合、生理を早めることが可能です。現在服用中のシートの3列目（15錠目～21錠目）のうち、早めたい日数分（最大7日間）を服用せず、4列目（休薬期間）に進んでください。その後は通常どおり新しいシートの服用を開始します。4列目を内服している間に月経が来ることを想定しています。※7日以上早めたい場合はご相談ください。※使用しなかったピルは破棄してください。</v>
      </c>
      <c r="C803" s="31" t="str">
        <f>IFERROR(__xludf.DUMMYFUNCTION("""COMPUTED_VALUE"""),"オンライン診療｜月経移動")</f>
        <v>オンライン診療｜月経移動</v>
      </c>
      <c r="D803" s="31" t="str">
        <f>IFERROR(__xludf.DUMMYFUNCTION("""COMPUTED_VALUE"""),"生理を早めたい,月経移動,低用量ピル")</f>
        <v>生理を早めたい,月経移動,低用量ピル</v>
      </c>
      <c r="E803" s="31"/>
    </row>
    <row r="804">
      <c r="A804" s="31" t="str">
        <f>IFERROR(__xludf.DUMMYFUNCTION("""COMPUTED_VALUE"""),"生理を遅らせたいのですが、低用量ピルでできますか？")</f>
        <v>生理を遅らせたいのですが、低用量ピルでできますか？</v>
      </c>
      <c r="B804" s="31" t="str">
        <f>IFERROR(__xludf.DUMMYFUNCTION("""COMPUTED_VALUE"""),"3カ月以上OC（自費）の低用量ピルを継続して服用している場合、生理を遅らせることが可能です。現在服用中のシートを21錠まで服用した後、新しいシートの3列目（15錠目～21錠目）を、生理を避けたい期間が終わるまで服用します。その後、元のシートの4列目（休薬期間）を服用してください。4列目を内服している間に月経が来ることを想定しています。※服用中に少量の出血が起こることがあります。")</f>
        <v>3カ月以上OC（自費）の低用量ピルを継続して服用している場合、生理を遅らせることが可能です。現在服用中のシートを21錠まで服用した後、新しいシートの3列目（15錠目～21錠目）を、生理を避けたい期間が終わるまで服用します。その後、元のシートの4列目（休薬期間）を服用してください。4列目を内服している間に月経が来ることを想定しています。※服用中に少量の出血が起こることがあります。</v>
      </c>
      <c r="C804" s="31" t="str">
        <f>IFERROR(__xludf.DUMMYFUNCTION("""COMPUTED_VALUE"""),"オンライン診療｜月経移動")</f>
        <v>オンライン診療｜月経移動</v>
      </c>
      <c r="D804" s="31" t="str">
        <f>IFERROR(__xludf.DUMMYFUNCTION("""COMPUTED_VALUE"""),"生理を遅らせたい,月経移動,低用量ピル")</f>
        <v>生理を遅らせたい,月経移動,低用量ピル</v>
      </c>
      <c r="E804" s="31"/>
    </row>
    <row r="805">
      <c r="A805" s="31" t="str">
        <f>IFERROR(__xludf.DUMMYFUNCTION("""COMPUTED_VALUE"""),"低用量ピルの服用をやめたいのですが、どうすればいいですか？")</f>
        <v>低用量ピルの服用をやめたいのですが、どうすればいいですか？</v>
      </c>
      <c r="B805" s="31" t="str">
        <f>IFERROR(__xludf.DUMMYFUNCTION("""COMPUTED_VALUE"""),"OC（自費）低用量ピルは、シートの途中で服用を中止するとホルモンバランスが乱れ、不正出血や体調変化が起こる可能性があります。ご状況をお伺いし、適切な服用方法や中断方法のご案内が必要になりますので診療をお勧めします。当院でのご受診をご希望の場合は、ご予約をお取りの上、クリニックにご受診ください。受診のご予約はLINEで受け付けています。LINEはこちら→https://cline-app.com/qr-codes/98ad6f149bfa20f4f2a9a2e91aac4187/preview　なお、恐れ入"&amp;"りますが、当院では乳房に関する診療（乳がん検診・乳腺外来など）、更年期障害の治療、不妊治療、体重100kg以上の方への診療、救急対応（緊急搬送・急性期対応）は行っておりませんのであらかじめご了承くださいませ。")</f>
        <v>OC（自費）低用量ピルは、シートの途中で服用を中止するとホルモンバランスが乱れ、不正出血や体調変化が起こる可能性があります。ご状況をお伺いし、適切な服用方法や中断方法のご案内が必要になりますので診療をお勧め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805" s="31" t="str">
        <f>IFERROR(__xludf.DUMMYFUNCTION("""COMPUTED_VALUE"""),"低用量ピル｜中止・再開")</f>
        <v>低用量ピル｜中止・再開</v>
      </c>
      <c r="D805" s="31" t="str">
        <f>IFERROR(__xludf.DUMMYFUNCTION("""COMPUTED_VALUE"""),"低用量ピル,服用中止,やめたい")</f>
        <v>低用量ピル,服用中止,やめたい</v>
      </c>
      <c r="E805" s="31"/>
    </row>
    <row r="806">
      <c r="A806" s="31" t="str">
        <f>IFERROR(__xludf.DUMMYFUNCTION("""COMPUTED_VALUE"""),"低用量ピルを1日飲み忘れました/ピルを1錠飲み忘れた/昨日のピルを飲み忘れた")</f>
        <v>低用量ピルを1日飲み忘れました/ピルを1錠飲み忘れた/昨日のピルを飲み忘れた</v>
      </c>
      <c r="B806" s="31" t="str">
        <f>IFERROR(__xludf.DUMMYFUNCTION("""COMPUTED_VALUE"""),"低用量ピルを1日飲み忘れた場合、服用を中止する必要はありません。飲み忘れに気づいた時点で前日の分を服用し、本日分はいつもの時間に服用してください。本日分を服用する際に前日の飲み忘れに気づいた場合は、その時に2錠まとめて内服してください。自費診療のピル（ラベルフィーユ・ファボワールなど）は、飲み忘れが1日であれば避妊効果への影響はないと言われています。")</f>
        <v>低用量ピルを1日飲み忘れた場合、服用を中止する必要はありません。飲み忘れに気づいた時点で前日の分を服用し、本日分はいつもの時間に服用してください。本日分を服用する際に前日の飲み忘れに気づいた場合は、その時に2錠まとめて内服してください。自費診療のピル（ラベルフィーユ・ファボワールなど）は、飲み忘れが1日であれば避妊効果への影響はないと言われています。</v>
      </c>
      <c r="C806" s="31" t="str">
        <f>IFERROR(__xludf.DUMMYFUNCTION("""COMPUTED_VALUE"""),"処方・低用量ピル")</f>
        <v>処方・低用量ピル</v>
      </c>
      <c r="D806" s="31" t="str">
        <f>IFERROR(__xludf.DUMMYFUNCTION("""COMPUTED_VALUE"""),"低用量ピル, ピル, 飲み忘れ, 1日, ラベルフィーユ, ファボワール, ヤーズフレックス, 保険, 自費, 避妊, 服用方法")</f>
        <v>低用量ピル, ピル, 飲み忘れ, 1日, ラベルフィーユ, ファボワール, ヤーズフレックス, 保険, 自費, 避妊, 服用方法</v>
      </c>
      <c r="E806" s="31"/>
    </row>
    <row r="807">
      <c r="A807" s="31" t="str">
        <f>IFERROR(__xludf.DUMMYFUNCTION("""COMPUTED_VALUE"""),"低用量ピルを2日〜3日飲み忘れました/ピルを2日以上飲み忘れた/数日ピルを飲んでいなかった")</f>
        <v>低用量ピルを2日〜3日飲み忘れました/ピルを2日以上飲み忘れた/数日ピルを飲んでいなかった</v>
      </c>
      <c r="B807" s="31" t="str">
        <f>IFERROR(__xludf.DUMMYFUNCTION("""COMPUTED_VALUE"""),"低用量ピルを2〜3日飲み忘れた場合は、お手元のピルの種類によって対処法が異なります。【自費診療のピル（ラベルフィーユ・ファボワールなど）】一度内服を中止し、次回の自然な月経が来るのを待ってから月経開始5日以内に再開してください。再開後の最初の1列目は別の避妊方法を併用してください。なお、4列目の偽薬（ホルモン剤が入っていない錠剤）の飲み忘れは追加服用不要です。【保険診療のピル（ヤーズフレックスなど）】気づいた時点で飲み忘れた分の直近の錠剤を内服し、本日分はいつもの時間に内服してその後は通常のスケジュールで"&amp;"続けてください。ホルモンの低下により不正出血が起こる場合がありますが、茶褐色の出血であれば服用を続けることで収まることがほとんどです。鮮血の出血や量が多い場合は現在のシートを中断し、次回月経開始から5日以内に新しいシートの1錠目から再開してください。症状が強い場合は早めにご受診ください。")</f>
        <v>低用量ピルを2〜3日飲み忘れた場合は、お手元のピルの種類によって対処法が異なります。【自費診療のピル（ラベルフィーユ・ファボワールなど）】一度内服を中止し、次回の自然な月経が来るのを待ってから月経開始5日以内に再開してください。再開後の最初の1列目は別の避妊方法を併用してください。なお、4列目の偽薬（ホルモン剤が入っていない錠剤）の飲み忘れは追加服用不要です。【保険診療のピル（ヤーズフレックスなど）】気づいた時点で飲み忘れた分の直近の錠剤を内服し、本日分はいつもの時間に内服してその後は通常のスケジュールで続けてください。ホルモンの低下により不正出血が起こる場合がありますが、茶褐色の出血であれば服用を続けることで収まることがほとんどです。鮮血の出血や量が多い場合は現在のシートを中断し、次回月経開始から5日以内に新しいシートの1錠目から再開してください。症状が強い場合は早めにご受診ください。</v>
      </c>
      <c r="C807" s="31" t="str">
        <f>IFERROR(__xludf.DUMMYFUNCTION("""COMPUTED_VALUE"""),"処方・低用量ピル")</f>
        <v>処方・低用量ピル</v>
      </c>
      <c r="D807" s="31" t="str">
        <f>IFERROR(__xludf.DUMMYFUNCTION("""COMPUTED_VALUE"""),"低用量ピル, ピル, 飲み忘れ, 2日, 3日, ラベルフィーユ, ファボワール, ヤーズフレックス, 保険, 自費, 避妊, 不正出血, 偽薬, プラセボ")</f>
        <v>低用量ピル, ピル, 飲み忘れ, 2日, 3日, ラベルフィーユ, ファボワール, ヤーズフレックス, 保険, 自費, 避妊, 不正出血, 偽薬, プラセボ</v>
      </c>
      <c r="E807" s="31"/>
    </row>
    <row r="808">
      <c r="A808" s="31" t="str">
        <f>IFERROR(__xludf.DUMMYFUNCTION("""COMPUTED_VALUE"""),"低用量ピルを4日以上飲み忘れました/ピルをずっと飲んでいなかった/長期間ピルを飲み忘れた")</f>
        <v>低用量ピルを4日以上飲み忘れました/ピルをずっと飲んでいなかった/長期間ピルを飲み忘れた</v>
      </c>
      <c r="B808" s="31" t="str">
        <f>IFERROR(__xludf.DUMMYFUNCTION("""COMPUTED_VALUE"""),"低用量ピルを4日以上飲み忘れた場合は、医師への確認が必要です。処方された医療機関を受診してご相談ください。")</f>
        <v>低用量ピルを4日以上飲み忘れた場合は、医師への確認が必要です。処方された医療機関を受診してご相談ください。</v>
      </c>
      <c r="C808" s="31" t="str">
        <f>IFERROR(__xludf.DUMMYFUNCTION("""COMPUTED_VALUE"""),"処方・低用量ピル")</f>
        <v>処方・低用量ピル</v>
      </c>
      <c r="D808" s="31" t="str">
        <f>IFERROR(__xludf.DUMMYFUNCTION("""COMPUTED_VALUE"""),"低用量ピル, ピル, 飲み忘れ, 4日以上, 長期, ヤーズフレックス, ラベルフィーユ, 保険, 自費, 受診")</f>
        <v>低用量ピル, ピル, 飲み忘れ, 4日以上, 長期, ヤーズフレックス, ラベルフィーユ, 保険, 自費, 受診</v>
      </c>
      <c r="E808" s="31"/>
    </row>
    <row r="809">
      <c r="A809" s="31" t="str">
        <f>IFERROR(__xludf.DUMMYFUNCTION("""COMPUTED_VALUE"""),"低用量ピルを飲み忘れたときはどうすればいいですか/ピルの飲み忘れ 対処法/ピル 飲み忘れ どうする")</f>
        <v>低用量ピルを飲み忘れたときはどうすればいいですか/ピルの飲み忘れ 対処法/ピル 飲み忘れ どうする</v>
      </c>
      <c r="B809" s="31" t="str">
        <f>IFERROR(__xludf.DUMMYFUNCTION("""COMPUTED_VALUE"""),"低用量ピルの飲み忘れ時の対処法は、飲み忘れた日数とピルの種類によって異なります。【1日の飲み忘れ】保険・自費ともに服用を中止する必要はありません。気づいた時点で前日分を服用し、本日分はいつもの時間に服用してください。同時に気づいた場合は2錠まとめて内服してください。自費ピルは飲み忘れ1日であれば避妊効果への影響はないと言われています。【2〜3日の飲み忘れ】自費診療のピル（ラベルフィーユ・ファボワールなど）：一度内服を中止し、次回の自然な月経が来てから5日以内に再開してください。再開後の最初の1列目は別の避"&amp;"妊方法を併用してください。4列目の偽薬の飲み忘れは追加服用不要です。保険診療のピル（ヤーズフレックスなど）：気づいた時点で直近の錠剤を内服し、本日分はいつもの時間に内服してその後は通常スケジュールで続けてください。不正出血が起きることがあります。鮮血・大量出血の場合は現在のシートを中断し、次回月経から5日以内に新シートで再開してください。【4日以上の飲み忘れ】保険・自費ともに医師への確認が必要です。処方された医療機関を受診してご相談ください。")</f>
        <v>低用量ピルの飲み忘れ時の対処法は、飲み忘れた日数とピルの種類によって異なります。【1日の飲み忘れ】保険・自費ともに服用を中止する必要はありません。気づいた時点で前日分を服用し、本日分はいつもの時間に服用してください。同時に気づいた場合は2錠まとめて内服してください。自費ピルは飲み忘れ1日であれば避妊効果への影響はないと言われています。【2〜3日の飲み忘れ】自費診療のピル（ラベルフィーユ・ファボワールなど）：一度内服を中止し、次回の自然な月経が来てから5日以内に再開してください。再開後の最初の1列目は別の避妊方法を併用してください。4列目の偽薬の飲み忘れは追加服用不要です。保険診療のピル（ヤーズフレックスなど）：気づいた時点で直近の錠剤を内服し、本日分はいつもの時間に内服してその後は通常スケジュールで続けてください。不正出血が起きることがあります。鮮血・大量出血の場合は現在のシートを中断し、次回月経から5日以内に新シートで再開してください。【4日以上の飲み忘れ】保険・自費ともに医師への確認が必要です。処方された医療機関を受診してご相談ください。</v>
      </c>
      <c r="C809" s="31" t="str">
        <f>IFERROR(__xludf.DUMMYFUNCTION("""COMPUTED_VALUE"""),"処方・低用量ピル")</f>
        <v>処方・低用量ピル</v>
      </c>
      <c r="D809" s="31" t="str">
        <f>IFERROR(__xludf.DUMMYFUNCTION("""COMPUTED_VALUE"""),"低用量ピル, ピル, 飲み忘れ, 1日, 2日, 3日, 4日以上, ラベルフィーユ, ファボワール, ヤーズフレックス, 保険, 自費, 避妊, 不正出血, 偽薬, プラセボ, 服用方法")</f>
        <v>低用量ピル, ピル, 飲み忘れ, 1日, 2日, 3日, 4日以上, ラベルフィーユ, ファボワール, ヤーズフレックス, 保険, 自費, 避妊, 不正出血, 偽薬, プラセボ, 服用方法</v>
      </c>
      <c r="E809" s="31"/>
    </row>
    <row r="810">
      <c r="A810" s="31" t="str">
        <f>IFERROR(__xludf.DUMMYFUNCTION("""COMPUTED_VALUE"""),"授乳中でも低用量ピルは服用できますか？")</f>
        <v>授乳中でも低用量ピルは服用できますか？</v>
      </c>
      <c r="B810" s="31" t="str">
        <f>IFERROR(__xludf.DUMMYFUNCTION("""COMPUTED_VALUE"""),"授乳中は低用量ピルの処方および服用はできません。低用量ピルは母乳分泌を減少させる可能性があるため、授乳中の方には処方しておりません。")</f>
        <v>授乳中は低用量ピルの処方および服用はできません。低用量ピルは母乳分泌を減少させる可能性があるため、授乳中の方には処方しておりません。</v>
      </c>
      <c r="C810" s="31" t="str">
        <f>IFERROR(__xludf.DUMMYFUNCTION("""COMPUTED_VALUE"""),"低用量ピル｜授乳中")</f>
        <v>低用量ピル｜授乳中</v>
      </c>
      <c r="D810" s="31" t="str">
        <f>IFERROR(__xludf.DUMMYFUNCTION("""COMPUTED_VALUE"""),"授乳中,低用量ピル,母乳")</f>
        <v>授乳中,低用量ピル,母乳</v>
      </c>
      <c r="E810" s="31"/>
    </row>
    <row r="811">
      <c r="A811" s="31" t="str">
        <f>IFERROR(__xludf.DUMMYFUNCTION("""COMPUTED_VALUE"""),"出産後はいつから低用量ピルを飲めますか？")</f>
        <v>出産後はいつから低用量ピルを飲めますか？</v>
      </c>
      <c r="B811" s="31" t="str">
        <f>IFERROR(__xludf.DUMMYFUNCTION("""COMPUTED_VALUE"""),"授乳をしていない場合に限り、出産後1か月以降から低用量ピルの服用が可能です。授乳中は処方及び服用は出来かねます。")</f>
        <v>授乳をしていない場合に限り、出産後1か月以降から低用量ピルの服用が可能です。授乳中は処方及び服用は出来かねます。</v>
      </c>
      <c r="C811" s="31" t="str">
        <f>IFERROR(__xludf.DUMMYFUNCTION("""COMPUTED_VALUE"""),"低用量ピル｜出産後")</f>
        <v>低用量ピル｜出産後</v>
      </c>
      <c r="D811" s="31" t="str">
        <f>IFERROR(__xludf.DUMMYFUNCTION("""COMPUTED_VALUE"""),"出産後,低用量ピル")</f>
        <v>出産後,低用量ピル</v>
      </c>
      <c r="E811" s="31"/>
    </row>
    <row r="812">
      <c r="A812" s="31" t="str">
        <f>IFERROR(__xludf.DUMMYFUNCTION("""COMPUTED_VALUE"""),"低用量ピル服用中に妊娠の可能性がある場合はどうすればいいですか？")</f>
        <v>低用量ピル服用中に妊娠の可能性がある場合はどうすればいいですか？</v>
      </c>
      <c r="B812" s="31" t="str">
        <f>IFERROR(__xludf.DUMMYFUNCTION("""COMPUTED_VALUE"""),"妊娠の可能性がある場合は、すぐに低用量ピルの服用を中止してください。性行為から3週間後を目安に妊娠検査薬で確認し、月経予定日になっても月経が来ない場合は再検査してください。")</f>
        <v>妊娠の可能性がある場合は、すぐに低用量ピルの服用を中止してください。性行為から3週間後を目安に妊娠検査薬で確認し、月経予定日になっても月経が来ない場合は再検査してください。</v>
      </c>
      <c r="C812" s="31" t="str">
        <f>IFERROR(__xludf.DUMMYFUNCTION("""COMPUTED_VALUE"""),"低用量ピル｜妊娠")</f>
        <v>低用量ピル｜妊娠</v>
      </c>
      <c r="D812" s="31" t="str">
        <f>IFERROR(__xludf.DUMMYFUNCTION("""COMPUTED_VALUE"""),"妊娠の可能性,低用量ピル")</f>
        <v>妊娠の可能性,低用量ピル</v>
      </c>
      <c r="E812" s="31"/>
    </row>
    <row r="813">
      <c r="A813" s="31" t="str">
        <f>IFERROR(__xludf.DUMMYFUNCTION("""COMPUTED_VALUE"""),"低用量ピルはいつから飲み始めればいいですか？")</f>
        <v>低用量ピルはいつから飲み始めればいいですか？</v>
      </c>
      <c r="B813" s="31" t="str">
        <f>IFERROR(__xludf.DUMMYFUNCTION("""COMPUTED_VALUE"""),"低用量ピルは、生理1日目から服用を開始してください（生理開始から5日以内であれば開始可能です）。")</f>
        <v>低用量ピルは、生理1日目から服用を開始してください（生理開始から5日以内であれば開始可能です）。</v>
      </c>
      <c r="C813" s="31" t="str">
        <f>IFERROR(__xludf.DUMMYFUNCTION("""COMPUTED_VALUE"""),"低用量ピル｜服用開始")</f>
        <v>低用量ピル｜服用開始</v>
      </c>
      <c r="D813" s="31" t="str">
        <f>IFERROR(__xludf.DUMMYFUNCTION("""COMPUTED_VALUE"""),"服用開始,低用量ピル")</f>
        <v>服用開始,低用量ピル</v>
      </c>
      <c r="E813" s="31"/>
    </row>
    <row r="814">
      <c r="A814" s="31" t="str">
        <f>IFERROR(__xludf.DUMMYFUNCTION("""COMPUTED_VALUE"""),"休薬期間中に生理が来ないのですが大丈夫ですか？")</f>
        <v>休薬期間中に生理が来ないのですが大丈夫ですか？</v>
      </c>
      <c r="B814" s="31" t="str">
        <f>IFERROR(__xludf.DUMMYFUNCTION("""COMPUTED_VALUE"""),"低用量ピルを服用中でも、飲み忘れなどにより妊娠する可能性はゼロではありません。
また、正しく服用していても、まれに妊娠するケースがあります。
一方で、生理が来ない原因として、ピルの作用で子宮内膜が薄くなっている場合も多く、心配のないケースもあります。
この場合、将来の妊娠に影響することはありません。
休薬期間が終わっても生理が来ない場合は、次のシートを開始する前に妊娠検査薬で陰性を確認してください。
妊娠検査が陽性の場合：ピルを中止し、婦人科を受診してください
陰性の場合：次のシートを開始してよいか、"&amp;"処方医にご確認ください
2シート連続で生理が来ない場合は、検査が陰性でも一度受診をおすすめします。
※妊娠検査薬は、性行為から3週間後以降に使用し、
　月経予定日を過ぎても生理が来ない場合は再検査してください。")</f>
        <v>低用量ピルを服用中でも、飲み忘れなどにより妊娠する可能性はゼロではありません。
また、正しく服用していても、まれに妊娠するケースがあります。
一方で、生理が来ない原因として、ピルの作用で子宮内膜が薄くなっている場合も多く、心配のないケースもあります。
この場合、将来の妊娠に影響することはありません。
休薬期間が終わっても生理が来ない場合は、次のシートを開始する前に妊娠検査薬で陰性を確認してください。
妊娠検査が陽性の場合：ピルを中止し、婦人科を受診してください
陰性の場合：次のシートを開始してよいか、処方医にご確認ください
2シート連続で生理が来ない場合は、検査が陰性でも一度受診をおすすめします。
※妊娠検査薬は、性行為から3週間後以降に使用し、
　月経予定日を過ぎても生理が来ない場合は再検査してください。</v>
      </c>
      <c r="C814" s="31" t="str">
        <f>IFERROR(__xludf.DUMMYFUNCTION("""COMPUTED_VALUE"""),"低用量ピル｜生理")</f>
        <v>低用量ピル｜生理</v>
      </c>
      <c r="D814" s="31" t="str">
        <f>IFERROR(__xludf.DUMMYFUNCTION("""COMPUTED_VALUE"""),"休薬期間,生理が来ない")</f>
        <v>休薬期間,生理が来ない</v>
      </c>
      <c r="E814" s="31"/>
    </row>
    <row r="815">
      <c r="A815" s="31" t="str">
        <f>IFERROR(__xludf.DUMMYFUNCTION("""COMPUTED_VALUE"""),"低用量ピルを再開したい場合はどうすればいいですか？")</f>
        <v>低用量ピルを再開したい場合はどうすればいいですか？</v>
      </c>
      <c r="B815" s="31" t="str">
        <f>IFERROR(__xludf.DUMMYFUNCTION("""COMPUTED_VALUE"""),"中断後の再開は、次の生理が始まった日から内服してください。中止と再開を繰り返すと血栓症リスクが高まるため、再開予定がある場合はご相談ください。当院でのご受診をご希望の場合は、ご予約をお取りの上、クリニックにご受診ください。受診のご予約はLINEで受け付けています。LINEはこちら→https://cline-app.com/qr-codes/98ad6f149bfa20f4f2a9a2e91aac4187/preview")</f>
        <v>中断後の再開は、次の生理が始まった日から内服してください。中止と再開を繰り返すと血栓症リスクが高まるため、再開予定がある場合はご相談ください。当院でのご受診をご希望の場合は、ご予約をお取りの上、クリニックにご受診ください。受診のご予約はLINEで受け付けています。LINEはこちら→https://cline-app.com/qr-codes/98ad6f149bfa20f4f2a9a2e91aac4187/preview</v>
      </c>
      <c r="C815" s="31" t="str">
        <f>IFERROR(__xludf.DUMMYFUNCTION("""COMPUTED_VALUE"""),"低用量ピル｜再開")</f>
        <v>低用量ピル｜再開</v>
      </c>
      <c r="D815" s="31" t="str">
        <f>IFERROR(__xludf.DUMMYFUNCTION("""COMPUTED_VALUE"""),"低用量ピル,再開方法")</f>
        <v>低用量ピル,再開方法</v>
      </c>
      <c r="E815" s="31"/>
    </row>
    <row r="816">
      <c r="A816" s="31" t="str">
        <f>IFERROR(__xludf.DUMMYFUNCTION("""COMPUTED_VALUE"""),"低用量ピル服用中に不正出血があります")</f>
        <v>低用量ピル服用中に不正出血があります</v>
      </c>
      <c r="B816" s="31" t="str">
        <f>IFERROR(__xludf.DUMMYFUNCTION("""COMPUTED_VALUE"""),"低用量ピル服用中による不正出血は「ブレイクスルー出血」と言います。
ピルの飲み忘れや服用開始直後にホルモンバランスが変化することで多く見られます。
ピルの種類が体に合わない場合や、炎症や感染症なども考えられますので、飲み忘れ・服用開始直後でない場合は婦人科をご受診ください。
また、不正出血は妊娠の可能性が否定できないため、ピルの内服を継続しつつ必ず妊娠検査薬を使用してください。
妊娠陽性の場合はピルの内服を中止してください。
なお、1年以内に婦人科検診を受けていなければ、焦らずに受診をお勧めいたします。"&amp;"
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amp;"対応（緊急搬送・急性期対応）は行っておりませんのであらかじめご了承くださいませ。
※妊娠検査薬
性行為から3週間後に検査薬にて検査いただき、この時点では妊娠をしていても、陰性の可能性がございますので月経予定日になっても月経が来なければ再検査をお願いいたします。")</f>
        <v>低用量ピル服用中による不正出血は「ブレイクスルー出血」と言います。
ピルの飲み忘れや服用開始直後にホルモンバランスが変化することで多く見られます。
ピルの種類が体に合わない場合や、炎症や感染症なども考えられますので、飲み忘れ・服用開始直後でない場合は婦人科をご受診ください。
また、不正出血は妊娠の可能性が否定できないため、ピルの内服を継続しつつ必ず妊娠検査薬を使用してください。
妊娠陽性の場合はピルの内服を中止してください。
なお、1年以内に婦人科検診を受けていなければ、焦らずに受診をお勧めいたします。
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
※妊娠検査薬
性行為から3週間後に検査薬にて検査いただき、この時点では妊娠をしていても、陰性の可能性がございますので月経予定日になっても月経が来なければ再検査をお願いいたします。</v>
      </c>
      <c r="C816" s="31" t="str">
        <f>IFERROR(__xludf.DUMMYFUNCTION("""COMPUTED_VALUE"""),"低用量ピル｜副作用")</f>
        <v>低用量ピル｜副作用</v>
      </c>
      <c r="D816" s="31" t="str">
        <f>IFERROR(__xludf.DUMMYFUNCTION("""COMPUTED_VALUE"""),"不正出血,低用量ピル")</f>
        <v>不正出血,低用量ピル</v>
      </c>
      <c r="E816" s="31"/>
    </row>
    <row r="817">
      <c r="A817" s="31" t="str">
        <f>IFERROR(__xludf.DUMMYFUNCTION("""COMPUTED_VALUE"""),"低用量ピルの避妊効果はどれくらいありますか？")</f>
        <v>低用量ピルの避妊効果はどれくらいありますか？</v>
      </c>
      <c r="B817" s="31" t="str">
        <f>IFERROR(__xludf.DUMMYFUNCTION("""COMPUTED_VALUE"""),"OC（自費）低用量ピルの避妊効果は約99.7％とされています。初回使用時は服用開始から8日目以降に効果が現れ、継続服用することで高い避妊効果が維持されます。")</f>
        <v>OC（自費）低用量ピルの避妊効果は約99.7％とされています。初回使用時は服用開始から8日目以降に効果が現れ、継続服用することで高い避妊効果が維持されます。</v>
      </c>
      <c r="C817" s="31" t="str">
        <f>IFERROR(__xludf.DUMMYFUNCTION("""COMPUTED_VALUE"""),"低用量ピル｜避妊")</f>
        <v>低用量ピル｜避妊</v>
      </c>
      <c r="D817" s="31" t="str">
        <f>IFERROR(__xludf.DUMMYFUNCTION("""COMPUTED_VALUE"""),"避妊効果,低用量ピル")</f>
        <v>避妊効果,低用量ピル</v>
      </c>
      <c r="E817" s="31"/>
    </row>
    <row r="818">
      <c r="A818" s="31" t="str">
        <f>IFERROR(__xludf.DUMMYFUNCTION("""COMPUTED_VALUE"""),"偽薬期間中も避妊効果はありますか？")</f>
        <v>偽薬期間中も避妊効果はありますか？</v>
      </c>
      <c r="B818" s="31" t="str">
        <f>IFERROR(__xludf.DUMMYFUNCTION("""COMPUTED_VALUE"""),"OC（自費）低用量ピルは避妊効果が99.7％といわれており、ほかの避妊方法と比べて高いです。
低用量ピルを初めて利用する場合は、服用開始から8日目ごろから避妊効果が現れ、
次の生理周期以降も服用を継続すれば、2シート目の初日から避妊効果を
得られるようになります。
低用量ピルは正しく飲みさえすれば、失敗する率が限りなく低い避妊法です。")</f>
        <v>OC（自費）低用量ピルは避妊効果が99.7％といわれており、ほかの避妊方法と比べて高いです。
低用量ピルを初めて利用する場合は、服用開始から8日目ごろから避妊効果が現れ、
次の生理周期以降も服用を継続すれば、2シート目の初日から避妊効果を
得られるようになります。
低用量ピルは正しく飲みさえすれば、失敗する率が限りなく低い避妊法です。</v>
      </c>
      <c r="C818" s="31" t="str">
        <f>IFERROR(__xludf.DUMMYFUNCTION("""COMPUTED_VALUE"""),"低用量ピル｜避妊")</f>
        <v>低用量ピル｜避妊</v>
      </c>
      <c r="D818" s="31" t="str">
        <f>IFERROR(__xludf.DUMMYFUNCTION("""COMPUTED_VALUE"""),"偽薬期間,避妊効果")</f>
        <v>偽薬期間,避妊効果</v>
      </c>
      <c r="E818" s="31"/>
    </row>
    <row r="819">
      <c r="A819" s="31" t="str">
        <f>IFERROR(__xludf.DUMMYFUNCTION("""COMPUTED_VALUE"""),"通販や個人輸入のピルでも避妊できますか？")</f>
        <v>通販や個人輸入のピルでも避妊できますか？</v>
      </c>
      <c r="B819" s="31" t="str">
        <f>IFERROR(__xludf.DUMMYFUNCTION("""COMPUTED_VALUE"""),"海外のピルには、とても安いものもあり、魅力的に見えるかもしれません。
しかし実際は、有効成分が含まれていないニセ薬の可能性もあり、危険です。本物と信じて服用し、妊娠してからニセ薬だと気が付くことも起こり得ます。
また、年齢や既往歴、家族歴などによっては、血栓症のリスクが上がったり、
持病が悪化したりする可能性があり、ピルの服用が適さない人もいます。
そのため、先に必ず医師の診察を受け、ピルを服用しても問題ないかどうか判断してもらうことが重要です。")</f>
        <v>海外のピルには、とても安いものもあり、魅力的に見えるかもしれません。
しかし実際は、有効成分が含まれていないニセ薬の可能性もあり、危険です。本物と信じて服用し、妊娠してからニセ薬だと気が付くことも起こり得ます。
また、年齢や既往歴、家族歴などによっては、血栓症のリスクが上がったり、
持病が悪化したりする可能性があり、ピルの服用が適さない人もいます。
そのため、先に必ず医師の診察を受け、ピルを服用しても問題ないかどうか判断してもらうことが重要です。</v>
      </c>
      <c r="C819" s="31" t="str">
        <f>IFERROR(__xludf.DUMMYFUNCTION("""COMPUTED_VALUE"""),"低用量ピル｜注意事項")</f>
        <v>低用量ピル｜注意事項</v>
      </c>
      <c r="D819" s="31" t="str">
        <f>IFERROR(__xludf.DUMMYFUNCTION("""COMPUTED_VALUE"""),"個人輸入,ピル")</f>
        <v>個人輸入,ピル</v>
      </c>
      <c r="E819" s="31"/>
    </row>
    <row r="820">
      <c r="A820" s="31" t="str">
        <f>IFERROR(__xludf.DUMMYFUNCTION("""COMPUTED_VALUE"""),"低用量ピルをやめた後、どれくらいで元に戻りますか？")</f>
        <v>低用量ピルをやめた後、どれくらいで元に戻りますか？</v>
      </c>
      <c r="B820" s="31" t="str">
        <f>IFERROR(__xludf.DUMMYFUNCTION("""COMPUTED_VALUE"""),"服用中止して3～4か月でだいたいはピルを服用前の状態に身体はなると言われ、長期的に服用をしていたからといって
妊娠の可能性に影響することはないと言われております。")</f>
        <v>服用中止して3～4か月でだいたいはピルを服用前の状態に身体はなると言われ、長期的に服用をしていたからといって
妊娠の可能性に影響することはないと言われております。</v>
      </c>
      <c r="C820" s="31" t="str">
        <f>IFERROR(__xludf.DUMMYFUNCTION("""COMPUTED_VALUE"""),"低用量ピル｜中止後")</f>
        <v>低用量ピル｜中止後</v>
      </c>
      <c r="D820" s="31" t="str">
        <f>IFERROR(__xludf.DUMMYFUNCTION("""COMPUTED_VALUE"""),"服用中止,妊娠")</f>
        <v>服用中止,妊娠</v>
      </c>
      <c r="E820" s="31"/>
    </row>
    <row r="821">
      <c r="A821" s="31" t="str">
        <f>IFERROR(__xludf.DUMMYFUNCTION("""COMPUTED_VALUE"""),"低用量ピルと肝臓機能の数値は関係がありますか？")</f>
        <v>低用量ピルと肝臓機能の数値は関係がありますか？</v>
      </c>
      <c r="B821" s="31" t="str">
        <f>IFERROR(__xludf.DUMMYFUNCTION("""COMPUTED_VALUE"""),"低用量ピルを長期間飲み続けると、肝臓がんや肝障害の原因になることがあります。
ただし、薬は肝臓で分解されるものが多いため、低用量ピルに限らず、何かしらの薬を長期間飲み続けることで、
副作用として肝障害が起こることはあります。
また、もともと肝臓に障害や腫瘍（しゅよう）があると、薬を代謝する機能が低下しているため、
低用量ピルを飲むことで肝臓への負担が大きくなります。この場合、低用量ピルによって肝臓の症状が悪化することがあります。
異変を感じたら、かかりつけ医にご相談ください。
個別の症状やお体のご状況に"&amp;"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amp;"行っておりませんのであらかじめご了承くださいませ。")</f>
        <v>低用量ピルを長期間飲み続けると、肝臓がんや肝障害の原因になることがあります。
ただし、薬は肝臓で分解されるものが多いため、低用量ピルに限らず、何かしらの薬を長期間飲み続けることで、
副作用として肝障害が起こることはあります。
また、もともと肝臓に障害や腫瘍（しゅよう）があると、薬を代謝する機能が低下しているため、
低用量ピルを飲むことで肝臓への負担が大きくなります。この場合、低用量ピルによって肝臓の症状が悪化することがあります。
異変を感じたら、かかりつけ医にご相談ください。
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821" s="31"/>
      <c r="D821" s="31"/>
      <c r="E821" s="31"/>
    </row>
    <row r="822">
      <c r="A822" s="31" t="str">
        <f>IFERROR(__xludf.DUMMYFUNCTION("""COMPUTED_VALUE"""),"低用量ピルとカンジダは関係がありますか？")</f>
        <v>低用量ピルとカンジダは関係がありますか？</v>
      </c>
      <c r="B822" s="31" t="str">
        <f>IFERROR(__xludf.DUMMYFUNCTION("""COMPUTED_VALUE"""),"低用量ピルにはエストロゲン、プロゲステロンのホルモンがあります。その中でもエストロゲンがタンパク質と結びつき、カンジダになりやすいと言われております。
乳酸桿菌を用いて膣内環境を整えることで、繰り返し起こるカンジダを予防することが可能でございます。乳酸桿菌の定期配送は以下のURLよりご購入が可能です。ご検討ください。
https://shop.luna-dr.com/products/lactobacillus ")</f>
        <v>低用量ピルにはエストロゲン、プロゲステロンのホルモンがあります。その中でもエストロゲンがタンパク質と結びつき、カンジダになりやすいと言われております。
乳酸桿菌を用いて膣内環境を整えることで、繰り返し起こるカンジダを予防することが可能でございます。乳酸桿菌の定期配送は以下のURLよりご購入が可能です。ご検討ください。
https://shop.luna-dr.com/products/lactobacillus </v>
      </c>
      <c r="C822" s="31" t="str">
        <f>IFERROR(__xludf.DUMMYFUNCTION("""COMPUTED_VALUE"""),"低用量ピル｜感染症")</f>
        <v>低用量ピル｜感染症</v>
      </c>
      <c r="D822" s="31" t="str">
        <f>IFERROR(__xludf.DUMMYFUNCTION("""COMPUTED_VALUE"""),"カンジダ,低用量ピル")</f>
        <v>カンジダ,低用量ピル</v>
      </c>
      <c r="E822" s="32" t="str">
        <f>IFERROR(__xludf.DUMMYFUNCTION("""COMPUTED_VALUE"""),"https://shop.luna-dr.com/products/lactobacillus")</f>
        <v>https://shop.luna-dr.com/products/lactobacillus</v>
      </c>
    </row>
    <row r="823">
      <c r="A823" s="31" t="str">
        <f>IFERROR(__xludf.DUMMYFUNCTION("""COMPUTED_VALUE"""),"低用量ピル服用中にお酒を飲んでも大丈夫ですか？")</f>
        <v>低用量ピル服用中にお酒を飲んでも大丈夫ですか？</v>
      </c>
      <c r="B823" s="31" t="str">
        <f>IFERROR(__xludf.DUMMYFUNCTION("""COMPUTED_VALUE"""),"低用量ピル服用中にお酒を飲むことでお薬の効果に影響が出ることはありませんので、ご安心ください。")</f>
        <v>低用量ピル服用中にお酒を飲むことでお薬の効果に影響が出ることはありませんので、ご安心ください。</v>
      </c>
      <c r="C823" s="31" t="str">
        <f>IFERROR(__xludf.DUMMYFUNCTION("""COMPUTED_VALUE"""),"低用量ピル｜生活習慣")</f>
        <v>低用量ピル｜生活習慣</v>
      </c>
      <c r="D823" s="31" t="str">
        <f>IFERROR(__xludf.DUMMYFUNCTION("""COMPUTED_VALUE"""),"飲酒,低用量ピル")</f>
        <v>飲酒,低用量ピル</v>
      </c>
      <c r="E823" s="31"/>
    </row>
    <row r="824">
      <c r="A824" s="31" t="str">
        <f>IFERROR(__xludf.DUMMYFUNCTION("""COMPUTED_VALUE"""),"低用量ピルで生理を止めることはできますか？")</f>
        <v>低用量ピルで生理を止めることはできますか？</v>
      </c>
      <c r="B824" s="31" t="str">
        <f>IFERROR(__xludf.DUMMYFUNCTION("""COMPUTED_VALUE"""),"低用量ピルを使用し完全に生理を止めることはできません。
PMSが重い、スポーツを行っているなどやむを得ない事情がある方については、医師の判断で生理の回数を減らすことが可能な場合もございます。
オンライン診療で処方は出来かねるため、クリニックにご受診しご相談ください。")</f>
        <v>低用量ピルを使用し完全に生理を止めることはできません。
PMSが重い、スポーツを行っているなどやむを得ない事情がある方については、医師の判断で生理の回数を減らすことが可能な場合もございます。
オンライン診療で処方は出来かねるため、クリニックにご受診しご相談ください。</v>
      </c>
      <c r="C824" s="31" t="str">
        <f>IFERROR(__xludf.DUMMYFUNCTION("""COMPUTED_VALUE"""),"低用量ピル")</f>
        <v>低用量ピル</v>
      </c>
      <c r="D824" s="31" t="str">
        <f>IFERROR(__xludf.DUMMYFUNCTION("""COMPUTED_VALUE"""),"生理を止めたい,PMS")</f>
        <v>生理を止めたい,PMS</v>
      </c>
      <c r="E824" s="31"/>
    </row>
    <row r="825">
      <c r="A825" s="31" t="str">
        <f>IFERROR(__xludf.DUMMYFUNCTION("""COMPUTED_VALUE"""),"低用量ピルは何時間くらいの飲み時間のズレまで大丈夫ですか？")</f>
        <v>低用量ピルは何時間くらいの飲み時間のズレまで大丈夫ですか？</v>
      </c>
      <c r="B825" s="31" t="str">
        <f>IFERROR(__xludf.DUMMYFUNCTION("""COMPUTED_VALUE"""),"低用量ピルは毎日同じ時間に服用することが理想ですが、2～3時間程度のズレであれば避妊効果に大きな影響はありません。大きくずれた場合は、1週間は他の避妊方法を併用してください。")</f>
        <v>低用量ピルは毎日同じ時間に服用することが理想ですが、2～3時間程度のズレであれば避妊効果に大きな影響はありません。大きくずれた場合は、1週間は他の避妊方法を併用してください。</v>
      </c>
      <c r="C825" s="31" t="str">
        <f>IFERROR(__xludf.DUMMYFUNCTION("""COMPUTED_VALUE"""),"低用量ピル")</f>
        <v>低用量ピル</v>
      </c>
      <c r="D825" s="31" t="str">
        <f>IFERROR(__xludf.DUMMYFUNCTION("""COMPUTED_VALUE"""),"服用時間,飲み忘れ")</f>
        <v>服用時間,飲み忘れ</v>
      </c>
      <c r="E825" s="31"/>
    </row>
    <row r="826">
      <c r="A826" s="31" t="str">
        <f>IFERROR(__xludf.DUMMYFUNCTION("""COMPUTED_VALUE"""),"インフルエンザの薬とピルは一緒に飲めますか？")</f>
        <v>インフルエンザの薬とピルは一緒に飲めますか？</v>
      </c>
      <c r="B826" s="31" t="str">
        <f>IFERROR(__xludf.DUMMYFUNCTION("""COMPUTED_VALUE"""),"抗ウイルス薬であれば、低用量ピルと併用しても問題ないとされています。ただし、体調不良で飲食が難しい場合は、一時的にピルを中断しても問題ありません。")</f>
        <v>抗ウイルス薬であれば、低用量ピルと併用しても問題ないとされています。ただし、体調不良で飲食が難しい場合は、一時的にピルを中断しても問題ありません。</v>
      </c>
      <c r="C826" s="31" t="str">
        <f>IFERROR(__xludf.DUMMYFUNCTION("""COMPUTED_VALUE"""),"低用量ピル")</f>
        <v>低用量ピル</v>
      </c>
      <c r="D826" s="31" t="str">
        <f>IFERROR(__xludf.DUMMYFUNCTION("""COMPUTED_VALUE"""),"併用薬,インフルエンザ")</f>
        <v>併用薬,インフルエンザ</v>
      </c>
      <c r="E826" s="31"/>
    </row>
    <row r="827">
      <c r="A827" s="31" t="str">
        <f>IFERROR(__xludf.DUMMYFUNCTION("""COMPUTED_VALUE"""),"低用量ピルを飲んだ後に吐いてしまいました。どうすればいいですか？")</f>
        <v>低用量ピルを飲んだ後に吐いてしまいました。どうすればいいですか？</v>
      </c>
      <c r="B827" s="31" t="str">
        <f>IFERROR(__xludf.DUMMYFUNCTION("""COMPUTED_VALUE"""),"服用後2時間以内に嘔吐した場合は、十分な効果が得られない可能性がありますのでご相談ください。2時間以上経過していれば問題ないことが多いですが、不安な場合は別の避妊方法を併用してください。")</f>
        <v>服用後2時間以内に嘔吐した場合は、十分な効果が得られない可能性がありますのでご相談ください。2時間以上経過していれば問題ないことが多いですが、不安な場合は別の避妊方法を併用してください。</v>
      </c>
      <c r="C827" s="31" t="str">
        <f>IFERROR(__xludf.DUMMYFUNCTION("""COMPUTED_VALUE"""),"低用量ピル")</f>
        <v>低用量ピル</v>
      </c>
      <c r="D827" s="31" t="str">
        <f>IFERROR(__xludf.DUMMYFUNCTION("""COMPUTED_VALUE"""),"嘔吐,副作用")</f>
        <v>嘔吐,副作用</v>
      </c>
      <c r="E827" s="31"/>
    </row>
    <row r="828">
      <c r="A828" s="31" t="str">
        <f>IFERROR(__xludf.DUMMYFUNCTION("""COMPUTED_VALUE"""),"他院で処方されたピルについて相談できますか？")</f>
        <v>他院で処方されたピルについて相談できますか？</v>
      </c>
      <c r="B828" s="31" t="str">
        <f>IFERROR(__xludf.DUMMYFUNCTION("""COMPUTED_VALUE"""),"他院で処方されていたピルの継続処方は可能です。ただし、当院で取り扱いのないピルもございますので、まず当院で取り扱っているピルをご確認ください【保険ピル（来院診療のみ）】ヤーズフレックス配合錠・アリッサ・ルナベル配合錠LD・フリウェル配合錠LD・ルナベル配合錠ULD・フリウェル配合錠ULD・ヤーズ配合錠・ドロエチ配合錠・ジェミーナ配合錠 ※保険ピルの料金は保険診療の内容により異なるため、事前にお伝えすることができません。【自費ピル】ファボワール21錠/28錠 1シート3,000円・ラベルフィーユ21錠/28"&amp;"錠 1シート3,000円・スリンダ（ミニピル）28錠 1シート3,300円（来院のみ）【アフターピル】レボノルゲストレル1.5mg 15,000円・エラワン（ウリプリスタル酢酸エステル）/Josei 17,000円【オンライン診療で処方可能なピル】ラベルフィーユ28・ファボワール28・プラノバール21錠・エラワン（ウリプリスタル酢酸エステル）・レボノルゲストレル ※マーベロン・アンジュ・トリキュラーは取り扱いがございません。ご希望のピルがございましたら「ピル処方」のメニューでご予約ください。→https:"&amp;"//cline-app.com/qr-codes/98ad6f149bfa20f4f2a9a2e91aac4187/preview　オンライン診療はこちらのLINEからご予約ください。
https://liff-gateway.lineml.jp/landing?follow=%40590gpxrd&amp;lp=rJHUjK&amp;liff_id=1657094566-LmjNPPbV")</f>
        <v>他院で処方されていたピルの継続処方は可能です。ただし、当院で取り扱いのないピルもございますので、まず当院で取り扱っているピルをご確認ください【保険ピル（来院診療のみ）】ヤーズフレックス配合錠・アリッサ・ルナベル配合錠LD・フリウェル配合錠LD・ルナベル配合錠ULD・フリウェル配合錠ULD・ヤーズ配合錠・ドロエチ配合錠・ジェミーナ配合錠 ※保険ピルの料金は保険診療の内容により異なるため、事前にお伝えすることができません。【自費ピル】ファボワール21錠/28錠 1シート3,000円・ラベルフィーユ21錠/28錠 1シート3,000円・スリンダ（ミニピル）28錠 1シート3,300円（来院のみ）【アフターピル】レボノルゲストレル1.5mg 15,000円・エラワン（ウリプリスタル酢酸エステル）/Josei 17,000円【オンライン診療で処方可能なピル】ラベルフィーユ28・ファボワール28・プラノバール21錠・エラワン（ウリプリスタル酢酸エステル）・レボノルゲストレル ※マーベロン・アンジュ・トリキュラーは取り扱いがございません。ご希望のピルがございましたら「ピル処方」のメニューでご予約ください。→https://cline-app.com/qr-codes/98ad6f149bfa20f4f2a9a2e91aac4187/preview　オンライン診療はこちらのLINEからご予約ください。
https://liff-gateway.lineml.jp/landing?follow=%40590gpxrd&amp;lp=rJHUjK&amp;liff_id=1657094566-LmjNPPbV</v>
      </c>
      <c r="C828" s="31" t="str">
        <f>IFERROR(__xludf.DUMMYFUNCTION("""COMPUTED_VALUE"""),"低用量ピル")</f>
        <v>低用量ピル</v>
      </c>
      <c r="D828" s="31" t="str">
        <f>IFERROR(__xludf.DUMMYFUNCTION("""COMPUTED_VALUE"""),"他院処方")</f>
        <v>他院処方</v>
      </c>
      <c r="E828" s="31"/>
    </row>
    <row r="829">
      <c r="A829" s="31" t="str">
        <f>IFERROR(__xludf.DUMMYFUNCTION("""COMPUTED_VALUE"""),"ヤーズフレックスの休薬期間に生理が来ません。")</f>
        <v>ヤーズフレックスの休薬期間に生理が来ません。</v>
      </c>
      <c r="B829" s="31" t="str">
        <f>IFERROR(__xludf.DUMMYFUNCTION("""COMPUTED_VALUE"""),"ヤーズフレックスの休薬期間に生理がこない考えられる2つの理由は、妊娠しているか、一時的に子宮内膜が薄くなっていることが考えられます。
妊娠検査薬にて妊娠の有無を確認いただき、陰性の場合はかかりつけ医にご相談ください。
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amp;"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
※妊娠検査薬
性行為から3週間後に検査薬にて検査いただき、この時点では妊娠をしていても
陰性の可能性がございますので月経予定日になっても
月経が来なければ再検査をお願いいたします。")</f>
        <v>ヤーズフレックスの休薬期間に生理がこない考えられる2つの理由は、妊娠しているか、一時的に子宮内膜が薄くなっていることが考えられます。
妊娠検査薬にて妊娠の有無を確認いただき、陰性の場合はかかりつけ医にご相談ください。
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
※妊娠検査薬
性行為から3週間後に検査薬にて検査いただき、この時点では妊娠をしていても
陰性の可能性がございますので月経予定日になっても
月経が来なければ再検査をお願いいたします。</v>
      </c>
      <c r="C829" s="31" t="str">
        <f>IFERROR(__xludf.DUMMYFUNCTION("""COMPUTED_VALUE"""),"保険ピル")</f>
        <v>保険ピル</v>
      </c>
      <c r="D829" s="31" t="str">
        <f>IFERROR(__xludf.DUMMYFUNCTION("""COMPUTED_VALUE"""),"ヤーズフレックス,休薬期間")</f>
        <v>ヤーズフレックス,休薬期間</v>
      </c>
      <c r="E829" s="31"/>
    </row>
    <row r="830">
      <c r="A830" s="31" t="str">
        <f>IFERROR(__xludf.DUMMYFUNCTION("""COMPUTED_VALUE"""),"生理を移動させると副作用はありますか？")</f>
        <v>生理を移動させると副作用はありますか？</v>
      </c>
      <c r="B830" s="31" t="str">
        <f>IFERROR(__xludf.DUMMYFUNCTION("""COMPUTED_VALUE"""),"ピルは医薬品なので、個人差はありますが副作用が出る場合があります。
具体的には、吐き気や嘔吐、頭痛や眠気、だるさといった症状です。
また、低用量ピルよりも中用量ピルのほうが含まれる女性ホルモンの量が多いため、
副作用が強く出る可能性があります。ただし中用量ピルを服用する場合であっても、
10日程度の移動であれば体への影響はほとんどないとされています。")</f>
        <v>ピルは医薬品なので、個人差はありますが副作用が出る場合があります。
具体的には、吐き気や嘔吐、頭痛や眠気、だるさといった症状です。
また、低用量ピルよりも中用量ピルのほうが含まれる女性ホルモンの量が多いため、
副作用が強く出る可能性があります。ただし中用量ピルを服用する場合であっても、
10日程度の移動であれば体への影響はほとんどないとされています。</v>
      </c>
      <c r="C830" s="31" t="str">
        <f>IFERROR(__xludf.DUMMYFUNCTION("""COMPUTED_VALUE"""),"月経移動")</f>
        <v>月経移動</v>
      </c>
      <c r="D830" s="31" t="str">
        <f>IFERROR(__xludf.DUMMYFUNCTION("""COMPUTED_VALUE"""),"副作用,中用量ピル")</f>
        <v>副作用,中用量ピル</v>
      </c>
      <c r="E830" s="31"/>
    </row>
    <row r="831">
      <c r="A831" s="31" t="str">
        <f>IFERROR(__xludf.DUMMYFUNCTION("""COMPUTED_VALUE"""),"低用量ピルを飲み忘れた場合、アフターピルは必要ですか？")</f>
        <v>低用量ピルを飲み忘れた場合、アフターピルは必要ですか？</v>
      </c>
      <c r="B831" s="31" t="str">
        <f>IFERROR(__xludf.DUMMYFUNCTION("""COMPUTED_VALUE"""),"低用量ピルのを時間通り服用出来ていない・飲み始め7日以内等、低用量ピルを服用している患者様でも避妊効果が低いため、あわせてアフターピルの服用をおすすめいたします。アフターピルはオンライン診療ではご自宅にお届けが可能でございます。")</f>
        <v>低用量ピルのを時間通り服用出来ていない・飲み始め7日以内等、低用量ピルを服用している患者様でも避妊効果が低いため、あわせてアフターピルの服用をおすすめいたします。アフターピルはオンライン診療ではご自宅にお届けが可能でございます。</v>
      </c>
      <c r="C831" s="31" t="str">
        <f>IFERROR(__xludf.DUMMYFUNCTION("""COMPUTED_VALUE"""),"アフターピル")</f>
        <v>アフターピル</v>
      </c>
      <c r="D831" s="31" t="str">
        <f>IFERROR(__xludf.DUMMYFUNCTION("""COMPUTED_VALUE"""),"飲み忘れ,緊急避妊")</f>
        <v>飲み忘れ,緊急避妊</v>
      </c>
      <c r="E831" s="31"/>
    </row>
    <row r="832">
      <c r="A832" s="31" t="str">
        <f>IFERROR(__xludf.DUMMYFUNCTION("""COMPUTED_VALUE"""),"アフターピル服用後、低用量ピルはいつから再開できますか？")</f>
        <v>アフターピル服用後、低用量ピルはいつから再開できますか？</v>
      </c>
      <c r="B832" s="31" t="str">
        <f>IFERROR(__xludf.DUMMYFUNCTION("""COMPUTED_VALUE"""),"アフターピル（緊急避妊薬）を服用した後、低用量ピルの服用を開始するタイミングについてはアフターピルの種類によって変わります。
・レボノルゲストレル：アフターピルを服用した翌日から低用量ピルを開始しても問題はありません。
・ウリプリスタール酢酸：アフターピルの影響で低用量ピルの効果が減少する可能性があるため、アフターピルを服用してから、5日間は低用量ピルを開始しないことが推奨されています。
状況により異なるため、最適な服用開始時期については、低用量ピル処方医師にご確認ください。")</f>
        <v>アフターピル（緊急避妊薬）を服用した後、低用量ピルの服用を開始するタイミングについてはアフターピルの種類によって変わります。
・レボノルゲストレル：アフターピルを服用した翌日から低用量ピルを開始しても問題はありません。
・ウリプリスタール酢酸：アフターピルの影響で低用量ピルの効果が減少する可能性があるため、アフターピルを服用してから、5日間は低用量ピルを開始しないことが推奨されています。
状況により異なるため、最適な服用開始時期については、低用量ピル処方医師にご確認ください。</v>
      </c>
      <c r="C832" s="31" t="str">
        <f>IFERROR(__xludf.DUMMYFUNCTION("""COMPUTED_VALUE"""),"アフターピル")</f>
        <v>アフターピル</v>
      </c>
      <c r="D832" s="31" t="str">
        <f>IFERROR(__xludf.DUMMYFUNCTION("""COMPUTED_VALUE"""),"再開時期")</f>
        <v>再開時期</v>
      </c>
      <c r="E832" s="31"/>
    </row>
    <row r="833">
      <c r="A833" s="31" t="str">
        <f>IFERROR(__xludf.DUMMYFUNCTION("""COMPUTED_VALUE"""),"中用量ピルとは何ですか？/プラノバールとは")</f>
        <v>中用量ピルとは何ですか？/プラノバールとは</v>
      </c>
      <c r="B833" s="31" t="str">
        <f>IFERROR(__xludf.DUMMYFUNCTION("""COMPUTED_VALUE"""),"中用量ピルとは、一時的に服用することで、生理開始日を早めたり遅らせたりすることができます。
低用量ピルの違いは、エストロゲンの配合量が中用量ピルの方が多く含まれるため、頭痛や吐き気、血栓症などの副作用が低用量ピルよりも強く出ます。
吐き気止めの同時処方も可能でございます。")</f>
        <v>中用量ピルとは、一時的に服用することで、生理開始日を早めたり遅らせたりすることができます。
低用量ピルの違いは、エストロゲンの配合量が中用量ピルの方が多く含まれるため、頭痛や吐き気、血栓症などの副作用が低用量ピルよりも強く出ます。
吐き気止めの同時処方も可能でございます。</v>
      </c>
      <c r="C833" s="31" t="str">
        <f>IFERROR(__xludf.DUMMYFUNCTION("""COMPUTED_VALUE"""),"月経移動")</f>
        <v>月経移動</v>
      </c>
      <c r="D833" s="31" t="str">
        <f>IFERROR(__xludf.DUMMYFUNCTION("""COMPUTED_VALUE"""),"中用量ピル,中用量,プラノバール")</f>
        <v>中用量ピル,中用量,プラノバール</v>
      </c>
      <c r="E833" s="31"/>
    </row>
    <row r="834">
      <c r="A834" s="31" t="str">
        <f>IFERROR(__xludf.DUMMYFUNCTION("""COMPUTED_VALUE"""),"中用量ピルの料金はいくらですか？/プラノバールの料金はいくらですか？/プラノバールの処方は可能ですか")</f>
        <v>中用量ピルの料金はいくらですか？/プラノバールの料金はいくらですか？/プラノバールの処方は可能ですか</v>
      </c>
      <c r="B834" s="31" t="str">
        <f>IFERROR(__xludf.DUMMYFUNCTION("""COMPUTED_VALUE"""),"プラノバール21錠入りは5,000円です。オンライン診療の場合、別途送料500円がかかります。")</f>
        <v>プラノバール21錠入りは5,000円です。オンライン診療の場合、別途送料500円がかかります。</v>
      </c>
      <c r="C834" s="31" t="str">
        <f>IFERROR(__xludf.DUMMYFUNCTION("""COMPUTED_VALUE"""),"月経移動")</f>
        <v>月経移動</v>
      </c>
      <c r="D834" s="31" t="str">
        <f>IFERROR(__xludf.DUMMYFUNCTION("""COMPUTED_VALUE"""),"料金,プラノバール,中用量ピル,中用量")</f>
        <v>料金,プラノバール,中用量ピル,中用量</v>
      </c>
      <c r="E834" s="31"/>
    </row>
    <row r="835">
      <c r="A835" s="31" t="str">
        <f>IFERROR(__xludf.DUMMYFUNCTION("""COMPUTED_VALUE"""),"月経移動で「早める方法」と「遅らせる方法」はどう違いますか？")</f>
        <v>月経移動で「早める方法」と「遅らせる方法」はどう違いますか？</v>
      </c>
      <c r="B835" s="31" t="str">
        <f>IFERROR(__xludf.DUMMYFUNCTION("""COMPUTED_VALUE"""),"月経移動には「早める方法」と「遅らせる方法」があります。早める方法は、生理を避けたい期間の1つ前の生理開始5日目から中用量ピルを服用し、約2週間後に生理を起こす方法です。避けたい期間中はピルを服用せずに過ごせます。遅らせる方法は、生理予定日の5日前から中用量ピルを服用し、生理を避けたい期間の後に生理が来るように調整します。遅らせる方法は比較的直前の相談にも対応できる場合があります。")</f>
        <v>月経移動には「早める方法」と「遅らせる方法」があります。早める方法は、生理を避けたい期間の1つ前の生理開始5日目から中用量ピルを服用し、約2週間後に生理を起こす方法です。避けたい期間中はピルを服用せずに過ごせます。遅らせる方法は、生理予定日の5日前から中用量ピルを服用し、生理を避けたい期間の後に生理が来るように調整します。遅らせる方法は比較的直前の相談にも対応できる場合があります。</v>
      </c>
      <c r="C835" s="31" t="str">
        <f>IFERROR(__xludf.DUMMYFUNCTION("""COMPUTED_VALUE"""),"月経移動")</f>
        <v>月経移動</v>
      </c>
      <c r="D835" s="31" t="str">
        <f>IFERROR(__xludf.DUMMYFUNCTION("""COMPUTED_VALUE"""),"早める,遅らせる,方法")</f>
        <v>早める,遅らせる,方法</v>
      </c>
      <c r="E835" s="31"/>
    </row>
    <row r="836">
      <c r="A836" s="31" t="str">
        <f>IFERROR(__xludf.DUMMYFUNCTION("""COMPUTED_VALUE"""),"月経移動後、生理が重くなりました。大丈夫ですか？")</f>
        <v>月経移動後、生理が重くなりました。大丈夫ですか？</v>
      </c>
      <c r="B836" s="31" t="str">
        <f>IFERROR(__xludf.DUMMYFUNCTION("""COMPUTED_VALUE"""),"月経を遅らせた場合、普段より月経量が多くなったり月経痛が強くなる可能性があります。
現在症状が落ち着いているのであれば様子を見てください。
オンライン相談では子宮筋腫や他の病気が潜んでるか分かりかねるため、婦人科にて検診をおすすめいたします。
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amp;"/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f>
        <v>月経を遅らせた場合、普段より月経量が多くなったり月経痛が強くなる可能性があります。
現在症状が落ち着いているのであれば様子を見てください。
オンライン相談では子宮筋腫や他の病気が潜んでるか分かりかねるため、婦人科にて検診をおすすめいたします。
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836" s="31" t="str">
        <f>IFERROR(__xludf.DUMMYFUNCTION("""COMPUTED_VALUE"""),"月経移動")</f>
        <v>月経移動</v>
      </c>
      <c r="D836" s="31" t="str">
        <f>IFERROR(__xludf.DUMMYFUNCTION("""COMPUTED_VALUE"""),"生理が重い,月経量,生理痛")</f>
        <v>生理が重い,月経量,生理痛</v>
      </c>
      <c r="E836" s="31"/>
    </row>
    <row r="837">
      <c r="A837" s="31" t="str">
        <f>IFERROR(__xludf.DUMMYFUNCTION("""COMPUTED_VALUE"""),"中用量ピルを飲んだ後、吐き気があります。/プラノバールを飲んだ後に、吐き気があります。")</f>
        <v>中用量ピルを飲んだ後、吐き気があります。/プラノバールを飲んだ後に、吐き気があります。</v>
      </c>
      <c r="B837" s="31" t="str">
        <f>IFERROR(__xludf.DUMMYFUNCTION("""COMPUTED_VALUE"""),"中用量ピル（プラノバール）の副作用として吐き気が出ることがあります。服用を続けてホルモンバランスが安定すると、次第に治まることが多いです。吐き気がつらい場合は、処方された吐き気止めや市販薬を使用してください。
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amp;"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f>
        <v>中用量ピル（プラノバール）の副作用として吐き気が出ることがあります。服用を続けてホルモンバランスが安定すると、次第に治まることが多いです。吐き気がつらい場合は、処方された吐き気止めや市販薬を使用してください。
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837" s="31" t="str">
        <f>IFERROR(__xludf.DUMMYFUNCTION("""COMPUTED_VALUE"""),"月経移動")</f>
        <v>月経移動</v>
      </c>
      <c r="D837" s="31" t="str">
        <f>IFERROR(__xludf.DUMMYFUNCTION("""COMPUTED_VALUE"""),"プラノバール,吐き気,副作用")</f>
        <v>プラノバール,吐き気,副作用</v>
      </c>
      <c r="E837" s="31"/>
    </row>
    <row r="838">
      <c r="A838" s="31" t="str">
        <f>IFERROR(__xludf.DUMMYFUNCTION("""COMPUTED_VALUE"""),"中用量ピルを使って妊娠しやすくできますか？/プラノバールを使って妊娠しやすくできますか？")</f>
        <v>中用量ピルを使って妊娠しやすくできますか？/プラノバールを使って妊娠しやすくできますか？</v>
      </c>
      <c r="B838" s="31" t="str">
        <f>IFERROR(__xludf.DUMMYFUNCTION("""COMPUTED_VALUE"""),"プラノバールは服用方法を調整することで、月経移動だけでなく妊娠しやすい状態を作る目的で使用されることもあります。ただし、当院では不妊治療は行っていないため、詳しくはお近くの婦人科へご相談ください。")</f>
        <v>プラノバールは服用方法を調整することで、月経移動だけでなく妊娠しやすい状態を作る目的で使用されることもあります。ただし、当院では不妊治療は行っていないため、詳しくはお近くの婦人科へご相談ください。</v>
      </c>
      <c r="C838" s="31" t="str">
        <f>IFERROR(__xludf.DUMMYFUNCTION("""COMPUTED_VALUE"""),"月経移動")</f>
        <v>月経移動</v>
      </c>
      <c r="D838" s="31" t="str">
        <f>IFERROR(__xludf.DUMMYFUNCTION("""COMPUTED_VALUE"""),"プラノバール,妊娠")</f>
        <v>プラノバール,妊娠</v>
      </c>
      <c r="E838" s="31"/>
    </row>
    <row r="839">
      <c r="A839" s="31" t="str">
        <f>IFERROR(__xludf.DUMMYFUNCTION("""COMPUTED_VALUE"""),"中用量ピル（プラノバール）を飲むとき、吐き気止めは一緒に飲んだ方がいいですか？")</f>
        <v>中用量ピル（プラノバール）を飲むとき、吐き気止めは一緒に飲んだ方がいいですか？</v>
      </c>
      <c r="B839" s="31" t="str">
        <f>IFERROR(__xludf.DUMMYFUNCTION("""COMPUTED_VALUE"""),"プラノバールを服用したすべての方に吐き気が出るわけではありませんが、比較的起こりやすい副作用です。ご希望があれば、吐き気止めを一緒に処方することが可能です。副作用の出方には個人差があります。")</f>
        <v>プラノバールを服用したすべての方に吐き気が出るわけではありませんが、比較的起こりやすい副作用です。ご希望があれば、吐き気止めを一緒に処方することが可能です。副作用の出方には個人差があります。</v>
      </c>
      <c r="C839" s="31" t="str">
        <f>IFERROR(__xludf.DUMMYFUNCTION("""COMPUTED_VALUE"""),"月経移動")</f>
        <v>月経移動</v>
      </c>
      <c r="D839" s="31" t="str">
        <f>IFERROR(__xludf.DUMMYFUNCTION("""COMPUTED_VALUE"""),"吐き気止め,プラノバール")</f>
        <v>吐き気止め,プラノバール</v>
      </c>
      <c r="E839" s="31"/>
    </row>
    <row r="840">
      <c r="A840" s="31" t="str">
        <f>IFERROR(__xludf.DUMMYFUNCTION("""COMPUTED_VALUE"""),"月経移動の服用期間はどれくらいですか？")</f>
        <v>月経移動の服用期間はどれくらいですか？</v>
      </c>
      <c r="B840" s="31" t="str">
        <f>IFERROR(__xludf.DUMMYFUNCTION("""COMPUTED_VALUE"""),"月経移動に必要な服用期間は、患者さまの生理周期やご希望の日程によって異なります。詳しい服用期間は診察時に個別にご案内します。")</f>
        <v>月経移動に必要な服用期間は、患者さまの生理周期やご希望の日程によって異なります。詳しい服用期間は診察時に個別にご案内します。</v>
      </c>
      <c r="C840" s="31" t="str">
        <f>IFERROR(__xludf.DUMMYFUNCTION("""COMPUTED_VALUE"""),"月経移動")</f>
        <v>月経移動</v>
      </c>
      <c r="D840" s="31" t="str">
        <f>IFERROR(__xludf.DUMMYFUNCTION("""COMPUTED_VALUE"""),"服用期間,個別対応")</f>
        <v>服用期間,個別対応</v>
      </c>
      <c r="E840" s="31"/>
    </row>
    <row r="841">
      <c r="A841" s="31" t="str">
        <f>IFERROR(__xludf.DUMMYFUNCTION("""COMPUTED_VALUE"""),"服用開始がギリギリでも月経移動はできますか？")</f>
        <v>服用開始がギリギリでも月経移動はできますか？</v>
      </c>
      <c r="B841" s="31" t="str">
        <f>IFERROR(__xludf.DUMMYFUNCTION("""COMPUTED_VALUE"""),"服用開始日を過ぎてからの月経移動は、成功を保証できませんが、出血量を減らせる可能性はあります。状況によっては処方が難しい場合もあるため、月経移動の問診からお申し込みのうえご相談ください。")</f>
        <v>服用開始日を過ぎてからの月経移動は、成功を保証できませんが、出血量を減らせる可能性はあります。状況によっては処方が難しい場合もあるため、月経移動の問診からお申し込みのうえご相談ください。</v>
      </c>
      <c r="C841" s="31" t="str">
        <f>IFERROR(__xludf.DUMMYFUNCTION("""COMPUTED_VALUE"""),"月経移動")</f>
        <v>月経移動</v>
      </c>
      <c r="D841" s="31" t="str">
        <f>IFERROR(__xludf.DUMMYFUNCTION("""COMPUTED_VALUE"""),"ギリギリ,服用開始")</f>
        <v>ギリギリ,服用開始</v>
      </c>
      <c r="E841" s="31"/>
    </row>
    <row r="842">
      <c r="A842" s="31" t="str">
        <f>IFERROR(__xludf.DUMMYFUNCTION("""COMPUTED_VALUE"""),"アフターピルの種類を教えて下さい/アフターピルの料金を教えてください。")</f>
        <v>アフターピルの種類を教えて下さい/アフターピルの料金を教えてください。</v>
      </c>
      <c r="B842" s="31" t="str">
        <f>IFERROR(__xludf.DUMMYFUNCTION("""COMPUTED_VALUE"""),"当院では2種類のアフターピルを取り扱っています。
・120時間以内用：ウリプリスタル酢酸エステル（エラワン・Josei）15,000円（税込）
・72時間以内用：レボノルゲストレル 12,000円（税込）
配送が必要なため、基本的には120時間用をご案内しています。早く服用するほど避妊効果は高まります。自費診療となるため、診察料・初診料はかかりません。")</f>
        <v>当院では2種類のアフターピルを取り扱っています。
・120時間以内用：ウリプリスタル酢酸エステル（エラワン・Josei）15,000円（税込）
・72時間以内用：レボノルゲストレル 12,000円（税込）
配送が必要なため、基本的には120時間用をご案内しています。早く服用するほど避妊効果は高まります。自費診療となるため、診察料・初診料はかかりません。</v>
      </c>
      <c r="C842" s="31" t="str">
        <f>IFERROR(__xludf.DUMMYFUNCTION("""COMPUTED_VALUE"""),"アフターピル")</f>
        <v>アフターピル</v>
      </c>
      <c r="D842" s="31" t="str">
        <f>IFERROR(__xludf.DUMMYFUNCTION("""COMPUTED_VALUE"""),"種類,料金")</f>
        <v>種類,料金</v>
      </c>
      <c r="E842" s="31"/>
    </row>
    <row r="843">
      <c r="A843" s="31" t="str">
        <f>IFERROR(__xludf.DUMMYFUNCTION("""COMPUTED_VALUE"""),"なぜアフターピルは保険適用されないのですか？")</f>
        <v>なぜアフターピルは保険適用されないのですか？</v>
      </c>
      <c r="B843" s="31" t="str">
        <f>IFERROR(__xludf.DUMMYFUNCTION("""COMPUTED_VALUE"""),"健康保険は「病気やケガの治療」を対象としているため、妊娠を予防する目的のアフターピルは保険適用外となります。妊娠や出産は病気とはみなされないため、保険診療の対象外とされています。")</f>
        <v>健康保険は「病気やケガの治療」を対象としているため、妊娠を予防する目的のアフターピルは保険適用外となります。妊娠や出産は病気とはみなされないため、保険診療の対象外とされています。</v>
      </c>
      <c r="C843" s="31" t="str">
        <f>IFERROR(__xludf.DUMMYFUNCTION("""COMPUTED_VALUE"""),"アフターピル")</f>
        <v>アフターピル</v>
      </c>
      <c r="D843" s="31" t="str">
        <f>IFERROR(__xludf.DUMMYFUNCTION("""COMPUTED_VALUE"""),"保険適用外,理由")</f>
        <v>保険適用外,理由</v>
      </c>
      <c r="E843" s="31"/>
    </row>
    <row r="844">
      <c r="A844" s="31" t="str">
        <f>IFERROR(__xludf.DUMMYFUNCTION("""COMPUTED_VALUE"""),"アフターピル（緊急避妊薬）とは何ですか？")</f>
        <v>アフターピル（緊急避妊薬）とは何ですか？</v>
      </c>
      <c r="B844" s="31" t="str">
        <f>IFERROR(__xludf.DUMMYFUNCTION("""COMPUTED_VALUE"""),"アフターピル（緊急避妊薬）とは、妊娠の可能性のある性行為の後からでも避妊効果を得られるピルです。
低用量ピルの服用を忘れた場合や、中だしをされてしまったとき、
コンドームが破損していた場合、さらに性被害による望まない妊娠・中絶を避ける目的で
使われます。
性交後、72時間（3日）または120時間（5日）以内にアフターピルを服用すると、
約80％の確率で妊娠を防げます。
性交後からアフターピルの服用が早いほど妊娠しない確率が上がるため、
妊娠を望まないときは速やかにご相談ください。")</f>
        <v>アフターピル（緊急避妊薬）とは、妊娠の可能性のある性行為の後からでも避妊効果を得られるピルです。
低用量ピルの服用を忘れた場合や、中だしをされてしまったとき、
コンドームが破損していた場合、さらに性被害による望まない妊娠・中絶を避ける目的で
使われます。
性交後、72時間（3日）または120時間（5日）以内にアフターピルを服用すると、
約80％の確率で妊娠を防げます。
性交後からアフターピルの服用が早いほど妊娠しない確率が上がるため、
妊娠を望まないときは速やかにご相談ください。</v>
      </c>
      <c r="C844" s="31" t="str">
        <f>IFERROR(__xludf.DUMMYFUNCTION("""COMPUTED_VALUE"""),"アフターピル")</f>
        <v>アフターピル</v>
      </c>
      <c r="D844" s="31" t="str">
        <f>IFERROR(__xludf.DUMMYFUNCTION("""COMPUTED_VALUE"""),"緊急避妊,効果")</f>
        <v>緊急避妊,効果</v>
      </c>
      <c r="E844" s="31"/>
    </row>
    <row r="845">
      <c r="A845" s="31" t="str">
        <f>IFERROR(__xludf.DUMMYFUNCTION("""COMPUTED_VALUE"""),"アフターピルを飲んだ後に吐いてしまった場合はどうすればいいですか？")</f>
        <v>アフターピルを飲んだ後に吐いてしまった場合はどうすればいいですか？</v>
      </c>
      <c r="B845" s="31" t="str">
        <f>IFERROR(__xludf.DUMMYFUNCTION("""COMPUTED_VALUE"""),"アフターピル服用２時間以内に嘔吐した場合は効果が十分に発揮されない為、再度内服をお勧めいたします。
オンライン診療ではアフターピル処方時に無料で吐き気止めをお付けしております。")</f>
        <v>アフターピル服用２時間以内に嘔吐した場合は効果が十分に発揮されない為、再度内服をお勧めいたします。
オンライン診療ではアフターピル処方時に無料で吐き気止めをお付けしております。</v>
      </c>
      <c r="C845" s="31" t="str">
        <f>IFERROR(__xludf.DUMMYFUNCTION("""COMPUTED_VALUE"""),"アフターピル")</f>
        <v>アフターピル</v>
      </c>
      <c r="D845" s="31" t="str">
        <f>IFERROR(__xludf.DUMMYFUNCTION("""COMPUTED_VALUE"""),"嘔吐,対処")</f>
        <v>嘔吐,対処</v>
      </c>
      <c r="E845" s="31"/>
    </row>
    <row r="846">
      <c r="A846" s="31" t="str">
        <f>IFERROR(__xludf.DUMMYFUNCTION("""COMPUTED_VALUE"""),"アフターピルを飲んだ後、生理はいつ来ますか？")</f>
        <v>アフターピルを飲んだ後、生理はいつ来ますか？</v>
      </c>
      <c r="B846" s="31" t="str">
        <f>IFERROR(__xludf.DUMMYFUNCTION("""COMPUTED_VALUE"""),"アフターピル服用後の生理は、一般的に約7日後に起こることが多いですが、早い方で3日後、遅い場合は次の生理まで来ないこともあります。3週間以内に生理のような出血があれば、避妊に成功した目安となります。")</f>
        <v>アフターピル服用後の生理は、一般的に約7日後に起こることが多いですが、早い方で3日後、遅い場合は次の生理まで来ないこともあります。3週間以内に生理のような出血があれば、避妊に成功した目安となります。</v>
      </c>
      <c r="C846" s="31" t="str">
        <f>IFERROR(__xludf.DUMMYFUNCTION("""COMPUTED_VALUE"""),"アフターピル")</f>
        <v>アフターピル</v>
      </c>
      <c r="D846" s="31" t="str">
        <f>IFERROR(__xludf.DUMMYFUNCTION("""COMPUTED_VALUE"""),"生理,いつ来る")</f>
        <v>生理,いつ来る</v>
      </c>
      <c r="E846" s="31"/>
    </row>
    <row r="847">
      <c r="A847" s="31" t="str">
        <f>IFERROR(__xludf.DUMMYFUNCTION("""COMPUTED_VALUE"""),"アフターピルの事前処方は可能ですか？")</f>
        <v>アフターピルの事前処方は可能ですか？</v>
      </c>
      <c r="B847" s="31" t="str">
        <f>IFERROR(__xludf.DUMMYFUNCTION("""COMPUTED_VALUE"""),"使用する予定がある場合や、お近くに婦人科がなくすぐに受診が難しい場合などは、医師の判断によりアフターピルの事前処方が可能な場合があります。ご希望がございましたら、お気軽にご相談ください。")</f>
        <v>使用する予定がある場合や、お近くに婦人科がなくすぐに受診が難しい場合などは、医師の判断によりアフターピルの事前処方が可能な場合があります。ご希望がございましたら、お気軽にご相談ください。</v>
      </c>
      <c r="C847" s="31" t="str">
        <f>IFERROR(__xludf.DUMMYFUNCTION("""COMPUTED_VALUE"""),"アフターピル")</f>
        <v>アフターピル</v>
      </c>
      <c r="D847" s="31" t="str">
        <f>IFERROR(__xludf.DUMMYFUNCTION("""COMPUTED_VALUE"""),"事前処方,予備")</f>
        <v>事前処方,予備</v>
      </c>
      <c r="E847" s="31"/>
    </row>
    <row r="848">
      <c r="A848" s="31" t="str">
        <f>IFERROR(__xludf.DUMMYFUNCTION("""COMPUTED_VALUE"""),"アフターピルを服用した方が良いか迷っています。")</f>
        <v>アフターピルを服用した方が良いか迷っています。</v>
      </c>
      <c r="B848" s="31" t="str">
        <f>IFERROR(__xludf.DUMMYFUNCTION("""COMPUTED_VALUE"""),"避妊の失敗やご不安がある場合は、性行為から120時間（5日）以内に、最も早めにアフターピルの服用を検討してください。 
すでに120時間を経過している場合は、妊娠検査薬で妊娠の有無をご確認ください。
望まない妊娠は、金銭面や精神的にも大きな負担となる可能性がありますので、早めの対応をおすすめします。")</f>
        <v>避妊の失敗やご不安がある場合は、性行為から120時間（5日）以内に、最も早めにアフターピルの服用を検討してください。 
すでに120時間を経過している場合は、妊娠検査薬で妊娠の有無をご確認ください。
望まない妊娠は、金銭面や精神的にも大きな負担となる可能性がありますので、早めの対応をおすすめします。</v>
      </c>
      <c r="C848" s="31" t="str">
        <f>IFERROR(__xludf.DUMMYFUNCTION("""COMPUTED_VALUE"""),"アフターピル")</f>
        <v>アフターピル</v>
      </c>
      <c r="D848" s="31" t="str">
        <f>IFERROR(__xludf.DUMMYFUNCTION("""COMPUTED_VALUE"""),"服用判断,不安")</f>
        <v>服用判断,不安</v>
      </c>
      <c r="E848" s="31"/>
    </row>
    <row r="849">
      <c r="A849" s="31" t="str">
        <f>IFERROR(__xludf.DUMMYFUNCTION("""COMPUTED_VALUE"""),"妊娠していないのに39日以上生理が来ません/生理周期が長くて心配です。")</f>
        <v>妊娠していないのに39日以上生理が来ません/生理周期が長くて心配です。</v>
      </c>
      <c r="B849" s="31" t="str">
        <f>IFERROR(__xludf.DUMMYFUNCTION("""COMPUTED_VALUE"""),"稀発（きはつ）月経とは、前の生理から39日以上たっても生理が始まらない状態をいいます。
症状は、突然起こったり、徐々に起こることがあり、間に正常な周期を挟むなど、さまざまです。
主な原因はホルモンバランスが崩れることですが、
病気（多嚢胞性卵巣症候群や下垂体腺腫、先天性副腎過形成症など）と関連していることもあります。
稀発月経では、生理周期の状況を把握することが大切です。
39日以上の生理周期であったとしても、規則正しく月経が訪れている場合は、問題ないこともあります。
個別の症状やお体のご状況については"&amp;"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amp;"りませんのであらかじめご了承くださいませ。")</f>
        <v>稀発（きはつ）月経とは、前の生理から39日以上たっても生理が始まらない状態をいいます。
症状は、突然起こったり、徐々に起こることがあり、間に正常な周期を挟むなど、さまざまです。
主な原因はホルモンバランスが崩れることですが、
病気（多嚢胞性卵巣症候群や下垂体腺腫、先天性副腎過形成症など）と関連していることもあります。
稀発月経では、生理周期の状況を把握することが大切です。
39日以上の生理周期であったとしても、規則正しく月経が訪れている場合は、問題ないこともあります。
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849" s="31" t="str">
        <f>IFERROR(__xludf.DUMMYFUNCTION("""COMPUTED_VALUE"""),"生理不順")</f>
        <v>生理不順</v>
      </c>
      <c r="D849" s="31" t="str">
        <f>IFERROR(__xludf.DUMMYFUNCTION("""COMPUTED_VALUE"""),"稀発月経,周期")</f>
        <v>稀発月経,周期</v>
      </c>
      <c r="E849" s="31"/>
    </row>
    <row r="850">
      <c r="A850" s="31" t="str">
        <f>IFERROR(__xludf.DUMMYFUNCTION("""COMPUTED_VALUE"""),"前回の生理から24日以内にまた生理が来ました/生理周期が短くて心配です。")</f>
        <v>前回の生理から24日以内にまた生理が来ました/生理周期が短くて心配です。</v>
      </c>
      <c r="B850" s="31" t="str">
        <f>IFERROR(__xludf.DUMMYFUNCTION("""COMPUTED_VALUE"""),"頻発（ひんぱつ）月経とは、前の生理から24日以内に生理が始まる、生理周期が短い状態のことです。
生理周期が短いということで、頻発月経（月経周期が23日以下ということは排卵がない）
または無排卵か、あっても質の良い排卵ではない（黄体機能不全）の可能性があります。
不正出血との鑑別が難しいことがあるため、原則として基礎体温を参考にして診断します。
治療方法については、年齢や貧血の有無、妊娠希望があるかどうかなど、
その方の状況によって異なります。
個別の症状やお体のご状況については診察にてご確認いただくことを"&amp;"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amp;"くださいませ。")</f>
        <v>頻発（ひんぱつ）月経とは、前の生理から24日以内に生理が始まる、生理周期が短い状態のことです。
生理周期が短いということで、頻発月経（月経周期が23日以下ということは排卵がない）
または無排卵か、あっても質の良い排卵ではない（黄体機能不全）の可能性があります。
不正出血との鑑別が難しいことがあるため、原則として基礎体温を参考にして診断します。
治療方法については、年齢や貧血の有無、妊娠希望があるかどうかなど、
その方の状況によって異なります。
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850" s="31" t="str">
        <f>IFERROR(__xludf.DUMMYFUNCTION("""COMPUTED_VALUE"""),"生理不順")</f>
        <v>生理不順</v>
      </c>
      <c r="D850" s="31" t="str">
        <f>IFERROR(__xludf.DUMMYFUNCTION("""COMPUTED_VALUE"""),"頻発月経,周期")</f>
        <v>頻発月経,周期</v>
      </c>
      <c r="E850" s="31"/>
    </row>
    <row r="851">
      <c r="A851" s="31" t="str">
        <f>IFERROR(__xludf.DUMMYFUNCTION("""COMPUTED_VALUE"""),"生理が8日以上続いています。受診した方が良いですか？/生理が長く続いていて、心配")</f>
        <v>生理が8日以上続いています。受診した方が良いですか？/生理が長く続いていて、心配</v>
      </c>
      <c r="B851" s="31" t="str">
        <f>IFERROR(__xludf.DUMMYFUNCTION("""COMPUTED_VALUE"""),"過長月経とは、月経期間が8日以上続く状態です。
ホルモンバランスの乱れや子宮の病気が原因と考えられます。
女性ホルモンの分泌に関係する器官（視床下部、脳下垂体、卵巣など）に何らかの
トラブルがあって無排卵周期になっていたり、または黄体ホルモンの
分泌が不十分なために黄体機能不全になっていたりする可能性があります。
個別の症状やお体のご状況については診察にてご確認いただくことをおすすめいたします。当院でのご受診をご希望の場合は、ご予約をお取りの上、クリニックにご受診ください。受診のご予約はLINEで受け付け"&amp;"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f>
        <v>過長月経とは、月経期間が8日以上続く状態です。
ホルモンバランスの乱れや子宮の病気が原因と考えられます。
女性ホルモンの分泌に関係する器官（視床下部、脳下垂体、卵巣など）に何らかの
トラブルがあって無排卵周期になっていたり、または黄体ホルモンの
分泌が不十分なために黄体機能不全になっていたりする可能性があります。
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851" s="31" t="str">
        <f>IFERROR(__xludf.DUMMYFUNCTION("""COMPUTED_VALUE"""),"生理不順")</f>
        <v>生理不順</v>
      </c>
      <c r="D851" s="31" t="str">
        <f>IFERROR(__xludf.DUMMYFUNCTION("""COMPUTED_VALUE"""),"過長月経,出血")</f>
        <v>過長月経,出血</v>
      </c>
      <c r="E851" s="31"/>
    </row>
    <row r="852">
      <c r="A852" s="31" t="str">
        <f>IFERROR(__xludf.DUMMYFUNCTION("""COMPUTED_VALUE"""),"生理が2日で終わってしまい心配です。/生理がすく終わる")</f>
        <v>生理が2日で終わってしまい心配です。/生理がすく終わる</v>
      </c>
      <c r="B852" s="31" t="str">
        <f>IFERROR(__xludf.DUMMYFUNCTION("""COMPUTED_VALUE"""),"過短月経は、2日以内に生理が終わってしまう状態です。
初潮を迎えたばかりの方や、更年期にはよくある症状なので心配ないケースが多いです。
しかし、いきなり生理の期間が短くなったり、成人を過ぎたのに生理期間が短い場合は、医師に相談しましょう。
原因は大きく分けて2つあります。
1つ目は機能性疾患で、ホルモンバランスが乱れるケースです。ストレスや無理なダイエット、過度な運動などでホルモンバランスが崩れる場合があります。
2つ目は器質性疾患です。器質性疾患とは、細胞や組織が何らかの原因で変化を受けた結果、症状"&amp;"として現れることをいいます。
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amp;"0kg以上の方への診療、救急対応（緊急搬送・急性期対応）は行っておりませんのであらかじめご了承くださいませ。")</f>
        <v>過短月経は、2日以内に生理が終わってしまう状態です。
初潮を迎えたばかりの方や、更年期にはよくある症状なので心配ないケースが多いです。
しかし、いきなり生理の期間が短くなったり、成人を過ぎたのに生理期間が短い場合は、医師に相談しましょう。
原因は大きく分けて2つあります。
1つ目は機能性疾患で、ホルモンバランスが乱れるケースです。ストレスや無理なダイエット、過度な運動などでホルモンバランスが崩れる場合があります。
2つ目は器質性疾患です。器質性疾患とは、細胞や組織が何らかの原因で変化を受けた結果、症状として現れることをいいます。
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852" s="31" t="str">
        <f>IFERROR(__xludf.DUMMYFUNCTION("""COMPUTED_VALUE"""),"生理不順")</f>
        <v>生理不順</v>
      </c>
      <c r="D852" s="31" t="str">
        <f>IFERROR(__xludf.DUMMYFUNCTION("""COMPUTED_VALUE"""),"過短月経,生理期間")</f>
        <v>過短月経,生理期間</v>
      </c>
      <c r="E852" s="31"/>
    </row>
    <row r="853">
      <c r="A853" s="31" t="str">
        <f>IFERROR(__xludf.DUMMYFUNCTION("""COMPUTED_VALUE"""),"生理の量が多い/血の塊が出ます。")</f>
        <v>生理の量が多い/血の塊が出ます。</v>
      </c>
      <c r="B853" s="31" t="str">
        <f>IFERROR(__xludf.DUMMYFUNCTION("""COMPUTED_VALUE"""),"出血量の目安として150ml以上の場合を指します。
昼でも夜用ナプキンを利用していたり、レバーのような血の塊が混ざったりすると過多月経の可能性があります。
原因は大きく分けて3つあります：
1つ目は、婦人科器質性疾患です。子宮筋腫・子宮腺筋症・子宮内膜ポリープ・子宮内膜増殖症などが代表的ですが、
子宮体がんや子宮頸がんのケースもあります。
2つ目は婦人科機能性疾患です。黄体機能不全・無排卵性周期症などから、過多月経になることもあります。
3つ目は内科的疾患です。血液の止血凝固機能の異常が原因で、過多"&amp;"月経を引き起こすこともあります。
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amp;"100kg以上の方への診療、救急対応（緊急搬送・急性期対応）は行っておりませんのであらかじめご了承くださいませ。")</f>
        <v>出血量の目安として150ml以上の場合を指します。
昼でも夜用ナプキンを利用していたり、レバーのような血の塊が混ざったりすると過多月経の可能性があります。
原因は大きく分けて3つあります：
1つ目は、婦人科器質性疾患です。子宮筋腫・子宮腺筋症・子宮内膜ポリープ・子宮内膜増殖症などが代表的ですが、
子宮体がんや子宮頸がんのケースもあります。
2つ目は婦人科機能性疾患です。黄体機能不全・無排卵性周期症などから、過多月経になることもあります。
3つ目は内科的疾患です。血液の止血凝固機能の異常が原因で、過多月経を引き起こすこともあります。
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853" s="31" t="str">
        <f>IFERROR(__xludf.DUMMYFUNCTION("""COMPUTED_VALUE"""),"生理不順")</f>
        <v>生理不順</v>
      </c>
      <c r="D853" s="31" t="str">
        <f>IFERROR(__xludf.DUMMYFUNCTION("""COMPUTED_VALUE"""),"過多月経,血の塊")</f>
        <v>過多月経,血の塊</v>
      </c>
      <c r="E853" s="31"/>
    </row>
    <row r="854">
      <c r="A854" s="31" t="str">
        <f>IFERROR(__xludf.DUMMYFUNCTION("""COMPUTED_VALUE"""),"生理の量がとても少なく心配です。/生理の血の量が少ない")</f>
        <v>生理の量がとても少なく心配です。/生理の血の量が少ない</v>
      </c>
      <c r="B854" s="31" t="str">
        <f>IFERROR(__xludf.DUMMYFUNCTION("""COMPUTED_VALUE"""),"過少月経とは、生理の出血量が20ml以下の場合をいいます。
生理開始2日目以内なのに、ナプキンに血がうっすらとしか付かなかったり、
おりものシートで間に合うようであれば、過少月経の可能性があります。
生理開始から3日目以降は出血量が減るのは、特に問題ありません。
生理の量が少ない原因は、大きく分けて2つです：
1つ目は、ホルモンバランスの乱れなどの内分泌系疾患です。高プロラクチン血症・黄体機能不全・無排卵周期症・甲状腺機能異常などが
原因で、これらの病気に合わせた治療が行われます。
2つ目は、器質性疾"&amp;"患です。子宮形態異常や子宮内腔癒着、子宮発育不全など、子宮の形状になんらかの異常が
あることが原因になるケースもあります。
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amp;"が、当院では乳房に関する診療（乳がん検診・乳腺外来など）、更年期障害の治療、不妊治療、体重100kg以上の方への診療、救急対応（緊急搬送・急性期対応）は行っておりませんのであらかじめご了承くださいませ。")</f>
        <v>過少月経とは、生理の出血量が20ml以下の場合をいいます。
生理開始2日目以内なのに、ナプキンに血がうっすらとしか付かなかったり、
おりものシートで間に合うようであれば、過少月経の可能性があります。
生理開始から3日目以降は出血量が減るのは、特に問題ありません。
生理の量が少ない原因は、大きく分けて2つです：
1つ目は、ホルモンバランスの乱れなどの内分泌系疾患です。高プロラクチン血症・黄体機能不全・無排卵周期症・甲状腺機能異常などが
原因で、これらの病気に合わせた治療が行われます。
2つ目は、器質性疾患です。子宮形態異常や子宮内腔癒着、子宮発育不全など、子宮の形状になんらかの異常が
あることが原因になるケースもあります。
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854" s="31" t="str">
        <f>IFERROR(__xludf.DUMMYFUNCTION("""COMPUTED_VALUE"""),"生理不順")</f>
        <v>生理不順</v>
      </c>
      <c r="D854" s="31" t="str">
        <f>IFERROR(__xludf.DUMMYFUNCTION("""COMPUTED_VALUE"""),"過少月経,出血量")</f>
        <v>過少月経,出血量</v>
      </c>
      <c r="E854" s="31"/>
    </row>
    <row r="855">
      <c r="A855" s="31" t="str">
        <f>IFERROR(__xludf.DUMMYFUNCTION("""COMPUTED_VALUE"""),"3か月以上生理が来ていません。")</f>
        <v>3か月以上生理が来ていません。</v>
      </c>
      <c r="B855" s="31" t="str">
        <f>IFERROR(__xludf.DUMMYFUNCTION("""COMPUTED_VALUE"""),"無月経とは、生理（月経）が3か月以上来ない状態です。
初潮を迎える前・妊娠中・授乳中・閉経後の無月経は正常ですが、それ以外は注意が必要です。
無月経の場合は、排卵されていないことが多く、妊娠ができません。
主な原因は、視床下部の機能不全・多嚢胞性卵巣症候群・甲状腺の機能不全・
高プロラクチン血症・早期閉経・薬剤の副作用などです。
まれに遺伝子性の疾患や先天異常がありますが、これは18歳以上になっても
生理がきたことがない方の原因です。
原因に合わせてホルモン療法などを行いますのでお早めに婦人科のご受診を"&amp;"おすすめいたします。
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amp;"上の方への診療、救急対応（緊急搬送・急性期対応）は行っておりませんのであらかじめご了承くださいませ。")</f>
        <v>無月経とは、生理（月経）が3か月以上来ない状態です。
初潮を迎える前・妊娠中・授乳中・閉経後の無月経は正常ですが、それ以外は注意が必要です。
無月経の場合は、排卵されていないことが多く、妊娠ができません。
主な原因は、視床下部の機能不全・多嚢胞性卵巣症候群・甲状腺の機能不全・
高プロラクチン血症・早期閉経・薬剤の副作用などです。
まれに遺伝子性の疾患や先天異常がありますが、これは18歳以上になっても
生理がきたことがない方の原因です。
原因に合わせてホルモン療法などを行いますのでお早めに婦人科のご受診をおすすめいたします。
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855" s="31" t="str">
        <f>IFERROR(__xludf.DUMMYFUNCTION("""COMPUTED_VALUE"""),"生理不順")</f>
        <v>生理不順</v>
      </c>
      <c r="D855" s="31" t="str">
        <f>IFERROR(__xludf.DUMMYFUNCTION("""COMPUTED_VALUE"""),"無月経")</f>
        <v>無月経</v>
      </c>
      <c r="E855" s="31"/>
    </row>
    <row r="856">
      <c r="A856" s="31" t="str">
        <f>IFERROR(__xludf.DUMMYFUNCTION("""COMPUTED_VALUE"""),"他院で処方された薬について質問しても良いですか？")</f>
        <v>他院で処方された薬について質問しても良いですか？</v>
      </c>
      <c r="B856" s="31" t="str">
        <f>IFERROR(__xludf.DUMMYFUNCTION("""COMPUTED_VALUE"""),"大変申し訳ございません。
当院で処方していないお薬についてはお答えが出来かねます。
かかりつけ医にご相談ください。")</f>
        <v>大変申し訳ございません。
当院で処方していないお薬についてはお答えが出来かねます。
かかりつけ医にご相談ください。</v>
      </c>
      <c r="C856" s="31" t="str">
        <f>IFERROR(__xludf.DUMMYFUNCTION("""COMPUTED_VALUE"""),"その他")</f>
        <v>その他</v>
      </c>
      <c r="D856" s="31" t="str">
        <f>IFERROR(__xludf.DUMMYFUNCTION("""COMPUTED_VALUE"""),"他院処方")</f>
        <v>他院処方</v>
      </c>
      <c r="E856" s="31"/>
    </row>
    <row r="857">
      <c r="A857" s="31" t="str">
        <f>IFERROR(__xludf.DUMMYFUNCTION("""COMPUTED_VALUE"""),"オンライン診療では薬の副作用について説明はありますか？")</f>
        <v>オンライン診療では薬の副作用について説明はありますか？</v>
      </c>
      <c r="B857" s="31" t="str">
        <f>IFERROR(__xludf.DUMMYFUNCTION("""COMPUTED_VALUE"""),"お薬の郵送時に、副作用についての説明用紙を同封しております。事前に不安な点がある場合は、お気軽にお問い合わせください。")</f>
        <v>お薬の郵送時に、副作用についての説明用紙を同封しております。事前に不安な点がある場合は、お気軽にお問い合わせください。</v>
      </c>
      <c r="C857" s="31" t="str">
        <f>IFERROR(__xludf.DUMMYFUNCTION("""COMPUTED_VALUE"""),"服薬")</f>
        <v>服薬</v>
      </c>
      <c r="D857" s="31" t="str">
        <f>IFERROR(__xludf.DUMMYFUNCTION("""COMPUTED_VALUE"""),"副作用")</f>
        <v>副作用</v>
      </c>
      <c r="E857" s="31"/>
    </row>
    <row r="858">
      <c r="A858" s="31" t="str">
        <f>IFERROR(__xludf.DUMMYFUNCTION("""COMPUTED_VALUE"""),"生理不順の原因は何ですか？")</f>
        <v>生理不順の原因は何ですか？</v>
      </c>
      <c r="B858" s="31" t="str">
        <f>IFERROR(__xludf.DUMMYFUNCTION("""COMPUTED_VALUE"""),"生理不順の最も多い原因は、ホルモンバランスの乱れです。
ホルモンバランスが乱れる原因は、生活習慣によるものもありますが、病気が隠れている場合もあります。
主な原因はストレス・疲労・生活習慣の乱れ、急激なダイエット（体重減少）・激しい運動、更年期、多嚢胞性卵巣症候群（PCOS）、
高プロラクチン血症、甲状腺機能障害、黄体機能不全、機能性子宮出血が考えられます。
個別の症状やお体のご状況については診察にてご確認いただくことをおすすめいたします。当院でのご受診をご希望の場合は、ご予約をお取りの上、クリニックに"&amp;"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f>
        <v>生理不順の最も多い原因は、ホルモンバランスの乱れです。
ホルモンバランスが乱れる原因は、生活習慣によるものもありますが、病気が隠れている場合もあります。
主な原因はストレス・疲労・生活習慣の乱れ、急激なダイエット（体重減少）・激しい運動、更年期、多嚢胞性卵巣症候群（PCOS）、
高プロラクチン血症、甲状腺機能障害、黄体機能不全、機能性子宮出血が考えられます。
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858" s="31" t="str">
        <f>IFERROR(__xludf.DUMMYFUNCTION("""COMPUTED_VALUE"""),"生理不順")</f>
        <v>生理不順</v>
      </c>
      <c r="D858" s="31" t="str">
        <f>IFERROR(__xludf.DUMMYFUNCTION("""COMPUTED_VALUE"""),"原因")</f>
        <v>原因</v>
      </c>
      <c r="E858" s="31"/>
    </row>
    <row r="859">
      <c r="A859" s="31" t="str">
        <f>IFERROR(__xludf.DUMMYFUNCTION("""COMPUTED_VALUE"""),"妊娠検査薬はいつ使えばよいですか？/クリニックで妊娠検査はできますか？")</f>
        <v>妊娠検査薬はいつ使えばよいですか？/クリニックで妊娠検査はできますか？</v>
      </c>
      <c r="B859" s="31" t="str">
        <f>IFERROR(__xludf.DUMMYFUNCTION("""COMPUTED_VALUE"""),"妊娠検査薬の使用は性行為から3週間後に検査薬にて検査いただき、この時点では妊娠していても
陰性の可能性がございますので、月経予定日になっても
月経が来なければ再検査をお願いいたします。
当院では2000円でその場でわかる妊娠検査のご利用が可能です。")</f>
        <v>妊娠検査薬の使用は性行為から3週間後に検査薬にて検査いただき、この時点では妊娠していても
陰性の可能性がございますので、月経予定日になっても
月経が来なければ再検査をお願いいたします。
当院では2000円でその場でわかる妊娠検査のご利用が可能です。</v>
      </c>
      <c r="C859" s="31" t="str">
        <f>IFERROR(__xludf.DUMMYFUNCTION("""COMPUTED_VALUE"""),"妊娠検査")</f>
        <v>妊娠検査</v>
      </c>
      <c r="D859" s="31" t="str">
        <f>IFERROR(__xludf.DUMMYFUNCTION("""COMPUTED_VALUE"""),"検査時期")</f>
        <v>検査時期</v>
      </c>
      <c r="E859" s="31"/>
    </row>
    <row r="860">
      <c r="A860" s="31" t="str">
        <f>IFERROR(__xludf.DUMMYFUNCTION("""COMPUTED_VALUE"""),"服用している薬の影響で妊娠検査薬が陽性になることはありますか？")</f>
        <v>服用している薬の影響で妊娠検査薬が陽性になることはありますか？</v>
      </c>
      <c r="B860" s="31" t="str">
        <f>IFERROR(__xludf.DUMMYFUNCTION("""COMPUTED_VALUE"""),"妊娠検査薬は基本的に服用しているお薬に影響はないと言われております。
陽性の反応が確認取れましたら、すぐに婦人科のご受診をお願い致します。")</f>
        <v>妊娠検査薬は基本的に服用しているお薬に影響はないと言われております。
陽性の反応が確認取れましたら、すぐに婦人科のご受診をお願い致します。</v>
      </c>
      <c r="C860" s="31" t="str">
        <f>IFERROR(__xludf.DUMMYFUNCTION("""COMPUTED_VALUE"""),"妊娠検査")</f>
        <v>妊娠検査</v>
      </c>
      <c r="D860" s="31" t="str">
        <f>IFERROR(__xludf.DUMMYFUNCTION("""COMPUTED_VALUE"""),"偽陽性")</f>
        <v>偽陽性</v>
      </c>
      <c r="E860" s="31"/>
    </row>
    <row r="861">
      <c r="A861" s="31" t="str">
        <f>IFERROR(__xludf.DUMMYFUNCTION("""COMPUTED_VALUE"""),"妊娠していないのに妊娠検査薬が陽性になる原因は何ですか？/妊娠していないのに妊娠検査薬が陽性")</f>
        <v>妊娠していないのに妊娠検査薬が陽性になる原因は何ですか？/妊娠していないのに妊娠検査薬が陽性</v>
      </c>
      <c r="B861" s="31" t="str">
        <f>IFERROR(__xludf.DUMMYFUNCTION("""COMPUTED_VALUE"""),"妊娠検査薬で陽性が出ても妊娠していなかった場合、考えられるのは、化学流産や、尿の異常値、腫瘍などがあります。
妊娠を希望されている場合は、一度、不妊治療専門のクリニックでご相談いただくことをおすすめいたします。")</f>
        <v>妊娠検査薬で陽性が出ても妊娠していなかった場合、考えられるのは、化学流産や、尿の異常値、腫瘍などがあります。
妊娠を希望されている場合は、一度、不妊治療専門のクリニックでご相談いただくことをおすすめいたします。</v>
      </c>
      <c r="C861" s="31" t="str">
        <f>IFERROR(__xludf.DUMMYFUNCTION("""COMPUTED_VALUE"""),"妊娠検査")</f>
        <v>妊娠検査</v>
      </c>
      <c r="D861" s="31" t="str">
        <f>IFERROR(__xludf.DUMMYFUNCTION("""COMPUTED_VALUE"""),"陽性反応")</f>
        <v>陽性反応</v>
      </c>
      <c r="E861" s="31"/>
    </row>
    <row r="862">
      <c r="A862" s="31" t="str">
        <f>IFERROR(__xludf.DUMMYFUNCTION("""COMPUTED_VALUE"""),"生理不順で婦人科を受診する目安はいつですか？")</f>
        <v>生理不順で婦人科を受診する目安はいつですか？</v>
      </c>
      <c r="B862" s="31" t="str">
        <f>IFERROR(__xludf.DUMMYFUNCTION("""COMPUTED_VALUE"""),"以下が期間ごとの目安となります。
■生理が1週間遅れている
妊娠の可能性が考えられる場合は、市販の妊娠検査薬を使用するとよいでしょう。
妊娠検査薬で陽性の場合は、妊娠している可能性があります。妊娠を望んでいるか、望んでいないかにかかわらず早めに受診しましょう。
妊娠の可能性がない、または妊娠検査薬で陰性だった場合は、生理不順にあたります。続くようでしたら受診しましょう。
※妊娠検査薬は、性行為から3週間後に検査薬にて検査いただき、この時点では妊娠していても陰性の可能性がございますので、月経予定日になっ"&amp;"ても
月経が来なければ再検査をお願いいたします。
■3カ月以上生理が来ない
3カ月以上生理が来ていないときは、正常に排卵が行われていない可能性があります。半年以上生理が来ていない場合は、
ホルモンの分泌に異常があることもございます。
■20歳以上で生理がいつも不規則
生理周期が安定せず、いつも生理不順の場合は受診しましょう。10代や40代半ば～後半は、問題ないことが多いのですが、
それ以外の方は原因を把握するためにも受診してください。
個別の症状やお体のご状況については診察にてご確認いただくことをお"&amp;"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amp;"ださいませ。")</f>
        <v>以下が期間ごとの目安となります。
■生理が1週間遅れている
妊娠の可能性が考えられる場合は、市販の妊娠検査薬を使用するとよいでしょう。
妊娠検査薬で陽性の場合は、妊娠している可能性があります。妊娠を望んでいるか、望んでいないかにかかわらず早めに受診しましょう。
妊娠の可能性がない、または妊娠検査薬で陰性だった場合は、生理不順にあたります。続くようでしたら受診しましょう。
※妊娠検査薬は、性行為から3週間後に検査薬にて検査いただき、この時点では妊娠していても陰性の可能性がございますので、月経予定日になっても
月経が来なければ再検査をお願いいたします。
■3カ月以上生理が来ない
3カ月以上生理が来ていないときは、正常に排卵が行われていない可能性があります。半年以上生理が来ていない場合は、
ホルモンの分泌に異常があることもございます。
■20歳以上で生理がいつも不規則
生理周期が安定せず、いつも生理不順の場合は受診しましょう。10代や40代半ば～後半は、問題ないことが多いのですが、
それ以外の方は原因を把握するためにも受診してください。
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862" s="31" t="str">
        <f>IFERROR(__xludf.DUMMYFUNCTION("""COMPUTED_VALUE"""),"生理不順")</f>
        <v>生理不順</v>
      </c>
      <c r="D862" s="31" t="str">
        <f>IFERROR(__xludf.DUMMYFUNCTION("""COMPUTED_VALUE"""),"受診目安")</f>
        <v>受診目安</v>
      </c>
      <c r="E862" s="31"/>
    </row>
    <row r="863">
      <c r="A863" s="31" t="str">
        <f>IFERROR(__xludf.DUMMYFUNCTION("""COMPUTED_VALUE"""),"多嚢胞性卵巣症候群（PCOS）の治療はできますか？")</f>
        <v>多嚢胞性卵巣症候群（PCOS）の治療はできますか？</v>
      </c>
      <c r="B863" s="31" t="str">
        <f>IFERROR(__xludf.DUMMYFUNCTION("""COMPUTED_VALUE"""),"多嚢胞性卵巣症候群は体質です。この体質そのものを変えることは難しいので、治療の目的は、将来の子宮体癌を
予防することと、ニキビや多毛があればそれを改善することになります。
ピルを内服することにより、生理不順の改善、ニキビの改善、子宮体癌予防、避妊が可能になります。
もし妊娠を希望されるのであれば、ピルをやめて排卵誘発剤の治療となります。
どちらにせよ、根本的な完治はいまのところ治療法として確立されていません。
また、肥満の場合は減量も改善するため大きな要素となります。")</f>
        <v>多嚢胞性卵巣症候群は体質です。この体質そのものを変えることは難しいので、治療の目的は、将来の子宮体癌を
予防することと、ニキビや多毛があればそれを改善することになります。
ピルを内服することにより、生理不順の改善、ニキビの改善、子宮体癌予防、避妊が可能になります。
もし妊娠を希望されるのであれば、ピルをやめて排卵誘発剤の治療となります。
どちらにせよ、根本的な完治はいまのところ治療法として確立されていません。
また、肥満の場合は減量も改善するため大きな要素となります。</v>
      </c>
      <c r="C863" s="31" t="str">
        <f>IFERROR(__xludf.DUMMYFUNCTION("""COMPUTED_VALUE"""),"生理不順")</f>
        <v>生理不順</v>
      </c>
      <c r="D863" s="31" t="str">
        <f>IFERROR(__xludf.DUMMYFUNCTION("""COMPUTED_VALUE"""),"PCOS")</f>
        <v>PCOS</v>
      </c>
      <c r="E863" s="31"/>
    </row>
    <row r="864">
      <c r="A864" s="31" t="str">
        <f>IFERROR(__xludf.DUMMYFUNCTION("""COMPUTED_VALUE"""),"生理をなくすことはできますか？")</f>
        <v>生理をなくすことはできますか？</v>
      </c>
      <c r="B864" s="31" t="str">
        <f>IFERROR(__xludf.DUMMYFUNCTION("""COMPUTED_VALUE"""),"完全に生理をなくすことはできかねますが、フレックス法という方法でピルを服用することで
月経の回数を減らすことが可能でございます。
オンラインでのご案内ができないため、当院での診察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amp;"外来など）、更年期障害の治療、不妊治療、体重100kg以上の方への診療、救急対応（緊急搬送・急性期対応）は行っておりませんのであらかじめご了承くださいませ。")</f>
        <v>完全に生理をなくすことはできかねますが、フレックス法という方法でピルを服用することで
月経の回数を減らすことが可能でございます。
オンラインでのご案内ができないため、当院での診察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864" s="31" t="str">
        <f>IFERROR(__xludf.DUMMYFUNCTION("""COMPUTED_VALUE"""),"月経調整")</f>
        <v>月経調整</v>
      </c>
      <c r="D864" s="31" t="str">
        <f>IFERROR(__xludf.DUMMYFUNCTION("""COMPUTED_VALUE"""),"生理を止めたい")</f>
        <v>生理を止めたい</v>
      </c>
      <c r="E864" s="31"/>
    </row>
    <row r="865">
      <c r="A865" s="31" t="str">
        <f>IFERROR(__xludf.DUMMYFUNCTION("""COMPUTED_VALUE"""),"産後はいつから生理が再開しますか？")</f>
        <v>産後はいつから生理が再開しますか？</v>
      </c>
      <c r="B865" s="31" t="str">
        <f>IFERROR(__xludf.DUMMYFUNCTION("""COMPUTED_VALUE"""),"一般的に、はじめから授乳をしていない場合、産後4～8週間後に生理が始まりますが、完全または混合母乳の場合はさらに遅れて再開します。
授乳の頻度が高く、授乳期間が長いほど生理の再開は遅れます。
卒乳後は約6週間で生理が再開することが多いようですが、授乳を続けている場合には
半年以上再開しないことも少なくありません。")</f>
        <v>一般的に、はじめから授乳をしていない場合、産後4～8週間後に生理が始まりますが、完全または混合母乳の場合はさらに遅れて再開します。
授乳の頻度が高く、授乳期間が長いほど生理の再開は遅れます。
卒乳後は約6週間で生理が再開することが多いようですが、授乳を続けている場合には
半年以上再開しないことも少なくありません。</v>
      </c>
      <c r="C865" s="31" t="str">
        <f>IFERROR(__xludf.DUMMYFUNCTION("""COMPUTED_VALUE"""),"産後")</f>
        <v>産後</v>
      </c>
      <c r="D865" s="31" t="str">
        <f>IFERROR(__xludf.DUMMYFUNCTION("""COMPUTED_VALUE"""),"生理再開")</f>
        <v>生理再開</v>
      </c>
      <c r="E865" s="31"/>
    </row>
    <row r="866">
      <c r="A866" s="31" t="str">
        <f>IFERROR(__xludf.DUMMYFUNCTION("""COMPUTED_VALUE"""),"生理痛やPMSがつらいです。")</f>
        <v>生理痛やPMSがつらいです。</v>
      </c>
      <c r="B866" s="31" t="str">
        <f>IFERROR(__xludf.DUMMYFUNCTION("""COMPUTED_VALUE"""),"生理痛や生理前の不快な症状（PMS）は「低用量ピル」で緩和されることが多くございます。
当院ではオンライン診療で相談ができますので、ぜひご検討ください。こちらのオンライン診療のLINE（https://liff-gateway.lineml.jp/landing?follow=%40590gpxrd&amp;lp=fX73yx&amp;liff_id=1657094566-LmjNPPbV）からオンライン診療のご予約が可能です。ご予約をされる場合は、オンライン診療の「低用量ピル」問診票へのご回答をお願いします。")</f>
        <v>生理痛や生理前の不快な症状（PMS）は「低用量ピル」で緩和されることが多くございます。
当院ではオンライン診療で相談ができますので、ぜひご検討ください。こちらのオンライン診療のLINE（https://liff-gateway.lineml.jp/landing?follow=%40590gpxrd&amp;lp=fX73yx&amp;liff_id=1657094566-LmjNPPbV）からオンライン診療のご予約が可能です。ご予約をされる場合は、オンライン診療の「低用量ピル」問診票へのご回答をお願いします。</v>
      </c>
      <c r="C866" s="31" t="str">
        <f>IFERROR(__xludf.DUMMYFUNCTION("""COMPUTED_VALUE"""),"生理症状")</f>
        <v>生理症状</v>
      </c>
      <c r="D866" s="31" t="str">
        <f>IFERROR(__xludf.DUMMYFUNCTION("""COMPUTED_VALUE"""),"生理痛,PMS")</f>
        <v>生理痛,PMS</v>
      </c>
      <c r="E866" s="31"/>
    </row>
    <row r="867">
      <c r="A867" s="31" t="str">
        <f>IFERROR(__xludf.DUMMYFUNCTION("""COMPUTED_VALUE"""),"生理不順はどうしたらよいですか？")</f>
        <v>生理不順はどうしたらよいですか？</v>
      </c>
      <c r="B867" s="31" t="str">
        <f>IFERROR(__xludf.DUMMYFUNCTION("""COMPUTED_VALUE"""),"妊娠反応が陰性で、妊活の予定がない場合は、低用量ピルの服用を検討されるとよい場合があります。低用量ピルは生理不順の改善や生理予定日の管理がしやすくなることが多いです。服用可否は医師の判断となるため、オンライン診療をご検討くださいませ。オンライン診療はLINEからご利用いただけます。こちらのオンライン診療のLINE（https://liff-gateway.lineml.jp/landing?follow=%40590gpxrd&amp;lp=fX73yx&amp;liff_id=1657094566-LmjNPPbV）か"&amp;"ら、オンライン診療の「低用量ピル」問診票へのご回答をお願いします。")</f>
        <v>妊娠反応が陰性で、妊活の予定がない場合は、低用量ピルの服用を検討されるとよい場合があります。低用量ピルは生理不順の改善や生理予定日の管理がしやすくなることが多いです。服用可否は医師の判断となるため、オンライン診療をご検討くださいませ。オンライン診療はLINEからご利用いただけます。こちらのオンライン診療のLINE（https://liff-gateway.lineml.jp/landing?follow=%40590gpxrd&amp;lp=fX73yx&amp;liff_id=1657094566-LmjNPPbV）から、オンライン診療の「低用量ピル」問診票へのご回答をお願いします。</v>
      </c>
      <c r="C867" s="31" t="str">
        <f>IFERROR(__xludf.DUMMYFUNCTION("""COMPUTED_VALUE"""),"生理不順")</f>
        <v>生理不順</v>
      </c>
      <c r="D867" s="31" t="str">
        <f>IFERROR(__xludf.DUMMYFUNCTION("""COMPUTED_VALUE"""),"生理不順,低用量ピル")</f>
        <v>生理不順,低用量ピル</v>
      </c>
      <c r="E867" s="31"/>
    </row>
    <row r="868">
      <c r="A868" s="31" t="str">
        <f>IFERROR(__xludf.DUMMYFUNCTION("""COMPUTED_VALUE"""),"不正出血が起きた場合はどうしたらよいですか？")</f>
        <v>不正出血が起きた場合はどうしたらよいですか？</v>
      </c>
      <c r="B868" s="31" t="str">
        <f>IFERROR(__xludf.DUMMYFUNCTION("""COMPUTED_VALUE"""),"不正出血の原因は、ホルモンバランスの乱れ、妊娠の可能性、子宮や卵巣の病気、性感染症、外傷や炎症などさまざまです。下腹部の痛みや出血がある場合、症状の内容によって受診可否やご案内が異なります。個別の確認が必要となるため、恐れ入りますがお電話にてご相談ください。お電話は 050-1730-2768 となります。")</f>
        <v>不正出血の原因は、ホルモンバランスの乱れ、妊娠の可能性、子宮や卵巣の病気、性感染症、外傷や炎症などさまざまです。下腹部の痛みや出血がある場合、症状の内容によって受診可否やご案内が異なります。個別の確認が必要となるため、恐れ入りますがお電話にてご相談ください。お電話は 050-1730-2768 となります。</v>
      </c>
      <c r="C868" s="31" t="str">
        <f>IFERROR(__xludf.DUMMYFUNCTION("""COMPUTED_VALUE"""),"不正出血")</f>
        <v>不正出血</v>
      </c>
      <c r="D868" s="31" t="str">
        <f>IFERROR(__xludf.DUMMYFUNCTION("""COMPUTED_VALUE"""),"不正出血,原因")</f>
        <v>不正出血,原因</v>
      </c>
      <c r="E868" s="31"/>
    </row>
    <row r="869">
      <c r="A869" s="31" t="str">
        <f>IFERROR(__xludf.DUMMYFUNCTION("""COMPUTED_VALUE"""),"妊活や不妊治療を希望しています。")</f>
        <v>妊活や不妊治療を希望しています。</v>
      </c>
      <c r="B869" s="31" t="str">
        <f>IFERROR(__xludf.DUMMYFUNCTION("""COMPUTED_VALUE"""),"申し訳ございませんが、当院では妊活・不妊治療の診療は行っておりません。お近くの婦人科や不妊治療専門クリニックへご相談ください。")</f>
        <v>申し訳ございませんが、当院では妊活・不妊治療の診療は行っておりません。お近くの婦人科や不妊治療専門クリニックへご相談ください。</v>
      </c>
      <c r="C869" s="31" t="str">
        <f>IFERROR(__xludf.DUMMYFUNCTION("""COMPUTED_VALUE"""),"妊活・不妊")</f>
        <v>妊活・不妊</v>
      </c>
      <c r="D869" s="31" t="str">
        <f>IFERROR(__xludf.DUMMYFUNCTION("""COMPUTED_VALUE"""),"不妊治療")</f>
        <v>不妊治療</v>
      </c>
      <c r="E869" s="31"/>
    </row>
    <row r="870">
      <c r="A870" s="31" t="str">
        <f>IFERROR(__xludf.DUMMYFUNCTION("""COMPUTED_VALUE"""),"膀胱炎になった場合はどうしたらよいですか？/膀胱炎の診察はできますか？/膀胱炎は診てもらえますか？/膀胱炎で受診したい")</f>
        <v>膀胱炎になった場合はどうしたらよいですか？/膀胱炎の診察はできますか？/膀胱炎は診てもらえますか？/膀胱炎で受診したい</v>
      </c>
      <c r="B870" s="31" t="str">
        <f>IFERROR(__xludf.DUMMYFUNCTION("""COMPUTED_VALUE"""),"軽度の膀胱炎であれば、水分をよく取っていると洗い流されて改善します。
水分摂取をよく取って解消しない場合には、検査と治療をおすすめします。
原因は、肛門と尿道口の間に膣があり、腟内に善玉菌がいると、腟内が酸性に保たれ、尿道へ菌が上がってきます。
乳酸桿菌膣剤の定期使用で、膀胱炎の再発予防という方法もあります。
乳酸桿菌のご購入は以下のURLより可能です。ご検討下さい。
https://shop.luna-dr.com/products/lactobacillus 
オンラインにて膀胱炎の検査・治療はで"&amp;"きかねます。治療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ま"&amp;"た、繰り返す膀胱炎や血尿の症状がある場合は、泌尿器科への受診をお願いいたします。")</f>
        <v>軽度の膀胱炎であれば、水分をよく取っていると洗い流されて改善します。
水分摂取をよく取って解消しない場合には、検査と治療をおすすめします。
原因は、肛門と尿道口の間に膣があり、腟内に善玉菌がいると、腟内が酸性に保たれ、尿道へ菌が上がってきます。
乳酸桿菌膣剤の定期使用で、膀胱炎の再発予防という方法もあります。
乳酸桿菌のご購入は以下のURLより可能です。ご検討下さい。
https://shop.luna-dr.com/products/lactobacillus 
オンラインにて膀胱炎の検査・治療はできかねます。治療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また、繰り返す膀胱炎や血尿の症状がある場合は、泌尿器科への受診をお願いいたします。</v>
      </c>
      <c r="C870" s="31" t="str">
        <f>IFERROR(__xludf.DUMMYFUNCTION("""COMPUTED_VALUE"""),"膀胱炎")</f>
        <v>膀胱炎</v>
      </c>
      <c r="D870" s="31" t="str">
        <f>IFERROR(__xludf.DUMMYFUNCTION("""COMPUTED_VALUE"""),"膀胱炎,頻尿")</f>
        <v>膀胱炎,頻尿</v>
      </c>
      <c r="E870" s="31"/>
    </row>
    <row r="871">
      <c r="A871" s="31" t="str">
        <f>IFERROR(__xludf.DUMMYFUNCTION("""COMPUTED_VALUE"""),"オンラインで紹介状を発行してもらえますか？")</f>
        <v>オンラインで紹介状を発行してもらえますか？</v>
      </c>
      <c r="B871" s="31" t="str">
        <f>IFERROR(__xludf.DUMMYFUNCTION("""COMPUTED_VALUE"""),"オンラインでの紹介状発行は行っておりません。お手数ですが、ご予約の上、クリニックにご受診ください。")</f>
        <v>オンラインでの紹介状発行は行っておりません。お手数ですが、ご予約の上、クリニックにご受診ください。</v>
      </c>
      <c r="C871" s="31" t="str">
        <f>IFERROR(__xludf.DUMMYFUNCTION("""COMPUTED_VALUE"""),"その他")</f>
        <v>その他</v>
      </c>
      <c r="D871" s="31" t="str">
        <f>IFERROR(__xludf.DUMMYFUNCTION("""COMPUTED_VALUE"""),"紹介状")</f>
        <v>紹介状</v>
      </c>
      <c r="E871" s="31"/>
    </row>
    <row r="872">
      <c r="A872" s="31" t="str">
        <f>IFERROR(__xludf.DUMMYFUNCTION("""COMPUTED_VALUE"""),"中絶手術について教えてください。")</f>
        <v>中絶手術について教えてください。</v>
      </c>
      <c r="B872" s="31" t="str">
        <f>IFERROR(__xludf.DUMMYFUNCTION("""COMPUTED_VALUE"""),"中絶手術には大きく分けて初期中絶と中期中絶があります。初期中絶は大きく分けて吸引法とソウハ法（掻き出す方法）があり、どちらも日帰りで手術が可能です。中期中絶は人工的な陣痛を起こし、痛みや入院が必要になる手術方法に分けられます。
当院にて行っている吸引法は、ストロー状の医療器具を用いて子宮内から胎児や胎盤などを吸い出す手術方法です。
メリットは前処置が不要、麻酔が使える、痛みが少ない、出血が少ない、手術時間が短い（日帰りで可能）で、安全性が高いです。
デメリットとしては、電動の器具を使った場合に生じる感染症"&amp;"のリスクがあります。
当クリニックでは、感染症のリスクが極めて低い「手動真空吸引法」を用いています。
手動真空吸引法は、滅菌された使い切りの製品を使用するため、ご安心して手術が可能でございます。")</f>
        <v>中絶手術には大きく分けて初期中絶と中期中絶があります。初期中絶は大きく分けて吸引法とソウハ法（掻き出す方法）があり、どちらも日帰りで手術が可能です。中期中絶は人工的な陣痛を起こし、痛みや入院が必要になる手術方法に分けられます。
当院にて行っている吸引法は、ストロー状の医療器具を用いて子宮内から胎児や胎盤などを吸い出す手術方法です。
メリットは前処置が不要、麻酔が使える、痛みが少ない、出血が少ない、手術時間が短い（日帰りで可能）で、安全性が高いです。
デメリットとしては、電動の器具を使った場合に生じる感染症のリスクがあります。
当クリニックでは、感染症のリスクが極めて低い「手動真空吸引法」を用いています。
手動真空吸引法は、滅菌された使い切りの製品を使用するため、ご安心して手術が可能でございます。</v>
      </c>
      <c r="C872" s="31" t="str">
        <f>IFERROR(__xludf.DUMMYFUNCTION("""COMPUTED_VALUE"""),"中絶")</f>
        <v>中絶</v>
      </c>
      <c r="D872" s="31" t="str">
        <f>IFERROR(__xludf.DUMMYFUNCTION("""COMPUTED_VALUE"""),"中絶手術")</f>
        <v>中絶手術</v>
      </c>
      <c r="E872" s="31"/>
    </row>
    <row r="873">
      <c r="A873" s="31" t="str">
        <f>IFERROR(__xludf.DUMMYFUNCTION("""COMPUTED_VALUE"""),"妊娠の可能性があり、中絶を希望しています。")</f>
        <v>妊娠の可能性があり、中絶を希望しています。</v>
      </c>
      <c r="B873" s="31" t="str">
        <f>IFERROR(__xludf.DUMMYFUNCTION("""COMPUTED_VALUE"""),"妊娠の可能性があり、中絶を希望ということでしたら、市販薬で構いませんので妊娠検査をして確認をしてください。
薬局などで1000円程度で売っているかと思います。
性行為から二週間たっていれば検査可能です。
そこで陰性であればピルの服用を再開するなど今後の対応を考えていただければと思います。
もし陽性であった場合、婦人科でのエコー検査を受けていただき、エコー検査でおおよその週数を確認し継続か中絶か、医師とお話しいただく形になります。
中絶は段階があり
初期中絶（初期流産）：妊娠6〜12週目未満（11週と6"&amp;"日）
中期中絶（後期流産）：12〜22週目未満（21週と6日）
週数を確認し初期中絶が可能な場合の費用は、当院ではエコー検査・採血検査をし手術日ご予約の段階で16,500円、手術当日92,400円～でございます。
どこの病院でも自費になりますので、健康保険の適用はございません。
お体にとってのご負担がかかるものなので陽性を確認されましたらお早めにご受診ください。
中期中絶となりますと当院では対応不可でございますのでご注意ください。")</f>
        <v>妊娠の可能性があり、中絶を希望ということでしたら、市販薬で構いませんので妊娠検査をして確認をしてください。
薬局などで1000円程度で売っているかと思います。
性行為から二週間たっていれば検査可能です。
そこで陰性であればピルの服用を再開するなど今後の対応を考えていただければと思います。
もし陽性であった場合、婦人科でのエコー検査を受けていただき、エコー検査でおおよその週数を確認し継続か中絶か、医師とお話しいただく形になります。
中絶は段階があり
初期中絶（初期流産）：妊娠6〜12週目未満（11週と6日）
中期中絶（後期流産）：12〜22週目未満（21週と6日）
週数を確認し初期中絶が可能な場合の費用は、当院ではエコー検査・採血検査をし手術日ご予約の段階で16,500円、手術当日92,400円～でございます。
どこの病院でも自費になりますので、健康保険の適用はございません。
お体にとってのご負担がかかるものなので陽性を確認されましたらお早めにご受診ください。
中期中絶となりますと当院では対応不可でございますのでご注意ください。</v>
      </c>
      <c r="C873" s="31" t="str">
        <f>IFERROR(__xludf.DUMMYFUNCTION("""COMPUTED_VALUE"""),"中絶")</f>
        <v>中絶</v>
      </c>
      <c r="D873" s="31" t="str">
        <f>IFERROR(__xludf.DUMMYFUNCTION("""COMPUTED_VALUE"""),"妊娠,中絶")</f>
        <v>妊娠,中絶</v>
      </c>
      <c r="E873" s="31"/>
    </row>
    <row r="874">
      <c r="A874" s="31" t="str">
        <f>IFERROR(__xludf.DUMMYFUNCTION("""COMPUTED_VALUE"""),"中絶手術後の取り残しは起こりますか？")</f>
        <v>中絶手術後の取り残しは起こりますか？</v>
      </c>
      <c r="B874" s="31" t="str">
        <f>IFERROR(__xludf.DUMMYFUNCTION("""COMPUTED_VALUE"""),"中絶後の取り残しとは、胎盤などが子宮内に残る状態です。中絶取り残しがあった場合は量にもよりますが再手術又はエコーで見えないくらいの少量の残存であれば、生理を数回繰り返すことによって子宮内遺残はなくなり、hCGホルモンもしだいに消失していきます。")</f>
        <v>中絶後の取り残しとは、胎盤などが子宮内に残る状態です。中絶取り残しがあった場合は量にもよりますが再手術又はエコーで見えないくらいの少量の残存であれば、生理を数回繰り返すことによって子宮内遺残はなくなり、hCGホルモンもしだいに消失していきます。</v>
      </c>
      <c r="C874" s="31" t="str">
        <f>IFERROR(__xludf.DUMMYFUNCTION("""COMPUTED_VALUE"""),"中絶")</f>
        <v>中絶</v>
      </c>
      <c r="D874" s="31" t="str">
        <f>IFERROR(__xludf.DUMMYFUNCTION("""COMPUTED_VALUE"""),"取り残し")</f>
        <v>取り残し</v>
      </c>
      <c r="E874" s="31"/>
    </row>
    <row r="875">
      <c r="A875" s="31" t="str">
        <f>IFERROR(__xludf.DUMMYFUNCTION("""COMPUTED_VALUE"""),"中絶後に妊娠しにくくなりますか？")</f>
        <v>中絶後に妊娠しにくくなりますか？</v>
      </c>
      <c r="B875" s="31" t="str">
        <f>IFERROR(__xludf.DUMMYFUNCTION("""COMPUTED_VALUE"""),"中絶手術を受けることで、将来妊娠しにくいのではないかと心配される方は多いです。 
一方で、中絶手術を受けたとしても、手術が原因で妊娠確率が下がるといったことは、ほとんどありませんのでご安心ください。")</f>
        <v>中絶手術を受けることで、将来妊娠しにくいのではないかと心配される方は多いです。 
一方で、中絶手術を受けたとしても、手術が原因で妊娠確率が下がるといったことは、ほとんどありませんのでご安心ください。</v>
      </c>
      <c r="C875" s="31" t="str">
        <f>IFERROR(__xludf.DUMMYFUNCTION("""COMPUTED_VALUE"""),"中絶")</f>
        <v>中絶</v>
      </c>
      <c r="D875" s="31" t="str">
        <f>IFERROR(__xludf.DUMMYFUNCTION("""COMPUTED_VALUE"""),"不妊")</f>
        <v>不妊</v>
      </c>
      <c r="E875" s="31"/>
    </row>
    <row r="876">
      <c r="A876" s="31" t="str">
        <f>IFERROR(__xludf.DUMMYFUNCTION("""COMPUTED_VALUE"""),"ジェノゲストの処方はできますか？/ディナゲストの処方はできますか？/ジエノゲストの処方はできますか？/ジェノゲストはいくらですか？/ディナゲストはいくらですか？/ジエノゲストはいくらですか？/経膣エコーをしないとジェノゲスト処方はしてもらえないのか/ジェノゲストとは？/ジェノゲストとは何ですか？")</f>
        <v>ジェノゲストの処方はできますか？/ディナゲストの処方はできますか？/ジエノゲストの処方はできますか？/ジェノゲストはいくらですか？/ディナゲストはいくらですか？/ジエノゲストはいくらですか？/経膣エコーをしないとジェノゲスト処方はしてもらえないのか/ジェノゲストとは？/ジェノゲストとは何ですか？</v>
      </c>
      <c r="B876" s="31" t="str">
        <f>IFERROR(__xludf.DUMMYFUNCTION("""COMPUTED_VALUE"""),"ジェノゲストは当院で処方しております。保険診療での処方となるため、オンラインでの処方はできません。診察をご希望の場合は、クリニックにご受診ください。受診のご予約はLINEで受け付けています。LINEはこちら→https://cline-app.com/qr-codes/98ad6f149bfa20f4f2a9a2e91aac4187/preview　※保険ピルの料金は保険診療の内容により異なるため、事前にお伝えすることができません。")</f>
        <v>ジェノゲストは当院で処方しております。保険診療での処方となるため、オンラインでの処方はできません。診察をご希望の場合は、クリニックにご受診ください。受診のご予約はLINEで受け付けています。LINEはこちら→https://cline-app.com/qr-codes/98ad6f149bfa20f4f2a9a2e91aac4187/preview　※保険ピルの料金は保険診療の内容により異なるため、事前にお伝えすることができません。</v>
      </c>
      <c r="C876" s="31" t="str">
        <f>IFERROR(__xludf.DUMMYFUNCTION("""COMPUTED_VALUE"""),"保険診療")</f>
        <v>保険診療</v>
      </c>
      <c r="D876" s="31" t="str">
        <f>IFERROR(__xludf.DUMMYFUNCTION("""COMPUTED_VALUE"""),"ジェノゲスト")</f>
        <v>ジェノゲスト</v>
      </c>
      <c r="E876" s="31"/>
    </row>
    <row r="877">
      <c r="A877" s="31" t="str">
        <f>IFERROR(__xludf.DUMMYFUNCTION("""COMPUTED_VALUE"""),"切れ痔の診察はできますか？")</f>
        <v>切れ痔の診察はできますか？</v>
      </c>
      <c r="B877" s="31" t="str">
        <f>IFERROR(__xludf.DUMMYFUNCTION("""COMPUTED_VALUE"""),"当院では切れ痔の診察は行っておりません。
肛門科のある病院であれば診察可能だと思われます。
もしくはお近くの婦人科様に直接連絡していただいて肛門も診てもらえるかご確認いただくのが良いかと思います。
お大事になさってください。")</f>
        <v>当院では切れ痔の診察は行っておりません。
肛門科のある病院であれば診察可能だと思われます。
もしくはお近くの婦人科様に直接連絡していただいて肛門も診てもらえるかご確認いただくのが良いかと思います。
お大事になさってください。</v>
      </c>
      <c r="C877" s="31" t="str">
        <f>IFERROR(__xludf.DUMMYFUNCTION("""COMPUTED_VALUE"""),"その他")</f>
        <v>その他</v>
      </c>
      <c r="D877" s="31" t="str">
        <f>IFERROR(__xludf.DUMMYFUNCTION("""COMPUTED_VALUE"""),"切れ痔")</f>
        <v>切れ痔</v>
      </c>
      <c r="E877" s="31"/>
    </row>
    <row r="878">
      <c r="A878" s="31" t="str">
        <f>IFERROR(__xludf.DUMMYFUNCTION("""COMPUTED_VALUE"""),"オンライン診療後、店舗で薬を受け取れますか？")</f>
        <v>オンライン診療後、店舗で薬を受け取れますか？</v>
      </c>
      <c r="B878" s="31" t="str">
        <f>IFERROR(__xludf.DUMMYFUNCTION("""COMPUTED_VALUE"""),"原則としてご本人様のご自宅でのお受け取りとなりますので、ご了承くださいませ。特別なご事情がある場合、決済前にカウンセラーへご相談ください。")</f>
        <v>原則としてご本人様のご自宅でのお受け取りとなりますので、ご了承くださいませ。特別なご事情がある場合、決済前にカウンセラーへご相談ください。</v>
      </c>
      <c r="C878" s="31" t="str">
        <f>IFERROR(__xludf.DUMMYFUNCTION("""COMPUTED_VALUE"""),"オンライン診療")</f>
        <v>オンライン診療</v>
      </c>
      <c r="D878" s="31" t="str">
        <f>IFERROR(__xludf.DUMMYFUNCTION("""COMPUTED_VALUE"""),"薬受け取り")</f>
        <v>薬受け取り</v>
      </c>
      <c r="E878" s="31"/>
    </row>
    <row r="879">
      <c r="A879" s="31" t="str">
        <f>IFERROR(__xludf.DUMMYFUNCTION("""COMPUTED_VALUE"""),"HPVワクチンを接種したいです/子宮頸がんワクチンを接種したいです。")</f>
        <v>HPVワクチンを接種したいです/子宮頸がんワクチンを接種したいです。</v>
      </c>
      <c r="B879" s="31" t="str">
        <f>IFERROR(__xludf.DUMMYFUNCTION("""COMPUTED_VALUE"""),"当院ではシルガード9という種類のHPVワクチン接種を行っております。
HPVワクチンは予防するものでございますので、すでに感染したウイルスを排除する力はありません。
副反応としては局所の痛みが起こる可能性があります。
当院でHPVワクチン接種をご希望の場合、予約制になっております。ご予約はお電話（050-1730-2768）で承っております。
※クリニック地域にお住まいかつ、手元に公費の案内用紙がある場合、1週間以降のご予約でご利用いただけます。")</f>
        <v>当院ではシルガード9という種類のHPVワクチン接種を行っております。
HPVワクチンは予防するものでございますので、すでに感染したウイルスを排除する力はありません。
副反応としては局所の痛みが起こる可能性があります。
当院でHPVワクチン接種をご希望の場合、予約制になっております。ご予約はお電話（050-1730-2768）で承っております。
※クリニック地域にお住まいかつ、手元に公費の案内用紙がある場合、1週間以降のご予約でご利用いただけます。</v>
      </c>
      <c r="C879" s="31" t="str">
        <f>IFERROR(__xludf.DUMMYFUNCTION("""COMPUTED_VALUE"""),"HPVワクチン")</f>
        <v>HPVワクチン</v>
      </c>
      <c r="D879" s="31" t="str">
        <f>IFERROR(__xludf.DUMMYFUNCTION("""COMPUTED_VALUE"""),"HPVワクチン,子宮頸がん")</f>
        <v>HPVワクチン,子宮頸がん</v>
      </c>
      <c r="E879" s="31"/>
    </row>
    <row r="880">
      <c r="A880" s="31" t="str">
        <f>IFERROR(__xludf.DUMMYFUNCTION("""COMPUTED_VALUE"""),"HPV感染と低用量ピルは関係ありますか？")</f>
        <v>HPV感染と低用量ピルは関係ありますか？</v>
      </c>
      <c r="B880" s="31" t="str">
        <f>IFERROR(__xludf.DUMMYFUNCTION("""COMPUTED_VALUE"""),"低容量ピルを内服すると子宮頸がんの原因となるヒトパピローマウイルスが排出されにくくなり、
子宮頸がんとなる可能性が高まります。
基本的には軽快することも多いウイルスのため、手術方向となるまでは様子を見ていただくことが多いです。
しかし、ご不安が強いようであれば、ピル以外でも生理不順を治療するホルモン剤はございますので、
一度婦人科を受診し、その旨を相談してみても良いと思います。
個別の症状やお体のご状況については診察にてご確認いただくことをおすすめいたします。当院でのご受診をご希望の場合は、ご予約をお取"&amp;"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f>
        <v>低容量ピルを内服すると子宮頸がんの原因となるヒトパピローマウイルスが排出されにくくなり、
子宮頸がんとなる可能性が高まります。
基本的には軽快することも多いウイルスのため、手術方向となるまでは様子を見ていただくことが多いです。
しかし、ご不安が強いようであれば、ピル以外でも生理不順を治療するホルモン剤はございますので、
一度婦人科を受診し、その旨を相談してみても良いと思います。
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880" s="31" t="str">
        <f>IFERROR(__xludf.DUMMYFUNCTION("""COMPUTED_VALUE"""),"HPV")</f>
        <v>HPV</v>
      </c>
      <c r="D880" s="31" t="str">
        <f>IFERROR(__xludf.DUMMYFUNCTION("""COMPUTED_VALUE"""),"低用量ピル,HPVワクチン,子宮頸がん")</f>
        <v>低用量ピル,HPVワクチン,子宮頸がん</v>
      </c>
      <c r="E880" s="31"/>
    </row>
    <row r="881">
      <c r="A881" s="31" t="str">
        <f>IFERROR(__xludf.DUMMYFUNCTION("""COMPUTED_VALUE"""),"性行為のときに痛みがあります。原因はありますか？")</f>
        <v>性行為のときに痛みがあります。原因はありますか？</v>
      </c>
      <c r="B881" s="31" t="str">
        <f>IFERROR(__xludf.DUMMYFUNCTION("""COMPUTED_VALUE"""),"性行痛の原因は排卵期の性交による卵巣からの出血（卵胞出血）が多いです。
排卵のとき、卵巣の表面が破れて少量の出血とともに卵子が出てくるのですが、
たまたまそのときに性交による刺激が卵巣に加わったりすると、多くの血液が出ることがあります。
また、精神的なもの、子宮内膜症、子宮筋腫、性感染症、カンジダ外陰膣炎なども原因として考えられます。
うずきが一時的であれば様子見で構いませんが、長引いたり頻度が増える場合は、婦人科を受診されることをお勧めいたします。
個別の症状やお体のご状況については診察にてご確認"&amp;"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amp;"らかじめご了承くださいませ。")</f>
        <v>性行痛の原因は排卵期の性交による卵巣からの出血（卵胞出血）が多いです。
排卵のとき、卵巣の表面が破れて少量の出血とともに卵子が出てくるのですが、
たまたまそのときに性交による刺激が卵巣に加わったりすると、多くの血液が出ることがあります。
また、精神的なもの、子宮内膜症、子宮筋腫、性感染症、カンジダ外陰膣炎なども原因として考えられます。
うずきが一時的であれば様子見で構いませんが、長引いたり頻度が増える場合は、婦人科を受診されることをお勧めいたします。
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881" s="31" t="str">
        <f>IFERROR(__xludf.DUMMYFUNCTION("""COMPUTED_VALUE"""),"性行為トラブル")</f>
        <v>性行為トラブル</v>
      </c>
      <c r="D881" s="31" t="str">
        <f>IFERROR(__xludf.DUMMYFUNCTION("""COMPUTED_VALUE"""),"性行痛")</f>
        <v>性行痛</v>
      </c>
      <c r="E881" s="31"/>
    </row>
    <row r="882">
      <c r="A882" s="31" t="str">
        <f>IFERROR(__xludf.DUMMYFUNCTION("""COMPUTED_VALUE"""),"性行為中に出血しました。大丈夫ですか？/性行為後による出血")</f>
        <v>性行為中に出血しました。大丈夫ですか？/性行為後による出血</v>
      </c>
      <c r="B882" s="31" t="str">
        <f>IFERROR(__xludf.DUMMYFUNCTION("""COMPUTED_VALUE"""),"下腹部の痛みや出血がある場合、症状の内容によって受診可否やご案内が異なります。個別の確認が必要となるため、恐れ入りますがお電話にてご相談ください。お電話は 050-1730-2768 となります。")</f>
        <v>下腹部の痛みや出血がある場合、症状の内容によって受診可否やご案内が異なります。個別の確認が必要となるため、恐れ入りますがお電話にてご相談ください。お電話は 050-1730-2768 となります。</v>
      </c>
      <c r="C882" s="31" t="str">
        <f>IFERROR(__xludf.DUMMYFUNCTION("""COMPUTED_VALUE"""),"不正出血")</f>
        <v>不正出血</v>
      </c>
      <c r="D882" s="31" t="str">
        <f>IFERROR(__xludf.DUMMYFUNCTION("""COMPUTED_VALUE"""),"性交後出血")</f>
        <v>性交後出血</v>
      </c>
      <c r="E882" s="31"/>
    </row>
    <row r="883">
      <c r="A883" s="31" t="str">
        <f>IFERROR(__xludf.DUMMYFUNCTION("""COMPUTED_VALUE"""),"膣に異物が入ってしまいました。どうすればよいですか？")</f>
        <v>膣に異物が入ってしまいました。どうすればよいですか？</v>
      </c>
      <c r="B883" s="31" t="str">
        <f>IFERROR(__xludf.DUMMYFUNCTION("""COMPUTED_VALUE"""),"膣に異物が入ってしまい取り出せない場合は、異臭の原因になることもございます。
お早めに取り除くことをおすすめいたします。
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amp;"、当院では乳房に関する診療（乳がん検診・乳腺外来など）、更年期障害の治療、不妊治療、体重100kg以上の方への診療、救急対応（緊急搬送・急性期対応）は行っておりませんのであらかじめご了承くださいませ。")</f>
        <v>膣に異物が入ってしまい取り出せない場合は、異臭の原因になることもございます。
お早めに取り除くことをおすすめいたします。
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883" s="31" t="str">
        <f>IFERROR(__xludf.DUMMYFUNCTION("""COMPUTED_VALUE"""),"トラブル")</f>
        <v>トラブル</v>
      </c>
      <c r="D883" s="31" t="str">
        <f>IFERROR(__xludf.DUMMYFUNCTION("""COMPUTED_VALUE"""),"異物")</f>
        <v>異物</v>
      </c>
      <c r="E883" s="31"/>
    </row>
    <row r="884">
      <c r="A884" s="31" t="str">
        <f>IFERROR(__xludf.DUMMYFUNCTION("""COMPUTED_VALUE"""),"子宮筋腫について教えてください。")</f>
        <v>子宮筋腫について教えてください。</v>
      </c>
      <c r="B884" s="31" t="str">
        <f>IFERROR(__xludf.DUMMYFUNCTION("""COMPUTED_VALUE"""),"子宮筋腫とは、子宮の筋肉にできる良性の腫瘍です。大きさやできた場所によって、生理痛や過多月経の原因となります。
低用量ピルで子宮筋腫が増大するスピードを下げられることが多いですが、
子宮筋腫の場所と大きさによっては手術が必要となる場合があります。
まずはご自身の状況を知るためにも、受診をお勧めいたします。
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amp;"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f>
        <v>子宮筋腫とは、子宮の筋肉にできる良性の腫瘍です。大きさやできた場所によって、生理痛や過多月経の原因となります。
低用量ピルで子宮筋腫が増大するスピードを下げられることが多いですが、
子宮筋腫の場所と大きさによっては手術が必要となる場合があります。
まずはご自身の状況を知るためにも、受診をお勧めいたします。
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884" s="31" t="str">
        <f>IFERROR(__xludf.DUMMYFUNCTION("""COMPUTED_VALUE"""),"子宮疾患")</f>
        <v>子宮疾患</v>
      </c>
      <c r="D884" s="31" t="str">
        <f>IFERROR(__xludf.DUMMYFUNCTION("""COMPUTED_VALUE"""),"子宮筋腫")</f>
        <v>子宮筋腫</v>
      </c>
      <c r="E884" s="31"/>
    </row>
    <row r="885">
      <c r="A885" s="31" t="str">
        <f>IFERROR(__xludf.DUMMYFUNCTION("""COMPUTED_VALUE"""),"流産後の妊娠について")</f>
        <v>流産後の妊娠について</v>
      </c>
      <c r="B885" s="31" t="str">
        <f>IFERROR(__xludf.DUMMYFUNCTION("""COMPUTED_VALUE"""),"流産後に妊娠ができなくなることはありません。一般的に流産後1カ月半〜2カ月ほどで生理が再開し、体の回復が進めば再び妊娠を目指すことができます。次の妊娠に影響を及ぼすことも基本的にはありません。")</f>
        <v>流産後に妊娠ができなくなることはありません。一般的に流産後1カ月半〜2カ月ほどで生理が再開し、体の回復が進めば再び妊娠を目指すことができます。次の妊娠に影響を及ぼすことも基本的にはありません。</v>
      </c>
      <c r="C885" s="31" t="str">
        <f>IFERROR(__xludf.DUMMYFUNCTION("""COMPUTED_VALUE"""),"妊娠・出産・流産")</f>
        <v>妊娠・出産・流産</v>
      </c>
      <c r="D885" s="31" t="str">
        <f>IFERROR(__xludf.DUMMYFUNCTION("""COMPUTED_VALUE"""),"流産後,妊娠,妊活,再妊娠,生理再開")</f>
        <v>流産後,妊娠,妊活,再妊娠,生理再開</v>
      </c>
      <c r="E885" s="31"/>
    </row>
    <row r="886">
      <c r="A886" s="31" t="str">
        <f>IFERROR(__xludf.DUMMYFUNCTION("""COMPUTED_VALUE"""),"流産後の生理について")</f>
        <v>流産後の生理について</v>
      </c>
      <c r="B886" s="31" t="str">
        <f>IFERROR(__xludf.DUMMYFUNCTION("""COMPUTED_VALUE"""),"個人差はありますが、流産後は1カ月半〜2カ月ほどで月経が再開することが一般的です。")</f>
        <v>個人差はありますが、流産後は1カ月半〜2カ月ほどで月経が再開することが一般的です。</v>
      </c>
      <c r="C886" s="31" t="str">
        <f>IFERROR(__xludf.DUMMYFUNCTION("""COMPUTED_VALUE"""),"妊娠・出産・流産")</f>
        <v>妊娠・出産・流産</v>
      </c>
      <c r="D886" s="31" t="str">
        <f>IFERROR(__xludf.DUMMYFUNCTION("""COMPUTED_VALUE"""),"流産後,生理,月経,再開時期")</f>
        <v>流産後,生理,月経,再開時期</v>
      </c>
      <c r="E886" s="31"/>
    </row>
    <row r="887">
      <c r="A887" s="31" t="str">
        <f>IFERROR(__xludf.DUMMYFUNCTION("""COMPUTED_VALUE"""),"生活保護の医療費補助にて受診は可能ですか？/生活保護を受けていますが医療券で受診できますか？/医療券で受診可能ですか？")</f>
        <v>生活保護の医療費補助にて受診は可能ですか？/生活保護を受けていますが医療券で受診できますか？/医療券で受診可能ですか？</v>
      </c>
      <c r="B887" s="31" t="str">
        <f>IFERROR(__xludf.DUMMYFUNCTION("""COMPUTED_VALUE"""),"大変申し訳ございません。当院では生活保護による医療費補助を利用した診察のご案内は行っておりません。")</f>
        <v>大変申し訳ございません。当院では生活保護による医療費補助を利用した診察のご案内は行っておりません。</v>
      </c>
      <c r="C887" s="31" t="str">
        <f>IFERROR(__xludf.DUMMYFUNCTION("""COMPUTED_VALUE"""),"受診・制度・費用")</f>
        <v>受診・制度・費用</v>
      </c>
      <c r="D887" s="31" t="str">
        <f>IFERROR(__xludf.DUMMYFUNCTION("""COMPUTED_VALUE"""),"生活保護,医療費補助,受診可否")</f>
        <v>生活保護,医療費補助,受診可否</v>
      </c>
      <c r="E887" s="31"/>
    </row>
    <row r="888">
      <c r="A888" s="31" t="str">
        <f>IFERROR(__xludf.DUMMYFUNCTION("""COMPUTED_VALUE"""),"ミレーナを外してからどれくらいで排卵しますか？")</f>
        <v>ミレーナを外してからどれくらいで排卵しますか？</v>
      </c>
      <c r="B888" s="31" t="str">
        <f>IFERROR(__xludf.DUMMYFUNCTION("""COMPUTED_VALUE"""),"排卵の再開時期は避妊リングの種類や個人差によって異なります。詳しくは医師にご相談ください。")</f>
        <v>排卵の再開時期は避妊リングの種類や個人差によって異なります。詳しくは医師にご相談ください。</v>
      </c>
      <c r="C888" s="31" t="str">
        <f>IFERROR(__xludf.DUMMYFUNCTION("""COMPUTED_VALUE"""),"避妊・ミレーナ")</f>
        <v>避妊・ミレーナ</v>
      </c>
      <c r="D888" s="31" t="str">
        <f>IFERROR(__xludf.DUMMYFUNCTION("""COMPUTED_VALUE"""),"ミレーナ,排卵,外した後,妊娠")</f>
        <v>ミレーナ,排卵,外した後,妊娠</v>
      </c>
      <c r="E888" s="31"/>
    </row>
    <row r="889">
      <c r="A889" s="31" t="str">
        <f>IFERROR(__xludf.DUMMYFUNCTION("""COMPUTED_VALUE"""),"ミレーナ挿入後の性行為による出血")</f>
        <v>ミレーナ挿入後の性行為による出血</v>
      </c>
      <c r="B889" s="31" t="str">
        <f>IFERROR(__xludf.DUMMYFUNCTION("""COMPUTED_VALUE"""),"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amp;"（緊急搬送・急性期対応）は行っておりませんのであらかじめご了承くださいませ。")</f>
        <v>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889" s="31" t="str">
        <f>IFERROR(__xludf.DUMMYFUNCTION("""COMPUTED_VALUE"""),"避妊・ミレーナ")</f>
        <v>避妊・ミレーナ</v>
      </c>
      <c r="D889" s="31" t="str">
        <f>IFERROR(__xludf.DUMMYFUNCTION("""COMPUTED_VALUE"""),"ミレーナ,性交後出血,不正出血,ホルモン")</f>
        <v>ミレーナ,性交後出血,不正出血,ホルモン</v>
      </c>
      <c r="E889" s="31"/>
    </row>
    <row r="890">
      <c r="A890" s="31" t="str">
        <f>IFERROR(__xludf.DUMMYFUNCTION("""COMPUTED_VALUE"""),"おりもの異常があるのですが、どうしたら良いですか？/排尿時に痛みがあるのですが、どうしたら良いでしょうか？/喉の違和感がある場合どうしたらよいですか？")</f>
        <v>おりもの異常があるのですが、どうしたら良いですか？/排尿時に痛みがあるのですが、どうしたら良いでしょうか？/喉の違和感がある場合どうしたらよいですか？</v>
      </c>
      <c r="B890" s="31" t="str">
        <f>IFERROR(__xludf.DUMMYFUNCTION("""COMPUTED_VALUE"""),"おりものの異常・かゆみ・咽頭の違和感は、体の異常を伝えるサインですので、
放置せずに検査などをして原因を知ることが大切です。
きちんと対応することによって、不妊や病気の可能性を下げることにつながります。
性行為経験がなくてもトリコモナスは感染力が強く、公共のお手洗いなどで感染することもございます。
当院では「FemCHECK」という検査キットを販売しており、こちらはご自宅で検査していただき、キットを送っていただければ、結果もWEBから確認が可能でございます。
購入はこちら
https://shop.l"&amp;"una-dr.com/collections/femcheck/products/femcheck")</f>
        <v>おりものの異常・かゆみ・咽頭の違和感は、体の異常を伝えるサインですので、
放置せずに検査などをして原因を知ることが大切です。
きちんと対応することによって、不妊や病気の可能性を下げることにつながります。
性行為経験がなくてもトリコモナスは感染力が強く、公共のお手洗いなどで感染することもございます。
当院では「FemCHECK」という検査キットを販売しており、こちらはご自宅で検査していただき、キットを送っていただければ、結果もWEBから確認が可能でございます。
購入はこちら
https://shop.luna-dr.com/collections/femcheck/products/femcheck</v>
      </c>
      <c r="C890" s="31" t="str">
        <f>IFERROR(__xludf.DUMMYFUNCTION("""COMPUTED_VALUE"""),"おりもの・性病検査")</f>
        <v>おりもの・性病検査</v>
      </c>
      <c r="D890" s="31" t="str">
        <f>IFERROR(__xludf.DUMMYFUNCTION("""COMPUTED_VALUE"""),"おりもの異常,排尿痛,喉違和感,性病,FemCHECK")</f>
        <v>おりもの異常,排尿痛,喉違和感,性病,FemCHECK</v>
      </c>
      <c r="E890" s="31"/>
    </row>
    <row r="891">
      <c r="A891" s="31" t="str">
        <f>IFERROR(__xludf.DUMMYFUNCTION("""COMPUTED_VALUE"""),"カンジダが陽性だったが治療は必要ですか？/細菌性膣炎が陽性だったが治療は必要ですか？/カンジダが再発した/カンジダに繰り返しなる/細菌性膣炎が再発した/細菌性膣炎に繰り返しなる")</f>
        <v>カンジダが陽性だったが治療は必要ですか？/細菌性膣炎が陽性だったが治療は必要ですか？/カンジダが再発した/カンジダに繰り返しなる/細菌性膣炎が再発した/細菌性膣炎に繰り返しなる</v>
      </c>
      <c r="B891" s="31" t="str">
        <f>IFERROR(__xludf.DUMMYFUNCTION("""COMPUTED_VALUE"""),"クラミジア・淋菌・ウレアプラズマ・マイコプラズマ等の性病が陽性でない場合は様子を見ていただくで特に問題はございません。
カンジダ・細菌性膣炎は常在菌でございます。生理と共に洗い流され改善する場合もございますが、膀胱炎になってしまったり、症状がお辛い場合は抗生剤をご使用ください。
カンジダ・細菌性膣炎は繰り返しなることが多いため、乳酸桿菌で膣内環境を整えることがとても重要です。
乳酸桿菌の定期配送は以下のURLよりご購入が可能です。ご検討下さい。
https://shop.luna-dr.com/prod"&amp;"ucts/lactobacillus ")</f>
        <v>クラミジア・淋菌・ウレアプラズマ・マイコプラズマ等の性病が陽性でない場合は様子を見ていただくで特に問題はございません。
カンジダ・細菌性膣炎は常在菌でございます。生理と共に洗い流され改善する場合もございますが、膀胱炎になってしまったり、症状がお辛い場合は抗生剤をご使用ください。
カンジダ・細菌性膣炎は繰り返しなることが多いため、乳酸桿菌で膣内環境を整えることがとても重要です。
乳酸桿菌の定期配送は以下のURLよりご購入が可能です。ご検討下さい。
https://shop.luna-dr.com/products/lactobacillus </v>
      </c>
      <c r="C891" s="31" t="str">
        <f>IFERROR(__xludf.DUMMYFUNCTION("""COMPUTED_VALUE"""),"おりもの・膣炎")</f>
        <v>おりもの・膣炎</v>
      </c>
      <c r="D891" s="31" t="str">
        <f>IFERROR(__xludf.DUMMYFUNCTION("""COMPUTED_VALUE"""),"カンジダ,細菌性膣炎,再発,乳酸桿菌,膣内環境")</f>
        <v>カンジダ,細菌性膣炎,再発,乳酸桿菌,膣内環境</v>
      </c>
      <c r="E891" s="31"/>
    </row>
    <row r="892">
      <c r="A892" s="31" t="str">
        <f>IFERROR(__xludf.DUMMYFUNCTION("""COMPUTED_VALUE"""),"パートナーにお薬処方は可能ですか？")</f>
        <v>パートナーにお薬処方は可能ですか？</v>
      </c>
      <c r="B892" s="31" t="str">
        <f>IFERROR(__xludf.DUMMYFUNCTION("""COMPUTED_VALUE"""),"医薬品となりますので、原則ご本人様への処方の対応となります。処方をご希望のご本人様は、LINEアカウントよりオンライン診療をお申込み、ご相談ください。オンライン診療はLINEからご利用いただけます。こちらのオンライン診療ページ（https://liff-gateway.lineml.jp/landing?follow=%40590gpxrd&amp;lp=fX73yx&amp;liff_id=1657094566-LmjNPPbV）からご利用ください。")</f>
        <v>医薬品となりますので、原則ご本人様への処方の対応となります。処方をご希望のご本人様は、LINEアカウントよりオンライン診療をお申込み、ご相談ください。オンライン診療はLINEからご利用いただけます。こちらのオンライン診療ページ（https://liff-gateway.lineml.jp/landing?follow=%40590gpxrd&amp;lp=fX73yx&amp;liff_id=1657094566-LmjNPPbV）からご利用ください。</v>
      </c>
      <c r="C892" s="31" t="str">
        <f>IFERROR(__xludf.DUMMYFUNCTION("""COMPUTED_VALUE"""),"受診・処方")</f>
        <v>受診・処方</v>
      </c>
      <c r="D892" s="31" t="str">
        <f>IFERROR(__xludf.DUMMYFUNCTION("""COMPUTED_VALUE"""),"パートナー,処方,本人のみ,LINE,オンライン診療")</f>
        <v>パートナー,処方,本人のみ,LINE,オンライン診療</v>
      </c>
      <c r="E892" s="31"/>
    </row>
    <row r="893">
      <c r="A893" s="31" t="str">
        <f>IFERROR(__xludf.DUMMYFUNCTION("""COMPUTED_VALUE"""),"乳酸桿菌の使用方法")</f>
        <v>乳酸桿菌の使用方法</v>
      </c>
      <c r="B893" s="31" t="str">
        <f>IFERROR(__xludf.DUMMYFUNCTION("""COMPUTED_VALUE"""),"乳酸桿菌は膣・内服どちらでもご使用可能でございます。ですが、膣に直接入れることで、繰り返すカンジダ、膀胱炎、細菌の増殖によるおりもの異常に直接アプローチが可能です。また、継続的に使用することでより予防効果が高まります。乳酸桿菌の定期配送は以下のURLよりご購入が可能です。ご検討下さい。
https://shop.luna-dr.com/products/lactobacillus")</f>
        <v>乳酸桿菌は膣・内服どちらでもご使用可能でございます。ですが、膣に直接入れることで、繰り返すカンジダ、膀胱炎、細菌の増殖によるおりもの異常に直接アプローチが可能です。また、継続的に使用することでより予防効果が高まります。乳酸桿菌の定期配送は以下のURLよりご購入が可能です。ご検討下さい。
https://shop.luna-dr.com/products/lactobacillus</v>
      </c>
      <c r="C893" s="31" t="str">
        <f>IFERROR(__xludf.DUMMYFUNCTION("""COMPUTED_VALUE"""),"おりもの・ケア")</f>
        <v>おりもの・ケア</v>
      </c>
      <c r="D893" s="31" t="str">
        <f>IFERROR(__xludf.DUMMYFUNCTION("""COMPUTED_VALUE"""),"乳酸桿菌,使用方法,膣,内服,カンジダ,膀胱炎,予防")</f>
        <v>乳酸桿菌,使用方法,膣,内服,カンジダ,膀胱炎,予防</v>
      </c>
      <c r="E893" s="31"/>
    </row>
    <row r="894">
      <c r="A894" s="31" t="str">
        <f>IFERROR(__xludf.DUMMYFUNCTION("""COMPUTED_VALUE"""),"乳酸桿菌を使用したら治りますか")</f>
        <v>乳酸桿菌を使用したら治りますか</v>
      </c>
      <c r="B894" s="31" t="str">
        <f>IFERROR(__xludf.DUMMYFUNCTION("""COMPUTED_VALUE"""),"乳酸桿菌はあくまで一般細菌（常在菌）の予防薬でございます。治療を終えた後に使用していただくことで、膣内環境を整え再発防止をする膣剤です。まずは、陽性の項目の治療を行うことをおすすめいたします。乳酸桿菌の定期配送は以下のURLよりご購入が可能です。ご検討下さい。
https://shop.luna-dr.com/products/lactobacillus")</f>
        <v>乳酸桿菌はあくまで一般細菌（常在菌）の予防薬でございます。治療を終えた後に使用していただくことで、膣内環境を整え再発防止をする膣剤です。まずは、陽性の項目の治療を行うことをおすすめいたします。乳酸桿菌の定期配送は以下のURLよりご購入が可能です。ご検討下さい。
https://shop.luna-dr.com/products/lactobacillus</v>
      </c>
      <c r="C894" s="31" t="str">
        <f>IFERROR(__xludf.DUMMYFUNCTION("""COMPUTED_VALUE"""),"おりもの・ケア")</f>
        <v>おりもの・ケア</v>
      </c>
      <c r="D894" s="31" t="str">
        <f>IFERROR(__xludf.DUMMYFUNCTION("""COMPUTED_VALUE"""),"乳酸桿菌,治る,予防,再発防止,膣内環境")</f>
        <v>乳酸桿菌,治る,予防,再発防止,膣内環境</v>
      </c>
      <c r="E894" s="31"/>
    </row>
    <row r="895">
      <c r="A895" s="31" t="str">
        <f>IFERROR(__xludf.DUMMYFUNCTION("""COMPUTED_VALUE"""),"生理中の性行為")</f>
        <v>生理中の性行為</v>
      </c>
      <c r="B895" s="31" t="str">
        <f>IFERROR(__xludf.DUMMYFUNCTION("""COMPUTED_VALUE"""),"生理中の性行為は通常時よりも気を付けないといけないところがございます。
①妊娠しないから性行為をしても良い？それは間違いです。通常、精子の寿命が2～3日と言われていますが、5日生き延びたこともあります。つまり、生理が終わったときにその精子と受精をするということです。
②性感染症のリスクが上がる：生理中は膣の中に傷ができやすく、クラミジア・淋菌・梅毒・HPVなどの性感染症に加え、HIVの感染率も上昇します。
③子宮内膜症のリスクが上がる：経血が子宮内に逆流し、雑菌やウイルスを運び込む危険があり、子宮内膜症リ"&amp;"スクを高めるとも言われています。")</f>
        <v>生理中の性行為は通常時よりも気を付けないといけないところがございます。
①妊娠しないから性行為をしても良い？それは間違いです。通常、精子の寿命が2～3日と言われていますが、5日生き延びたこともあります。つまり、生理が終わったときにその精子と受精をするということです。
②性感染症のリスクが上がる：生理中は膣の中に傷ができやすく、クラミジア・淋菌・梅毒・HPVなどの性感染症に加え、HIVの感染率も上昇します。
③子宮内膜症のリスクが上がる：経血が子宮内に逆流し、雑菌やウイルスを運び込む危険があり、子宮内膜症リスクを高めるとも言われています。</v>
      </c>
      <c r="C895" s="31" t="str">
        <f>IFERROR(__xludf.DUMMYFUNCTION("""COMPUTED_VALUE"""),"性行為・注意事項")</f>
        <v>性行為・注意事項</v>
      </c>
      <c r="D895" s="31" t="str">
        <f>IFERROR(__xludf.DUMMYFUNCTION("""COMPUTED_VALUE"""),"生理中,性行為,妊娠,性感染症,HPV,HIV,子宮内膜症")</f>
        <v>生理中,性行為,妊娠,性感染症,HPV,HIV,子宮内膜症</v>
      </c>
      <c r="E895" s="31"/>
    </row>
    <row r="896">
      <c r="A896" s="31" t="str">
        <f>IFERROR(__xludf.DUMMYFUNCTION("""COMPUTED_VALUE"""),"子宮内膜症の疑いがあり")</f>
        <v>子宮内膜症の疑いがあり</v>
      </c>
      <c r="B896" s="31" t="str">
        <f>IFERROR(__xludf.DUMMYFUNCTION("""COMPUTED_VALUE"""),"子宮内膜症とは、子宮の中にある子宮内膜組織が、子宮以外の場所で女性ホルモンに反応して増殖や出血を起こす病気です。症状は下腹部の痛みに伴って、腰が痛む場合もあります。放置しておくと血液が卵巣内部に満たされ、それが各臓器にまで広がるようになります。臓器まで広がるほど放置しておくと、実生活に支障が出るほど激しい痛みを伴うことになります。オンライン診療でのエコー検査は難しいため、一度婦人科の受診をおすすめいたします。当院でのご受診をご希望の場合は、ご予約をお取りの上、クリニックにご受診ください。受診のご予約はLI"&amp;"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f>
        <v>子宮内膜症とは、子宮の中にある子宮内膜組織が、子宮以外の場所で女性ホルモンに反応して増殖や出血を起こす病気です。症状は下腹部の痛みに伴って、腰が痛む場合もあります。放置しておくと血液が卵巣内部に満たされ、それが各臓器にまで広がるようになります。臓器まで広がるほど放置しておくと、実生活に支障が出るほど激しい痛みを伴うことになります。オンライン診療でのエコー検査は難しいため、一度婦人科の受診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896" s="31" t="str">
        <f>IFERROR(__xludf.DUMMYFUNCTION("""COMPUTED_VALUE"""),"婦人科疾患")</f>
        <v>婦人科疾患</v>
      </c>
      <c r="D896" s="31" t="str">
        <f>IFERROR(__xludf.DUMMYFUNCTION("""COMPUTED_VALUE"""),"子宮内膜症,下腹部痛,腰痛,エコー,受診")</f>
        <v>子宮内膜症,下腹部痛,腰痛,エコー,受診</v>
      </c>
      <c r="E896" s="31"/>
    </row>
    <row r="897">
      <c r="A897" s="31" t="str">
        <f>IFERROR(__xludf.DUMMYFUNCTION("""COMPUTED_VALUE"""),"下腹部痛があり心配/お腹の下が痛い/下腹部が痛い/お腹痛い/お腹が痛い/腹痛がある")</f>
        <v>下腹部痛があり心配/お腹の下が痛い/下腹部が痛い/お腹痛い/お腹が痛い/腹痛がある</v>
      </c>
      <c r="B897" s="31" t="str">
        <f>IFERROR(__xludf.DUMMYFUNCTION("""COMPUTED_VALUE"""),"下腹部痛は、月経困難症、子宮内膜症、卵巣嚢腫、性感染症、子宮筋腫、卵巣捻転、卵巣がんなどさまざまな原因が考えられます。オンライン診療にて検査が難しいため、原因を知るために一度婦人科の受診をおすすめいたします。下腹部の痛みや出血がある場合、症状の内容によって受診可否やご案内が異なります。個別の確認が必要となるため、恐れ入りますがお電話にてご相談ください。お電話は 050-1730-2768 となります。")</f>
        <v>下腹部痛は、月経困難症、子宮内膜症、卵巣嚢腫、性感染症、子宮筋腫、卵巣捻転、卵巣がんなどさまざまな原因が考えられます。オンライン診療にて検査が難しいため、原因を知るために一度婦人科の受診をおすすめいたします。下腹部の痛みや出血がある場合、症状の内容によって受診可否やご案内が異なります。個別の確認が必要となるため、恐れ入りますがお電話にてご相談ください。お電話は 050-1730-2768 となります。</v>
      </c>
      <c r="C897" s="31" t="str">
        <f>IFERROR(__xludf.DUMMYFUNCTION("""COMPUTED_VALUE"""),"症状・腹痛")</f>
        <v>症状・腹痛</v>
      </c>
      <c r="D897" s="31" t="str">
        <f>IFERROR(__xludf.DUMMYFUNCTION("""COMPUTED_VALUE"""),"下腹部痛,原因,婦人科,受診,お腹痛い,腹痛")</f>
        <v>下腹部痛,原因,婦人科,受診,お腹痛い,腹痛</v>
      </c>
      <c r="E897" s="31"/>
    </row>
    <row r="898">
      <c r="A898" s="31" t="str">
        <f>IFERROR(__xludf.DUMMYFUNCTION("""COMPUTED_VALUE"""),"卵巣嚢腫とは")</f>
        <v>卵巣嚢腫とは</v>
      </c>
      <c r="B898" s="31" t="str">
        <f>IFERROR(__xludf.DUMMYFUNCTION("""COMPUTED_VALUE"""),"卵巣嚢腫とは、通常月経がある方では子宮が親指くらいの大きさですが、大きく腫れた状態を卵巣腫瘍といいます。腫瘍の中に液体がたまる嚢胞性卵巣腫瘍（卵巣嚢腫）と硬い塊が大きくなる充実性卵巣腫瘍の2つに分類され、放置しておくとがんになる恐れがあります。また、卵巣嚢腫が小さいうちは自覚症状がなく、大きくなった時におなかの張りなどで見つかることもあります。原因が分からず、妊娠してから発見すると治療が難しくなるため、婦人科へ定期検査をお勧めいたします。当院でのご受診をご希望の場合は、ご予約をお取りの上、クリニックにご受"&amp;"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f>
        <v>卵巣嚢腫とは、通常月経がある方では子宮が親指くらいの大きさですが、大きく腫れた状態を卵巣腫瘍といいます。腫瘍の中に液体がたまる嚢胞性卵巣腫瘍（卵巣嚢腫）と硬い塊が大きくなる充実性卵巣腫瘍の2つに分類され、放置しておくとがんになる恐れがあります。また、卵巣嚢腫が小さいうちは自覚症状がなく、大きくなった時におなかの張りなどで見つかることもあります。原因が分からず、妊娠してから発見すると治療が難しくなるため、婦人科へ定期検査をお勧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898" s="31" t="str">
        <f>IFERROR(__xludf.DUMMYFUNCTION("""COMPUTED_VALUE"""),"婦人科疾患")</f>
        <v>婦人科疾患</v>
      </c>
      <c r="D898" s="31" t="str">
        <f>IFERROR(__xludf.DUMMYFUNCTION("""COMPUTED_VALUE"""),"卵巣嚢腫,卵巣腫瘍,お腹の張り,定期検査")</f>
        <v>卵巣嚢腫,卵巣腫瘍,お腹の張り,定期検査</v>
      </c>
      <c r="E898" s="31"/>
    </row>
    <row r="899">
      <c r="A899" s="31" t="str">
        <f>IFERROR(__xludf.DUMMYFUNCTION("""COMPUTED_VALUE"""),"低用量ピルの服用規定に反している為、服用できないが他の方法でPMS・月経痛を抑えるのとは可能ですか")</f>
        <v>低用量ピルの服用規定に反している為、服用できないが他の方法でPMS・月経痛を抑えるのとは可能ですか</v>
      </c>
      <c r="B899" s="31" t="str">
        <f>IFERROR(__xludf.DUMMYFUNCTION("""COMPUTED_VALUE"""),"低用量ピルの服用規定に反している内容にもよりますが、「ミレーナ」、「ジェノゲスト」、「漢方」を活用してみるのもよいかと思います。オンライン診療では視診が難しいため、一度医師・看護師にご相談される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amp;"恐れ入りますが、当院では乳房に関する診療（乳がん検診・乳腺外来など）、更年期障害の治療、不妊治療、体重100kg以上の方への診療、救急対応（緊急搬送・急性期対応）は行っておりませんのであらかじめご了承くださいませ。")</f>
        <v>低用量ピルの服用規定に反している内容にもよりますが、「ミレーナ」、「ジェノゲスト」、「漢方」を活用してみるのもよいかと思います。オンライン診療では視診が難しいため、一度医師・看護師にご相談される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899" s="31" t="str">
        <f>IFERROR(__xludf.DUMMYFUNCTION("""COMPUTED_VALUE"""),"PMS・月経痛")</f>
        <v>PMS・月経痛</v>
      </c>
      <c r="D899" s="31" t="str">
        <f>IFERROR(__xludf.DUMMYFUNCTION("""COMPUTED_VALUE"""),"低用量ピル不可,ミレーナ,ジェノゲスト,漢方,PMS,月経痛")</f>
        <v>低用量ピル不可,ミレーナ,ジェノゲスト,漢方,PMS,月経痛</v>
      </c>
      <c r="E899" s="31"/>
    </row>
    <row r="900">
      <c r="A900" s="31" t="str">
        <f>IFERROR(__xludf.DUMMYFUNCTION("""COMPUTED_VALUE"""),"ルナレディースクリニックで検査した結果が確認できない")</f>
        <v>ルナレディースクリニックで検査した結果が確認できない</v>
      </c>
      <c r="B900" s="31" t="str">
        <f>IFERROR(__xludf.DUMMYFUNCTION("""COMPUTED_VALUE"""),"クリックで検査した結果は基本的にオンラインで確認が可能でございます。一部血液検査・子宮頸がん等の結果はご来院頂いての結果通知になります。ご了承ください。当院では、診察券が無いため領収書にて患者番号のご確認をお願いします。")</f>
        <v>クリックで検査した結果は基本的にオンラインで確認が可能でございます。一部血液検査・子宮頸がん等の結果はご来院頂いての結果通知になります。ご了承ください。当院では、診察券が無いため領収書にて患者番号のご確認をお願いします。</v>
      </c>
      <c r="C900" s="31" t="str">
        <f>IFERROR(__xludf.DUMMYFUNCTION("""COMPUTED_VALUE"""),"検査・結果確認")</f>
        <v>検査・結果確認</v>
      </c>
      <c r="D900" s="31" t="str">
        <f>IFERROR(__xludf.DUMMYFUNCTION("""COMPUTED_VALUE"""),"検査結果,オンライン,血液検査,子宮頸がん,診察券番号")</f>
        <v>検査結果,オンライン,血液検査,子宮頸がん,診察券番号</v>
      </c>
      <c r="E900" s="31"/>
    </row>
    <row r="901">
      <c r="A901" s="31" t="str">
        <f>IFERROR(__xludf.DUMMYFUNCTION("""COMPUTED_VALUE"""),"PMS異常であるが妊娠も考えている")</f>
        <v>PMS異常であるが妊娠も考えている</v>
      </c>
      <c r="B901" s="31" t="str">
        <f>IFERROR(__xludf.DUMMYFUNCTION("""COMPUTED_VALUE"""),"ご妊娠を考えているのであれば、低用量ピルの服用はおすすめしておりません。漢方を服用することで、PMSを軽減することが可能な場合もございます。一度婦人科をご受診の上、医師にご相談ください。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amp;"る診療（乳がん検診・乳腺外来など）、更年期障害の治療、不妊治療、体重100kg以上の方への診療、救急対応（緊急搬送・急性期対応）は行っておりませんのであらかじめご了承くださいませ。")</f>
        <v>ご妊娠を考えているのであれば、低用量ピルの服用はおすすめしておりません。漢方を服用することで、PMSを軽減することが可能な場合もございます。一度婦人科をご受診の上、医師にご相談ください。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901" s="31" t="str">
        <f>IFERROR(__xludf.DUMMYFUNCTION("""COMPUTED_VALUE"""),"PMS・妊娠")</f>
        <v>PMS・妊娠</v>
      </c>
      <c r="D901" s="31" t="str">
        <f>IFERROR(__xludf.DUMMYFUNCTION("""COMPUTED_VALUE"""),"妊娠希望,PMS,低用量ピル,漢方,受診")</f>
        <v>妊娠希望,PMS,低用量ピル,漢方,受診</v>
      </c>
      <c r="E901" s="31"/>
    </row>
    <row r="902">
      <c r="A902" s="31" t="str">
        <f>IFERROR(__xludf.DUMMYFUNCTION("""COMPUTED_VALUE"""),"月経前不快気分障害とは/PMDDとは")</f>
        <v>月経前不快気分障害とは/PMDDとは</v>
      </c>
      <c r="B902" s="31" t="str">
        <f>IFERROR(__xludf.DUMMYFUNCTION("""COMPUTED_VALUE"""),"月経が始まる2週間前ごろから心身が不安定でとてもつらい状態を「月経前症候群（PMS）」といいます。
その中でも心の不安定さが際立って強く出てしまう場合は「月経前不快気分障害（PMDD）」と診断されます。
PMDDは抑うつ気分、不安・緊張、情緒不安定、怒り・イライラの4症状が中心で、食行動の変化や睡眠障害などの特徴的な症状が月経前に
出現することで社会活動や人間関係に支障をきたします。
低用量ピルや漢方を用いて治療を行います。
低用量ピルの処方はオンラインでも可能ですが、あまりにもひどい場合には一度医師ま"&amp;"たは看護師にご相談をおすすめいたします。
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amp;"んのであらかじめご了承くださいませ。")</f>
        <v>月経が始まる2週間前ごろから心身が不安定でとてもつらい状態を「月経前症候群（PMS）」といいます。
その中でも心の不安定さが際立って強く出てしまう場合は「月経前不快気分障害（PMDD）」と診断されます。
PMDDは抑うつ気分、不安・緊張、情緒不安定、怒り・イライラの4症状が中心で、食行動の変化や睡眠障害などの特徴的な症状が月経前に
出現することで社会活動や人間関係に支障をきたします。
低用量ピルや漢方を用いて治療を行います。
低用量ピルの処方はオンラインでも可能ですが、あまりにもひどい場合には一度医師または看護師にご相談をおすすめいたします。
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902" s="31" t="str">
        <f>IFERROR(__xludf.DUMMYFUNCTION("""COMPUTED_VALUE"""),"PMS・PMDD")</f>
        <v>PMS・PMDD</v>
      </c>
      <c r="D902" s="31" t="str">
        <f>IFERROR(__xludf.DUMMYFUNCTION("""COMPUTED_VALUE"""),"PMDD,PMS,月経前,抑うつ,不安,イライラ,治療")</f>
        <v>PMDD,PMS,月経前,抑うつ,不安,イライラ,治療</v>
      </c>
      <c r="E902" s="31"/>
    </row>
    <row r="903">
      <c r="A903" s="31" t="str">
        <f>IFERROR(__xludf.DUMMYFUNCTION("""COMPUTED_VALUE"""),"膣剤の使用をやめたら症状が再燃")</f>
        <v>膣剤の使用をやめたら症状が再燃</v>
      </c>
      <c r="B903" s="31" t="str">
        <f>IFERROR(__xludf.DUMMYFUNCTION("""COMPUTED_VALUE"""),"カンジダ（クロトリマゾール）や一般細菌（フラジール膣剤）のお薬を使用された後に症状が再発している場合、医師の判断により別のお薬に変更する必要があることもございま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amp;"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
【乳酸桿菌】膣に直接的に入れることで、繰り返すカンジダ、膀胱炎、細菌の増殖によるおりもの異常に直接アプローチが可能でございます。また、継続的に使用することでより予防効果が効果が高まります。乳酸桿菌の定期配送は以下のURLより、ご購入が可能です。ご検討下さい。http"&amp;"s://shop.luna-dr.com/products/lactobacillus")</f>
        <v>カンジダ（クロトリマゾール）や一般細菌（フラジール膣剤）のお薬を使用された後に症状が再発している場合、医師の判断により別のお薬に変更する必要があることもございま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
【乳酸桿菌】膣に直接的に入れることで、繰り返すカンジダ、膀胱炎、細菌の増殖によるおりもの異常に直接アプローチが可能でございます。また、継続的に使用することでより予防効果が効果が高まります。乳酸桿菌の定期配送は以下のURLより、ご購入が可能です。ご検討下さい。https://shop.luna-dr.com/products/lactobacillus</v>
      </c>
      <c r="C903" s="31" t="str">
        <f>IFERROR(__xludf.DUMMYFUNCTION("""COMPUTED_VALUE"""),"おりもの・再発")</f>
        <v>おりもの・再発</v>
      </c>
      <c r="D903" s="31" t="str">
        <f>IFERROR(__xludf.DUMMYFUNCTION("""COMPUTED_VALUE"""),"膣剤,再燃,カンジダ,フラジール,乳酸桿菌,再発")</f>
        <v>膣剤,再燃,カンジダ,フラジール,乳酸桿菌,再発</v>
      </c>
      <c r="E903" s="31"/>
    </row>
    <row r="904">
      <c r="A904" s="31" t="str">
        <f>IFERROR(__xludf.DUMMYFUNCTION("""COMPUTED_VALUE"""),"カンジダが陰性であったが、性病の抗生剤を使用したらカンジダの症状（おりもの異常）になった")</f>
        <v>カンジダが陰性であったが、性病の抗生剤を使用したらカンジダの症状（おりもの異常）になった</v>
      </c>
      <c r="B904" s="31" t="str">
        <f>IFERROR(__xludf.DUMMYFUNCTION("""COMPUTED_VALUE"""),"性病の抗生剤を服用することで、膣内の免疫が低下し、カンジダになる場合がございます。カンジダの症状（チーズのポロポロとしたおりもの・臭いなど）がある場合には、医師の判断でお薬の処方が可能でございま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amp;"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f>
        <v>性病の抗生剤を服用することで、膣内の免疫が低下し、カンジダになる場合がございます。カンジダの症状（チーズのポロポロとしたおりもの・臭いなど）がある場合には、医師の判断でお薬の処方が可能でございま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904" s="31" t="str">
        <f>IFERROR(__xludf.DUMMYFUNCTION("""COMPUTED_VALUE"""),"おりもの・副作用")</f>
        <v>おりもの・副作用</v>
      </c>
      <c r="D904" s="31" t="str">
        <f>IFERROR(__xludf.DUMMYFUNCTION("""COMPUTED_VALUE"""),"抗生剤,カンジダ,おりもの異常,免疫低下")</f>
        <v>抗生剤,カンジダ,おりもの異常,免疫低下</v>
      </c>
      <c r="E904" s="31"/>
    </row>
    <row r="905">
      <c r="A905" s="31" t="str">
        <f>IFERROR(__xludf.DUMMYFUNCTION("""COMPUTED_VALUE"""),"カンジダの症状があるのでお薬が欲しい")</f>
        <v>カンジダの症状があるのでお薬が欲しい</v>
      </c>
      <c r="B905" s="31" t="str">
        <f>IFERROR(__xludf.DUMMYFUNCTION("""COMPUTED_VALUE"""),"症状のみでの判断は難しいため、状況の確認が必要です。オンライン診療では視診ができかねますので、ご予約のうえクリニックにご受診ください。受診のご予約はLINEで受け付けています。LINEはこちら→https://cline-app.com/qr-codes/98ad6f149bfa20f4f2a9a2e91aac4187/preview")</f>
        <v>症状のみでの判断は難しいため、状況の確認が必要です。オンライン診療では視診ができかねますので、ご予約のうえクリニックにご受診ください。受診のご予約はLINEで受け付けています。LINEはこちら→https://cline-app.com/qr-codes/98ad6f149bfa20f4f2a9a2e91aac4187/preview</v>
      </c>
      <c r="C905" s="31" t="str">
        <f>IFERROR(__xludf.DUMMYFUNCTION("""COMPUTED_VALUE"""),"おりもの・カンジダ")</f>
        <v>おりもの・カンジダ</v>
      </c>
      <c r="D905" s="31" t="str">
        <f>IFERROR(__xludf.DUMMYFUNCTION("""COMPUTED_VALUE"""),"カンジダ,症状,薬,視診,受診")</f>
        <v>カンジダ,症状,薬,視診,受診</v>
      </c>
      <c r="E905" s="31"/>
    </row>
    <row r="906">
      <c r="A906" s="31" t="str">
        <f>IFERROR(__xludf.DUMMYFUNCTION("""COMPUTED_VALUE"""),"陰部にできものがある")</f>
        <v>陰部にできものがある</v>
      </c>
      <c r="B906" s="31" t="str">
        <f>IFERROR(__xludf.DUMMYFUNCTION("""COMPUTED_VALUE"""),"陰部にできものがあるとのことから考えられることは、性器ヘルペス・細菌増殖・尖圭コンジローマなどの性感染症です。オンライン診療では視診が必要な診断、処方ができかねま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amp;"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f>
        <v>陰部にできものがあるとのことから考えられることは、性器ヘルペス・細菌増殖・尖圭コンジローマなどの性感染症です。オンライン診療では視診が必要な診断、処方ができかねま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906" s="31" t="str">
        <f>IFERROR(__xludf.DUMMYFUNCTION("""COMPUTED_VALUE"""),"症状・できもの")</f>
        <v>症状・できもの</v>
      </c>
      <c r="D906" s="31" t="str">
        <f>IFERROR(__xludf.DUMMYFUNCTION("""COMPUTED_VALUE"""),"陰部,できもの,ヘルペス,尖圭コンジローマ,性病")</f>
        <v>陰部,できもの,ヘルペス,尖圭コンジローマ,性病</v>
      </c>
      <c r="E906" s="31"/>
    </row>
    <row r="907">
      <c r="A907" s="31" t="str">
        <f>IFERROR(__xludf.DUMMYFUNCTION("""COMPUTED_VALUE"""),"性病のお薬を服用/使用したら治りますか？")</f>
        <v>性病のお薬を服用/使用したら治りますか？</v>
      </c>
      <c r="B907" s="31" t="str">
        <f>IFERROR(__xludf.DUMMYFUNCTION("""COMPUTED_VALUE"""),"抗生剤を服用すると性病に対して、基本的には効果があります。ですが、稀に耐性菌という患者様や抗生剤の相性、また感染してから時間が経過している場合には、通常量の抗生剤や種類では完治しない場合もございます。抗生剤の服用終了2週間後に再検査をしていただき、陰性の確認ができるまで何度も治療を行う場合がございます。また、その間は治療中扱いとなりますので、性行為はお控えください。")</f>
        <v>抗生剤を服用すると性病に対して、基本的には効果があります。ですが、稀に耐性菌という患者様や抗生剤の相性、また感染してから時間が経過している場合には、通常量の抗生剤や種類では完治しない場合もございます。抗生剤の服用終了2週間後に再検査をしていただき、陰性の確認ができるまで何度も治療を行う場合がございます。また、その間は治療中扱いとなりますので、性行為はお控えください。</v>
      </c>
      <c r="C907" s="31" t="str">
        <f>IFERROR(__xludf.DUMMYFUNCTION("""COMPUTED_VALUE"""),"性病治療")</f>
        <v>性病治療</v>
      </c>
      <c r="D907" s="31" t="str">
        <f>IFERROR(__xludf.DUMMYFUNCTION("""COMPUTED_VALUE"""),"性病,抗生剤,耐性菌,再検査,陰性確認")</f>
        <v>性病,抗生剤,耐性菌,再検査,陰性確認</v>
      </c>
      <c r="E907" s="31"/>
    </row>
    <row r="908">
      <c r="A908" s="31" t="str">
        <f>IFERROR(__xludf.DUMMYFUNCTION("""COMPUTED_VALUE"""),"おりものが完全にない")</f>
        <v>おりものが完全にない</v>
      </c>
      <c r="B908" s="31" t="str">
        <f>IFERROR(__xludf.DUMMYFUNCTION("""COMPUTED_VALUE"""),"おりものが完全に無くなる主な原因として、ストレスや疲労が考えられます。ですが、何らかの疾患が原因の場合もありますので、受診していただくことをお勧めいたしま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am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f>
        <v>おりものが完全に無くなる主な原因として、ストレスや疲労が考えられます。ですが、何らかの疾患が原因の場合もありますので、受診していただくことをお勧めいたしま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908" s="31" t="str">
        <f>IFERROR(__xludf.DUMMYFUNCTION("""COMPUTED_VALUE"""),"おりもの異常")</f>
        <v>おりもの異常</v>
      </c>
      <c r="D908" s="31" t="str">
        <f>IFERROR(__xludf.DUMMYFUNCTION("""COMPUTED_VALUE"""),"おりものなし,ストレス,疲労,疾患,受診")</f>
        <v>おりものなし,ストレス,疲労,疾患,受診</v>
      </c>
      <c r="E908" s="31"/>
    </row>
    <row r="909">
      <c r="A909" s="31" t="str">
        <f>IFERROR(__xludf.DUMMYFUNCTION("""COMPUTED_VALUE"""),"我慢汁（ガウパー液）にて妊娠する可能性はありますか？")</f>
        <v>我慢汁（ガウパー液）にて妊娠する可能性はありますか？</v>
      </c>
      <c r="B909" s="31" t="str">
        <f>IFERROR(__xludf.DUMMYFUNCTION("""COMPUTED_VALUE"""),"我慢汁（ガウパー液）にて妊娠する可能性はございます。なぜなら、我慢汁に精子は含まれず生殖能力はないものの、我慢汁に精子が混ざる可能性があるからです。ご不安な場合はオンライン診療にてアフターピル服用をご検討下さい（性行為後120時間以内）。性行為から120時間過ぎている場合は妊娠検査薬をご使用ください。妊娠検査薬は性行為から3週間後に検査し、月経予定日になっても月経が来なければ再検査をお願いいたします。")</f>
        <v>我慢汁（ガウパー液）にて妊娠する可能性はございます。なぜなら、我慢汁に精子は含まれず生殖能力はないものの、我慢汁に精子が混ざる可能性があるからです。ご不安な場合はオンライン診療にてアフターピル服用をご検討下さい（性行為後120時間以内）。性行為から120時間過ぎている場合は妊娠検査薬をご使用ください。妊娠検査薬は性行為から3週間後に検査し、月経予定日になっても月経が来なければ再検査をお願いいたします。</v>
      </c>
      <c r="C909" s="31" t="str">
        <f>IFERROR(__xludf.DUMMYFUNCTION("""COMPUTED_VALUE"""),"妊娠リスク")</f>
        <v>妊娠リスク</v>
      </c>
      <c r="D909" s="31" t="str">
        <f>IFERROR(__xludf.DUMMYFUNCTION("""COMPUTED_VALUE"""),"我慢汁,ガウパー液,妊娠,アフターピル,妊娠検査薬")</f>
        <v>我慢汁,ガウパー液,妊娠,アフターピル,妊娠検査薬</v>
      </c>
      <c r="E909" s="31"/>
    </row>
    <row r="910">
      <c r="A910" s="31" t="str">
        <f>IFERROR(__xludf.DUMMYFUNCTION("""COMPUTED_VALUE"""),"PMS診断は可能ですか？")</f>
        <v>PMS診断は可能ですか？</v>
      </c>
      <c r="B910" s="31" t="str">
        <f>IFERROR(__xludf.DUMMYFUNCTION("""COMPUTED_VALUE"""),"PMS診断は問診、血液検査、尿検査、内診、超音波検査を行い、その後医師とPMSを改善させるためのプランをご提案いたしております。
オンライン診療では視診が難しいため、一度医師または看護師にご相談されることをおすすめいたします。
当院でのご受診をご希望の場合は、ご予約をお取りの上、クリニックにご受診ください。受診のご予約はLINEで受け付けています。LINEはこちら→https://cline-app.com/qr-codes/98ad6f149bfa20f4f2a9a2e91aac4187/previe"&amp;"w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f>
        <v>PMS診断は問診、血液検査、尿検査、内診、超音波検査を行い、その後医師とPMSを改善させるためのプランをご提案いたしております。
オンライン診療では視診が難しいため、一度医師または看護師にご相談されることをおすすめいたします。
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910" s="31" t="str">
        <f>IFERROR(__xludf.DUMMYFUNCTION("""COMPUTED_VALUE"""),"PMS・診断")</f>
        <v>PMS・診断</v>
      </c>
      <c r="D910" s="31" t="str">
        <f>IFERROR(__xludf.DUMMYFUNCTION("""COMPUTED_VALUE"""),"PMS,診断,問診,血液検査,尿検査,内診,超音波")</f>
        <v>PMS,診断,問診,血液検査,尿検査,内診,超音波</v>
      </c>
      <c r="E910" s="31"/>
    </row>
    <row r="911">
      <c r="A911" s="31" t="str">
        <f>IFERROR(__xludf.DUMMYFUNCTION("""COMPUTED_VALUE"""),"生理前後の胸が張る症状が続く")</f>
        <v>生理前後の胸が張る症状が続く</v>
      </c>
      <c r="B911" s="31" t="str">
        <f>IFERROR(__xludf.DUMMYFUNCTION("""COMPUTED_VALUE"""),"胸の張る原因としては一時的なホルモンバランスの乱れで様子を見てもらっても良い場合もあります。ただ、乳腺炎などの疾患によって張っている可能性もあります。そのため、症状が続くようであれば、一度受診していただくことをお勧めいたします。当院は胸部に関する診療ができないため、お手数をおかけしますが、お近くの婦人科にてご相談ください。")</f>
        <v>胸の張る原因としては一時的なホルモンバランスの乱れで様子を見てもらっても良い場合もあります。ただ、乳腺炎などの疾患によって張っている可能性もあります。そのため、症状が続くようであれば、一度受診していただくことをお勧めいたします。当院は胸部に関する診療ができないため、お手数をおかけしますが、お近くの婦人科にてご相談ください。</v>
      </c>
      <c r="C911" s="31" t="str">
        <f>IFERROR(__xludf.DUMMYFUNCTION("""COMPUTED_VALUE"""),"PMS・月経関連")</f>
        <v>PMS・月経関連</v>
      </c>
      <c r="D911" s="31" t="str">
        <f>IFERROR(__xludf.DUMMYFUNCTION("""COMPUTED_VALUE"""),"胸が張る,胸の痛み,乳房の張り,生理前,生理後,PMS,ホルモンバランス,乳腺炎,受診目安")</f>
        <v>胸が張る,胸の痛み,乳房の張り,生理前,生理後,PMS,ホルモンバランス,乳腺炎,受診目安</v>
      </c>
      <c r="E911" s="31"/>
    </row>
    <row r="912">
      <c r="A912" s="31" t="str">
        <f>IFERROR(__xludf.DUMMYFUNCTION("""COMPUTED_VALUE"""),"卵巣膿腫とは")</f>
        <v>卵巣膿腫とは</v>
      </c>
      <c r="B912" s="31" t="str">
        <f>IFERROR(__xludf.DUMMYFUNCTION("""COMPUTED_VALUE"""),"卵巣膿腫とは、卵巣内またはその周辺にできる液体が溜まった嚢細胞のことを指します。卵巣膿腫の主な原因には、感染炎症が関与している場合が多く、特に骨盤内の感染症などが卵巣や卵管に広がることで発症することがあります。また、卵管が感染症により閉塞し、膿が溜まることで卵管膿腫としても知られます。超音波検査やCT、MRIなどの画像診断がよく用いられます。小さな膿腫であれば自然に治癒することもありますが、大きなものや症状が重い場合、特に感染がある場合には抗生物質の投与や、場合によっては手術による排膿や嚢細胞の除去が必要"&amp;"になる場合があります。オンライン診療では視診が難しいため一度医師・看護師にご相談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amp;"の方への診療、救急対応（緊急搬送・急性期対応）は行っておりませんのであらかじめご了承くださいませ。")</f>
        <v>卵巣膿腫とは、卵巣内またはその周辺にできる液体が溜まった嚢細胞のことを指します。卵巣膿腫の主な原因には、感染炎症が関与している場合が多く、特に骨盤内の感染症などが卵巣や卵管に広がることで発症することがあります。また、卵管が感染症により閉塞し、膿が溜まることで卵管膿腫としても知られます。超音波検査やCT、MRIなどの画像診断がよく用いられます。小さな膿腫であれば自然に治癒することもありますが、大きなものや症状が重い場合、特に感染がある場合には抗生物質の投与や、場合によっては手術による排膿や嚢細胞の除去が必要になる場合があります。オンライン診療では視診が難しいため一度医師・看護師にご相談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912" s="31" t="str">
        <f>IFERROR(__xludf.DUMMYFUNCTION("""COMPUTED_VALUE"""),"婦人科疾患（卵巣・卵管）")</f>
        <v>婦人科疾患（卵巣・卵管）</v>
      </c>
      <c r="D912" s="31" t="str">
        <f>IFERROR(__xludf.DUMMYFUNCTION("""COMPUTED_VALUE"""),"卵巣膿腫,卵管膿腫,骨盤内感染,感染,炎症,超音波,CT,MRI,抗生物質,手術,受診")</f>
        <v>卵巣膿腫,卵管膿腫,骨盤内感染,感染,炎症,超音波,CT,MRI,抗生物質,手術,受診</v>
      </c>
      <c r="E912" s="31"/>
    </row>
    <row r="913">
      <c r="A913" s="31" t="str">
        <f>IFERROR(__xludf.DUMMYFUNCTION("""COMPUTED_VALUE"""),"着床出血とは")</f>
        <v>着床出血とは</v>
      </c>
      <c r="B913" s="31" t="str">
        <f>IFERROR(__xludf.DUMMYFUNCTION("""COMPUTED_VALUE"""),"着床出血とは、受精卵が着床する際に子宮内膜の血管を傷つけてしまうために起こる少量の出血のことです。着床出血が起こる時期は妊娠4週頃とされています。残念ながら、出血のみで着床出血かの判断は難しいです。よって、可能性のある性交渉から3週間後にご自身で妊娠検査薬を行っていただき、妊娠しているかの判断をしていただくことになります。妊娠検査薬は性行為から3週間後に検査いただき、この時点では妊娠をしていても陰性の可能性がございますので月経予定日になっても月経が来なければ再検査をお願いいたします。")</f>
        <v>着床出血とは、受精卵が着床する際に子宮内膜の血管を傷つけてしまうために起こる少量の出血のことです。着床出血が起こる時期は妊娠4週頃とされています。残念ながら、出血のみで着床出血かの判断は難しいです。よって、可能性のある性交渉から3週間後にご自身で妊娠検査薬を行っていただき、妊娠しているかの判断をしていただくことになります。妊娠検査薬は性行為から3週間後に検査いただき、この時点では妊娠をしていても陰性の可能性がございますので月経予定日になっても月経が来なければ再検査をお願いいたします。</v>
      </c>
      <c r="C913" s="31" t="str">
        <f>IFERROR(__xludf.DUMMYFUNCTION("""COMPUTED_VALUE"""),"妊娠・妊娠判定")</f>
        <v>妊娠・妊娠判定</v>
      </c>
      <c r="D913" s="31" t="str">
        <f>IFERROR(__xludf.DUMMYFUNCTION("""COMPUTED_VALUE"""),"着床出血,妊娠初期,少量出血,茶色い出血,妊娠4週,妊娠検査薬,いつから,性行為3週間後,陰性,再検査")</f>
        <v>着床出血,妊娠初期,少量出血,茶色い出血,妊娠4週,妊娠検査薬,いつから,性行為3週間後,陰性,再検査</v>
      </c>
      <c r="E913" s="31"/>
    </row>
    <row r="914">
      <c r="A914" s="31" t="str">
        <f>IFERROR(__xludf.DUMMYFUNCTION("""COMPUTED_VALUE"""),"尖圭コンジローマ治療後に症状が出た/ベセルナクリームによって症状が出た")</f>
        <v>尖圭コンジローマ治療後に症状が出た/ベセルナクリームによって症状が出た</v>
      </c>
      <c r="B914" s="31" t="str">
        <f>IFERROR(__xludf.DUMMYFUNCTION("""COMPUTED_VALUE"""),"ベセルナクリームとは尖圭コンジローマの治療に用いるお薬で、2日おきにお風呂上り清潔な状態で使用、朝に洗い流す塗薬でございます。今一度使用方法に誤りが無いか、ご確認をお願い致します。症状が治まらない場合は直ちに使用を中断し、シャワーで洗い流してください。オンライン診療では視診が難しいためかかりつけ医にご相談ください。当院での処方歴がある場合は、ご予約をお取りの上、クリニックにご受診下さい。受診のご予約はLINEで受け付けています。LINEはこちら→https://cline-app.com/qr-codes"&amp;"/98ad6f149bfa20f4f2a9a2e91aac4187/preview")</f>
        <v>ベセルナクリームとは尖圭コンジローマの治療に用いるお薬で、2日おきにお風呂上り清潔な状態で使用、朝に洗い流す塗薬でございます。今一度使用方法に誤りが無いか、ご確認をお願い致します。症状が治まらない場合は直ちに使用を中断し、シャワーで洗い流してください。オンライン診療では視診が難しいためかかりつけ医にご相談ください。当院での処方歴がある場合は、ご予約をお取りの上、クリニックにご受診下さい。受診のご予約はLINEで受け付けています。LINEはこちら→https://cline-app.com/qr-codes/98ad6f149bfa20f4f2a9a2e91aac4187/preview</v>
      </c>
      <c r="C914" s="31" t="str">
        <f>IFERROR(__xludf.DUMMYFUNCTION("""COMPUTED_VALUE"""),"性感染症（HPV/いぼ）・薬の使い方")</f>
        <v>性感染症（HPV/いぼ）・薬の使い方</v>
      </c>
      <c r="D914" s="31" t="str">
        <f>IFERROR(__xludf.DUMMYFUNCTION("""COMPUTED_VALUE"""),"尖圭コンジローマ,ベセルナ,イミキモド,塗り薬,副作用,ヒリヒリ,赤み,使い方,洗い流す,中止,受診")</f>
        <v>尖圭コンジローマ,ベセルナ,イミキモド,塗り薬,副作用,ヒリヒリ,赤み,使い方,洗い流す,中止,受診</v>
      </c>
      <c r="E914" s="31"/>
    </row>
    <row r="915">
      <c r="A915" s="31" t="str">
        <f>IFERROR(__xludf.DUMMYFUNCTION("""COMPUTED_VALUE"""),"性行為後による下痢は妊娠の可能性があるか")</f>
        <v>性行為後による下痢は妊娠の可能性があるか</v>
      </c>
      <c r="B915" s="31" t="str">
        <f>IFERROR(__xludf.DUMMYFUNCTION("""COMPUTED_VALUE"""),"妊娠したことで便の調子が変わるという可能性はもちろんございますが、下痢をした＝妊娠したということにはならないと考えられます。妊娠したかどうかについては、妊娠検査薬を使用していただくのが確実です。また、下痢については食べ物や他の原因でなることも考えられますので、長く続き症状が気になるようであれば、消化器内科への受診をおすすめいたします。また、妊娠をご希望されない場合は、性行為から120時間以内であればアフターピルを内服するという選択肢もございます。オンラインで処方が可能でございますので、ご検討ください。妊娠"&amp;"検査薬は性行為から3週間後に検査いただき、この時点では妊娠をしていても陰性の可能性がございますので月経予定日になっても月経が来なければ再検査をお願いいたします。")</f>
        <v>妊娠したことで便の調子が変わるという可能性はもちろんございますが、下痢をした＝妊娠したということにはならないと考えられます。妊娠したかどうかについては、妊娠検査薬を使用していただくのが確実です。また、下痢については食べ物や他の原因でなることも考えられますので、長く続き症状が気になるようであれば、消化器内科への受診をおすすめいたします。また、妊娠をご希望されない場合は、性行為から120時間以内であればアフターピルを内服するという選択肢もございます。オンラインで処方が可能でございますので、ご検討ください。妊娠検査薬は性行為から3週間後に検査いただき、この時点では妊娠をしていても陰性の可能性がございますので月経予定日になっても月経が来なければ再検査をお願いいたします。</v>
      </c>
      <c r="C915" s="31" t="str">
        <f>IFERROR(__xludf.DUMMYFUNCTION("""COMPUTED_VALUE"""),"妊娠不安・アフターピル/検査")</f>
        <v>妊娠不安・アフターピル/検査</v>
      </c>
      <c r="D915" s="31" t="str">
        <f>IFERROR(__xludf.DUMMYFUNCTION("""COMPUTED_VALUE"""),"性行為後,下痢,妊娠初期症状,妊娠の可能性,妊娠検査薬,性行為3週間後,アフターピル,120時間,避妊失敗")</f>
        <v>性行為後,下痢,妊娠初期症状,妊娠の可能性,妊娠検査薬,性行為3週間後,アフターピル,120時間,避妊失敗</v>
      </c>
      <c r="E915" s="31"/>
    </row>
    <row r="916">
      <c r="A916" s="31" t="str">
        <f>IFERROR(__xludf.DUMMYFUNCTION("""COMPUTED_VALUE"""),"膣外射精でも妊娠の可能性はありますか")</f>
        <v>膣外射精でも妊娠の可能性はありますか</v>
      </c>
      <c r="B916" s="31" t="str">
        <f>IFERROR(__xludf.DUMMYFUNCTION("""COMPUTED_VALUE"""),"膣外射精であっても妊娠の可能性はございます。なぜなら、膣外に出したつもりでも、無意識に膣内に出してしまっている方もいるからです。射精の妊娠率は22％、ピル服用による避妊確率は99.7％と言われます。また、妊娠をご希望されない場合は、性行為から120時間以内であればアフターピルを内服するという選択肢もございます。オンラインで処方が可能でございますので、ご検討ください。性行為から120時間が過ぎている場合はアフターピルの使用ができないため、妊娠検査薬にてご確認ください。妊娠検査薬は性行為から3週間後に検査いた"&amp;"だき、この時点では妊娠をしていても陰性の可能性がございますので月経予定日になっても月経が来なければ再検査をお願いいたします。")</f>
        <v>膣外射精であっても妊娠の可能性はございます。なぜなら、膣外に出したつもりでも、無意識に膣内に出してしまっている方もいるからです。射精の妊娠率は22％、ピル服用による避妊確率は99.7％と言われます。また、妊娠をご希望されない場合は、性行為から120時間以内であればアフターピルを内服するという選択肢もございます。オンラインで処方が可能でございますので、ご検討ください。性行為から120時間が過ぎている場合はアフターピルの使用ができないため、妊娠検査薬にてご確認ください。妊娠検査薬は性行為から3週間後に検査いただき、この時点では妊娠をしていても陰性の可能性がございますので月経予定日になっても月経が来なければ再検査をお願いいたします。</v>
      </c>
      <c r="C916" s="31" t="str">
        <f>IFERROR(__xludf.DUMMYFUNCTION("""COMPUTED_VALUE"""),"避妊・妊娠不安")</f>
        <v>避妊・妊娠不安</v>
      </c>
      <c r="D916" s="31" t="str">
        <f>IFERROR(__xludf.DUMMYFUNCTION("""COMPUTED_VALUE"""),"膣外射精,外出し,妊娠確率,妊娠の可能性,避妊失敗,アフターピル,120時間,妊娠検査薬,性行為3週間後")</f>
        <v>膣外射精,外出し,妊娠確率,妊娠の可能性,避妊失敗,アフターピル,120時間,妊娠検査薬,性行為3週間後</v>
      </c>
      <c r="E916" s="31"/>
    </row>
    <row r="917">
      <c r="A917" s="31" t="str">
        <f>IFERROR(__xludf.DUMMYFUNCTION("""COMPUTED_VALUE"""),"妊娠が可能なのか確認をしたい")</f>
        <v>妊娠が可能なのか確認をしたい</v>
      </c>
      <c r="B917" s="31" t="str">
        <f>IFERROR(__xludf.DUMMYFUNCTION("""COMPUTED_VALUE"""),"不妊には様々な原因が考えられます。当院では卵子の活動確認を除くブライダルチェック検査は可能でございます。一度ご自身の状況を確認するためにもブライダルチェック検査をおすすめいたします。※卵巣機能などの不妊に関する診療は出来かねます。ご了承ください。当院での検査はご予約をお取りの上、クリニックにご受診下さい。受診のご予約はLINEで受け付けています。LINEはこちら→https://cline-app.com/qr-codes/98ad6f149bfa20f4f2a9a2e91aac4187/preview
"&amp;"※大変恐縮ですが、当院では、不妊治療は行っていません。不妊治療をご希望の場合は、お近くの婦人科へご相談ください。")</f>
        <v>不妊には様々な原因が考えられます。当院では卵子の活動確認を除くブライダルチェック検査は可能でございます。一度ご自身の状況を確認するためにもブライダルチェック検査をおすすめいたします。※卵巣機能などの不妊に関する診療は出来かねます。ご了承ください。当院での検査はご予約をお取りの上、クリニックにご受診下さい。受診のご予約はLINEで受け付けています。LINEはこちら→https://cline-app.com/qr-codes/98ad6f149bfa20f4f2a9a2e91aac4187/preview
※大変恐縮ですが、当院では、不妊治療は行っていません。不妊治療をご希望の場合は、お近くの婦人科へご相談ください。</v>
      </c>
      <c r="C917" s="31" t="str">
        <f>IFERROR(__xludf.DUMMYFUNCTION("""COMPUTED_VALUE"""),"妊活・不妊の相談/検査")</f>
        <v>妊活・不妊の相談/検査</v>
      </c>
      <c r="D917" s="31" t="str">
        <f>IFERROR(__xludf.DUMMYFUNCTION("""COMPUTED_VALUE"""),"妊娠できるか,不妊検査,ブライダルチェック,妊活,原因,卵巣機能,AMH,受診,予約")</f>
        <v>妊娠できるか,不妊検査,ブライダルチェック,妊活,原因,卵巣機能,AMH,受診,予約</v>
      </c>
      <c r="E917" s="31"/>
    </row>
    <row r="918">
      <c r="A918" s="31" t="str">
        <f>IFERROR(__xludf.DUMMYFUNCTION("""COMPUTED_VALUE"""),"ホットフラッシュとは")</f>
        <v>ホットフラッシュとは</v>
      </c>
      <c r="B918" s="31" t="str">
        <f>IFERROR(__xludf.DUMMYFUNCTION("""COMPUTED_VALUE"""),"ホットフラッシュとは上半身ののぼせ、ほてり、発汗などが起こる、急に顔が熱くなり、汗が止まらなくなったりする症状が一日に何回も出ては消えることを言います。原因は更年期による急激なホルモンの低下によるものです。治療法はホルモン薬や漢方を用いて行います。当院では更年期治療が難しいため、お近くの医療機関にご相談ください。")</f>
        <v>ホットフラッシュとは上半身ののぼせ、ほてり、発汗などが起こる、急に顔が熱くなり、汗が止まらなくなったりする症状が一日に何回も出ては消えることを言います。原因は更年期による急激なホルモンの低下によるものです。治療法はホルモン薬や漢方を用いて行います。当院では更年期治療が難しいため、お近くの医療機関にご相談ください。</v>
      </c>
      <c r="C918" s="31" t="str">
        <f>IFERROR(__xludf.DUMMYFUNCTION("""COMPUTED_VALUE"""),"更年期")</f>
        <v>更年期</v>
      </c>
      <c r="D918" s="31" t="str">
        <f>IFERROR(__xludf.DUMMYFUNCTION("""COMPUTED_VALUE"""),"ホットフラッシュ,のぼせ,ほてり,発汗,更年期,女性ホルモン低下,治療,ホルモン療法,漢方")</f>
        <v>ホットフラッシュ,のぼせ,ほてり,発汗,更年期,女性ホルモン低下,治療,ホルモン療法,漢方</v>
      </c>
      <c r="E918" s="31"/>
    </row>
    <row r="919">
      <c r="A919" s="31" t="str">
        <f>IFERROR(__xludf.DUMMYFUNCTION("""COMPUTED_VALUE"""),"卵管留水腫とは")</f>
        <v>卵管留水腫とは</v>
      </c>
      <c r="B919" s="31" t="str">
        <f>IFERROR(__xludf.DUMMYFUNCTION("""COMPUTED_VALUE"""),"卵管水腫とは卵管に水が溜まって腫れていることを言います。この卵管に溜まっている水が子宮内に流れ込むことによって、子宮内膜に悪影響を及ぼし、着床しない反復着床障害や流産の原因になっていることが指摘されております。オンライン診療では視診が難しいため一度医師・看護師にご相談をおすすめいたします。当院でのご受診をご希望の場合は、ご予約をお取りの上、クリニックにご受診ください。受診のご予約はLINEで受け付けています。LINEはこちら→https://cline-app.com/qr-codes/98ad6f149"&amp;"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f>
        <v>卵管水腫とは卵管に水が溜まって腫れていることを言います。この卵管に溜まっている水が子宮内に流れ込むことによって、子宮内膜に悪影響を及ぼし、着床しない反復着床障害や流産の原因になっていることが指摘されております。オンライン診療では視診が難しいため一度医師・看護師にご相談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919" s="31" t="str">
        <f>IFERROR(__xludf.DUMMYFUNCTION("""COMPUTED_VALUE"""),"妊活・不妊（卵管）")</f>
        <v>妊活・不妊（卵管）</v>
      </c>
      <c r="D919" s="31" t="str">
        <f>IFERROR(__xludf.DUMMYFUNCTION("""COMPUTED_VALUE"""),"卵管水腫,卵管留水腫,卵管,着床障害,反復着床障害,流産,子宮内膜,受診,相談")</f>
        <v>卵管水腫,卵管留水腫,卵管,着床障害,反復着床障害,流産,子宮内膜,受診,相談</v>
      </c>
      <c r="E919" s="31"/>
    </row>
    <row r="920">
      <c r="A920" s="31" t="str">
        <f>IFERROR(__xludf.DUMMYFUNCTION("""COMPUTED_VALUE"""),"注射にて月経を止めることは出来ますか？")</f>
        <v>注射にて月経を止めることは出来ますか？</v>
      </c>
      <c r="B920" s="31" t="str">
        <f>IFERROR(__xludf.DUMMYFUNCTION("""COMPUTED_VALUE"""),"注射にて月経を止める方法は偽閉経（ぎへいけい）療法と呼ばれる治療法です。リュープリン注射は、GnRHアゴニストと呼ばれる薬の一種であり、脳下垂体に働いて排卵を止めます。そのため、排卵が止まるので、生理も止まります。当院にてお取り扱いがないため、お近くの婦人科にご相談ください。")</f>
        <v>注射にて月経を止める方法は偽閉経（ぎへいけい）療法と呼ばれる治療法です。リュープリン注射は、GnRHアゴニストと呼ばれる薬の一種であり、脳下垂体に働いて排卵を止めます。そのため、排卵が止まるので、生理も止まります。当院にてお取り扱いがないため、お近くの婦人科にご相談ください。</v>
      </c>
      <c r="C920" s="31" t="str">
        <f>IFERROR(__xludf.DUMMYFUNCTION("""COMPUTED_VALUE"""),"月経を止める・治療")</f>
        <v>月経を止める・治療</v>
      </c>
      <c r="D920" s="31" t="str">
        <f>IFERROR(__xludf.DUMMYFUNCTION("""COMPUTED_VALUE"""),"生理を止める,注射,偽閉経療法,リュープリン,GnRHアゴニスト,排卵抑制,月経停止,婦人科")</f>
        <v>生理を止める,注射,偽閉経療法,リュープリン,GnRHアゴニスト,排卵抑制,月経停止,婦人科</v>
      </c>
      <c r="E920" s="31"/>
    </row>
    <row r="921">
      <c r="A921" s="31" t="str">
        <f>IFERROR(__xludf.DUMMYFUNCTION("""COMPUTED_VALUE"""),"性行為で膣が裂けた")</f>
        <v>性行為で膣が裂けた</v>
      </c>
      <c r="B921" s="31" t="str">
        <f>IFERROR(__xludf.DUMMYFUNCTION("""COMPUTED_VALUE"""),"膣口が狭く性交で切れてしまうのは、体質のことが原因の場合がありますし、精神的なことが原因の場合もあります。性交痛で検索していただき、その相談を受け付けている婦人科に相談されることをおすすめいたします。")</f>
        <v>膣口が狭く性交で切れてしまうのは、体質のことが原因の場合がありますし、精神的なことが原因の場合もあります。性交痛で検索していただき、その相談を受け付けている婦人科に相談されることをおすすめいたします。</v>
      </c>
      <c r="C921" s="31" t="str">
        <f>IFERROR(__xludf.DUMMYFUNCTION("""COMPUTED_VALUE"""),"性交痛・デリケートゾーン")</f>
        <v>性交痛・デリケートゾーン</v>
      </c>
      <c r="D921" s="31" t="str">
        <f>IFERROR(__xludf.DUMMYFUNCTION("""COMPUTED_VALUE"""),"性交痛,膣が切れる,膣口が狭い,性交で痛い,体質,精神的要因,婦人科,相談")</f>
        <v>性交痛,膣が切れる,膣口が狭い,性交で痛い,体質,精神的要因,婦人科,相談</v>
      </c>
      <c r="E921" s="31"/>
    </row>
    <row r="922">
      <c r="A922" s="31" t="str">
        <f>IFERROR(__xludf.DUMMYFUNCTION("""COMPUTED_VALUE"""),"鼠径部（そけいぶ）にしこりがある")</f>
        <v>鼠径部（そけいぶ）にしこりがある</v>
      </c>
      <c r="B922" s="31" t="str">
        <f>IFERROR(__xludf.DUMMYFUNCTION("""COMPUTED_VALUE"""),"陰部にできものがある以外に考えられる原因としては①毛包炎（傷口が細菌感染して発症。大きさは1ミリ程度から1センチ以上までさまざま）②粉瘤（1ミリ以下～数センチ以上。中心部が白っぽい、または黒っぽく透けて見え、腫れ・痛みを感じる場合があります）③汗腺炎（膿・赤み・腫れを伴うできものが複数発生し、半年以内に2回程度の再発が多い）が考えられます。いずれにしても、症状があるときは皮膚科を受診することをお勧めいたします。")</f>
        <v>陰部にできものがある以外に考えられる原因としては①毛包炎（傷口が細菌感染して発症。大きさは1ミリ程度から1センチ以上までさまざま）②粉瘤（1ミリ以下～数センチ以上。中心部が白っぽい、または黒っぽく透けて見え、腫れ・痛みを感じる場合があります）③汗腺炎（膿・赤み・腫れを伴うできものが複数発生し、半年以内に2回程度の再発が多い）が考えられます。いずれにしても、症状があるときは皮膚科を受診することをお勧めいたします。</v>
      </c>
      <c r="C922" s="31" t="str">
        <f>IFERROR(__xludf.DUMMYFUNCTION("""COMPUTED_VALUE"""),"外陰部・皮膚症状")</f>
        <v>外陰部・皮膚症状</v>
      </c>
      <c r="D922" s="31" t="str">
        <f>IFERROR(__xludf.DUMMYFUNCTION("""COMPUTED_VALUE"""),"鼠径部,そけい部,しこり,陰部,毛包炎,粉瘤,汗腺炎,腫れ,痛み,皮膚科")</f>
        <v>鼠径部,そけい部,しこり,陰部,毛包炎,粉瘤,汗腺炎,腫れ,痛み,皮膚科</v>
      </c>
      <c r="E922" s="31"/>
    </row>
    <row r="923">
      <c r="A923" s="31" t="str">
        <f>IFERROR(__xludf.DUMMYFUNCTION("""COMPUTED_VALUE"""),"BMIと生理の関係性")</f>
        <v>BMIと生理の関係性</v>
      </c>
      <c r="B923" s="31" t="str">
        <f>IFERROR(__xludf.DUMMYFUNCTION("""COMPUTED_VALUE"""),"BMIと生理には大きな関係があります。BMIが17以下になると3カ月以上生理が来なくなり、無月経になることがあります。生理が来ないから楽で良いと思う方もいるかと思いますが、無月経は不妊の原因となり、長時間放置していると月経が再開しにくくなります。")</f>
        <v>BMIと生理には大きな関係があります。BMIが17以下になると3カ月以上生理が来なくなり、無月経になることがあります。生理が来ないから楽で良いと思う方もいるかと思いますが、無月経は不妊の原因となり、長時間放置していると月経が再開しにくくなります。</v>
      </c>
      <c r="C923" s="31" t="str">
        <f>IFERROR(__xludf.DUMMYFUNCTION("""COMPUTED_VALUE"""),"生理不順・無月経")</f>
        <v>生理不順・無月経</v>
      </c>
      <c r="D923" s="31" t="str">
        <f>IFERROR(__xludf.DUMMYFUNCTION("""COMPUTED_VALUE"""),"BMI,低体重,BMI17,無月経,生理が来ない,生理不順,ダイエット,不妊,月経再開")</f>
        <v>BMI,低体重,BMI17,無月経,生理が来ない,生理不順,ダイエット,不妊,月経再開</v>
      </c>
      <c r="E923" s="31"/>
    </row>
    <row r="924">
      <c r="A924" s="31" t="str">
        <f>IFERROR(__xludf.DUMMYFUNCTION("""COMPUTED_VALUE"""),"卵子凍結とは")</f>
        <v>卵子凍結とは</v>
      </c>
      <c r="B924" s="31" t="str">
        <f>IFERROR(__xludf.DUMMYFUNCTION("""COMPUTED_VALUE"""),"卵子は20代～30代にかけて加齢とともに衰えていきますが、若い卵子を保存することで将来妊娠したいタイミングで出産する準備が可能でございます。卵子凍結はさまざまな要因で実施する方が増えております。社会的要因は現在の生活が落ち着いたタイミングで子育てを考えている方、医学的要因は悪性腫瘍などで今後卵子の使用ができなくなるが治療を終え、妊娠を考えている方が利用します。当院では卵子凍結などの治療は行っていないため、専門のクリニックで専門の医療者から正しい説明を受けてご利用をお考えください。")</f>
        <v>卵子は20代～30代にかけて加齢とともに衰えていきますが、若い卵子を保存することで将来妊娠したいタイミングで出産する準備が可能でございます。卵子凍結はさまざまな要因で実施する方が増えております。社会的要因は現在の生活が落ち着いたタイミングで子育てを考えている方、医学的要因は悪性腫瘍などで今後卵子の使用ができなくなるが治療を終え、妊娠を考えている方が利用します。当院では卵子凍結などの治療は行っていないため、専門のクリニックで専門の医療者から正しい説明を受けてご利用をお考えください。</v>
      </c>
      <c r="C924" s="31" t="str">
        <f>IFERROR(__xludf.DUMMYFUNCTION("""COMPUTED_VALUE"""),"妊活・将来の妊娠（卵子凍結）")</f>
        <v>妊活・将来の妊娠（卵子凍結）</v>
      </c>
      <c r="D924" s="31" t="str">
        <f>IFERROR(__xludf.DUMMYFUNCTION("""COMPUTED_VALUE"""),"卵子凍結,卵子保存,将来妊娠,年齢,加齢,20代,30代,社会的卵子凍結,がん治療,専門クリニック")</f>
        <v>卵子凍結,卵子保存,将来妊娠,年齢,加齢,20代,30代,社会的卵子凍結,がん治療,専門クリニック</v>
      </c>
      <c r="E924" s="31"/>
    </row>
    <row r="925">
      <c r="A925" s="31" t="str">
        <f>IFERROR(__xludf.DUMMYFUNCTION("""COMPUTED_VALUE"""),"子宮下垂とは？/子宮脱とは？")</f>
        <v>子宮下垂とは？/子宮脱とは？</v>
      </c>
      <c r="B925" s="31" t="str">
        <f>IFERROR(__xludf.DUMMYFUNCTION("""COMPUTED_VALUE"""),"子宮下垂・子宮脱とは、通常の場所より下がっていることで、ひどくなると外陰部より子宮が出ている状態を言います。軽度の場合は自身では気づかず、婦人科で指摘されて初めて気づき、ひどくなると何かが出ている・外陰部に違和感があると自覚症状が現れます。原因は骨盤底が、出産や外科手術、その他の原因により障害され、内臓を支えきれなくなることによって起こります。少しでも違和感を感じる場合は、お早めに子宮下垂・子宮脱の治療ができる婦人科にご相談ください。")</f>
        <v>子宮下垂・子宮脱とは、通常の場所より下がっていることで、ひどくなると外陰部より子宮が出ている状態を言います。軽度の場合は自身では気づかず、婦人科で指摘されて初めて気づき、ひどくなると何かが出ている・外陰部に違和感があると自覚症状が現れます。原因は骨盤底が、出産や外科手術、その他の原因により障害され、内臓を支えきれなくなることによって起こります。少しでも違和感を感じる場合は、お早めに子宮下垂・子宮脱の治療ができる婦人科にご相談ください。</v>
      </c>
      <c r="C925" s="31" t="str">
        <f>IFERROR(__xludf.DUMMYFUNCTION("""COMPUTED_VALUE"""),"骨盤底・子宮脱")</f>
        <v>骨盤底・子宮脱</v>
      </c>
      <c r="D925" s="31" t="str">
        <f>IFERROR(__xludf.DUMMYFUNCTION("""COMPUTED_VALUE"""),"子宮下垂,子宮脱,骨盤臓器脱,外陰部違和感,何か出てくる,出産後,骨盤底筋,婦人科,治療")</f>
        <v>子宮下垂,子宮脱,骨盤臓器脱,外陰部違和感,何か出てくる,出産後,骨盤底筋,婦人科,治療</v>
      </c>
      <c r="E925" s="31"/>
    </row>
    <row r="926">
      <c r="A926" s="31" t="str">
        <f>IFERROR(__xludf.DUMMYFUNCTION("""COMPUTED_VALUE"""),"フォアダイスとは/性器にポツポツ")</f>
        <v>フォアダイスとは/性器にポツポツ</v>
      </c>
      <c r="B926" s="31" t="str">
        <f>IFERROR(__xludf.DUMMYFUNCTION("""COMPUTED_VALUE"""),"一見ヘルペスや性病と不安になる場合もありますが、皮脂腺が詰まり唇や性器にポツポツができる〖フォアダイス〗かもしれません。
フォアダイスは性器にできることが多いため性病と勘違いされやすいですが、実際は皮脂が皮脂腺にたまっているだけの生理現象です。
痛みやかゆみなどの症状はありませんし、感染症でもないので、性行為を避けたり治療をしたりする必要はありません。
病的意義はないため、治療は不要です。しかし見た目上どうしても気になるということであれば、手術で取り除くことができます。
")</f>
        <v>一見ヘルペスや性病と不安になる場合もありますが、皮脂腺が詰まり唇や性器にポツポツができる〖フォアダイス〗かもしれません。
フォアダイスは性器にできることが多いため性病と勘違いされやすいですが、実際は皮脂が皮脂腺にたまっているだけの生理現象です。
痛みやかゆみなどの症状はありませんし、感染症でもないので、性行為を避けたり治療をしたりする必要はありません。
病的意義はないため、治療は不要です。しかし見た目上どうしても気になるということであれば、手術で取り除くことができます。
</v>
      </c>
      <c r="C926" s="31" t="str">
        <f>IFERROR(__xludf.DUMMYFUNCTION("""COMPUTED_VALUE"""),"外陰部・皮膚症状")</f>
        <v>外陰部・皮膚症状</v>
      </c>
      <c r="D926" s="31" t="str">
        <f>IFERROR(__xludf.DUMMYFUNCTION("""COMPUTED_VALUE"""),"フォアダイス,性器のぶつぶつ,唇のぶつぶつ,皮脂腺,皮脂腺の詰まり,性病と勘違い,ヘルペス,痛みなし,かゆみなし,感染しない,治療不要,手術")</f>
        <v>フォアダイス,性器のぶつぶつ,唇のぶつぶつ,皮脂腺,皮脂腺の詰まり,性病と勘違い,ヘルペス,痛みなし,かゆみなし,感染しない,治療不要,手術</v>
      </c>
      <c r="E926" s="31"/>
    </row>
    <row r="927">
      <c r="A927" s="31" t="str">
        <f>IFERROR(__xludf.DUMMYFUNCTION("""COMPUTED_VALUE"""),"シンナーと妊娠の関係性/シンナーと不妊の関係性")</f>
        <v>シンナーと妊娠の関係性/シンナーと不妊の関係性</v>
      </c>
      <c r="B927" s="31" t="str">
        <f>IFERROR(__xludf.DUMMYFUNCTION("""COMPUTED_VALUE"""),"長期的にシンナーを吸い続けると不妊や生理不順などのリスクがあると言われています。妊娠中に吸引することで、胎児の神経系や臓器の発育に障害が生じるリスクが指摘されています。また、大人よりも子どもへの影響が強く、換気せずにマニキュアの除光液を使用すると赤ちゃんはぐったりとしてしまいます。")</f>
        <v>長期的にシンナーを吸い続けると不妊や生理不順などのリスクがあると言われています。妊娠中に吸引することで、胎児の神経系や臓器の発育に障害が生じるリスクが指摘されています。また、大人よりも子どもへの影響が強く、換気せずにマニキュアの除光液を使用すると赤ちゃんはぐったりとしてしまいます。</v>
      </c>
      <c r="C927" s="31" t="str">
        <f>IFERROR(__xludf.DUMMYFUNCTION("""COMPUTED_VALUE"""),"妊娠・生活習慣/有害物質")</f>
        <v>妊娠・生活習慣/有害物質</v>
      </c>
      <c r="D927" s="31" t="str">
        <f>IFERROR(__xludf.DUMMYFUNCTION("""COMPUTED_VALUE"""),"シンナー,吸引,有機溶剤,不妊,生理不順,妊娠中,胎児,神経系,臓器,発育障害,除光液,マニキュア,換気,赤ちゃん")</f>
        <v>シンナー,吸引,有機溶剤,不妊,生理不順,妊娠中,胎児,神経系,臓器,発育障害,除光液,マニキュア,換気,赤ちゃん</v>
      </c>
      <c r="E927" s="31"/>
    </row>
    <row r="928">
      <c r="A928" s="31" t="str">
        <f>IFERROR(__xludf.DUMMYFUNCTION("""COMPUTED_VALUE"""),"妊娠中の性行為")</f>
        <v>妊娠中の性行為</v>
      </c>
      <c r="B928" s="31" t="str">
        <f>IFERROR(__xludf.DUMMYFUNCTION("""COMPUTED_VALUE"""),"妊娠の経過については個人によってそれぞれ差がありますので、かかりつけ医の指示に従いましょう。性行為が直接的におなかの赤ちゃんの成長に影響を及ぼすことはほとんどありませんが、妊娠中の体にはかなりの負担がかかります。また、性感染症や性行為による早産・流産のリスク、さらには精子が細菌を運ぶ恐れがあります。")</f>
        <v>妊娠の経過については個人によってそれぞれ差がありますので、かかりつけ医の指示に従いましょう。性行為が直接的におなかの赤ちゃんの成長に影響を及ぼすことはほとんどありませんが、妊娠中の体にはかなりの負担がかかります。また、性感染症や性行為による早産・流産のリスク、さらには精子が細菌を運ぶ恐れがあります。</v>
      </c>
      <c r="C928" s="31" t="str">
        <f>IFERROR(__xludf.DUMMYFUNCTION("""COMPUTED_VALUE"""),"妊娠中の過ごし方")</f>
        <v>妊娠中の過ごし方</v>
      </c>
      <c r="D928" s="31" t="str">
        <f>IFERROR(__xludf.DUMMYFUNCTION("""COMPUTED_VALUE"""),"妊娠中,性行為,セックス,赤ちゃんへの影響,負担,性感染症,早産,流産,リスク,精子,細菌,かかりつけ医")</f>
        <v>妊娠中,性行為,セックス,赤ちゃんへの影響,負担,性感染症,早産,流産,リスク,精子,細菌,かかりつけ医</v>
      </c>
      <c r="E928" s="31"/>
    </row>
    <row r="929">
      <c r="A929" s="31" t="str">
        <f>IFERROR(__xludf.DUMMYFUNCTION("""COMPUTED_VALUE"""),"子宮頸がん・子宮体がん検査について")</f>
        <v>子宮頸がん・子宮体がん検査について</v>
      </c>
      <c r="B929" s="31" t="str">
        <f>IFERROR(__xludf.DUMMYFUNCTION("""COMPUTED_VALUE"""),"子宮頸がんは子宮の入り口部分である頸部にがんが発生し、子宮体がんでは子宮の奥、つまり体部にがんが発生します。子宮頸がんは20代～40代の方、子宮体がんは40代（閉経後）～の方に定期的に検査をおすすめいたします。早期に発見、治療を行うことで子宮全摘出を行わなくても良い可能性があります。一度ご自身の状況を確認するためにも検査をおすすめいたします。当院での検査はご予約をお取りの上、クリニックにご受診ください。受診のご予約はLINEで受け付けています。LINEはこちら→https://cline-app.com/"&amp;"qr-codes/98ad6f149bfa20f4f2a9a2e91aac4187/preview")</f>
        <v>子宮頸がんは子宮の入り口部分である頸部にがんが発生し、子宮体がんでは子宮の奥、つまり体部にがんが発生します。子宮頸がんは20代～40代の方、子宮体がんは40代（閉経後）～の方に定期的に検査をおすすめいたします。早期に発見、治療を行うことで子宮全摘出を行わなくても良い可能性があります。一度ご自身の状況を確認するためにも検査をおすすめいたします。当院での検査はご予約をお取りの上、クリニックにご受診ください。受診のご予約はLINEで受け付けています。LINEはこちら→https://cline-app.com/qr-codes/98ad6f149bfa20f4f2a9a2e91aac4187/preview</v>
      </c>
      <c r="C929" s="31" t="str">
        <f>IFERROR(__xludf.DUMMYFUNCTION("""COMPUTED_VALUE"""),"子宮がん検診")</f>
        <v>子宮がん検診</v>
      </c>
      <c r="D929" s="31" t="str">
        <f>IFERROR(__xludf.DUMMYFUNCTION("""COMPUTED_VALUE"""),"子宮頸がん,子宮体がん,検査,違い,頸部,体部,20代,30代,40代,閉経後,定期検査,早期発見,予約,受診")</f>
        <v>子宮頸がん,子宮体がん,検査,違い,頸部,体部,20代,30代,40代,閉経後,定期検査,早期発見,予約,受診</v>
      </c>
      <c r="E929" s="31"/>
    </row>
    <row r="930">
      <c r="A930" s="31" t="str">
        <f>IFERROR(__xludf.DUMMYFUNCTION("""COMPUTED_VALUE"""),"伝染性単核球症とは/キス病とは？")</f>
        <v>伝染性単核球症とは/キス病とは？</v>
      </c>
      <c r="B930" s="31" t="str">
        <f>IFERROR(__xludf.DUMMYFUNCTION("""COMPUTED_VALUE"""),"伝染性単核球症の原因となるEBウイルスは、唾液に含まれ、キスを介して感染するため、別名キス病と言われています。また、ウイルスが唾液に含まれているため、回し飲みでも感染し、感染してから発症まで30〜60日程度の期間が空くため、特定が難しいです。ウイルスが多い時はパートナーにうつすのを避けるため、行動には気をつけましょう。通常4～6日で自然に症状は収まりますが、根本的な治療法はありません。ただし、咽頭痛や全身倦怠感が強く、水分の経口摂取が難しくなった場合には、病院にて点滴などで補充を行いましょう。")</f>
        <v>伝染性単核球症の原因となるEBウイルスは、唾液に含まれ、キスを介して感染するため、別名キス病と言われています。また、ウイルスが唾液に含まれているため、回し飲みでも感染し、感染してから発症まで30〜60日程度の期間が空くため、特定が難しいです。ウイルスが多い時はパートナーにうつすのを避けるため、行動には気をつけましょう。通常4～6日で自然に症状は収まりますが、根本的な治療法はありません。ただし、咽頭痛や全身倦怠感が強く、水分の経口摂取が難しくなった場合には、病院にて点滴などで補充を行いましょう。</v>
      </c>
      <c r="C930" s="31" t="str">
        <f>IFERROR(__xludf.DUMMYFUNCTION("""COMPUTED_VALUE"""),"感染症（口・喉）")</f>
        <v>感染症（口・喉）</v>
      </c>
      <c r="D930" s="31" t="str">
        <f>IFERROR(__xludf.DUMMYFUNCTION("""COMPUTED_VALUE"""),"伝染性単核球症,キス病,EBウイルス,唾液,キス,回し飲み,潜伏期間,30〜60日,咽頭痛,倦怠感,自然軽快,点滴")</f>
        <v>伝染性単核球症,キス病,EBウイルス,唾液,キス,回し飲み,潜伏期間,30〜60日,咽頭痛,倦怠感,自然軽快,点滴</v>
      </c>
      <c r="E930" s="31"/>
    </row>
    <row r="931">
      <c r="A931" s="31" t="str">
        <f>IFERROR(__xludf.DUMMYFUNCTION("""COMPUTED_VALUE"""),"消退出血と着床出血の違い")</f>
        <v>消退出血と着床出血の違い</v>
      </c>
      <c r="B931" s="31" t="str">
        <f>IFERROR(__xludf.DUMMYFUNCTION("""COMPUTED_VALUE"""),"消退出血はアフターピルの服用後、ホルモンバランスが崩れ子宮内膜が剥がれ落ちることが原因です。着床出血は妊娠初期の兆候で、受精卵が子宮内膜に着床する際に起こります。それぞれ出血するタイミングが違いますが、出血をしたからと決めつけず、不安な場合は妊娠検査薬の使用をおすすめいたします。妊娠検査薬は性行為から3週間後に検査いただき、この時点では妊娠をしていても陰性の可能性がございますので月経予定日になっても月経が来なければ再検査をお願いいたします。")</f>
        <v>消退出血はアフターピルの服用後、ホルモンバランスが崩れ子宮内膜が剥がれ落ちることが原因です。着床出血は妊娠初期の兆候で、受精卵が子宮内膜に着床する際に起こります。それぞれ出血するタイミングが違いますが、出血をしたからと決めつけず、不安な場合は妊娠検査薬の使用をおすすめいたします。妊娠検査薬は性行為から3週間後に検査いただき、この時点では妊娠をしていても陰性の可能性がございますので月経予定日になっても月経が来なければ再検査をお願いいたします。</v>
      </c>
      <c r="C931" s="31" t="str">
        <f>IFERROR(__xludf.DUMMYFUNCTION("""COMPUTED_VALUE"""),"妊娠不安・出血/アフターピル")</f>
        <v>妊娠不安・出血/アフターピル</v>
      </c>
      <c r="D931" s="31" t="str">
        <f>IFERROR(__xludf.DUMMYFUNCTION("""COMPUTED_VALUE"""),"消退出血,着床出血,違い,アフターピル,ホルモンバランス,子宮内膜,妊娠初期,受精卵,妊娠検査薬,性行為3週間後,陰性,再検査")</f>
        <v>消退出血,着床出血,違い,アフターピル,ホルモンバランス,子宮内膜,妊娠初期,受精卵,妊娠検査薬,性行為3週間後,陰性,再検査</v>
      </c>
      <c r="E931" s="31"/>
    </row>
    <row r="932">
      <c r="A932" s="31" t="str">
        <f>IFERROR(__xludf.DUMMYFUNCTION("""COMPUTED_VALUE"""),"排卵期出血がある")</f>
        <v>排卵期出血がある</v>
      </c>
      <c r="B932" s="31" t="str">
        <f>IFERROR(__xludf.DUMMYFUNCTION("""COMPUTED_VALUE"""),"排卵期出血は排卵期の数日前から出血があり、高温期になると自然に止まり、特に問題のない出血です。個人差はありますが、おりものや下腹部痛が起こる場合もあります。ただし、出血量が多い場合や、痛みが強い場合には、症状の内容によって受診可否やご案内が異なります。個別の確認が必要となるため、恐れ入りますがお電話にてご相談ください。お電話は 050-1730-2768 となります。")</f>
        <v>排卵期出血は排卵期の数日前から出血があり、高温期になると自然に止まり、特に問題のない出血です。個人差はありますが、おりものや下腹部痛が起こる場合もあります。ただし、出血量が多い場合や、痛みが強い場合には、症状の内容によって受診可否やご案内が異なります。個別の確認が必要となるため、恐れ入りますがお電話にてご相談ください。お電話は 050-1730-2768 となります。</v>
      </c>
      <c r="C932" s="31" t="str">
        <f>IFERROR(__xludf.DUMMYFUNCTION("""COMPUTED_VALUE"""),"不正出血・排卵")</f>
        <v>不正出血・排卵</v>
      </c>
      <c r="D932" s="31" t="str">
        <f>IFERROR(__xludf.DUMMYFUNCTION("""COMPUTED_VALUE"""),"排卵期出血,中間期出血,排卵,高温期,自然に止まる,おりもの,下腹部痛,出血量が多い,痛みが強い,婦人科")</f>
        <v>排卵期出血,中間期出血,排卵,高温期,自然に止まる,おりもの,下腹部痛,出血量が多い,痛みが強い,婦人科</v>
      </c>
      <c r="E932" s="31"/>
    </row>
    <row r="933">
      <c r="A933" s="31" t="str">
        <f>IFERROR(__xludf.DUMMYFUNCTION("""COMPUTED_VALUE"""),"生理前の胸の張り")</f>
        <v>生理前の胸の張り</v>
      </c>
      <c r="B933" s="31" t="str">
        <f>IFERROR(__xludf.DUMMYFUNCTION("""COMPUTED_VALUE"""),"個人差はございますが、生理前はホルモンの影響で水分を身体に溜め込もうとする作用が働くため、胸が張ったり胸が大きくなったと感じる方もいらっしゃいます。長く続き気になるようでしたら、乳房の診察が可能な婦人科にご相談ください。")</f>
        <v>個人差はございますが、生理前はホルモンの影響で水分を身体に溜め込もうとする作用が働くため、胸が張ったり胸が大きくなったと感じる方もいらっしゃいます。長く続き気になるようでしたら、乳房の診察が可能な婦人科にご相談ください。</v>
      </c>
      <c r="C933" s="31" t="str">
        <f>IFERROR(__xludf.DUMMYFUNCTION("""COMPUTED_VALUE"""),"PMS・月経関連")</f>
        <v>PMS・月経関連</v>
      </c>
      <c r="D933" s="31" t="str">
        <f>IFERROR(__xludf.DUMMYFUNCTION("""COMPUTED_VALUE"""),"生理前,胸の張り,胸が大きい,乳房痛,ホルモン,水分貯留,PMS,受診,婦人科,乳房診察")</f>
        <v>生理前,胸の張り,胸が大きい,乳房痛,ホルモン,水分貯留,PMS,受診,婦人科,乳房診察</v>
      </c>
      <c r="E933" s="31"/>
    </row>
    <row r="934">
      <c r="A934" s="31" t="str">
        <f>IFERROR(__xludf.DUMMYFUNCTION("""COMPUTED_VALUE"""),"生理前の発熱/生理前の吐き気/生理時に吐き気がある場合の診療/生理中の吐き気")</f>
        <v>生理前の発熱/生理前の吐き気/生理時に吐き気がある場合の診療/生理中の吐き気</v>
      </c>
      <c r="B934" s="31" t="str">
        <f>IFERROR(__xludf.DUMMYFUNCTION("""COMPUTED_VALUE"""),"個人差はありますが、ホルモンの影響で体温が高い状態になったり、吐き気を強く感じたりすることがあります。微熱や吐き気の症状が続くようであれば、内科受診をお勧めいたします。")</f>
        <v>個人差はありますが、ホルモンの影響で体温が高い状態になったり、吐き気を強く感じたりすることがあります。微熱や吐き気の症状が続くようであれば、内科受診をお勧めいたします。</v>
      </c>
      <c r="C934" s="31" t="str">
        <f>IFERROR(__xludf.DUMMYFUNCTION("""COMPUTED_VALUE"""),"PMS・月経関連")</f>
        <v>PMS・月経関連</v>
      </c>
      <c r="D934" s="31" t="str">
        <f>IFERROR(__xludf.DUMMYFUNCTION("""COMPUTED_VALUE"""),"生理前,発熱,微熱,吐き気,PMS,ホルモン,体温が高い,体調不良,内科受診")</f>
        <v>生理前,発熱,微熱,吐き気,PMS,ホルモン,体温が高い,体調不良,内科受診</v>
      </c>
      <c r="E934" s="31"/>
    </row>
    <row r="935">
      <c r="A935" s="31" t="str">
        <f>IFERROR(__xludf.DUMMYFUNCTION("""COMPUTED_VALUE"""),"生理中の受診は可能ですか？/生理中でもピルを処方してもらえますか？/生理中でも診察は受けられますか？/生理中でも検査できますか？/生理中でもピルの処方は可能ですか？/2回目の処方は生理中でも大丈夫ですか？/月経不順で生理中でも受診できますか？/クラミジア陽性で生理中でも受診できますか？/ピルの検診の日に生理がきても大丈夫ですか？/生理中でもピルの処方は可能ですか？/クラミジアの治療は生理中でもできますか？/生理中でも性病検査はできますか？/生理中でも膀胱炎の検査はできますか？/カンジダで受診したいのですが"&amp;"生理中です/生理中でも子宮内膜症の検査はできますか？/HPV検査は生理中でも受けられますか？/コルポスコピーは生理中でも可能ですか？")</f>
        <v>生理中の受診は可能ですか？/生理中でもピルを処方してもらえますか？/生理中でも診察は受けられますか？/生理中でも検査できますか？/生理中でもピルの処方は可能ですか？/2回目の処方は生理中でも大丈夫ですか？/月経不順で生理中でも受診できますか？/クラミジア陽性で生理中でも受診できますか？/ピルの検診の日に生理がきても大丈夫ですか？/生理中でもピルの処方は可能ですか？/クラミジアの治療は生理中でもできますか？/生理中でも性病検査はできますか？/生理中でも膀胱炎の検査はできますか？/カンジダで受診したいのですが生理中です/生理中でも子宮内膜症の検査はできますか？/HPV検査は生理中でも受けられますか？/コルポスコピーは生理中でも可能ですか？</v>
      </c>
      <c r="B935" s="31" t="str">
        <f>IFERROR(__xludf.DUMMYFUNCTION("""COMPUTED_VALUE"""),"生理中でも診察やピルの処方は可能です。ただし、HPV検査・子宮頸がん検査・性感染症検査は、出血量が多い場合に正確な検査ができないことがあるため、生理の日にちを避けていただくことをおすすめします。不正出血などで悩まれている場合は、生理中でもご受診いただけます。生理中でも内診台に乗っていただく場合がございますので、気になるようでしたら生理後にご受診ください。")</f>
        <v>生理中でも診察やピルの処方は可能です。ただし、HPV検査・子宮頸がん検査・性感染症検査は、出血量が多い場合に正確な検査ができないことがあるため、生理の日にちを避けていただくことをおすすめします。不正出血などで悩まれている場合は、生理中でもご受診いただけます。生理中でも内診台に乗っていただく場合がございますので、気になるようでしたら生理後にご受診ください。</v>
      </c>
      <c r="C935" s="31" t="str">
        <f>IFERROR(__xludf.DUMMYFUNCTION("""COMPUTED_VALUE"""),"受診案内")</f>
        <v>受診案内</v>
      </c>
      <c r="D935" s="31" t="str">
        <f>IFERROR(__xludf.DUMMYFUNCTION("""COMPUTED_VALUE"""),"生理中,受診,検査,HPV検査,子宮頸がん検査,性病検査,避けた方が良い,不正出血,内診台,予約,出血,血が出る,出血中,受診できる")</f>
        <v>生理中,受診,検査,HPV検査,子宮頸がん検査,性病検査,避けた方が良い,不正出血,内診台,予約,出血,血が出る,出血中,受診できる</v>
      </c>
      <c r="E935" s="31"/>
    </row>
    <row r="936">
      <c r="A936" s="31" t="str">
        <f>IFERROR(__xludf.DUMMYFUNCTION("""COMPUTED_VALUE"""),"処女膜強靭症とは")</f>
        <v>処女膜強靭症とは</v>
      </c>
      <c r="B936" s="31" t="str">
        <f>IFERROR(__xludf.DUMMYFUNCTION("""COMPUTED_VALUE"""),"処女膜強靭症は、生まれつき処女膜が固くて厚い状態です。そのため、時間が経過しても自然治癒の可能性は極めて低いです。治療は外陰部・腟口・後に続いている腟の状態を確認し、狭くなっている部分を確認し手術を行います。人によっては、腟や子宮に奇形を伴っており腟や子宮２つ認められることもあるため、安易に処女膜だけを手術で解決するだけではなく、子宮や腟に異常がないかを確認することが大切です。お近くの形成外科または総合病院婦人科にご受診ください。")</f>
        <v>処女膜強靭症は、生まれつき処女膜が固くて厚い状態です。そのため、時間が経過しても自然治癒の可能性は極めて低いです。治療は外陰部・腟口・後に続いている腟の状態を確認し、狭くなっている部分を確認し手術を行います。人によっては、腟や子宮に奇形を伴っており腟や子宮２つ認められることもあるため、安易に処女膜だけを手術で解決するだけではなく、子宮や腟に異常がないかを確認することが大切です。お近くの形成外科または総合病院婦人科にご受診ください。</v>
      </c>
      <c r="C936" s="31" t="str">
        <f>IFERROR(__xludf.DUMMYFUNCTION("""COMPUTED_VALUE"""),"婦人科手術・形成")</f>
        <v>婦人科手術・形成</v>
      </c>
      <c r="D936" s="31" t="str">
        <f>IFERROR(__xludf.DUMMYFUNCTION("""COMPUTED_VALUE"""),"処女膜強靭症,処女膜が固い,処女膜が厚い,性交痛,挿入できない,手術,腟,子宮,奇形,形成外科,総合病院,婦人科")</f>
        <v>処女膜強靭症,処女膜が固い,処女膜が厚い,性交痛,挿入できない,手術,腟,子宮,奇形,形成外科,総合病院,婦人科</v>
      </c>
      <c r="E936" s="31"/>
    </row>
    <row r="937">
      <c r="A937" s="31" t="str">
        <f>IFERROR(__xludf.DUMMYFUNCTION("""COMPUTED_VALUE"""),"デュファストンに避妊の効果はありますか？")</f>
        <v>デュファストンに避妊の効果はありますか？</v>
      </c>
      <c r="B937" s="31" t="str">
        <f>IFERROR(__xludf.DUMMYFUNCTION("""COMPUTED_VALUE"""),"デュファストンとは経口の黄体ホルモンのみで構成されるお薬です。そのため、避妊の効果がありません。妊娠を希望していない場合はコンドームなど別の避妊方法を使用しましょう。")</f>
        <v>デュファストンとは経口の黄体ホルモンのみで構成されるお薬です。そのため、避妊の効果がありません。妊娠を希望していない場合はコンドームなど別の避妊方法を使用しましょう。</v>
      </c>
      <c r="C937" s="31" t="str">
        <f>IFERROR(__xludf.DUMMYFUNCTION("""COMPUTED_VALUE"""),"薬剤（ホルモン剤）")</f>
        <v>薬剤（ホルモン剤）</v>
      </c>
      <c r="D937" s="31" t="str">
        <f>IFERROR(__xludf.DUMMYFUNCTION("""COMPUTED_VALUE"""),"デュファストン,黄体ホルモン,経口,避妊効果なし,避妊,コンドーム,妊娠希望なし")</f>
        <v>デュファストン,黄体ホルモン,経口,避妊効果なし,避妊,コンドーム,妊娠希望なし</v>
      </c>
      <c r="E937" s="31"/>
    </row>
    <row r="938">
      <c r="A938" s="31" t="str">
        <f>IFERROR(__xludf.DUMMYFUNCTION("""COMPUTED_VALUE"""),"子宮脱についての相談")</f>
        <v>子宮脱についての相談</v>
      </c>
      <c r="B938" s="31" t="str">
        <f>IFERROR(__xludf.DUMMYFUNCTION("""COMPUTED_VALUE"""),"子宮脱につきましては当院でご受診ができない項目でございます。お手数おかけいたしますが、お近くの婦人科にご相談ください。")</f>
        <v>子宮脱につきましては当院でご受診ができない項目でございます。お手数おかけいたしますが、お近くの婦人科にご相談ください。</v>
      </c>
      <c r="C938" s="31" t="str">
        <f>IFERROR(__xludf.DUMMYFUNCTION("""COMPUTED_VALUE"""),"受診不可・他院案内")</f>
        <v>受診不可・他院案内</v>
      </c>
      <c r="D938" s="31" t="str">
        <f>IFERROR(__xludf.DUMMYFUNCTION("""COMPUTED_VALUE"""),"子宮脱,相談,当院では不可,受診できない,婦人科,近くの病院")</f>
        <v>子宮脱,相談,当院では不可,受診できない,婦人科,近くの病院</v>
      </c>
      <c r="E938" s="31"/>
    </row>
    <row r="939">
      <c r="A939" s="31" t="str">
        <f>IFERROR(__xludf.DUMMYFUNCTION("""COMPUTED_VALUE"""),"オンラインでの診断書発行は可能ですか")</f>
        <v>オンラインでの診断書発行は可能ですか</v>
      </c>
      <c r="B939" s="31" t="str">
        <f>IFERROR(__xludf.DUMMYFUNCTION("""COMPUTED_VALUE"""),"大変申し訳ございません。オンラインでの診断書発行はできます。お手数をおかけしますが、ご予約をお取りの上、クリニックにご受診下さい。")</f>
        <v>大変申し訳ございません。オンラインでの診断書発行はできます。お手数をおかけしますが、ご予約をお取りの上、クリニックにご受診下さい。</v>
      </c>
      <c r="C939" s="31" t="str">
        <f>IFERROR(__xludf.DUMMYFUNCTION("""COMPUTED_VALUE"""),"書類・診断書")</f>
        <v>書類・診断書</v>
      </c>
      <c r="D939" s="31" t="str">
        <f>IFERROR(__xludf.DUMMYFUNCTION("""COMPUTED_VALUE"""),"診断書,オンライン発行,発行可否,来院,予約,クリニック受診")</f>
        <v>診断書,オンライン発行,発行可否,来院,予約,クリニック受診</v>
      </c>
      <c r="E939" s="31"/>
    </row>
    <row r="940">
      <c r="A940" s="31" t="str">
        <f>IFERROR(__xludf.DUMMYFUNCTION("""COMPUTED_VALUE"""),"妊娠の可能性はありますか？／これは着床出血ですか？")</f>
        <v>妊娠の可能性はありますか？／これは着床出血ですか？</v>
      </c>
      <c r="B940" s="31" t="str">
        <f>IFERROR(__xludf.DUMMYFUNCTION("""COMPUTED_VALUE"""),"ご不安な場合は、妊娠検査薬をご使用いただきご確認ください。妊娠検査薬は性行為から3週間後に検査いただき、この時点では妊娠をしていても陰性の可能性がございますので月経予定日になっても月経が来なければ再検査をお願いいたします。")</f>
        <v>ご不安な場合は、妊娠検査薬をご使用いただきご確認ください。妊娠検査薬は性行為から3週間後に検査いただき、この時点では妊娠をしていても陰性の可能性がございますので月経予定日になっても月経が来なければ再検査をお願いいたします。</v>
      </c>
      <c r="C940" s="31" t="str">
        <f>IFERROR(__xludf.DUMMYFUNCTION("""COMPUTED_VALUE"""),"妊娠不安・妊娠判定")</f>
        <v>妊娠不安・妊娠判定</v>
      </c>
      <c r="D940" s="31" t="str">
        <f>IFERROR(__xludf.DUMMYFUNCTION("""COMPUTED_VALUE"""),"妊娠の可能性,着床出血,妊娠検査薬,性行為3週間後,陰性,再検査,生理が来ない,不安")</f>
        <v>妊娠の可能性,着床出血,妊娠検査薬,性行為3週間後,陰性,再検査,生理が来ない,不安</v>
      </c>
      <c r="E940" s="31"/>
    </row>
    <row r="941">
      <c r="A941" s="31" t="str">
        <f>IFERROR(__xludf.DUMMYFUNCTION("""COMPUTED_VALUE"""),"美容点滴はありますか？")</f>
        <v>美容点滴はありますか？</v>
      </c>
      <c r="B941" s="31" t="str">
        <f>IFERROR(__xludf.DUMMYFUNCTION("""COMPUTED_VALUE"""),"若返り点滴（2025年7月末終了）、美白点滴（2025年8月15日終了）、疲労回復点滴（2025年8月末終了）、プラセンタ点滴（2025年8月末終了）の提供は終了しております。ご愛顧いただいていた患者様にはご不便をおかけいたしますが、何卒ご理解賜りますようお願い申し上げます。")</f>
        <v>若返り点滴（2025年7月末終了）、美白点滴（2025年8月15日終了）、疲労回復点滴（2025年8月末終了）、プラセンタ点滴（2025年8月末終了）の提供は終了しております。ご愛顧いただいていた患者様にはご不便をおかけいたしますが、何卒ご理解賜りますようお願い申し上げます。</v>
      </c>
      <c r="C941" s="31" t="str">
        <f>IFERROR(__xludf.DUMMYFUNCTION("""COMPUTED_VALUE"""),"美容医療")</f>
        <v>美容医療</v>
      </c>
      <c r="D941" s="31" t="str">
        <f>IFERROR(__xludf.DUMMYFUNCTION("""COMPUTED_VALUE"""),"美容点滴,点滴,メニュー,予約,受診,クリニック")</f>
        <v>美容点滴,点滴,メニュー,予約,受診,クリニック</v>
      </c>
      <c r="E941" s="31"/>
    </row>
    <row r="942">
      <c r="A942" s="31" t="str">
        <f>IFERROR(__xludf.DUMMYFUNCTION("""COMPUTED_VALUE"""),"他院にて処方された薬")</f>
        <v>他院にて処方された薬</v>
      </c>
      <c r="B942" s="31" t="str">
        <f>IFERROR(__xludf.DUMMYFUNCTION("""COMPUTED_VALUE"""),"当院にて処方されていない薬に関しては服用状況が分かりかねるため、お答えが出来かねます。お手数おかけいたしますが、処方されました医療機関にてご相談ください。")</f>
        <v>当院にて処方されていない薬に関しては服用状況が分かりかねるため、お答えが出来かねます。お手数おかけいたしますが、処方されました医療機関にてご相談ください。</v>
      </c>
      <c r="C942" s="31" t="str">
        <f>IFERROR(__xludf.DUMMYFUNCTION("""COMPUTED_VALUE"""),"受診案内・薬/他院処方")</f>
        <v>受診案内・薬/他院処方</v>
      </c>
      <c r="D942" s="31" t="str">
        <f>IFERROR(__xludf.DUMMYFUNCTION("""COMPUTED_VALUE"""),"他院処方,他の病院の薬,処方薬,服用状況,わからない,回答不可,処方元に相談,ピル")</f>
        <v>他院処方,他の病院の薬,処方薬,服用状況,わからない,回答不可,処方元に相談,ピル</v>
      </c>
      <c r="E942" s="31"/>
    </row>
    <row r="943">
      <c r="A943" s="31" t="str">
        <f>IFERROR(__xludf.DUMMYFUNCTION("""COMPUTED_VALUE"""),"性病が陽性でした。家族・性行為で移りますか？")</f>
        <v>性病が陽性でした。家族・性行為で移りますか？</v>
      </c>
      <c r="B943" s="31" t="str">
        <f>IFERROR(__xludf.DUMMYFUNCTION("""COMPUTED_VALUE"""),"クラミジア・淋菌・ウレアプラズマ・マイコプラズマといった性感染症は基本的に性行為にて感染がございますが、
どちらも咽頭に感染している可能性もございますので、その際は同じ食事にて食器を返して、感染する可能性もございます。
トリコモナスは感染力が強く、同じお手洗いや入浴によって感染する可能性がございます。
ご使用前後に亜塩素酸ナトリウムや消毒用エタノールで消毒することをおすすめいたします。
梅毒・HIV・ヘルペスは皮膚に症状が出るため、避妊具を使用しても感染する恐れがございます。
ご自身が感染している場合は"&amp;"再検査にて陰性が確認できるまで生活を見直し、性行為は控えるようにしましょう。
パートナーが陽性の場合は症状がなくても婦人科にて検査をすることをおすすめいたします。
※梅毒・HIVは感染の恐れのある性行為から1カ月以降にご受診ください。
症状やお体のご状況については診察にてご確認いただく必要がございます。当院でのご受診をご希望の場合は、ご予約をお取りの上、クリニックにご受診下さい。
受診のご予約はLINEで受け付けています。LINEはこちら→https://cline-app.com/qr-codes/9"&amp;"8ad6f149bfa20f4f2a9a2e91aac4187/preview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
また、当院では「FemCHECK」という検査キットを販売しており、こちらはご自宅で検査していただきキットを送っていただければ、
結果もWEBから確認が可能でございます。
購入はこちら
https://sho"&amp;"p.luna-dr.com/collections/femcheck/products/femcheck")</f>
        <v>クラミジア・淋菌・ウレアプラズマ・マイコプラズマといった性感染症は基本的に性行為にて感染がございますが、
どちらも咽頭に感染している可能性もございますので、その際は同じ食事にて食器を返して、感染する可能性もございます。
トリコモナスは感染力が強く、同じお手洗いや入浴によって感染する可能性がございます。
ご使用前後に亜塩素酸ナトリウムや消毒用エタノールで消毒することをおすすめいたします。
梅毒・HIV・ヘルペスは皮膚に症状が出るため、避妊具を使用しても感染する恐れがございます。
ご自身が感染している場合は再検査にて陰性が確認できるまで生活を見直し、性行為は控えるようにしましょう。
パートナーが陽性の場合は症状がなくても婦人科にて検査をすることをおすすめいたします。
※梅毒・HIVは感染の恐れのある性行為から1カ月以降にご受診ください。
症状やお体のご状況については診察にてご確認いただく必要がございます。当院でのご受診をご希望の場合は、ご予約をお取りの上、クリニックにご受診下さい。
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
また、当院では「FemCHECK」という検査キットを販売しており、こちらはご自宅で検査していただきキットを送っていただければ、
結果もWEBから確認が可能でございます。
購入はこちら
https://shop.luna-dr.com/collections/femcheck/products/femcheck</v>
      </c>
      <c r="C943" s="31" t="str">
        <f>IFERROR(__xludf.DUMMYFUNCTION("""COMPUTED_VALUE"""),"性感染症（性病）")</f>
        <v>性感染症（性病）</v>
      </c>
      <c r="D943" s="31" t="str">
        <f>IFERROR(__xludf.DUMMYFUNCTION("""COMPUTED_VALUE"""),"性病,陽性,家族にうつる,性行為でうつる,感染経路,クラミジア,淋菌,ウレアプラズマ,マイコプラズマ,咽頭感染,食器,トリコモナス,トイレ,入浴,消毒,次亜塩素酸,エタノール,梅毒,HIV,ヘルペス,避妊具,再検査,陰性確認,性行為控える,FemCHECK")</f>
        <v>性病,陽性,家族にうつる,性行為でうつる,感染経路,クラミジア,淋菌,ウレアプラズマ,マイコプラズマ,咽頭感染,食器,トリコモナス,トイレ,入浴,消毒,次亜塩素酸,エタノール,梅毒,HIV,ヘルペス,避妊具,再検査,陰性確認,性行為控える,FemCHECK</v>
      </c>
      <c r="E943" s="31"/>
    </row>
    <row r="944">
      <c r="A944" s="31" t="str">
        <f>IFERROR(__xludf.DUMMYFUNCTION("""COMPUTED_VALUE"""),"性病がいつ感染したものなのか知りたい")</f>
        <v>性病がいつ感染したものなのか知りたい</v>
      </c>
      <c r="B944" s="31" t="str">
        <f>IFERROR(__xludf.DUMMYFUNCTION("""COMPUTED_VALUE"""),"性病がいつ感染したものなのかお調べすることができかねます。もし、定期検査を行っている場合には陰性の確認ができた日～陽性の確認ができた日までに性行為を行ったすべてのパートナーが対象となり、初めての性病検査にて陽性の場合には今まで性行為を行ったすべてのパートナーが該当します。")</f>
        <v>性病がいつ感染したものなのかお調べすることができかねます。もし、定期検査を行っている場合には陰性の確認ができた日～陽性の確認ができた日までに性行為を行ったすべてのパートナーが対象となり、初めての性病検査にて陽性の場合には今まで性行為を行ったすべてのパートナーが該当します。</v>
      </c>
      <c r="C944" s="31" t="str">
        <f>IFERROR(__xludf.DUMMYFUNCTION("""COMPUTED_VALUE"""),"性感染症（性病）")</f>
        <v>性感染症（性病）</v>
      </c>
      <c r="D944" s="31" t="str">
        <f>IFERROR(__xludf.DUMMYFUNCTION("""COMPUTED_VALUE"""),"性病,いつ感染,感染時期,特定できない,定期検査,陰性日,陽性日,パートナー,初めての検査,過去の性行為")</f>
        <v>性病,いつ感染,感染時期,特定できない,定期検査,陰性日,陽性日,パートナー,初めての検査,過去の性行為</v>
      </c>
      <c r="E944" s="31"/>
    </row>
    <row r="945">
      <c r="A945" s="31" t="str">
        <f>IFERROR(__xludf.DUMMYFUNCTION("""COMPUTED_VALUE"""),"いつ陰性の確認に行ったらよろしいでしょうか")</f>
        <v>いつ陰性の確認に行ったらよろしいでしょうか</v>
      </c>
      <c r="B945" s="31" t="str">
        <f>IFERROR(__xludf.DUMMYFUNCTION("""COMPUTED_VALUE"""),"処方されたお薬の服用終了2週間後以降に陰性の確認を行ってください。服用終了1週間たっても症状の改善が見られない場合は再度ご相談ください。")</f>
        <v>処方されたお薬の服用終了2週間後以降に陰性の確認を行ってください。服用終了1週間たっても症状の改善が見られない場合は再度ご相談ください。</v>
      </c>
      <c r="C945" s="31" t="str">
        <f>IFERROR(__xludf.DUMMYFUNCTION("""COMPUTED_VALUE"""),"性感染症（性病）")</f>
        <v>性感染症（性病）</v>
      </c>
      <c r="D945" s="31" t="str">
        <f>IFERROR(__xludf.DUMMYFUNCTION("""COMPUTED_VALUE"""),"陰性確認,再検査,いつ,治療後,服用終了,2週間後,偽陽性,再治療,症状改善しない,1週間,相談,性行為できない")</f>
        <v>陰性確認,再検査,いつ,治療後,服用終了,2週間後,偽陽性,再治療,症状改善しない,1週間,相談,性行為できない</v>
      </c>
      <c r="E945" s="31"/>
    </row>
    <row r="946">
      <c r="A946" s="31" t="str">
        <f>IFERROR(__xludf.DUMMYFUNCTION("""COMPUTED_VALUE"""),"ビブラマイシン処方後の吐き気")</f>
        <v>ビブラマイシン処方後の吐き気</v>
      </c>
      <c r="B946" s="31" t="str">
        <f>IFERROR(__xludf.DUMMYFUNCTION("""COMPUTED_VALUE"""),"ビブラマイシンの副作用には吐き気がございます。徐々に体になれて吐き気が治まるかと思いますが、市販の吐き気止めを使用しても耐えられない場合は、お薬が合わないと思いますので、ご相談ください。")</f>
        <v>ビブラマイシンの副作用には吐き気がございます。徐々に体になれて吐き気が治まるかと思いますが、市販の吐き気止めを使用しても耐えられない場合は、お薬が合わないと思いますので、ご相談ください。</v>
      </c>
      <c r="C946" s="31" t="str">
        <f>IFERROR(__xludf.DUMMYFUNCTION("""COMPUTED_VALUE"""),"薬の副作用")</f>
        <v>薬の副作用</v>
      </c>
      <c r="D946" s="31" t="str">
        <f>IFERROR(__xludf.DUMMYFUNCTION("""COMPUTED_VALUE"""),"ビブラマイシン,吐き気,副作用,慣れる,市販の吐き気止め,耐えられない,薬が合わない,相談")</f>
        <v>ビブラマイシン,吐き気,副作用,慣れる,市販の吐き気止め,耐えられない,薬が合わない,相談</v>
      </c>
      <c r="E946" s="31"/>
    </row>
    <row r="947">
      <c r="A947" s="31" t="str">
        <f>IFERROR(__xludf.DUMMYFUNCTION("""COMPUTED_VALUE"""),"他の医療機関で検査した結果を元に処方は可能ですか？/他院で検査をしたが、こちらで薬の処方できるか？")</f>
        <v>他の医療機関で検査した結果を元に処方は可能ですか？/他院で検査をしたが、こちらで薬の処方できるか？</v>
      </c>
      <c r="B947" s="31" t="str">
        <f>IFERROR(__xludf.DUMMYFUNCTION("""COMPUTED_VALUE"""),"患者様の氏名・検査日・検査結果が記載されている用紙をご提示にて処方が可能でございます。")</f>
        <v>患者様の氏名・検査日・検査結果が記載されている用紙をご提示にて処方が可能でございます。</v>
      </c>
      <c r="C947" s="31" t="str">
        <f>IFERROR(__xludf.DUMMYFUNCTION("""COMPUTED_VALUE"""),"受診案内・薬/処方")</f>
        <v>受診案内・薬/処方</v>
      </c>
      <c r="D947" s="31" t="str">
        <f>IFERROR(__xludf.DUMMYFUNCTION("""COMPUTED_VALUE"""),"他院検査結果,持参,用紙,氏名,検査日,検査結果,提示,処方可能,他院")</f>
        <v>他院検査結果,持参,用紙,氏名,検査日,検査結果,提示,処方可能,他院</v>
      </c>
      <c r="E947" s="31"/>
    </row>
    <row r="948">
      <c r="A948" s="31" t="str">
        <f>IFERROR(__xludf.DUMMYFUNCTION("""COMPUTED_VALUE"""),"カンジダ・一般細菌が陽性であったが内服薬の処方は可能ですか")</f>
        <v>カンジダ・一般細菌が陽性であったが内服薬の処方は可能ですか</v>
      </c>
      <c r="B948" s="31" t="str">
        <f>IFERROR(__xludf.DUMMYFUNCTION("""COMPUTED_VALUE"""),"カンジダ・一般細菌の感染が膣内で起こっており、内服薬は膣に到達するのに時間を要するため、直接的に膣錠を入れた方が効果的でございます。膣錠の使用が難しい場合は婦人科にて毎日の挿入お手伝い、医師の判断で内服薬に変更できる場合もございますのでご相談ください。")</f>
        <v>カンジダ・一般細菌の感染が膣内で起こっており、内服薬は膣に到達するのに時間を要するため、直接的に膣錠を入れた方が効果的でございます。膣錠の使用が難しい場合は婦人科にて毎日の挿入お手伝い、医師の判断で内服薬に変更できる場合もございますのでご相談ください。</v>
      </c>
      <c r="C948" s="31" t="str">
        <f>IFERROR(__xludf.DUMMYFUNCTION("""COMPUTED_VALUE"""),"おりもの・腟トラブル")</f>
        <v>おりもの・腟トラブル</v>
      </c>
      <c r="D948" s="31" t="str">
        <f>IFERROR(__xludf.DUMMYFUNCTION("""COMPUTED_VALUE"""),"カンジダ,一般細菌,陽性,内服薬,膣内感染,膣に届くのに時間,膣錠,膣剤,効果的,挿入が難しい,婦人科,医師判断,内服に変更")</f>
        <v>カンジダ,一般細菌,陽性,内服薬,膣内感染,膣に届くのに時間,膣錠,膣剤,効果的,挿入が難しい,婦人科,医師判断,内服に変更</v>
      </c>
      <c r="E948" s="31"/>
    </row>
    <row r="949">
      <c r="A949" s="31" t="str">
        <f>IFERROR(__xludf.DUMMYFUNCTION("""COMPUTED_VALUE"""),"性感染症の薬を使用したが、症状が改善しない")</f>
        <v>性感染症の薬を使用したが、症状が改善しない</v>
      </c>
      <c r="B949" s="31" t="str">
        <f>IFERROR(__xludf.DUMMYFUNCTION("""COMPUTED_VALUE"""),"抗生剤を使用する場合、免疫力が低下しカンジダになりやすくなります。また、使用してから1週間たっても症状が改善しない場合は、抗生剤が効いていない可能性も考えられます。治療効果の確認として2週間後に再検査を行い、再び陽性の場合には再治療をおすすめします。治療中に我慢できない症状が出た場合は、ご遠慮なくご相談ください。個別の症状やお体のご状況については診察にてご確認いただくことをおすすめいたします。当院でのご受診をご希望の場合は、ご予約をお取りの上、クリニックにご受診ください。受診のご予約はLINEで受け付けて"&amp;"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f>
        <v>抗生剤を使用する場合、免疫力が低下しカンジダになりやすくなります。また、使用してから1週間たっても症状が改善しない場合は、抗生剤が効いていない可能性も考えられます。治療効果の確認として2週間後に再検査を行い、再び陽性の場合には再治療をおすすめします。治療中に我慢できない症状が出た場合は、ご遠慮なくご相談ください。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949" s="31" t="str">
        <f>IFERROR(__xludf.DUMMYFUNCTION("""COMPUTED_VALUE"""),"性感染症（性病）/治療")</f>
        <v>性感染症（性病）/治療</v>
      </c>
      <c r="D949" s="31" t="str">
        <f>IFERROR(__xludf.DUMMYFUNCTION("""COMPUTED_VALUE"""),"薬を使った,症状改善しない,抗生剤,免疫低下,カンジダ,1週間,効いていない,2週間後,再検査,再治療,相談")</f>
        <v>薬を使った,症状改善しない,抗生剤,免疫低下,カンジダ,1週間,効いていない,2週間後,再検査,再治療,相談</v>
      </c>
      <c r="E949" s="31"/>
    </row>
    <row r="950">
      <c r="A950" s="31" t="str">
        <f>IFERROR(__xludf.DUMMYFUNCTION("""COMPUTED_VALUE"""),"クラミジア・ウレアプラズマ・マイコプラズマとは")</f>
        <v>クラミジア・ウレアプラズマ・マイコプラズマとは</v>
      </c>
      <c r="B950" s="31" t="str">
        <f>IFERROR(__xludf.DUMMYFUNCTION("""COMPUTED_VALUE"""),"クラミジア・ウレアプラズマ・マイコプラズマとは性病の一種です。原則として内服薬にて治療を行い、性行為・粘膜接触（キス・オーラルセックス）によって感染する恐れがあります。そのため、陰部だけでなく咽頭や目にも感染する恐れがございます。異変を感じたら当院のご受診をご検討ください。当院では【川崎駅前院】のみ検査のご案内が可能です。また、当院では「FemCHECK」という検査キットを販売しております。こちらはご自宅で検査していただきキットを送っていただければ、結果もWEBから確認が可能です。購入はこちら→https"&amp;"://shop.luna-dr.com/collections/femcheck/products/femcheck")</f>
        <v>クラミジア・ウレアプラズマ・マイコプラズマとは性病の一種です。原則として内服薬にて治療を行い、性行為・粘膜接触（キス・オーラルセックス）によって感染する恐れがあります。そのため、陰部だけでなく咽頭や目にも感染する恐れがございます。異変を感じたら当院のご受診をご検討ください。当院では【川崎駅前院】のみ検査のご案内が可能です。また、当院では「FemCHECK」という検査キットを販売しております。こちらはご自宅で検査していただきキットを送っていただければ、結果もWEBから確認が可能です。購入はこちら→https://shop.luna-dr.com/collections/femcheck/products/femcheck</v>
      </c>
      <c r="C950" s="31" t="str">
        <f>IFERROR(__xludf.DUMMYFUNCTION("""COMPUTED_VALUE"""),"性感染症（性病）")</f>
        <v>性感染症（性病）</v>
      </c>
      <c r="D950" s="31" t="str">
        <f>IFERROR(__xludf.DUMMYFUNCTION("""COMPUTED_VALUE"""),"クラミジア,ウレアプラズマ,マイコプラズマ,性病,治療,内服薬,感染,性行為,粘膜接触,キス,オーラルセックス,咽頭,目,FemCHECK,検査キット,自宅検査")</f>
        <v>クラミジア,ウレアプラズマ,マイコプラズマ,性病,治療,内服薬,感染,性行為,粘膜接触,キス,オーラルセックス,咽頭,目,FemCHECK,検査キット,自宅検査</v>
      </c>
      <c r="E950" s="31"/>
    </row>
    <row r="951">
      <c r="A951" s="31" t="str">
        <f>IFERROR(__xludf.DUMMYFUNCTION("""COMPUTED_VALUE"""),"淋菌とは")</f>
        <v>淋菌とは</v>
      </c>
      <c r="B951" s="31" t="str">
        <f>IFERROR(__xludf.DUMMYFUNCTION("""COMPUTED_VALUE"""),"淋菌とは性感染症の一種です。原則、点滴薬または筋肉注射にて治療を行い、性行為・粘膜接触（キス・オーラルセックス）によって感染する恐れがあります。そのため、陰部だけでなく咽頭にも感染する恐れがございます。異変を感じたら当院では「FemCHECK」という検査キットを販売しており、こちらはご自宅で検査していただきキットを送っていただければ、結果もWEBから確認が可能でございます。購入はこちら→https://shop.luna-dr.com/collections/femcheck/products/femch"&amp;"eck")</f>
        <v>淋菌とは性感染症の一種です。原則、点滴薬または筋肉注射にて治療を行い、性行為・粘膜接触（キス・オーラルセックス）によって感染する恐れがあります。そのため、陰部だけでなく咽頭にも感染する恐れがございます。異変を感じたら当院では「FemCHECK」という検査キットを販売しており、こちらはご自宅で検査していただきキットを送っていただければ、結果もWEBから確認が可能でございます。購入はこちら→https://shop.luna-dr.com/collections/femcheck/products/femcheck</v>
      </c>
      <c r="C951" s="31" t="str">
        <f>IFERROR(__xludf.DUMMYFUNCTION("""COMPUTED_VALUE"""),"性感染症（性病）")</f>
        <v>性感染症（性病）</v>
      </c>
      <c r="D951" s="31" t="str">
        <f>IFERROR(__xludf.DUMMYFUNCTION("""COMPUTED_VALUE"""),"淋菌,性病,治療,点滴,筋肉注射,感染,性行為,粘膜接触,キス,オーラルセックス,咽頭感染,FemCHECK,検査キット,自宅検査")</f>
        <v>淋菌,性病,治療,点滴,筋肉注射,感染,性行為,粘膜接触,キス,オーラルセックス,咽頭感染,FemCHECK,検査キット,自宅検査</v>
      </c>
      <c r="E951" s="31"/>
    </row>
    <row r="952">
      <c r="A952" s="31" t="str">
        <f>IFERROR(__xludf.DUMMYFUNCTION("""COMPUTED_VALUE"""),"トリコモナスとは")</f>
        <v>トリコモナスとは</v>
      </c>
      <c r="B952" s="31" t="str">
        <f>IFERROR(__xludf.DUMMYFUNCTION("""COMPUTED_VALUE"""),"トリコモナスとは性病の一種です。原則、内服薬にて治療を行い、性行為だけでなく、お手洗いやお風呂、共有のタオルの使用でも感染する恐れがあり、とても感染力が強い性病です。感染している恐れがある場合は、次亜塩素酸ナトリウムや消毒用エタノールを使用し、やけどに注意して42度以上のお湯で洗い流すと良いです。異変を感じたら当院では「FemCHECK」という検査キットを販売しており、こちらはご自宅で検査していただきキットを送っていただければ、結果もWEBから確認が可能でございます。購入はこちら→https://shop"&amp;".luna-dr.com/collections/femcheck/products/femcheck")</f>
        <v>トリコモナスとは性病の一種です。原則、内服薬にて治療を行い、性行為だけでなく、お手洗いやお風呂、共有のタオルの使用でも感染する恐れがあり、とても感染力が強い性病です。感染している恐れがある場合は、次亜塩素酸ナトリウムや消毒用エタノールを使用し、やけどに注意して42度以上のお湯で洗い流すと良いです。異変を感じたら当院では「FemCHECK」という検査キットを販売しており、こちらはご自宅で検査していただきキットを送っていただければ、結果もWEBから確認が可能でございます。購入はこちら→https://shop.luna-dr.com/collections/femcheck/products/femcheck</v>
      </c>
      <c r="C952" s="31" t="str">
        <f>IFERROR(__xludf.DUMMYFUNCTION("""COMPUTED_VALUE"""),"性感染症（性病）")</f>
        <v>性感染症（性病）</v>
      </c>
      <c r="D952" s="31" t="str">
        <f>IFERROR(__xludf.DUMMYFUNCTION("""COMPUTED_VALUE"""),"トリコモナス,性病,感染力が強い,内服薬,性行為以外,トイレ,お風呂,タオル共有,次亜塩素酸,エタノール,42度以上,やけど注意,FemCHECK,検査キット,自宅検査")</f>
        <v>トリコモナス,性病,感染力が強い,内服薬,性行為以外,トイレ,お風呂,タオル共有,次亜塩素酸,エタノール,42度以上,やけど注意,FemCHECK,検査キット,自宅検査</v>
      </c>
      <c r="E952" s="31"/>
    </row>
    <row r="953">
      <c r="A953" s="31" t="str">
        <f>IFERROR(__xludf.DUMMYFUNCTION("""COMPUTED_VALUE"""),"梅毒とは")</f>
        <v>梅毒とは</v>
      </c>
      <c r="B953" s="31" t="str">
        <f>IFERROR(__xludf.DUMMYFUNCTION("""COMPUTED_VALUE"""),"梅毒は個人差がありますが、陰部に限らず全身に発疹が出るのが特徴です。基本的に粘膜接触により感染し、避妊具を使用しても防ぐことが難しいです。潜伏期間があるため、不安な性行為から1カ月後・3カ月後に一度、ご自身の状況を確認するためにも血液検査をおすすめいたします。当院での検査はご予約をお取りの上、クリニックにご受診ください。受診のご予約はLINEで受け付けています。LINEはこちら→https://cline-app.com/qr-codes/98ad6f149bfa20f4f2a9a2e91aac4187/"&amp;"preview")</f>
        <v>梅毒は個人差がありますが、陰部に限らず全身に発疹が出るのが特徴です。基本的に粘膜接触により感染し、避妊具を使用しても防ぐことが難しいです。潜伏期間があるため、不安な性行為から1カ月後・3カ月後に一度、ご自身の状況を確認するためにも血液検査をおすすめいたします。当院での検査はご予約をお取りの上、クリニックにご受診ください。受診のご予約はLINEで受け付けています。LINEはこちら→https://cline-app.com/qr-codes/98ad6f149bfa20f4f2a9a2e91aac4187/preview</v>
      </c>
      <c r="C953" s="31" t="str">
        <f>IFERROR(__xludf.DUMMYFUNCTION("""COMPUTED_VALUE"""),"性感染症（性病）")</f>
        <v>性感染症（性病）</v>
      </c>
      <c r="D953" s="31" t="str">
        <f>IFERROR(__xludf.DUMMYFUNCTION("""COMPUTED_VALUE"""),"梅毒,全身の発疹,陰部以外,粘膜接触,避妊具でも防ぎにくい,潜伏期間,1カ月後,3カ月後,血液検査,不安な性行為,予約,受診")</f>
        <v>梅毒,全身の発疹,陰部以外,粘膜接触,避妊具でも防ぎにくい,潜伏期間,1カ月後,3カ月後,血液検査,不安な性行為,予約,受診</v>
      </c>
      <c r="E953" s="31"/>
    </row>
    <row r="954">
      <c r="A954" s="31" t="str">
        <f>IFERROR(__xludf.DUMMYFUNCTION("""COMPUTED_VALUE"""),"カンジダとは")</f>
        <v>カンジダとは</v>
      </c>
      <c r="B954" s="31" t="str">
        <f>IFERROR(__xludf.DUMMYFUNCTION("""COMPUTED_VALUE"""),"カンジダ（真菌）は常在菌であるカビでございます。一定数の値が超えるとチーズのようなおりもの異常/カスが出る・臭いが特徴的な症状です。常在菌（誰もが保有している）だが、パートナーとオーラルセックスにて口腔内・陰部に症状が出たり、する場合がございます。治療法としては膣剤・外用薬を用いて真菌を減らして、症状の改善を行います。オンラインでは視診が難しいため、婦人科のご受診をおすすめいたします。当院でのご受診をご希望の場合は、ご予約をお取りの上、クリニックにご受診ください。受診のご予約はLINEで受け付けています。"&amp;"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
【乳酸桿菌】膣に直接的に入れることで、繰り返すカンジダ、膀胱炎、細菌の増殖によるおりもの異常に直接アプローチが可能でございま"&amp;"す。また、継続的に使用することでより予防効果が効果が高まります。乳酸桿菌の定期配送は以下のURLよりご購入が可能です。https://shop.luna-dr.com/products/lactobacillus")</f>
        <v>カンジダ（真菌）は常在菌であるカビでございます。一定数の値が超えるとチーズのようなおりもの異常/カスが出る・臭いが特徴的な症状です。常在菌（誰もが保有している）だが、パートナーとオーラルセックスにて口腔内・陰部に症状が出たり、する場合がございます。治療法としては膣剤・外用薬を用いて真菌を減らして、症状の改善を行います。オンラインでは視診が難しいため、婦人科のご受診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
【乳酸桿菌】膣に直接的に入れることで、繰り返すカンジダ、膀胱炎、細菌の増殖によるおりもの異常に直接アプローチが可能でございます。また、継続的に使用することでより予防効果が効果が高まります。乳酸桿菌の定期配送は以下のURLよりご購入が可能です。https://shop.luna-dr.com/products/lactobacillus</v>
      </c>
      <c r="C954" s="31" t="str">
        <f>IFERROR(__xludf.DUMMYFUNCTION("""COMPUTED_VALUE"""),"おりもの・腟トラブル")</f>
        <v>おりもの・腟トラブル</v>
      </c>
      <c r="D954" s="31" t="str">
        <f>IFERROR(__xludf.DUMMYFUNCTION("""COMPUTED_VALUE"""),"カンジダ,真菌,常在菌,カビ,おりもの異常,チーズ状,カス,臭い,オーラルセックス,口腔内,陰部,膣剤,外用薬,オンライン不可,視診,婦人科,予約,乳酸桿菌,再発予防,膀胱炎,定期配送")</f>
        <v>カンジダ,真菌,常在菌,カビ,おりもの異常,チーズ状,カス,臭い,オーラルセックス,口腔内,陰部,膣剤,外用薬,オンライン不可,視診,婦人科,予約,乳酸桿菌,再発予防,膀胱炎,定期配送</v>
      </c>
      <c r="E954" s="31"/>
    </row>
    <row r="955">
      <c r="A955" s="31" t="str">
        <f>IFERROR(__xludf.DUMMYFUNCTION("""COMPUTED_VALUE"""),"パートナーの分のお薬が欲しい")</f>
        <v>パートナーの分のお薬が欲しい</v>
      </c>
      <c r="B955" s="31" t="str">
        <f>IFERROR(__xludf.DUMMYFUNCTION("""COMPUTED_VALUE"""),"医薬品になりますので、代理処方ができず、ご本人へのみ処方が可能でございます。処方ご希望の患者様ご自身でオンライン診療をお申し込みください。")</f>
        <v>医薬品になりますので、代理処方ができず、ご本人へのみ処方が可能でございます。処方ご希望の患者様ご自身でオンライン診療をお申し込みください。</v>
      </c>
      <c r="C955" s="31" t="str">
        <f>IFERROR(__xludf.DUMMYFUNCTION("""COMPUTED_VALUE"""),"受診案内・薬/処方")</f>
        <v>受診案内・薬/処方</v>
      </c>
      <c r="D955" s="31" t="str">
        <f>IFERROR(__xludf.DUMMYFUNCTION("""COMPUTED_VALUE"""),"パートナー分,代理処方不可,本人のみ,薬が欲しい,オンライン診療,申込み")</f>
        <v>パートナー分,代理処方不可,本人のみ,薬が欲しい,オンライン診療,申込み</v>
      </c>
      <c r="E955" s="31"/>
    </row>
    <row r="956">
      <c r="A956" s="31" t="str">
        <f>IFERROR(__xludf.DUMMYFUNCTION("""COMPUTED_VALUE"""),"パートナーが性病陽性だが自身は陰性であった時の対応はどうしたらよいですか？")</f>
        <v>パートナーが性病陽性だが自身は陰性であった時の対応はどうしたらよいですか？</v>
      </c>
      <c r="B956" s="31" t="str">
        <f>IFERROR(__xludf.DUMMYFUNCTION("""COMPUTED_VALUE"""),"性行為をしているのに結果がちぐはぐな場合は疑問になるのも当然のことです。いくつかの憶測が考えられます。採取がうまくできていない・迅速検査・感染場所が咽頭であったため陰性の結果が出た。元彼が性感染症に感染しており、幸いにも新しいパートナーから移らなかった。何か別の病気で病院に行った際に処方された薬が偶然にも性感染症にも効果があり、気づかないうちに治療をしていた、などが考えられます。")</f>
        <v>性行為をしているのに結果がちぐはぐな場合は疑問になるのも当然のことです。いくつかの憶測が考えられます。採取がうまくできていない・迅速検査・感染場所が咽頭であったため陰性の結果が出た。元彼が性感染症に感染しており、幸いにも新しいパートナーから移らなかった。何か別の病気で病院に行った際に処方された薬が偶然にも性感染症にも効果があり、気づかないうちに治療をしていた、などが考えられます。</v>
      </c>
      <c r="C956" s="31" t="str">
        <f>IFERROR(__xludf.DUMMYFUNCTION("""COMPUTED_VALUE"""),"性感染症（性病）")</f>
        <v>性感染症（性病）</v>
      </c>
      <c r="D956" s="31" t="str">
        <f>IFERROR(__xludf.DUMMYFUNCTION("""COMPUTED_VALUE"""),"パートナー陽性,自分は陰性,結果がちぐはぐ,採取ミス,迅速検査,咽頭感染,元彼,移らなかった,別の薬が効いた,気づかない治療")</f>
        <v>パートナー陽性,自分は陰性,結果がちぐはぐ,採取ミス,迅速検査,咽頭感染,元彼,移らなかった,別の薬が効いた,気づかない治療</v>
      </c>
      <c r="E956" s="31"/>
    </row>
    <row r="957">
      <c r="A957" s="31" t="str">
        <f>IFERROR(__xludf.DUMMYFUNCTION("""COMPUTED_VALUE"""),"カンジダの追加処方希望")</f>
        <v>カンジダの追加処方希望</v>
      </c>
      <c r="B957" s="31"/>
      <c r="C957" s="31" t="str">
        <f>IFERROR(__xludf.DUMMYFUNCTION("""COMPUTED_VALUE"""),"おりもの・腟トラブル")</f>
        <v>おりもの・腟トラブル</v>
      </c>
      <c r="D957" s="31" t="str">
        <f>IFERROR(__xludf.DUMMYFUNCTION("""COMPUTED_VALUE"""),"カンジダ,追加処方,再発,薬が欲しい,膣剤,外用薬")</f>
        <v>カンジダ,追加処方,再発,薬が欲しい,膣剤,外用薬</v>
      </c>
      <c r="E957" s="31"/>
    </row>
    <row r="958">
      <c r="A958" s="31" t="str">
        <f>IFERROR(__xludf.DUMMYFUNCTION("""COMPUTED_VALUE"""),"返送したFemCHECK検査キットが検査室に届いているのか／検査結果の確認をしたい")</f>
        <v>返送したFemCHECK検査キットが検査室に届いているのか／検査結果の確認をしたい</v>
      </c>
      <c r="B958" s="31" t="str">
        <f>IFERROR(__xludf.DUMMYFUNCTION("""COMPUTED_VALUE"""),"返送してから1週間以上経っているのにも関わらず、検査結果の反映がされない場合は検査室に届いた時点でFemCHECKIDの登録がされておらず保留中となっている可能性がございます。今一度FemCHECKID登録が済んでいるか確認の上、FemCHECKID、登録メールアドレス、氏名を明記し、ご連絡をお願い致します。検査結果は、[【こちら】](https://result.luna-dr.com/clinic_login)よりご確認いただけます。
※必ず受診クリニックを正しくご選択の上、ご確認ください。患者番号"&amp;"は、会計時にお渡ししている領収書に記載のある10桁の番号となります。")</f>
        <v>返送してから1週間以上経っているのにも関わらず、検査結果の反映がされない場合は検査室に届いた時点でFemCHECKIDの登録がされておらず保留中となっている可能性がございます。今一度FemCHECKID登録が済んでいるか確認の上、FemCHECKID、登録メールアドレス、氏名を明記し、ご連絡をお願い致します。検査結果は、[【こちら】](https://result.luna-dr.com/clinic_login)よりご確認いただけます。
※必ず受診クリニックを正しくご選択の上、ご確認ください。患者番号は、会計時にお渡ししている領収書に記載のある10桁の番号となります。</v>
      </c>
      <c r="C958" s="31" t="str">
        <f>IFERROR(__xludf.DUMMYFUNCTION("""COMPUTED_VALUE"""),"FemCHECK（検査キット）")</f>
        <v>FemCHECK（検査キット）</v>
      </c>
      <c r="D958" s="31" t="str">
        <f>IFERROR(__xludf.DUMMYFUNCTION("""COMPUTED_VALUE"""),"FemCHECK,検査キット,返送,届いているか,検査結果,反映されない,1週間以上,FemCHECKID,登録,保留中,メールアドレス,氏名,連絡")</f>
        <v>FemCHECK,検査キット,返送,届いているか,検査結果,反映されない,1週間以上,FemCHECKID,登録,保留中,メールアドレス,氏名,連絡</v>
      </c>
      <c r="E958" s="31"/>
    </row>
    <row r="959">
      <c r="A959" s="31" t="str">
        <f>IFERROR(__xludf.DUMMYFUNCTION("""COMPUTED_VALUE"""),"予約方法を教えてください")</f>
        <v>予約方法を教えてください</v>
      </c>
      <c r="B959" s="31" t="str">
        <f>IFERROR(__xludf.DUMMYFUNCTION("""COMPUTED_VALUE"""),"当院のご予約は、公式LINEから受け付けています。LINEはこちら→https://cline-app.com/qr-codes/98ad6f149bfa20f4f2a9a2e91aac4187/preview")</f>
        <v>当院のご予約は、公式LINEから受け付けています。LINEはこちら→https://cline-app.com/qr-codes/98ad6f149bfa20f4f2a9a2e91aac4187/preview</v>
      </c>
      <c r="C959" s="31" t="str">
        <f>IFERROR(__xludf.DUMMYFUNCTION("""COMPUTED_VALUE"""),"予約")</f>
        <v>予約</v>
      </c>
      <c r="D959" s="31" t="str">
        <f>IFERROR(__xludf.DUMMYFUNCTION("""COMPUTED_VALUE"""),"予約方法,予約,LINE,公式LINE,予約はどこから")</f>
        <v>予約方法,予約,LINE,公式LINE,予約はどこから</v>
      </c>
      <c r="E959" s="32" t="str">
        <f>IFERROR(__xludf.DUMMYFUNCTION("""COMPUTED_VALUE"""),"https://cline-app.com/qr-codes/98ad6f149bfa20f4f2a9a2e91aac4187/preview")</f>
        <v>https://cline-app.com/qr-codes/98ad6f149bfa20f4f2a9a2e91aac4187/preview</v>
      </c>
    </row>
    <row r="960">
      <c r="A960" s="31" t="str">
        <f>IFERROR(__xludf.DUMMYFUNCTION("""COMPUTED_VALUE"""),"初診は予約が必要ですか？")</f>
        <v>初診は予約が必要ですか？</v>
      </c>
      <c r="B960" s="31" t="str">
        <f>IFERROR(__xludf.DUMMYFUNCTION("""COMPUTED_VALUE"""),"当院では、予約なしでのご来院も受け付けておりますが、スムーズなご案内のため基本的にご予約をお願いします。受診のご予約はLINEで受け付けています。LINEはこちら→https://cline-app.com/qr-codes/98ad6f149bfa20f4f2a9a2e91aac4187/preview")</f>
        <v>当院では、予約なしでのご来院も受け付けておりますが、スムーズなご案内のため基本的にご予約をお願いします。受診のご予約はLINEで受け付けています。LINEはこちら→https://cline-app.com/qr-codes/98ad6f149bfa20f4f2a9a2e91aac4187/preview</v>
      </c>
      <c r="C960" s="31" t="str">
        <f>IFERROR(__xludf.DUMMYFUNCTION("""COMPUTED_VALUE"""),"予約")</f>
        <v>予約</v>
      </c>
      <c r="D960" s="31" t="str">
        <f>IFERROR(__xludf.DUMMYFUNCTION("""COMPUTED_VALUE"""),"初診,予約必要,予約なし,来院,受診,LINE")</f>
        <v>初診,予約必要,予約なし,来院,受診,LINE</v>
      </c>
      <c r="E960" s="32" t="str">
        <f>IFERROR(__xludf.DUMMYFUNCTION("""COMPUTED_VALUE"""),"https://cline-app.com/qr-codes/98ad6f149bfa20f4f2a9a2e91aac4187/preview")</f>
        <v>https://cline-app.com/qr-codes/98ad6f149bfa20f4f2a9a2e91aac4187/preview</v>
      </c>
    </row>
    <row r="961">
      <c r="A961" s="31" t="str">
        <f>IFERROR(__xludf.DUMMYFUNCTION("""COMPUTED_VALUE"""),"再診は予約が必要ですか？")</f>
        <v>再診は予約が必要ですか？</v>
      </c>
      <c r="B961" s="31" t="str">
        <f>IFERROR(__xludf.DUMMYFUNCTION("""COMPUTED_VALUE"""),"当院では、予約なしでのご来院も受け付けておりますが、スムーズなご案内のため基本的にご予約をお願いします。受診のご予約はLINEで受け付けています。LINEはこちら→https://cline-app.com/qr-codes/98ad6f149bfa20f4f2a9a2e91aac4187/preview")</f>
        <v>当院では、予約なしでのご来院も受け付けておりますが、スムーズなご案内のため基本的にご予約をお願いします。受診のご予約はLINEで受け付けています。LINEはこちら→https://cline-app.com/qr-codes/98ad6f149bfa20f4f2a9a2e91aac4187/preview</v>
      </c>
      <c r="C961" s="31" t="str">
        <f>IFERROR(__xludf.DUMMYFUNCTION("""COMPUTED_VALUE"""),"予約")</f>
        <v>予約</v>
      </c>
      <c r="D961" s="31" t="str">
        <f>IFERROR(__xludf.DUMMYFUNCTION("""COMPUTED_VALUE"""),"再診,予約必要,予約なし,来院,受診,LINE")</f>
        <v>再診,予約必要,予約なし,来院,受診,LINE</v>
      </c>
      <c r="E961" s="32" t="str">
        <f>IFERROR(__xludf.DUMMYFUNCTION("""COMPUTED_VALUE"""),"https://cline-app.com/qr-codes/98ad6f149bfa20f4f2a9a2e91aac4187/preview")</f>
        <v>https://cline-app.com/qr-codes/98ad6f149bfa20f4f2a9a2e91aac4187/preview</v>
      </c>
    </row>
    <row r="962">
      <c r="A962" s="31" t="str">
        <f>IFERROR(__xludf.DUMMYFUNCTION("""COMPUTED_VALUE"""),"当日予約は可能ですか？/当日予約は何時まで可能ですか？/当日の予約は何時まで？")</f>
        <v>当日予約は可能ですか？/当日予約は何時まで可能ですか？/当日の予約は何時まで？</v>
      </c>
      <c r="B962" s="31" t="str">
        <f>IFERROR(__xludf.DUMMYFUNCTION("""COMPUTED_VALUE"""),"予約枠が空いている場合、当日のご予約が可能です。LINEから予約枠をご確認くださいませ。LINEはこちら→https://cline-app.com/qr-codes/98ad6f149bfa20f4f2a9a2e91aac4187/preview")</f>
        <v>予約枠が空いている場合、当日のご予約が可能です。LINEから予約枠をご確認くださいませ。LINEはこちら→https://cline-app.com/qr-codes/98ad6f149bfa20f4f2a9a2e91aac4187/preview</v>
      </c>
      <c r="C962" s="31" t="str">
        <f>IFERROR(__xludf.DUMMYFUNCTION("""COMPUTED_VALUE"""),"予約")</f>
        <v>予約</v>
      </c>
      <c r="D962" s="31" t="str">
        <f>IFERROR(__xludf.DUMMYFUNCTION("""COMPUTED_VALUE"""),"当日予約,当日,空き,予約枠,LINE")</f>
        <v>当日予約,当日,空き,予約枠,LINE</v>
      </c>
      <c r="E962" s="32" t="str">
        <f>IFERROR(__xludf.DUMMYFUNCTION("""COMPUTED_VALUE"""),"https://cline-app.com/qr-codes/98ad6f149bfa20f4f2a9a2e91aac4187/preview")</f>
        <v>https://cline-app.com/qr-codes/98ad6f149bfa20f4f2a9a2e91aac4187/preview</v>
      </c>
    </row>
    <row r="963">
      <c r="A963" s="31" t="str">
        <f>IFERROR(__xludf.DUMMYFUNCTION("""COMPUTED_VALUE"""),"翌日の予約は可能ですか？")</f>
        <v>翌日の予約は可能ですか？</v>
      </c>
      <c r="B963" s="31" t="str">
        <f>IFERROR(__xludf.DUMMYFUNCTION("""COMPUTED_VALUE"""),"予約枠が空いている場合、ご予約が可能です。LINEから予約枠をご確認くださいませ。LINEはこちら→https://cline-app.com/qr-codes/98ad6f149bfa20f4f2a9a2e91aac4187/preview")</f>
        <v>予約枠が空いている場合、ご予約が可能です。LINEから予約枠をご確認くださいませ。LINEはこちら→https://cline-app.com/qr-codes/98ad6f149bfa20f4f2a9a2e91aac4187/preview</v>
      </c>
      <c r="C963" s="31" t="str">
        <f>IFERROR(__xludf.DUMMYFUNCTION("""COMPUTED_VALUE"""),"予約")</f>
        <v>予約</v>
      </c>
      <c r="D963" s="31" t="str">
        <f>IFERROR(__xludf.DUMMYFUNCTION("""COMPUTED_VALUE"""),"翌日予約,明日,予約枠,空き,LINE")</f>
        <v>翌日予約,明日,予約枠,空き,LINE</v>
      </c>
      <c r="E963" s="32" t="str">
        <f>IFERROR(__xludf.DUMMYFUNCTION("""COMPUTED_VALUE"""),"https://cline-app.com/qr-codes/98ad6f149bfa20f4f2a9a2e91aac4187/preview")</f>
        <v>https://cline-app.com/qr-codes/98ad6f149bfa20f4f2a9a2e91aac4187/preview</v>
      </c>
    </row>
    <row r="964">
      <c r="A964" s="31" t="str">
        <f>IFERROR(__xludf.DUMMYFUNCTION("""COMPUTED_VALUE"""),"WEB予約は可能ですか？")</f>
        <v>WEB予約は可能ですか？</v>
      </c>
      <c r="B964" s="31" t="str">
        <f>IFERROR(__xludf.DUMMYFUNCTION("""COMPUTED_VALUE"""),"当院では、24時間WEBで予約を承っております。ご予約はLINEアプリからWEB予約をしてただく流れとなります。
LINEはこちら→https://cline-app.com/qr-codes/98ad6f149bfa20f4f2a9a2e91aac4187/preview")</f>
        <v>当院では、24時間WEBで予約を承っております。ご予約はLINEアプリからWEB予約をしてただく流れとなります。
LINEはこちら→https://cline-app.com/qr-codes/98ad6f149bfa20f4f2a9a2e91aac4187/preview</v>
      </c>
      <c r="C964" s="31" t="str">
        <f>IFERROR(__xludf.DUMMYFUNCTION("""COMPUTED_VALUE"""),"予約")</f>
        <v>予約</v>
      </c>
      <c r="D964" s="31" t="str">
        <f>IFERROR(__xludf.DUMMYFUNCTION("""COMPUTED_VALUE"""),"WEB予約,ネット予約,オンライン予約,24時間,LINE")</f>
        <v>WEB予約,ネット予約,オンライン予約,24時間,LINE</v>
      </c>
      <c r="E964" s="32" t="str">
        <f>IFERROR(__xludf.DUMMYFUNCTION("""COMPUTED_VALUE"""),"https://cline-app.com/qr-codes/98ad6f149bfa20f4f2a9a2e91aac4187/preview")</f>
        <v>https://cline-app.com/qr-codes/98ad6f149bfa20f4f2a9a2e91aac4187/preview</v>
      </c>
    </row>
    <row r="965">
      <c r="A965" s="31" t="str">
        <f>IFERROR(__xludf.DUMMYFUNCTION("""COMPUTED_VALUE"""),"LINEで予約できますか？")</f>
        <v>LINEで予約できますか？</v>
      </c>
      <c r="B965" s="31" t="str">
        <f>IFERROR(__xludf.DUMMYFUNCTION("""COMPUTED_VALUE"""),"当院では、24時間LINEで予約を承っております。ご予約はLINEアプリから予約をしてただく流れとなります。
LINEはこちら→https://cline-app.com/qr-codes/98ad6f149bfa20f4f2a9a2e91aac4187/preview")</f>
        <v>当院では、24時間LINEで予約を承っております。ご予約はLINEアプリから予約をしてただく流れとなります。
LINEはこちら→https://cline-app.com/qr-codes/98ad6f149bfa20f4f2a9a2e91aac4187/preview</v>
      </c>
      <c r="C965" s="31" t="str">
        <f>IFERROR(__xludf.DUMMYFUNCTION("""COMPUTED_VALUE"""),"予約")</f>
        <v>予約</v>
      </c>
      <c r="D965" s="31" t="str">
        <f>IFERROR(__xludf.DUMMYFUNCTION("""COMPUTED_VALUE"""),"LINE予約,LINE,オンライン予約,24時間")</f>
        <v>LINE予約,LINE,オンライン予約,24時間</v>
      </c>
      <c r="E965" s="32" t="str">
        <f>IFERROR(__xludf.DUMMYFUNCTION("""COMPUTED_VALUE"""),"https://cline-app.com/qr-codes/98ad6f149bfa20f4f2a9a2e91aac4187/preview")</f>
        <v>https://cline-app.com/qr-codes/98ad6f149bfa20f4f2a9a2e91aac4187/preview</v>
      </c>
    </row>
    <row r="966">
      <c r="A966" s="31" t="str">
        <f>IFERROR(__xludf.DUMMYFUNCTION("""COMPUTED_VALUE"""),"電話で予約できますか？")</f>
        <v>電話で予約できますか？</v>
      </c>
      <c r="B966" s="31" t="str">
        <f>IFERROR(__xludf.DUMMYFUNCTION("""COMPUTED_VALUE"""),"LINEでの予約後、事前問診等もLINEから行うことができ、スムーズに受診ができるため、当院ではLINEでのご予約を推奨しております。LINEはこちら→https://cline-app.com/qr-codes/98ad6f149bfa20f4f2a9a2e91aac4187/preview")</f>
        <v>LINEでの予約後、事前問診等もLINEから行うことができ、スムーズに受診ができるため、当院ではLINEでのご予約を推奨しております。LINEはこちら→https://cline-app.com/qr-codes/98ad6f149bfa20f4f2a9a2e91aac4187/preview</v>
      </c>
      <c r="C966" s="31" t="str">
        <f>IFERROR(__xludf.DUMMYFUNCTION("""COMPUTED_VALUE"""),"予約")</f>
        <v>予約</v>
      </c>
      <c r="D966" s="31" t="str">
        <f>IFERROR(__xludf.DUMMYFUNCTION("""COMPUTED_VALUE"""),"電話予約,電話,予約方法,LINE推奨,事前問診")</f>
        <v>電話予約,電話,予約方法,LINE推奨,事前問診</v>
      </c>
      <c r="E966" s="32" t="str">
        <f>IFERROR(__xludf.DUMMYFUNCTION("""COMPUTED_VALUE"""),"https://cline-app.com/qr-codes/98ad6f149bfa20f4f2a9a2e91aac4187/preview")</f>
        <v>https://cline-app.com/qr-codes/98ad6f149bfa20f4f2a9a2e91aac4187/preview</v>
      </c>
    </row>
    <row r="967">
      <c r="A967" s="31" t="str">
        <f>IFERROR(__xludf.DUMMYFUNCTION("""COMPUTED_VALUE"""),"予約時間どおりに受診できますか？")</f>
        <v>予約時間どおりに受診できますか？</v>
      </c>
      <c r="B967" s="31" t="str">
        <f>IFERROR(__xludf.DUMMYFUNCTION("""COMPUTED_VALUE"""),"診療状況によって診療時間は予約時間通りにできるかは前後いたします。ご了承いただけますと幸いです。")</f>
        <v>診療状況によって診療時間は予約時間通りにできるかは前後いたします。ご了承いただけますと幸いです。</v>
      </c>
      <c r="C967" s="31" t="str">
        <f>IFERROR(__xludf.DUMMYFUNCTION("""COMPUTED_VALUE"""),"予約")</f>
        <v>予約</v>
      </c>
      <c r="D967" s="31" t="str">
        <f>IFERROR(__xludf.DUMMYFUNCTION("""COMPUTED_VALUE"""),"予約時間,時間通り,待ち時間,診療状況")</f>
        <v>予約時間,時間通り,待ち時間,診療状況</v>
      </c>
      <c r="E967" s="31"/>
    </row>
    <row r="968">
      <c r="A968" s="31" t="str">
        <f>IFERROR(__xludf.DUMMYFUNCTION("""COMPUTED_VALUE"""),"予約なしでも受診できますか？")</f>
        <v>予約なしでも受診できますか？</v>
      </c>
      <c r="B968" s="31" t="str">
        <f>IFERROR(__xludf.DUMMYFUNCTION("""COMPUTED_VALUE"""),"当院では、予約なしでも受診が可能です。
外来の混雑状況によっては、受付をお受けできない場合がございますので、あらかじめご了承ください。
予約をされていない場合の最終受付時間は、以下の通りです。
【処方済みのピル処方・アフターピル・月経移動】
・午前：13:30まで
・午後：平日19:30まで／土日祝18:30まで
【それ以外のご相談】
・午前：平日13:00まで／土日祝12:00まで
・午後：平日18:00まで／土日祝17:00まで
平日18:00以降は特に混み合うため、予約なしでご来院の場合は、"&amp;"できるだけ17:00までに受付いただけますと幸いです。
なお、混雑状況によっては、18:00以降はピル処方・中絶相談以外の予約なし診察の受付を制限させていただく場合がございます。")</f>
        <v>当院では、予約なしでも受診が可能です。
外来の混雑状況によっては、受付をお受けできない場合がございますので、あらかじめご了承ください。
予約をされていない場合の最終受付時間は、以下の通りです。
【処方済みのピル処方・アフターピル・月経移動】
・午前：13:30まで
・午後：平日19:30まで／土日祝18:30まで
【それ以外のご相談】
・午前：平日13:00まで／土日祝12:00まで
・午後：平日18:00まで／土日祝17:00まで
平日18:00以降は特に混み合うため、予約なしでご来院の場合は、できるだけ17:00までに受付いただけますと幸いです。
なお、混雑状況によっては、18:00以降はピル処方・中絶相談以外の予約なし診察の受付を制限させていただく場合がございます。</v>
      </c>
      <c r="C968" s="31" t="str">
        <f>IFERROR(__xludf.DUMMYFUNCTION("""COMPUTED_VALUE"""),"予約")</f>
        <v>予約</v>
      </c>
      <c r="D968" s="31" t="str">
        <f>IFERROR(__xludf.DUMMYFUNCTION("""COMPUTED_VALUE"""),"予約なし,飛び込み,受診可否,最終受付,受付時間,ピル,アフターピル,月経移動")</f>
        <v>予約なし,飛び込み,受診可否,最終受付,受付時間,ピル,アフターピル,月経移動</v>
      </c>
      <c r="E968" s="31"/>
    </row>
    <row r="969">
      <c r="A969" s="31" t="str">
        <f>IFERROR(__xludf.DUMMYFUNCTION("""COMPUTED_VALUE"""),"遅刻したらどうなりますか？/10分以上遅れた場合は受診できますか？/何分遅れたら自動キャンセルですか？/何分遅刻したらキャンセルになりますか？/遅刻したらキャンセル扱いですか？")</f>
        <v>遅刻したらどうなりますか？/10分以上遅れた場合は受診できますか？/何分遅れたら自動キャンセルですか？/何分遅刻したらキャンセルになりますか？/遅刻したらキャンセル扱いですか？</v>
      </c>
      <c r="B969" s="31" t="str">
        <f>IFERROR(__xludf.DUMMYFUNCTION("""COMPUTED_VALUE"""),"予約されている方であれば、10分以内の遅れであれば診察が可能です。
ただし、10分以上遅刻された場合は、事前にご連絡をいただいていても予約外来院扱いとなります。
なお、診療内容によって最終受付時間が異なる場合がございますので、あらかじめご了承ください。")</f>
        <v>予約されている方であれば、10分以内の遅れであれば診察が可能です。
ただし、10分以上遅刻された場合は、事前にご連絡をいただいていても予約外来院扱いとなります。
なお、診療内容によって最終受付時間が異なる場合がございますので、あらかじめご了承ください。</v>
      </c>
      <c r="C969" s="31" t="str">
        <f>IFERROR(__xludf.DUMMYFUNCTION("""COMPUTED_VALUE"""),"予約・受診")</f>
        <v>予約・受診</v>
      </c>
      <c r="D969" s="31" t="str">
        <f>IFERROR(__xludf.DUMMYFUNCTION("""COMPUTED_VALUE"""),"遅刻,10分,キャンセル,予約,自動キャンセル,キャンセル扱い")</f>
        <v>遅刻,10分,キャンセル,予約,自動キャンセル,キャンセル扱い</v>
      </c>
      <c r="E969" s="31"/>
    </row>
    <row r="970">
      <c r="A970" s="31" t="str">
        <f>IFERROR(__xludf.DUMMYFUNCTION("""COMPUTED_VALUE"""),"予約の日時変更はどうすればいいですか？")</f>
        <v>予約の日時変更はどうすればいいですか？</v>
      </c>
      <c r="B970" s="31" t="str">
        <f>IFERROR(__xludf.DUMMYFUNCTION("""COMPUTED_VALUE"""),"予約の日時変更はLINEの「予約状況の確認」からお進みください。LINEはこちら→https://cline-app.com/qr-codes/98ad6f149bfa20f4f2a9a2e91aac4187/preview")</f>
        <v>予約の日時変更はLINEの「予約状況の確認」からお進みください。LINEはこちら→https://cline-app.com/qr-codes/98ad6f149bfa20f4f2a9a2e91aac4187/preview</v>
      </c>
      <c r="C970" s="31" t="str">
        <f>IFERROR(__xludf.DUMMYFUNCTION("""COMPUTED_VALUE"""),"予約・受診")</f>
        <v>予約・受診</v>
      </c>
      <c r="D970" s="31" t="str">
        <f>IFERROR(__xludf.DUMMYFUNCTION("""COMPUTED_VALUE"""),"予約変更,日時変更,キャンセル,LINE")</f>
        <v>予約変更,日時変更,キャンセル,LINE</v>
      </c>
      <c r="E970" s="32" t="str">
        <f>IFERROR(__xludf.DUMMYFUNCTION("""COMPUTED_VALUE"""),"https://cline-app.com/qr-codes/98ad6f149bfa20f4f2a9a2e91aac4187/preview")</f>
        <v>https://cline-app.com/qr-codes/98ad6f149bfa20f4f2a9a2e91aac4187/preview</v>
      </c>
    </row>
    <row r="971">
      <c r="A971" s="31" t="str">
        <f>IFERROR(__xludf.DUMMYFUNCTION("""COMPUTED_VALUE"""),"予約のキャンセルしたいです/当日キャンセルしたい/体調不良でキャンセルしたい/いつまでにキャンセルすればいいですか？/キャンセルはいつまで？
")</f>
        <v>予約のキャンセルしたいです/当日キャンセルしたい/体調不良でキャンセルしたい/いつまでにキャンセルすればいいですか？/キャンセルはいつまで？
</v>
      </c>
      <c r="B971" s="31" t="str">
        <f>IFERROR(__xludf.DUMMYFUNCTION("""COMPUTED_VALUE"""),"予約の日時変更はLINEの「予約状況の確認」からお進みください。キャンセルの場合は、画面下の「予約確認」からお進みください。キャンセル料もかかりませんので、次回もお気兼ねなくご予約ください。LINEはこちら→https://cline-app.com/qr-codes/98ad6f149bfa20f4f2a9a2e91aac4187/preview
※中絶手術（オペ）のご予約をお取りされている方はキャンセル期限がございますので、お電話（050-1730-2768）にてご連絡をお願いいたします。中絶の相談の"&amp;"ご予約は、期限なくキャンセル可能です。")</f>
        <v>予約の日時変更はLINEの「予約状況の確認」からお進みください。キャンセルの場合は、画面下の「予約確認」からお進みください。キャンセル料もかかりませんので、次回もお気兼ねなくご予約ください。LINEはこちら→https://cline-app.com/qr-codes/98ad6f149bfa20f4f2a9a2e91aac4187/preview
※中絶手術（オペ）のご予約をお取りされている方はキャンセル期限がございますので、お電話（050-1730-2768）にてご連絡をお願いいたします。中絶の相談のご予約は、期限なくキャンセル可能です。</v>
      </c>
      <c r="C971" s="31" t="str">
        <f>IFERROR(__xludf.DUMMYFUNCTION("""COMPUTED_VALUE"""),"予約・受診")</f>
        <v>予約・受診</v>
      </c>
      <c r="D971" s="31" t="str">
        <f>IFERROR(__xludf.DUMMYFUNCTION("""COMPUTED_VALUE"""),"予約,キャンセル,LINE")</f>
        <v>予約,キャンセル,LINE</v>
      </c>
      <c r="E971" s="32" t="str">
        <f>IFERROR(__xludf.DUMMYFUNCTION("""COMPUTED_VALUE"""),"https://cline-app.com/qr-codes/98ad6f149bfa20f4f2a9a2e91aac4187/preview")</f>
        <v>https://cline-app.com/qr-codes/98ad6f149bfa20f4f2a9a2e91aac4187/preview</v>
      </c>
    </row>
    <row r="972">
      <c r="A972" s="31" t="str">
        <f>IFERROR(__xludf.DUMMYFUNCTION("""COMPUTED_VALUE"""),"初診は予約が必要か")</f>
        <v>初診は予約が必要か</v>
      </c>
      <c r="B972" s="31" t="str">
        <f>IFERROR(__xludf.DUMMYFUNCTION("""COMPUTED_VALUE"""),"当院では、予約なしでのご来院も受け付けておりますが、スムーズなご案内のため基本的にご予約をお願いします。受診のご予約はLINEで受け付けています。LINEはこちら→https://cline-app.com/qr-codes/98ad6f149bfa20f4f2a9a2e91aac4187/preview")</f>
        <v>当院では、予約なしでのご来院も受け付けておりますが、スムーズなご案内のため基本的にご予約をお願いします。受診のご予約はLINEで受け付けています。LINEはこちら→https://cline-app.com/qr-codes/98ad6f149bfa20f4f2a9a2e91aac4187/preview</v>
      </c>
      <c r="C972" s="31" t="str">
        <f>IFERROR(__xludf.DUMMYFUNCTION("""COMPUTED_VALUE"""),"予約")</f>
        <v>予約</v>
      </c>
      <c r="D972" s="31" t="str">
        <f>IFERROR(__xludf.DUMMYFUNCTION("""COMPUTED_VALUE"""),"初診,予約必要,来院,受診,予約をお取りの上")</f>
        <v>初診,予約必要,来院,受診,予約をお取りの上</v>
      </c>
      <c r="E972" s="32" t="str">
        <f>IFERROR(__xludf.DUMMYFUNCTION("""COMPUTED_VALUE"""),"https://cline-app.com/qr-codes/98ad6f149bfa20f4f2a9a2e91aac4187/preview")</f>
        <v>https://cline-app.com/qr-codes/98ad6f149bfa20f4f2a9a2e91aac4187/preview</v>
      </c>
    </row>
    <row r="973">
      <c r="A973" s="31" t="str">
        <f>IFERROR(__xludf.DUMMYFUNCTION("""COMPUTED_VALUE"""),"再診は予約が必要か")</f>
        <v>再診は予約が必要か</v>
      </c>
      <c r="B973" s="31" t="str">
        <f>IFERROR(__xludf.DUMMYFUNCTION("""COMPUTED_VALUE"""),"当院では、予約なしでのご来院も受け付けておりますが、スムーズなご案内のため基本的にご予約をお願いします。受診のご予約はLINEで受け付けています。LINEはこちら→https://cline-app.com/qr-codes/98ad6f149bfa20f4f2a9a2e91aac4187/preview")</f>
        <v>当院では、予約なしでのご来院も受け付けておりますが、スムーズなご案内のため基本的にご予約をお願いします。受診のご予約はLINEで受け付けています。LINEはこちら→https://cline-app.com/qr-codes/98ad6f149bfa20f4f2a9a2e91aac4187/preview</v>
      </c>
      <c r="C973" s="31" t="str">
        <f>IFERROR(__xludf.DUMMYFUNCTION("""COMPUTED_VALUE"""),"予約")</f>
        <v>予約</v>
      </c>
      <c r="D973" s="31" t="str">
        <f>IFERROR(__xludf.DUMMYFUNCTION("""COMPUTED_VALUE"""),"再診,予約必要,来院,受診,予約をお取りの上")</f>
        <v>再診,予約必要,来院,受診,予約をお取りの上</v>
      </c>
      <c r="E973" s="32" t="str">
        <f>IFERROR(__xludf.DUMMYFUNCTION("""COMPUTED_VALUE"""),"https://cline-app.com/qr-codes/98ad6f149bfa20f4f2a9a2e91aac4187/preview")</f>
        <v>https://cline-app.com/qr-codes/98ad6f149bfa20f4f2a9a2e91aac4187/preview</v>
      </c>
    </row>
    <row r="974">
      <c r="A974" s="31" t="str">
        <f>IFERROR(__xludf.DUMMYFUNCTION("""COMPUTED_VALUE"""),"予約内容を間違えた")</f>
        <v>予約内容を間違えた</v>
      </c>
      <c r="B974" s="31" t="str">
        <f>IFERROR(__xludf.DUMMYFUNCTION("""COMPUTED_VALUE"""),"予約内容をお間違いの場合、LINEの「予約状況の確認」からキャンセルの上、再度ご予約をお取り直しください。お電話でご予約された方は、お電話（050-1730-2768）にて変更をお願いします。")</f>
        <v>予約内容をお間違いの場合、LINEの「予約状況の確認」からキャンセルの上、再度ご予約をお取り直しください。お電話でご予約された方は、お電話（050-1730-2768）にて変更をお願いします。</v>
      </c>
      <c r="C974" s="31"/>
      <c r="D974" s="31"/>
      <c r="E974" s="31"/>
    </row>
    <row r="975">
      <c r="A975" s="31" t="str">
        <f>IFERROR(__xludf.DUMMYFUNCTION("""COMPUTED_VALUE"""),"いつも横浜駅前院に通っていますが、川崎駅前院や町田駅前院に行っても良いですか？/別の院で受診すると初診扱いですか？/他の院に行くと初診料がかかりますか？/病院を違う院にいきたい/別の院で同じ薬をもらいたい/他の院で経過を聞きたい/店舗変更/院を変更したい/通う院を変えたい/横浜駅前院に行くのは始めてですが初診になりますか？/川崎駅前院に行くのは始めてですが初診になりますか？/町田駅前院に行くのは初めてですが初診になりますか？/別の院は初めてですが初診ですか？/別の院でピルのみ受け取ることはできますか？/他"&amp;"の院で薬だけもらえますか？/川崎院→横浜院に変えるとき初めてを選ぶ？/町田に通っていたが横浜に通いたい、ピルだけ処方は可能？")</f>
        <v>いつも横浜駅前院に通っていますが、川崎駅前院や町田駅前院に行っても良いですか？/別の院で受診すると初診扱いですか？/他の院に行くと初診料がかかりますか？/病院を違う院にいきたい/別の院で同じ薬をもらいたい/他の院で経過を聞きたい/店舗変更/院を変更したい/通う院を変えたい/横浜駅前院に行くのは始めてですが初診になりますか？/川崎駅前院に行くのは始めてですが初診になりますか？/町田駅前院に行くのは初めてですが初診になりますか？/別の院は初めてですが初診ですか？/別の院でピルのみ受け取ることはできますか？/他の院で薬だけもらえますか？/川崎院→横浜院に変えるとき初めてを選ぶ？/町田に通っていたが横浜に通いたい、ピルだけ処方は可能？</v>
      </c>
      <c r="B975" s="31" t="str">
        <f>IFERROR(__xludf.DUMMYFUNCTION("""COMPUTED_VALUE"""),"ルナレディースクリニックでは、当院の別の院（横浜駅前院・川崎駅前院・町田駅前院）でのご受診も可能です。ただし、保険診療の場合は別途初診料が発生する可能性がございます。
また、当院より紹介状を発行しMRI検査を受けられた方につきましては、検査結果のご説明は紹介元のクリニックのみで行っております。あらかじめご了承くださいますようお願い申し上げます。")</f>
        <v>ルナレディースクリニックでは、当院の別の院（横浜駅前院・川崎駅前院・町田駅前院）でのご受診も可能です。ただし、保険診療の場合は別途初診料が発生する可能性がございます。
また、当院より紹介状を発行しMRI検査を受けられた方につきましては、検査結果のご説明は紹介元のクリニックのみで行っております。あらかじめご了承くださいますようお願い申し上げます。</v>
      </c>
      <c r="C975" s="31" t="str">
        <f>IFERROR(__xludf.DUMMYFUNCTION("""COMPUTED_VALUE"""),"受診案内・院変更")</f>
        <v>受診案内・院変更</v>
      </c>
      <c r="D975" s="31" t="str">
        <f>IFERROR(__xludf.DUMMYFUNCTION("""COMPUTED_VALUE"""),"院変更,横浜駅前院,川崎駅前院,町田駅前院,初診料,保険診療,MRI,紹介状,検査結果,初診,別の院,他の院")</f>
        <v>院変更,横浜駅前院,川崎駅前院,町田駅前院,初診料,保険診療,MRI,紹介状,検査結果,初診,別の院,他の院</v>
      </c>
      <c r="E975" s="31"/>
    </row>
    <row r="976">
      <c r="A976" s="31" t="str">
        <f>IFERROR(__xludf.DUMMYFUNCTION("""COMPUTED_VALUE"""),"いつも川崎駅前院に通っていますが、横浜駅前院や町田駅前院に行っても良いですか？/別の院で受診すると初診扱いですか？/他の院に行くと初診料がかかりますか？/病院を違う院にいきたい/別の院で同じ薬をもらいたい/他の院で経過を聞きたい/店舗変更/院を変更したい/通う院を変えたい/横浜駅前院に行くのは始めてですが初診になりますか？/川崎駅前院に行くのは始めてですが初診になりますか？/町田駅前院に行くのは初めてですが初診になりますか？/別の院は初めてですが初診ですか？/別の院でピルのみ受け取ることはできますか？/他"&amp;"の院で薬だけもらえますか？/横浜院→川崎院は初診扱いですか？/川崎院に行ったことがあれば初回ではない？")</f>
        <v>いつも川崎駅前院に通っていますが、横浜駅前院や町田駅前院に行っても良いですか？/別の院で受診すると初診扱いですか？/他の院に行くと初診料がかかりますか？/病院を違う院にいきたい/別の院で同じ薬をもらいたい/他の院で経過を聞きたい/店舗変更/院を変更したい/通う院を変えたい/横浜駅前院に行くのは始めてですが初診になりますか？/川崎駅前院に行くのは始めてですが初診になりますか？/町田駅前院に行くのは初めてですが初診になりますか？/別の院は初めてですが初診ですか？/別の院でピルのみ受け取ることはできますか？/他の院で薬だけもらえますか？/横浜院→川崎院は初診扱いですか？/川崎院に行ったことがあれば初回ではない？</v>
      </c>
      <c r="B976" s="31" t="str">
        <f>IFERROR(__xludf.DUMMYFUNCTION("""COMPUTED_VALUE"""),"ルナレディースクリニックでは、当院の別の院（横浜駅前院・川崎駅前院・町田駅前院）でのご受診も可能です。ただし、保険診療の場合は別途初診料が発生する可能性がございます。
また、当院より紹介状を発行しMRI検査を受けられた方につきましては、検査結果のご説明は紹介元のクリニックのみで行っております。あらかじめご了承くださいますようお願い申し上げます。")</f>
        <v>ルナレディースクリニックでは、当院の別の院（横浜駅前院・川崎駅前院・町田駅前院）でのご受診も可能です。ただし、保険診療の場合は別途初診料が発生する可能性がございます。
また、当院より紹介状を発行しMRI検査を受けられた方につきましては、検査結果のご説明は紹介元のクリニックのみで行っております。あらかじめご了承くださいますようお願い申し上げます。</v>
      </c>
      <c r="C976" s="31" t="str">
        <f>IFERROR(__xludf.DUMMYFUNCTION("""COMPUTED_VALUE"""),"受診案内・院変更")</f>
        <v>受診案内・院変更</v>
      </c>
      <c r="D976" s="31" t="str">
        <f>IFERROR(__xludf.DUMMYFUNCTION("""COMPUTED_VALUE"""),"院変更,横浜駅前院,川崎駅前院,町田駅前院,初診料,保険診療,MRI,紹介状,検査結果,初診,別の院,他の院")</f>
        <v>院変更,横浜駅前院,川崎駅前院,町田駅前院,初診料,保険診療,MRI,紹介状,検査結果,初診,別の院,他の院</v>
      </c>
      <c r="E976" s="31"/>
    </row>
    <row r="977">
      <c r="A977" s="31" t="str">
        <f>IFERROR(__xludf.DUMMYFUNCTION("""COMPUTED_VALUE"""),"いつも町田駅前院に通っていますが、川崎駅前院や横浜駅前院に行っても良いですか？/別の院で受診すると初診扱いですか？/他の院に行くと初診料がかかりますか？/病院を違う院にいきたい/別の院で同じ薬をもらいたい/他の院で経過を聞きたい/店舗変更/院を変更したい/通う院を変えたい/横浜駅前院に行くのは始めてですが初診になりますか？/川崎駅前院に行くのは始めてですが初診になりますか？/町田駅前院に行くのは初めてですが初診になりますか？/別の院は初めてですが初診ですか？/別の院でピルのみ受け取ることはできますか？/他"&amp;"の院で薬だけもらえますか？/町田駅前院で診察した内容を横浜院で診察してもらえるか")</f>
        <v>いつも町田駅前院に通っていますが、川崎駅前院や横浜駅前院に行っても良いですか？/別の院で受診すると初診扱いですか？/他の院に行くと初診料がかかりますか？/病院を違う院にいきたい/別の院で同じ薬をもらいたい/他の院で経過を聞きたい/店舗変更/院を変更したい/通う院を変えたい/横浜駅前院に行くのは始めてですが初診になりますか？/川崎駅前院に行くのは始めてですが初診になりますか？/町田駅前院に行くのは初めてですが初診になりますか？/別の院は初めてですが初診ですか？/別の院でピルのみ受け取ることはできますか？/他の院で薬だけもらえますか？/町田駅前院で診察した内容を横浜院で診察してもらえるか</v>
      </c>
      <c r="B977" s="31" t="str">
        <f>IFERROR(__xludf.DUMMYFUNCTION("""COMPUTED_VALUE"""),"ルナレディースクリニックでは、当院の別の院（横浜駅前院・川崎駅前院・町田駅前院）でのご受診も可能です。ただし、保険診療の場合は別途初診料が発生する可能性がございます。
また、当院より紹介状を発行しMRI検査を受けられた方につきましては、検査結果のご説明は紹介元のクリニックのみで行っております。あらかじめご了承くださいますようお願い申し上げます。")</f>
        <v>ルナレディースクリニックでは、当院の別の院（横浜駅前院・川崎駅前院・町田駅前院）でのご受診も可能です。ただし、保険診療の場合は別途初診料が発生する可能性がございます。
また、当院より紹介状を発行しMRI検査を受けられた方につきましては、検査結果のご説明は紹介元のクリニックのみで行っております。あらかじめご了承くださいますようお願い申し上げます。</v>
      </c>
      <c r="C977" s="31" t="str">
        <f>IFERROR(__xludf.DUMMYFUNCTION("""COMPUTED_VALUE"""),"受診案内・院変更")</f>
        <v>受診案内・院変更</v>
      </c>
      <c r="D977" s="31" t="str">
        <f>IFERROR(__xludf.DUMMYFUNCTION("""COMPUTED_VALUE"""),"院変更,横浜駅前院,川崎駅前院,町田駅前院,初診料,保険診療,MRI,紹介状,検査結果,初診,別の院,他の院")</f>
        <v>院変更,横浜駅前院,川崎駅前院,町田駅前院,初診料,保険診療,MRI,紹介状,検査結果,初診,別の院,他の院</v>
      </c>
      <c r="E977" s="31"/>
    </row>
    <row r="978">
      <c r="A978" s="31" t="str">
        <f>IFERROR(__xludf.DUMMYFUNCTION("""COMPUTED_VALUE"""),"LINEがない/LINEアプリをインストールしていない/LINEできない/電話したい/電話番号を教えて")</f>
        <v>LINEがない/LINEアプリをインストールしていない/LINEできない/電話したい/電話番号を教えて</v>
      </c>
      <c r="B978" s="31" t="str">
        <f>IFERROR(__xludf.DUMMYFUNCTION("""COMPUTED_VALUE"""),"当院の電話番号は050-1730-2768 （受付時間：平日9:45〜13:40・15:15〜19:40、土日祝9:45〜13:40・15:15〜18:40）になります。（電話番号は全院共通です。）")</f>
        <v>当院の電話番号は050-1730-2768 （受付時間：平日9:45〜13:40・15:15〜19:40、土日祝9:45〜13:40・15:15〜18:40）になります。（電話番号は全院共通です。）</v>
      </c>
      <c r="C978" s="31" t="str">
        <f>IFERROR(__xludf.DUMMYFUNCTION("""COMPUTED_VALUE"""),"LINE")</f>
        <v>LINE</v>
      </c>
      <c r="D978" s="31" t="str">
        <f>IFERROR(__xludf.DUMMYFUNCTION("""COMPUTED_VALUE"""),"LINE,LINEない,電話")</f>
        <v>LINE,LINEない,電話</v>
      </c>
      <c r="E978" s="31"/>
    </row>
    <row r="979">
      <c r="A979" s="31" t="str">
        <f>IFERROR(__xludf.DUMMYFUNCTION("""COMPUTED_VALUE"""),"駐車場はありますか？")</f>
        <v>駐車場はありますか？</v>
      </c>
      <c r="B979" s="31" t="str">
        <f>IFERROR(__xludf.DUMMYFUNCTION("""COMPUTED_VALUE"""),"大変恐縮ですが、当院では駐車場のご用意はございません。お近くのコインパーキングをご利用いただけますと幸いです。（駐車料金はご利用者さまのご負担となります）")</f>
        <v>大変恐縮ですが、当院では駐車場のご用意はございません。お近くのコインパーキングをご利用いただけますと幸いです。（駐車料金はご利用者さまのご負担となります）</v>
      </c>
      <c r="C979" s="31" t="str">
        <f>IFERROR(__xludf.DUMMYFUNCTION("""COMPUTED_VALUE"""),"駐車場")</f>
        <v>駐車場</v>
      </c>
      <c r="D979" s="31" t="str">
        <f>IFERROR(__xludf.DUMMYFUNCTION("""COMPUTED_VALUE"""),"駐車場,コインパーク,コインパーキング")</f>
        <v>駐車場,コインパーク,コインパーキング</v>
      </c>
      <c r="E979" s="31"/>
    </row>
    <row r="980">
      <c r="A980" s="31" t="str">
        <f>IFERROR(__xludf.DUMMYFUNCTION("""COMPUTED_VALUE"""),"医療ローンはありますか？/分割払いはできますか？")</f>
        <v>医療ローンはありますか？/分割払いはできますか？</v>
      </c>
      <c r="B980" s="31" t="str">
        <f>IFERROR(__xludf.DUMMYFUNCTION("""COMPUTED_VALUE"""),"大変恐縮ではございますが、当院では医療ローンのお取り扱いはございません。ご了承くださいませ。")</f>
        <v>大変恐縮ではございますが、当院では医療ローンのお取り扱いはございません。ご了承くださいませ。</v>
      </c>
      <c r="C980" s="31" t="str">
        <f>IFERROR(__xludf.DUMMYFUNCTION("""COMPUTED_VALUE"""),"支払い方法")</f>
        <v>支払い方法</v>
      </c>
      <c r="D980" s="31" t="str">
        <f>IFERROR(__xludf.DUMMYFUNCTION("""COMPUTED_VALUE"""),"医療ローン,分割払い,支払い方法")</f>
        <v>医療ローン,分割払い,支払い方法</v>
      </c>
      <c r="E980" s="31"/>
    </row>
    <row r="981">
      <c r="A981" s="31" t="str">
        <f>IFERROR(__xludf.DUMMYFUNCTION("""COMPUTED_VALUE"""),"休診日はいつですか？")</f>
        <v>休診日はいつですか？</v>
      </c>
      <c r="B981" s="31" t="str">
        <f>IFERROR(__xludf.DUMMYFUNCTION("""COMPUTED_VALUE"""),"ルナレディースクリニックでは、院によって休診日・診療日が異なります。
・横浜駅前院：土日祝日も含め、毎日診療を行っています。平日は午前診療が10:00〜14:00、午後診療が15:30〜20:00です。土日祝は午前診療が10:00〜14:00、午後診療が15:30〜19:00です。診療時間はこちら：https://luna-dr.com/yokohama/consultation-hours/ 
・川崎駅前院：土日祝日も含め、毎日診療を行っています。平日は午前診療が10:00〜14:00、午後診療が15:"&amp;"30〜20:00です。土日祝は午前診療が10:00〜14:00、午後診療が15:30〜19:00です。診療時間はこちら：https://luna-dr.com/kawasaki/consultation-hours/ 
・町田駅前院：定休日は日曜日です。その他の曜日は診療を行っています。診療時間はこちら：https://luna-dr.com/machida/consultation-hours/")</f>
        <v>ルナレディースクリニックでは、院によって休診日・診療日が異なります。
・横浜駅前院：土日祝日も含め、毎日診療を行っています。平日は午前診療が10:00〜14:00、午後診療が15:30〜20:00です。土日祝は午前診療が10:00〜14:00、午後診療が15:30〜19:00です。診療時間はこちら：https://luna-dr.com/yokohama/consultation-hours/ 
・川崎駅前院：土日祝日も含め、毎日診療を行っています。平日は午前診療が10:00〜14:00、午後診療が15:30〜20:00です。土日祝は午前診療が10:00〜14:00、午後診療が15:30〜19:00です。診療時間はこちら：https://luna-dr.com/kawasaki/consultation-hours/ 
・町田駅前院：定休日は日曜日です。その他の曜日は診療を行っています。診療時間はこちら：https://luna-dr.com/machida/consultation-hours/</v>
      </c>
      <c r="C981" s="31" t="str">
        <f>IFERROR(__xludf.DUMMYFUNCTION("""COMPUTED_VALUE"""),"診療時間")</f>
        <v>診療時間</v>
      </c>
      <c r="D981" s="31" t="str">
        <f>IFERROR(__xludf.DUMMYFUNCTION("""COMPUTED_VALUE"""),"休診日,定休日,日曜休診,院未指定")</f>
        <v>休診日,定休日,日曜休診,院未指定</v>
      </c>
      <c r="E981" s="31"/>
    </row>
    <row r="982">
      <c r="A982" s="31" t="str">
        <f>IFERROR(__xludf.DUMMYFUNCTION("""COMPUTED_VALUE"""),"診療時間を教えてください/受付可能時間は何時ですか？/受付は何時までですか？/何時まで開いていますか？/営業時間を教えてください")</f>
        <v>診療時間を教えてください/受付可能時間は何時ですか？/受付は何時までですか？/何時まで開いていますか？/営業時間を教えてください</v>
      </c>
      <c r="B982" s="31" t="str">
        <f>IFERROR(__xludf.DUMMYFUNCTION("""COMPUTED_VALUE"""),"ルナレディースクリニックでは院によって診療時間・休診日が異なります。
・横浜駅前院：平日は午前診療が10:00〜14:00、午後診療が15:30〜20:00です。土日祝は午前診療が10:00〜14:00、午後診療が15:30〜19:00です。土日祝日も含め、毎日診療を行っています。診療時間はこちら：https://luna-dr.com/yokohama/consultation-hours/ 
・川崎駅前院：平日は午前診療が10:00〜14:00、午後診療が15:30〜20:00です。土日祝は午前診療が"&amp;"10:00〜14:00、午後診療が15:30〜19:00です。土日祝日も含め、毎日診療を行っています。診療時間はこちら：https://luna-dr.com/kawasaki/consultation-hours/ 
・町田駅前院：午前診療が10:00〜14:00、午後診療が15:30〜20:00です。日曜は休診となります。土曜日の午後診療は15:30〜19:00です。診療時間はこちら：https://luna-dr.com/machida/consultation-hours/")</f>
        <v>ルナレディースクリニックでは院によって診療時間・休診日が異なります。
・横浜駅前院：平日は午前診療が10:00〜14:00、午後診療が15:30〜20:00です。土日祝は午前診療が10:00〜14:00、午後診療が15:30〜19:00です。土日祝日も含め、毎日診療を行っています。診療時間はこちら：https://luna-dr.com/yokohama/consultation-hours/ 
・川崎駅前院：平日は午前診療が10:00〜14:00、午後診療が15:30〜20:00です。土日祝は午前診療が10:00〜14:00、午後診療が15:30〜19:00です。土日祝日も含め、毎日診療を行っています。診療時間はこちら：https://luna-dr.com/kawasaki/consultation-hours/ 
・町田駅前院：午前診療が10:00〜14:00、午後診療が15:30〜20:00です。日曜は休診となります。土曜日の午後診療は15:30〜19:00です。診療時間はこちら：https://luna-dr.com/machida/consultation-hours/</v>
      </c>
      <c r="C982" s="31" t="str">
        <f>IFERROR(__xludf.DUMMYFUNCTION("""COMPUTED_VALUE"""),"診療時間")</f>
        <v>診療時間</v>
      </c>
      <c r="D982" s="31" t="str">
        <f>IFERROR(__xludf.DUMMYFUNCTION("""COMPUTED_VALUE"""),"診療時間,営業時間,院未指定,町田駅前院,川")</f>
        <v>診療時間,営業時間,院未指定,町田駅前院,川</v>
      </c>
      <c r="E982" s="31"/>
    </row>
    <row r="983">
      <c r="A983" s="31" t="str">
        <f>IFERROR(__xludf.DUMMYFUNCTION("""COMPUTED_VALUE"""),"今日診療していますか？")</f>
        <v>今日診療していますか？</v>
      </c>
      <c r="B983" s="31" t="str">
        <f>IFERROR(__xludf.DUMMYFUNCTION("""COMPUTED_VALUE"""),"ルナレディースクリニックでは院によって診療日が異なります。
・横浜駅前院：土日祝日も含め、毎日診療を行っています。平日は午前診療が10:00〜14:00、午後診療が15:30〜20:00です。土日祝は午前診療が10:00〜14:00、午後診療が15:30〜19:00です。診療時間はこちら：https://luna-dr.com/yokohama/consultation-hours/ 
・川崎駅前院：土日祝日も含め、毎日診療を行っています。平日は午前診療が10:00〜14:00、午後診療が15:30〜20"&amp;":00です。土日祝は午前診療が10:00〜14:00、午後診療が15:30〜19:00です。診療時間はこちら：https://luna-dr.com/kawasaki/consultation-hours/ 
・町田駅前院：午前10:00〜14:00／午後15:30〜20:00で診療しており、日曜は休診です（土曜午後は15:30〜19:00）。診療時間はこちら：https://luna-dr.com/machida/consultation-hours/")</f>
        <v>ルナレディースクリニックでは院によって診療日が異なります。
・横浜駅前院：土日祝日も含め、毎日診療を行っています。平日は午前診療が10:00〜14:00、午後診療が15:30〜20:00です。土日祝は午前診療が10:00〜14:00、午後診療が15:30〜19:00です。診療時間はこちら：https://luna-dr.com/yokohama/consultation-hours/ 
・川崎駅前院：土日祝日も含め、毎日診療を行っています。平日は午前診療が10:00〜14:00、午後診療が15:30〜20:00です。土日祝は午前診療が10:00〜14:00、午後診療が15:30〜19:00です。診療時間はこちら：https://luna-dr.com/kawasaki/consultation-hours/ 
・町田駅前院：午前10:00〜14:00／午後15:30〜20:00で診療しており、日曜は休診です（土曜午後は15:30〜19:00）。診療時間はこちら：https://luna-dr.com/machida/consultation-hours/</v>
      </c>
      <c r="C983" s="31" t="str">
        <f>IFERROR(__xludf.DUMMYFUNCTION("""COMPUTED_VALUE"""),"診療時間")</f>
        <v>診療時間</v>
      </c>
      <c r="D983" s="31" t="str">
        <f>IFERROR(__xludf.DUMMYFUNCTION("""COMPUTED_VALUE"""),"今日,本日,診療,やってる,診療日,休診日,祝日,土日,院未指定,横浜駅前院,川崎駅前院,町田駅前院")</f>
        <v>今日,本日,診療,やってる,診療日,休診日,祝日,土日,院未指定,横浜駅前院,川崎駅前院,町田駅前院</v>
      </c>
      <c r="E983" s="31" t="str">
        <f>IFERROR(__xludf.DUMMYFUNCTION("""COMPUTED_VALUE"""),"https://luna-dr.com/yokohama/ | https://luna-dr.com/kawasaki/ | https://luna-dr.com/machida/")</f>
        <v>https://luna-dr.com/yokohama/ | https://luna-dr.com/kawasaki/ | https://luna-dr.com/machida/</v>
      </c>
    </row>
    <row r="984">
      <c r="A984" s="31" t="str">
        <f>IFERROR(__xludf.DUMMYFUNCTION("""COMPUTED_VALUE"""),"夜も診療していますか？")</f>
        <v>夜も診療していますか？</v>
      </c>
      <c r="B984" s="31" t="str">
        <f>IFERROR(__xludf.DUMMYFUNCTION("""COMPUTED_VALUE"""),"ルナレディースクリニックでは院によって診療時間が異なります。
・横浜駅前院：平日の午後診療は15:30〜20:00です。土日祝の午後診療は15:30〜19:00です。診療時間はこちら：https://luna-dr.com/yokohama/consultation-hours/ 
・川崎駅前院：平日の午後診療は15:30〜20:00です。土日祝の午後診療は15:30〜19:00です。診療時間はこちら：https://luna-dr.com/kawasaki/consultation-hours/ 
・町"&amp;"田駅前院：午後診療は15:30〜20:00です。土曜日の午後診療は15:30〜19:00です。日曜は休診です。診療時間はこちら：https://luna-dr.com/machida/consultation-hours/")</f>
        <v>ルナレディースクリニックでは院によって診療時間が異なります。
・横浜駅前院：平日の午後診療は15:30〜20:00です。土日祝の午後診療は15:30〜19:00です。診療時間はこちら：https://luna-dr.com/yokohama/consultation-hours/ 
・川崎駅前院：平日の午後診療は15:30〜20:00です。土日祝の午後診療は15:30〜19:00です。診療時間はこちら：https://luna-dr.com/kawasaki/consultation-hours/ 
・町田駅前院：午後診療は15:30〜20:00です。土曜日の午後診療は15:30〜19:00です。日曜は休診です。診療時間はこちら：https://luna-dr.com/machida/consultation-hours/</v>
      </c>
      <c r="C984" s="31" t="str">
        <f>IFERROR(__xludf.DUMMYFUNCTION("""COMPUTED_VALUE"""),"診療時間")</f>
        <v>診療時間</v>
      </c>
      <c r="D984" s="31" t="str">
        <f>IFERROR(__xludf.DUMMYFUNCTION("""COMPUTED_VALUE"""),"夜,夜間,午後,20時,遅くまで,診療時間,院未指定,横浜駅前院,川崎駅前院,町田駅前院")</f>
        <v>夜,夜間,午後,20時,遅くまで,診療時間,院未指定,横浜駅前院,川崎駅前院,町田駅前院</v>
      </c>
      <c r="E984" s="31" t="str">
        <f>IFERROR(__xludf.DUMMYFUNCTION("""COMPUTED_VALUE"""),"https://luna-dr.com/machida/ | https://luna-dr.com/kawasaki/ | https://luna-dr.com/yokohama/")</f>
        <v>https://luna-dr.com/machida/ | https://luna-dr.com/kawasaki/ | https://luna-dr.com/yokohama/</v>
      </c>
    </row>
    <row r="985">
      <c r="A985" s="31" t="str">
        <f>IFERROR(__xludf.DUMMYFUNCTION("""COMPUTED_VALUE"""),"土日・祝日は診療していますか？")</f>
        <v>土日・祝日は診療していますか？</v>
      </c>
      <c r="B985" s="31" t="str">
        <f>IFERROR(__xludf.DUMMYFUNCTION("""COMPUTED_VALUE"""),"ルナレディースクリニックでは院によって診療日が異なります。
・横浜駅前院：土日祝日も含め、毎日診療を行っています（土日祝の診療時間は午前10:00〜14:00／午後15:30〜19:00です）。詳しくはこちら：https://luna-dr.com/yokohama/consultation-hours/ 
・川崎駅前院：土日祝日も含め、毎日診療を行っています（土日祝の診療時間は午前10:00〜14:00／午後15:30〜19:00です）。詳しくはこちら：https://luna-dr.com/kawas"&amp;"aki/consultation-hours/ 
・町田駅前院：日曜は休診です。土曜日に診療時間は午前10:00〜14:00／午後15:30〜19:00です。詳しくはこちら：https://luna-dr.com/machida/consultation-hours/")</f>
        <v>ルナレディースクリニックでは院によって診療日が異なります。
・横浜駅前院：土日祝日も含め、毎日診療を行っています（土日祝の診療時間は午前10:00〜14:00／午後15:30〜19:00です）。詳しくはこちら：https://luna-dr.com/yokohama/consultation-hours/ 
・川崎駅前院：土日祝日も含め、毎日診療を行っています（土日祝の診療時間は午前10:00〜14:00／午後15:30〜19:00です）。詳しくはこちら：https://luna-dr.com/kawasaki/consultation-hours/ 
・町田駅前院：日曜は休診です。土曜日に診療時間は午前10:00〜14:00／午後15:30〜19:00です。詳しくはこちら：https://luna-dr.com/machida/consultation-hours/</v>
      </c>
      <c r="C985" s="31" t="str">
        <f>IFERROR(__xludf.DUMMYFUNCTION("""COMPUTED_VALUE"""),"診療時間")</f>
        <v>診療時間</v>
      </c>
      <c r="D985" s="31" t="str">
        <f>IFERROR(__xludf.DUMMYFUNCTION("""COMPUTED_VALUE"""),"土日,祝日,休日,診療,やってる,開いてる,診療日,休診日,院未指定,横浜駅前院,川崎駅前院,町田駅前院")</f>
        <v>土日,祝日,休日,診療,やってる,開いてる,診療日,休診日,院未指定,横浜駅前院,川崎駅前院,町田駅前院</v>
      </c>
      <c r="E985" s="31" t="str">
        <f>IFERROR(__xludf.DUMMYFUNCTION("""COMPUTED_VALUE"""),"https://luna-dr.com/yokohama/ | https://luna-dr.com/kawasaki/ | https://luna-dr.com/machida/")</f>
        <v>https://luna-dr.com/yokohama/ | https://luna-dr.com/kawasaki/ | https://luna-dr.com/machida/</v>
      </c>
    </row>
    <row r="986">
      <c r="A986" s="31" t="str">
        <f>IFERROR(__xludf.DUMMYFUNCTION("""COMPUTED_VALUE"""),"住所を教えてください")</f>
        <v>住所を教えてください</v>
      </c>
      <c r="B986" s="31" t="str">
        <f>IFERROR(__xludf.DUMMYFUNCTION("""COMPUTED_VALUE"""),"ルナレディースクリニックの住所は院によって異なります。
・横浜駅前院：〒220-0004 神奈川県横浜市西区北幸1丁目1-8 エキニア横浜7F（横浜駅から徒歩2分）。詳しくはこちら：https://luna-dr.com/yokohama/
・川崎駅前院：〒210-0007 神奈川県川崎市川崎区駅前本町3-1 NMF川崎東口ビルB1F（川崎駅から徒歩30秒）。詳しくはこちら：https://luna-dr.com/kawasaki/
・町田駅前院：〒194-0013 東京都町田市原町田6丁目3-20 TK"&amp;"町田ビル3階（町田駅から徒歩2分）。詳しくはこちら：https://luna-dr.com/")</f>
        <v>ルナレディースクリニックの住所は院によって異なります。
・横浜駅前院：〒220-0004 神奈川県横浜市西区北幸1丁目1-8 エキニア横浜7F（横浜駅から徒歩2分）。詳しくはこちら：https://luna-dr.com/yokohama/
・川崎駅前院：〒210-0007 神奈川県川崎市川崎区駅前本町3-1 NMF川崎東口ビルB1F（川崎駅から徒歩30秒）。詳しくはこちら：https://luna-dr.com/kawasaki/
・町田駅前院：〒194-0013 東京都町田市原町田6丁目3-20 TK町田ビル3階（町田駅から徒歩2分）。詳しくはこちら：https://luna-dr.com/</v>
      </c>
      <c r="C986" s="31" t="str">
        <f>IFERROR(__xludf.DUMMYFUNCTION("""COMPUTED_VALUE"""),"アクセス")</f>
        <v>アクセス</v>
      </c>
      <c r="D986" s="31" t="str">
        <f>IFERROR(__xludf.DUMMYFUNCTION("""COMPUTED_VALUE"""),"住所,所在地,どこ,場所,アクセス,院未指定,横浜駅前院,川崎駅前院,町田駅前院")</f>
        <v>住所,所在地,どこ,場所,アクセス,院未指定,横浜駅前院,川崎駅前院,町田駅前院</v>
      </c>
      <c r="E986" s="31" t="str">
        <f>IFERROR(__xludf.DUMMYFUNCTION("""COMPUTED_VALUE"""),"https://luna-dr.com/yokohama/ | https://luna-dr.com/kawasaki/ | https://luna-dr.com/")</f>
        <v>https://luna-dr.com/yokohama/ | https://luna-dr.com/kawasaki/ | https://luna-dr.com/</v>
      </c>
    </row>
    <row r="987">
      <c r="A987" s="31" t="str">
        <f>IFERROR(__xludf.DUMMYFUNCTION("""COMPUTED_VALUE"""),"駅から近いですか？/交通アクセスを教えてください/アクセスは？/駅からどう行けばいいですか？")</f>
        <v>駅から近いですか？/交通アクセスを教えてください/アクセスは？/駅からどう行けばいいですか？</v>
      </c>
      <c r="B987" s="31" t="str">
        <f>IFERROR(__xludf.DUMMYFUNCTION("""COMPUTED_VALUE"""),"ルナレディースクリニックは院によって最寄駅からの距離が異なります。
・横浜駅前院：最寄り駅は「横浜駅」となります。JR横浜駅西口から徒歩2分、地下直結のエキニア横浜7Fにあります。詳しくはこちら：https://luna-dr.com/yokohama/
・川崎駅前院：最寄り駅は「川崎駅」となります。JR川崎駅東口から徒歩30秒（アゼリア直結:地下26番出口）のNMF川崎東口ビルB1Fにあります。詳しくはこちら：https://luna-dr.com/kawasaki/
・町田駅前院：最寄り駅は「町田駅」"&amp;"となります。JR町田駅北口、小田急線町田駅西口から徒歩3分のTK町田ビル3階にあります。詳しくはこちら：https://luna-dr.com/machida/")</f>
        <v>ルナレディースクリニックは院によって最寄駅からの距離が異なります。
・横浜駅前院：最寄り駅は「横浜駅」となります。JR横浜駅西口から徒歩2分、地下直結のエキニア横浜7Fにあります。詳しくはこちら：https://luna-dr.com/yokohama/
・川崎駅前院：最寄り駅は「川崎駅」となります。JR川崎駅東口から徒歩30秒（アゼリア直結:地下26番出口）のNMF川崎東口ビルB1Fにあります。詳しくはこちら：https://luna-dr.com/kawasaki/
・町田駅前院：最寄り駅は「町田駅」となります。JR町田駅北口、小田急線町田駅西口から徒歩3分のTK町田ビル3階にあります。詳しくはこちら：https://luna-dr.com/machida/</v>
      </c>
      <c r="C987" s="31" t="str">
        <f>IFERROR(__xludf.DUMMYFUNCTION("""COMPUTED_VALUE"""),"アクセス")</f>
        <v>アクセス</v>
      </c>
      <c r="D987" s="31" t="str">
        <f>IFERROR(__xludf.DUMMYFUNCTION("""COMPUTED_VALUE"""),"駅から近い,交通アクセス,最寄駅,徒歩,院未指定,横浜駅,川崎駅,町田駅,横浜駅前院,川崎駅前院,町田駅前院,行き方, 道順, ルート, 地図, 乗り換え, 出口, 徒歩, 駅から, 案内, アクセス方法")</f>
        <v>駅から近い,交通アクセス,最寄駅,徒歩,院未指定,横浜駅,川崎駅,町田駅,横浜駅前院,川崎駅前院,町田駅前院,行き方, 道順, ルート, 地図, 乗り換え, 出口, 徒歩, 駅から, 案内, アクセス方法</v>
      </c>
      <c r="E987" s="31" t="str">
        <f>IFERROR(__xludf.DUMMYFUNCTION("""COMPUTED_VALUE"""),"https://luna-dr.com/yokohama/ | https://luna-dr.com/kawasaki/ | https://luna-dr.com/machida/")</f>
        <v>https://luna-dr.com/yokohama/ | https://luna-dr.com/kawasaki/ | https://luna-dr.com/machida/</v>
      </c>
    </row>
    <row r="988">
      <c r="A988" s="31" t="str">
        <f>IFERROR(__xludf.DUMMYFUNCTION("""COMPUTED_VALUE"""),"料金を教えてください/料金を教えて/料金/費用/いくらですか/値段/価格/料金一覧/いくらぐらいかかる？/いくらかかりますか？/費用はどのくらい？/だいたいいくら？")</f>
        <v>料金を教えてください/料金を教えて/料金/費用/いくらですか/値段/価格/料金一覧/いくらぐらいかかる？/いくらかかりますか？/費用はどのくらい？/だいたいいくら？</v>
      </c>
      <c r="B988" s="31" t="str">
        <f>IFERROR(__xludf.DUMMYFUNCTION("""COMPUTED_VALUE"""),"ルナレディースクリニックの料金は、院によって異なる場合があります。詳しい情報は各院の料金ページをご確認ください。・町田駅前院の料金はこちら：https://luna-dr.com/machida/price/　・川崎駅前院の料金はこちら：https://luna-dr.com/kawasaki/price/　・横浜駅前院の料金はこちら：https://luna-dr.com/yokohama/price/")</f>
        <v>ルナレディースクリニックの料金は、院によって異なる場合があります。詳しい情報は各院の料金ページをご確認ください。・町田駅前院の料金はこちら：https://luna-dr.com/machida/price/　・川崎駅前院の料金はこちら：https://luna-dr.com/kawasaki/price/　・横浜駅前院の料金はこちら：https://luna-dr.com/yokohama/price/</v>
      </c>
      <c r="C988" s="31" t="str">
        <f>IFERROR(__xludf.DUMMYFUNCTION("""COMPUTED_VALUE"""),"料金")</f>
        <v>料金</v>
      </c>
      <c r="D988" s="31" t="str">
        <f>IFERROR(__xludf.DUMMYFUNCTION("""COMPUTED_VALUE"""),"料金,費用,いくら,値段,価格,院未指定,町田駅前院,川崎駅前院,横浜駅前院,料金ページ")</f>
        <v>料金,費用,いくら,値段,価格,院未指定,町田駅前院,川崎駅前院,横浜駅前院,料金ページ</v>
      </c>
      <c r="E988" s="31" t="str">
        <f>IFERROR(__xludf.DUMMYFUNCTION("""COMPUTED_VALUE"""),"https://luna-dr.com/machida/price/ | https://luna-dr.com/kawasaki/price/ | https://luna-dr.com/yokohama/price/")</f>
        <v>https://luna-dr.com/machida/price/ | https://luna-dr.com/kawasaki/price/ | https://luna-dr.com/yokohama/price/</v>
      </c>
    </row>
    <row r="989">
      <c r="A989" s="31" t="str">
        <f>IFERROR(__xludf.DUMMYFUNCTION("""COMPUTED_VALUE"""),"料金と支払い方法を教えてください
")</f>
        <v>料金と支払い方法を教えてください
</v>
      </c>
      <c r="B989" s="31" t="str">
        <f>IFERROR(__xludf.DUMMYFUNCTION("""COMPUTED_VALUE"""),"ルナレディースクリニックの料金は、院によって異なる場合があります。詳しい情報は各院の料金ページをご確認ください。・町田駅前院の料金はこちら：https://luna-dr.com/machida/price/　・川崎駅前院の料金はこちら：https://luna-dr.com/kawasaki/price/　・横浜駅前院の料金はこちら：https://luna-dr.com/yokohama/price/
お支払いは、現金のほか、クレジットカード（VISA、Mastercard、JCB、American "&amp;"Express、Diners Club、Discover）、交通系電子マネー（Suica、PASMO、Kitaca、TOICA、manaca、ICOCA、SUGOCA、nimoca、はやかけん）、電子マネー（QUICPay、iD、WAON）、QRコード決済（Alipay、WeChat Pay、PayPay、d払い、mPay）をご利用いただけます。")</f>
        <v>ルナレディースクリニックの料金は、院によって異なる場合があります。詳しい情報は各院の料金ページをご確認ください。・町田駅前院の料金はこちら：https://luna-dr.com/machida/price/　・川崎駅前院の料金はこちら：https://luna-dr.com/kawasaki/price/　・横浜駅前院の料金はこちら：https://luna-dr.com/yokohama/price/
お支払いは、現金のほか、クレジットカード（VISA、Mastercard、JCB、American Express、Diners Club、Discover）、交通系電子マネー（Suica、PASMO、Kitaca、TOICA、manaca、ICOCA、SUGOCA、nimoca、はやかけん）、電子マネー（QUICPay、iD、WAON）、QRコード決済（Alipay、WeChat Pay、PayPay、d払い、mPay）をご利用いただけます。</v>
      </c>
      <c r="C989" s="31" t="str">
        <f>IFERROR(__xludf.DUMMYFUNCTION("""COMPUTED_VALUE"""),"料金・支払い")</f>
        <v>料金・支払い</v>
      </c>
      <c r="D989" s="31" t="str">
        <f>IFERROR(__xludf.DUMMYFUNCTION("""COMPUTED_VALUE"""),"料金,初診料,費用,支払い方法,決済")</f>
        <v>料金,初診料,費用,支払い方法,決済</v>
      </c>
      <c r="E989" s="31" t="str">
        <f>IFERROR(__xludf.DUMMYFUNCTION("""COMPUTED_VALUE"""),"https://luna-dr.com/machida/price/ | https://luna-dr.com/kawasaki/price/ | https://luna-dr.com/yokohama/price/")</f>
        <v>https://luna-dr.com/machida/price/ | https://luna-dr.com/kawasaki/price/ | https://luna-dr.com/yokohama/price/</v>
      </c>
    </row>
    <row r="990">
      <c r="A990" s="31" t="str">
        <f>IFERROR(__xludf.DUMMYFUNCTION("""COMPUTED_VALUE"""),"チャットを終了したい/チャットを消したい/じゃま/消えて/消して")</f>
        <v>チャットを終了したい/チャットを消したい/じゃま/消えて/消して</v>
      </c>
      <c r="B990" s="31" t="str">
        <f>IFERROR(__xludf.DUMMYFUNCTION("""COMPUTED_VALUE"""),"操作が分かりにくく、申し訳ありません。右下のバナーをもう一度押していただければ本チャットは終了致します。ご利用いただき、ありがとうございました。")</f>
        <v>操作が分かりにくく、申し訳ありません。右下のバナーをもう一度押していただければ本チャットは終了致します。ご利用いただき、ありがとうございました。</v>
      </c>
      <c r="C990" s="31" t="str">
        <f>IFERROR(__xludf.DUMMYFUNCTION("""COMPUTED_VALUE"""),"操作")</f>
        <v>操作</v>
      </c>
      <c r="D990" s="31" t="str">
        <f>IFERROR(__xludf.DUMMYFUNCTION("""COMPUTED_VALUE"""),"チャット,終了,終わりたい,消したい")</f>
        <v>チャット,終了,終わりたい,消したい</v>
      </c>
      <c r="E990" s="31"/>
    </row>
    <row r="991">
      <c r="A991" s="31" t="str">
        <f>IFERROR(__xludf.DUMMYFUNCTION("""COMPUTED_VALUE"""),"男性も来院できますか？/男性の同伴はできますか？/パートナーは院内で待てますか？/付き添いは可能ですか？/連れの男性は院内に入れますか？")</f>
        <v>男性も来院できますか？/男性の同伴はできますか？/パートナーは院内で待てますか？/付き添いは可能ですか？/連れの男性は院内に入れますか？</v>
      </c>
      <c r="B991" s="31" t="str">
        <f>IFERROR(__xludf.DUMMYFUNCTION("""COMPUTED_VALUE"""),"大変恐縮ですが、当院では男性のご来院はお控えいただいております。")</f>
        <v>大変恐縮ですが、当院では男性のご来院はお控えいただいております。</v>
      </c>
      <c r="C991" s="31" t="str">
        <f>IFERROR(__xludf.DUMMYFUNCTION("""COMPUTED_VALUE"""),"受診ルール・院内ルール")</f>
        <v>受診ルール・院内ルール</v>
      </c>
      <c r="D991" s="31" t="str">
        <f>IFERROR(__xludf.DUMMYFUNCTION("""COMPUTED_VALUE"""),"男性,来院,同伴,院内ルール")</f>
        <v>男性,来院,同伴,院内ルール</v>
      </c>
      <c r="E991" s="31"/>
    </row>
    <row r="992">
      <c r="A992" s="31" t="str">
        <f>IFERROR(__xludf.DUMMYFUNCTION("""COMPUTED_VALUE"""),"救急対応はしていますか？/急な症状でも診てもらえますか？/発熱や激しい腹痛、出血が多いときは受診できますか？/救急の場合はどうしたらいいですか？/緊急の場合はどうすればいいですか？/たくさん血が出ている/大量出血で動けない/出血がひどくて動けません")</f>
        <v>救急対応はしていますか？/急な症状でも診てもらえますか？/発熱や激しい腹痛、出血が多いときは受診できますか？/救急の場合はどうしたらいいですか？/緊急の場合はどうすればいいですか？/たくさん血が出ている/大量出血で動けない/出血がひどくて動けません</v>
      </c>
      <c r="B992" s="31" t="str">
        <f>IFERROR(__xludf.DUMMYFUNCTION("""COMPUTED_VALUE"""),"恐れ入りますが、当院は救急対応施設ではないため、発熱、急性腹症、大量の性器出血といった症状がある場合は、当院では診療を行えない可能性が高いため、救急対応の行える医療機関へのご受診をお願いいたします。")</f>
        <v>恐れ入りますが、当院は救急対応施設ではないため、発熱、急性腹症、大量の性器出血といった症状がある場合は、当院では診療を行えない可能性が高いため、救急対応の行える医療機関へのご受診をお願いいたします。</v>
      </c>
      <c r="C992" s="31" t="str">
        <f>IFERROR(__xludf.DUMMYFUNCTION("""COMPUTED_VALUE"""),"受診ルール・院内ルール")</f>
        <v>受診ルール・院内ルール</v>
      </c>
      <c r="D992" s="31" t="str">
        <f>IFERROR(__xludf.DUMMYFUNCTION("""COMPUTED_VALUE"""),"救急,発熱,急性腹症,大量出血,総合病院,救急,緊急,どうしたらいい,急患,血が止まらない,動けない,激しい,急性")</f>
        <v>救急,発熱,急性腹症,大量出血,総合病院,救急,緊急,どうしたらいい,急患,血が止まらない,動けない,激しい,急性</v>
      </c>
      <c r="E992" s="31"/>
    </row>
    <row r="993">
      <c r="A993" s="31" t="str">
        <f>IFERROR(__xludf.DUMMYFUNCTION("""COMPUTED_VALUE"""),"体重が重くても受診できますか？/体重100kg以上でも診察できますか？")</f>
        <v>体重が重くても受診できますか？/体重100kg以上でも診察できますか？</v>
      </c>
      <c r="B993" s="31" t="str">
        <f>IFERROR(__xludf.DUMMYFUNCTION("""COMPUTED_VALUE"""),"当院では、診察台の仕様上、体重100kgを超える患者さまはお受け入れできません。")</f>
        <v>当院では、診察台の仕様上、体重100kgを超える患者さまはお受け入れできません。</v>
      </c>
      <c r="C993" s="31" t="str">
        <f>IFERROR(__xludf.DUMMYFUNCTION("""COMPUTED_VALUE"""),"受診ルール・院内ルール")</f>
        <v>受診ルール・院内ルール</v>
      </c>
      <c r="D993" s="31" t="str">
        <f>IFERROR(__xludf.DUMMYFUNCTION("""COMPUTED_VALUE"""),"体重,100kg,受診可否,診察台")</f>
        <v>体重,100kg,受診可否,診察台</v>
      </c>
      <c r="E993" s="31"/>
    </row>
    <row r="994">
      <c r="A994" s="31" t="str">
        <f>IFERROR(__xludf.DUMMYFUNCTION("""COMPUTED_VALUE"""),"初めてですが保険でピルは処方できますか？/初診で保険ピルを希望する場合に検査は必要ですか？")</f>
        <v>初めてですが保険でピルは処方できますか？/初診で保険ピルを希望する場合に検査は必要ですか？</v>
      </c>
      <c r="B994" s="31" t="str">
        <f>IFERROR(__xludf.DUMMYFUNCTION("""COMPUTED_VALUE"""),"当院では、当院受診が初めてで保険ピル処方をご希望の場合、経腟エコー検査が必要になります。")</f>
        <v>当院では、当院受診が初めてで保険ピル処方をご希望の場合、経腟エコー検査が必要になります。</v>
      </c>
      <c r="C994" s="31" t="str">
        <f>IFERROR(__xludf.DUMMYFUNCTION("""COMPUTED_VALUE"""),"ピル・月経")</f>
        <v>ピル・月経</v>
      </c>
      <c r="D994" s="31" t="str">
        <f>IFERROR(__xludf.DUMMYFUNCTION("""COMPUTED_VALUE"""),"保険ピル,初診,ピル処方,経腟エコー")</f>
        <v>保険ピル,初診,ピル処方,経腟エコー</v>
      </c>
      <c r="E994" s="31"/>
    </row>
    <row r="995">
      <c r="A995" s="31" t="str">
        <f>IFERROR(__xludf.DUMMYFUNCTION("""COMPUTED_VALUE"""),"妊娠中の診察は何週まで可能ですか？/妊娠中の子宮頸がん検診は受けられますか？")</f>
        <v>妊娠中の診察は何週まで可能ですか？/妊娠中の子宮頸がん検診は受けられますか？</v>
      </c>
      <c r="B995" s="31" t="str">
        <f>IFERROR(__xludf.DUMMYFUNCTION("""COMPUTED_VALUE"""),"当院では、妊娠12週まで診察可能です。子宮頸がん検診については、当院で妊娠経過を診ている方は妊娠10週まで受けられます。なお、他院で妊娠経過を診てもらっている方は、かかりつけ医にて子宮頸がん検診を受けてください。")</f>
        <v>当院では、妊娠12週まで診察可能です。子宮頸がん検診については、当院で妊娠経過を診ている方は妊娠10週まで受けられます。なお、他院で妊娠経過を診てもらっている方は、かかりつけ医にて子宮頸がん検診を受けてください。</v>
      </c>
      <c r="C995" s="31" t="str">
        <f>IFERROR(__xludf.DUMMYFUNCTION("""COMPUTED_VALUE"""),"妊娠・妊婦健診")</f>
        <v>妊娠・妊婦健診</v>
      </c>
      <c r="D995" s="31" t="str">
        <f>IFERROR(__xludf.DUMMYFUNCTION("""COMPUTED_VALUE"""),"妊娠12週,妊娠10週,子宮頸がん検診,妊娠中")</f>
        <v>妊娠12週,妊娠10週,子宮頸がん検診,妊娠中</v>
      </c>
      <c r="E995" s="31"/>
    </row>
    <row r="996">
      <c r="A996" s="31" t="str">
        <f>IFERROR(__xludf.DUMMYFUNCTION("""COMPUTED_VALUE"""),"キャンセル待ちはできますか？/キャンセル待ちできますか？")</f>
        <v>キャンセル待ちはできますか？/キャンセル待ちできますか？</v>
      </c>
      <c r="B996" s="31" t="str">
        <f>IFERROR(__xludf.DUMMYFUNCTION("""COMPUTED_VALUE"""),"当院では、キャンセル待ちは承っておりません。")</f>
        <v>当院では、キャンセル待ちは承っておりません。</v>
      </c>
      <c r="C996" s="31" t="str">
        <f>IFERROR(__xludf.DUMMYFUNCTION("""COMPUTED_VALUE"""),"予約・受診")</f>
        <v>予約・受診</v>
      </c>
      <c r="D996" s="31" t="str">
        <f>IFERROR(__xludf.DUMMYFUNCTION("""COMPUTED_VALUE"""),"キャンセル待ち,予約")</f>
        <v>キャンセル待ち,予約</v>
      </c>
      <c r="E996" s="31"/>
    </row>
    <row r="997">
      <c r="A997" s="31" t="str">
        <f>IFERROR(__xludf.DUMMYFUNCTION("""COMPUTED_VALUE"""),"妊娠できるか調べられますか？/妊娠できるか検査できますか？/妊娠したいのですが相談できますか？/妊娠したい")</f>
        <v>妊娠できるか調べられますか？/妊娠できるか検査できますか？/妊娠したいのですが相談できますか？/妊娠したい</v>
      </c>
      <c r="B997" s="31" t="str">
        <f>IFERROR(__xludf.DUMMYFUNCTION("""COMPUTED_VALUE"""),"ルナレディースクリニックでは、妊娠できるかどうかを調べるための診療や、妊活を目的とした検査・治療は行っておりません。妊娠や妊活についての詳しい検査・ご相談をご希望の場合は、専門の医療機関への受診をご検討ください。")</f>
        <v>ルナレディースクリニックでは、妊娠できるかどうかを調べるための診療や、妊活を目的とした検査・治療は行っておりません。妊娠や妊活についての詳しい検査・ご相談をご希望の場合は、専門の医療機関への受診をご検討ください。</v>
      </c>
      <c r="C997" s="31" t="str">
        <f>IFERROR(__xludf.DUMMYFUNCTION("""COMPUTED_VALUE"""),"妊娠・妊活")</f>
        <v>妊娠・妊活</v>
      </c>
      <c r="D997" s="31" t="str">
        <f>IFERROR(__xludf.DUMMYFUNCTION("""COMPUTED_VALUE"""),"妊娠できるか,妊活,検査")</f>
        <v>妊娠できるか,妊活,検査</v>
      </c>
      <c r="E997" s="31"/>
    </row>
    <row r="998">
      <c r="A998" s="31" t="str">
        <f>IFERROR(__xludf.DUMMYFUNCTION("""COMPUTED_VALUE"""),"子供の同伴は可能ですか？")</f>
        <v>子供の同伴は可能ですか？</v>
      </c>
      <c r="B998" s="31" t="str">
        <f>IFERROR(__xludf.DUMMYFUNCTION("""COMPUTED_VALUE"""),"ルナレディースクリニックでは、お子様の同伴について以下の通りご案内しております。
・女児は制限はございません。
・男児は未就学児まで診察室への入室が可能です。
いずれの場合も、患者様ご本人が責任をもってお子様を見守っていただくことを条件といたします。お子様を待合室にお一人でお待たせいただくことはご遠慮ください。必ず診察室内でご一緒にお待ちください。なお、当院は男性の入室をご遠慮いただいております。未就学児を超える男児につきましても、院内への入室（待合室での待機を含む）はご遠慮いただいております。該当す"&amp;"るお子様をお連れの場合は、ご来院をお控えくださいますようお願い申し上げます。")</f>
        <v>ルナレディースクリニックでは、お子様の同伴について以下の通りご案内しております。
・女児は制限はございません。
・男児は未就学児まで診察室への入室が可能です。
いずれの場合も、患者様ご本人が責任をもってお子様を見守っていただくことを条件といたします。お子様を待合室にお一人でお待たせいただくことはご遠慮ください。必ず診察室内でご一緒にお待ちください。なお、当院は男性の入室をご遠慮いただいております。未就学児を超える男児につきましても、院内への入室（待合室での待機を含む）はご遠慮いただいております。該当するお子様をお連れの場合は、ご来院をお控えくださいますようお願い申し上げます。</v>
      </c>
      <c r="C998" s="31" t="str">
        <f>IFERROR(__xludf.DUMMYFUNCTION("""COMPUTED_VALUE"""),"受診案内・院内ルール")</f>
        <v>受診案内・院内ルール</v>
      </c>
      <c r="D998" s="31" t="str">
        <f>IFERROR(__xludf.DUMMYFUNCTION("""COMPUTED_VALUE"""),"子供同伴,お子様同伴,男児,女児,未就学児,入室制限,待合室,院内ルール")</f>
        <v>子供同伴,お子様同伴,男児,女児,未就学児,入室制限,待合室,院内ルール</v>
      </c>
      <c r="E998" s="31"/>
    </row>
    <row r="999">
      <c r="A999" s="31" t="str">
        <f>IFERROR(__xludf.DUMMYFUNCTION("""COMPUTED_VALUE"""),"健康診断で細胞診が陽性でしたが受診できますか？")</f>
        <v>健康診断で細胞診が陽性でしたが受診できますか？</v>
      </c>
      <c r="B999" s="31" t="str">
        <f>IFERROR(__xludf.DUMMYFUNCTION("""COMPUTED_VALUE"""),"健康診断での細胞診結果が陽性の場合、検査結果の内容によってお受けできるものと出来かねるものがございます。そのため、詳細につきましては恐れ入りますがお電話にてご相談ください。お電話は 050-1730-2768 となります。なお、本件はオンライン診療では対応できかねますので、受診可能な内容の場合はご来院でのご案内となります。")</f>
        <v>健康診断での細胞診結果が陽性の場合、検査結果の内容によってお受けできるものと出来かねるものがございます。そのため、詳細につきましては恐れ入りますがお電話にてご相談ください。お電話は 050-1730-2768 となります。なお、本件はオンライン診療では対応できかねますので、受診可能な内容の場合はご来院でのご案内となります。</v>
      </c>
      <c r="C999" s="31" t="str">
        <f>IFERROR(__xludf.DUMMYFUNCTION("""COMPUTED_VALUE"""),"受診可否・検査結果")</f>
        <v>受診可否・検査結果</v>
      </c>
      <c r="D999" s="31" t="str">
        <f>IFERROR(__xludf.DUMMYFUNCTION("""COMPUTED_VALUE"""),"健康診断,細胞診,陽性,受診可否,来院診療,オンライン診療不可,要電話確認")</f>
        <v>健康診断,細胞診,陽性,受診可否,来院診療,オンライン診療不可,要電話確認</v>
      </c>
      <c r="E999" s="31"/>
    </row>
    <row r="1000">
      <c r="A1000" s="31" t="str">
        <f>IFERROR(__xludf.DUMMYFUNCTION("""COMPUTED_VALUE"""),"受診内容が分からない場合はどうすればよいですか？/受診内容が分からない/受診ないようどれがいい")</f>
        <v>受診内容が分からない場合はどうすればよいですか？/受診内容が分からない/受診ないようどれがいい</v>
      </c>
      <c r="B1000" s="31" t="str">
        <f>IFERROR(__xludf.DUMMYFUNCTION("""COMPUTED_VALUE"""),"受診内容がご不明な場合は、お電話にてご相談くださいませ。症状やご希望内容をお伺いし、適切な受診内容をご案内いたします。お電話は 050-1730-2768 となります。")</f>
        <v>受診内容がご不明な場合は、お電話にてご相談くださいませ。症状やご希望内容をお伺いし、適切な受診内容をご案内いたします。お電話は 050-1730-2768 となります。</v>
      </c>
      <c r="C1000" s="31" t="str">
        <f>IFERROR(__xludf.DUMMYFUNCTION("""COMPUTED_VALUE"""),"受診案内・予約相談")</f>
        <v>受診案内・予約相談</v>
      </c>
      <c r="D1000" s="31" t="str">
        <f>IFERROR(__xludf.DUMMYFUNCTION("""COMPUTED_VALUE"""),"受診内容が分からない,どれで予約,予約内容不明,症状相談,電話相談,予約相談")</f>
        <v>受診内容が分からない,どれで予約,予約内容不明,症状相談,電話相談,予約相談</v>
      </c>
      <c r="E1000" s="31"/>
    </row>
    <row r="1001">
      <c r="A1001" s="31" t="str">
        <f>IFERROR(__xludf.DUMMYFUNCTION("""COMPUTED_VALUE"""),"セカンドオピニオンは受けられますか？/紹介状なしでセカンドオピニオンは受け付けている？/他院の診断について相談したい/セカンドオピニオンについて教えてください")</f>
        <v>セカンドオピニオンは受けられますか？/紹介状なしでセカンドオピニオンは受け付けている？/他院の診断について相談したい/セカンドオピニオンについて教えてください</v>
      </c>
      <c r="B1001" s="31" t="str">
        <f>IFERROR(__xludf.DUMMYFUNCTION("""COMPUTED_VALUE"""),"ルナレディースクリニックでは、セカンドオピニオンのみの対応は行っておりません。ただし、通常の診察として現在の症状やご状況についてご相談いただくことは可能です。")</f>
        <v>ルナレディースクリニックでは、セカンドオピニオンのみの対応は行っておりません。ただし、通常の診察として現在の症状やご状況についてご相談いただくことは可能です。</v>
      </c>
      <c r="C1001" s="31" t="str">
        <f>IFERROR(__xludf.DUMMYFUNCTION("""COMPUTED_VALUE"""),"受診案内・診察体制")</f>
        <v>受診案内・診察体制</v>
      </c>
      <c r="D1001" s="31" t="str">
        <f>IFERROR(__xludf.DUMMYFUNCTION("""COMPUTED_VALUE"""),"セカンドオピニオン,他院意見,相談,通常診察,受診可否")</f>
        <v>セカンドオピニオン,他院意見,相談,通常診察,受診可否</v>
      </c>
      <c r="E1001" s="31"/>
    </row>
    <row r="1002">
      <c r="A1002" s="31" t="str">
        <f>IFERROR(__xludf.DUMMYFUNCTION("""COMPUTED_VALUE"""),"検査結果で陽性が出た場合は受診したほうが良いですか？/別の病院で検査したら陽性")</f>
        <v>検査結果で陽性が出た場合は受診したほうが良いですか？/別の病院で検査したら陽性</v>
      </c>
      <c r="B1002" s="31" t="str">
        <f>IFERROR(__xludf.DUMMYFUNCTION("""COMPUTED_VALUE"""),"ルナレディースクリニックでは、検査の種類によってご案内が異なります。◆FemCHECK（郵送検査）で陽性の場合 WEB上の案内よりオンライン診療が可能です。◆当院で受けた検査（がん検診・細菌培養・淋病検査・クラミジア検査など）で陽性の場合 お薬の処方や治療についてご案内いたしますのでお電話にてお問い合わせください。◆がん検診で陽性（要精密検査）の場合 内容により対応が異なりますのでお電話にてお問い合わせください。◆他院で受けた検査で陽性の場合 検査結果の内容やご希望内容をお伺いし、適切な受診内容をご案内い"&amp;"たしますのでお電話にてお問い合わせください。お電話は 050-1730-2768 となります。")</f>
        <v>ルナレディースクリニックでは、検査の種類によってご案内が異なります。◆FemCHECK（郵送検査）で陽性の場合 WEB上の案内よりオンライン診療が可能です。◆当院で受けた検査（がん検診・細菌培養・淋病検査・クラミジア検査など）で陽性の場合 お薬の処方や治療についてご案内いたしますのでお電話にてお問い合わせください。◆がん検診で陽性（要精密検査）の場合 内容により対応が異なりますのでお電話にてお問い合わせください。◆他院で受けた検査で陽性の場合 検査結果の内容やご希望内容をお伺いし、適切な受診内容をご案内いたしますのでお電話にてお問い合わせください。お電話は 050-1730-2768 となります。</v>
      </c>
      <c r="C1002" s="31" t="str">
        <f>IFERROR(__xludf.DUMMYFUNCTION("""COMPUTED_VALUE"""),"検査結果・陽性対応")</f>
        <v>検査結果・陽性対応</v>
      </c>
      <c r="D1002" s="31" t="str">
        <f>IFERROR(__xludf.DUMMYFUNCTION("""COMPUTED_VALUE"""),"陽性,検査結果,受診,オンライン診療,FemCHECK,性感染症検査,がん検診,他院検査")</f>
        <v>陽性,検査結果,受診,オンライン診療,FemCHECK,性感染症検査,がん検診,他院検査</v>
      </c>
      <c r="E1002" s="31"/>
    </row>
    <row r="1003">
      <c r="A1003" s="31" t="str">
        <f>IFERROR(__xludf.DUMMYFUNCTION("""COMPUTED_VALUE"""),"産後の受診はできますか？/産後の相談はできますか？/産後の体調について相談したい/産後の診察はしていますか？")</f>
        <v>産後の受診はできますか？/産後の相談はできますか？/産後の体調について相談したい/産後の診察はしていますか？</v>
      </c>
      <c r="B1003" s="31" t="str">
        <f>IFERROR(__xludf.DUMMYFUNCTION("""COMPUTED_VALUE"""),"恐れ入りますが、ルナレディースクリニックでは、産後1ヶ月以内の診療は行っておりません。産後まもない時期は、出産時の経過や処置内容などの情報が診療上重要となるため、まずは出産された医療機関にお問い合わせください。")</f>
        <v>恐れ入りますが、ルナレディースクリニックでは、産後1ヶ月以内の診療は行っておりません。産後まもない時期は、出産時の経過や処置内容などの情報が診療上重要となるため、まずは出産された医療機関にお問い合わせください。</v>
      </c>
      <c r="C1003" s="31" t="str">
        <f>IFERROR(__xludf.DUMMYFUNCTION("""COMPUTED_VALUE"""),"産後ケア・受診案内")</f>
        <v>産後ケア・受診案内</v>
      </c>
      <c r="D1003" s="31" t="str">
        <f>IFERROR(__xludf.DUMMYFUNCTION("""COMPUTED_VALUE"""),"産後,産後受診,1ヶ月以内,診療不可,電話問い合わせ,産後相談,産後ケア,産後受診")</f>
        <v>産後,産後受診,1ヶ月以内,診療不可,電話問い合わせ,産後相談,産後ケア,産後受診</v>
      </c>
      <c r="E1003" s="31"/>
    </row>
    <row r="1004">
      <c r="A1004" s="31" t="str">
        <f>IFERROR(__xludf.DUMMYFUNCTION("""COMPUTED_VALUE"""),"悪阻がひどいので点滴希望/つわりの薬を出してもらえますか？/悪阻の薬はありますか？")</f>
        <v>悪阻がひどいので点滴希望/つわりの薬を出してもらえますか？/悪阻の薬はありますか？</v>
      </c>
      <c r="B1004" s="31" t="str">
        <f>IFERROR(__xludf.DUMMYFUNCTION("""COMPUTED_VALUE"""),"当院では吐き気止めの処方は可能ですが、悪阻に対する点滴治療は行っておりません。吐き気止めをご希望の場合は「一般婦人科診療」のメニューでご予約ください。→https://cline-app.com/qr-codes/98ad6f149bfa20f4f2a9a2e91aac4187/preview")</f>
        <v>当院では吐き気止めの処方は可能ですが、悪阻に対する点滴治療は行っておりません。吐き気止めをご希望の場合は「一般婦人科診療」のメニューでご予約ください。→https://cline-app.com/qr-codes/98ad6f149bfa20f4f2a9a2e91aac4187/preview</v>
      </c>
      <c r="C1004" s="31" t="str">
        <f>IFERROR(__xludf.DUMMYFUNCTION("""COMPUTED_VALUE"""),"診療可否")</f>
        <v>診療可否</v>
      </c>
      <c r="D1004" s="31" t="str">
        <f>IFERROR(__xludf.DUMMYFUNCTION("""COMPUTED_VALUE"""),"悪阻,つわり,点滴,妊娠,治療不可")</f>
        <v>悪阻,つわり,点滴,妊娠,治療不可</v>
      </c>
      <c r="E1004" s="31"/>
    </row>
    <row r="1005">
      <c r="A1005" s="31" t="str">
        <f>IFERROR(__xludf.DUMMYFUNCTION("""COMPUTED_VALUE"""),"異形成の受診はできますか？")</f>
        <v>異形成の受診はできますか？</v>
      </c>
      <c r="B1005" s="31" t="str">
        <f>IFERROR(__xludf.DUMMYFUNCTION("""COMPUTED_VALUE"""),"大変恐縮ではございますが、当院では異形成の検査・診察は行っておりません。恐れ入りますが、お近くの婦人科をご受診ください。")</f>
        <v>大変恐縮ではございますが、当院では異形成の検査・診察は行っておりません。恐れ入りますが、お近くの婦人科をご受診ください。</v>
      </c>
      <c r="C1005" s="31" t="str">
        <f>IFERROR(__xludf.DUMMYFUNCTION("""COMPUTED_VALUE"""),"受診可否・対応不可")</f>
        <v>受診可否・対応不可</v>
      </c>
      <c r="D1005" s="31" t="str">
        <f>IFERROR(__xludf.DUMMYFUNCTION("""COMPUTED_VALUE"""),"異形成,子宮頸部異形成,CIN,軽度異形成,中等度異形成,高度異形成,健診異常,細胞診異常,受診可否,受診不可")</f>
        <v>異形成,子宮頸部異形成,CIN,軽度異形成,中等度異形成,高度異形成,健診異常,細胞診異常,受診可否,受診不可</v>
      </c>
      <c r="E1005" s="31"/>
    </row>
    <row r="1006">
      <c r="A1006" s="31" t="str">
        <f>IFERROR(__xludf.DUMMYFUNCTION("""COMPUTED_VALUE"""),"クレームを伝えたい/不満があります/対応に問題がありました/改善してほしいことがあります/スタッフの対応が気になりました/医師の態度")</f>
        <v>クレームを伝えたい/不満があります/対応に問題がありました/改善してほしいことがあります/スタッフの対応が気になりました/医師の態度</v>
      </c>
      <c r="B1006" s="31" t="str">
        <f>IFERROR(__xludf.DUMMYFUNCTION("""COMPUTED_VALUE"""),"ご不便・ご不満をおかけしてしまい、大変申し訳ございません。
いただいたご意見は、より良い医療サービスのために真摯に受け止めております。
以下のご意見フォームより詳しくお聞かせいただけますと幸いです。
→ https://docs.google.com/forms/d/e/1FAIpQLSc3UbKV7RThiDP2RwV5SJUs203CQCPFY-8VJJCWJch0nVxBOQ/viewform?usp=header
ご返答をご希望の場合は、フォーム内にメールアドレスのご入力をお願いいたします。追って"&amp;"メールにてご連絡いたします。なお、内容により事実確認にお時間をいただく場合がございます。
※ 診察のご予約や体調に関するお急ぎのご相談は、お電話にて直接ご連絡ください。")</f>
        <v>ご不便・ご不満をおかけしてしまい、大変申し訳ございません。
いただいたご意見は、より良い医療サービスのために真摯に受け止めております。
以下のご意見フォームより詳しくお聞かせいただけますと幸いです。
→ https://docs.google.com/forms/d/e/1FAIpQLSc3UbKV7RThiDP2RwV5SJUs203CQCPFY-8VJJCWJch0nVxBOQ/viewform?usp=header
ご返答をご希望の場合は、フォーム内にメールアドレスのご入力をお願いいたします。追ってメールにてご連絡いたします。なお、内容により事実確認にお時間をいただく場合がございます。
※ 診察のご予約や体調に関するお急ぎのご相談は、お電話にて直接ご連絡ください。</v>
      </c>
      <c r="C1006" s="31" t="str">
        <f>IFERROR(__xludf.DUMMYFUNCTION("""COMPUTED_VALUE"""),"クレーム・ご意見")</f>
        <v>クレーム・ご意見</v>
      </c>
      <c r="D1006" s="31" t="str">
        <f>IFERROR(__xludf.DUMMYFUNCTION("""COMPUTED_VALUE"""),"クレーム, 苦情, 不満, 改善, ご意見, フィードバック, 対応, スタッフ, 問題")</f>
        <v>クレーム, 苦情, 不満, 改善, ご意見, フィードバック, 対応, スタッフ, 問題</v>
      </c>
      <c r="E1006" s="32" t="str">
        <f>IFERROR(__xludf.DUMMYFUNCTION("""COMPUTED_VALUE"""),"https://docs.google.com/forms/d/e/1FAIpQLSc3UbKV7RThiDP2RwV5SJUs203CQCPFY-8VJJCWJch0nVxBOQ/viewform?usp=header")</f>
        <v>https://docs.google.com/forms/d/e/1FAIpQLSc3UbKV7RThiDP2RwV5SJUs203CQCPFY-8VJJCWJch0nVxBOQ/viewform?usp=header</v>
      </c>
    </row>
    <row r="1007">
      <c r="A1007" s="31" t="str">
        <f>IFERROR(__xludf.DUMMYFUNCTION("""COMPUTED_VALUE"""),"相模原市のがん検診は受けられますか？/相模原市の子宮頸がん検診は対応していますか？/相模原市のクーポンは使えますか？/相模原市の子宮がん検診はできますか？")</f>
        <v>相模原市のがん検診は受けられますか？/相模原市の子宮頸がん検診は対応していますか？/相模原市のクーポンは使えますか？/相模原市の子宮がん検診はできますか？</v>
      </c>
      <c r="B1007" s="31" t="str">
        <f>IFERROR(__xludf.DUMMYFUNCTION("""COMPUTED_VALUE"""),"大変恐縮ですが、当院で対応している自治体のがん検診は横浜市・川崎市・町田市のみとなっており、相模原市のがん検診（子宮頸がん検診）には対応しておりません。相模原市にお住まいの方は、自費での子宮頸がん検診（5,000円・税込）をお受けいただくことは可能です。ご予約は公式LINEから承っております。LINEはこちら→https://cline-app.com/qr-codes/98ad6f149bfa20f4f2a9a2e91aac4187/preview")</f>
        <v>大変恐縮ですが、当院で対応している自治体のがん検診は横浜市・川崎市・町田市のみとなっており、相模原市のがん検診（子宮頸がん検診）には対応しておりません。相模原市にお住まいの方は、自費での子宮頸がん検診（5,000円・税込）をお受けいただくことは可能です。ご予約は公式LINEから承っております。LINEはこちら→https://cline-app.com/qr-codes/98ad6f149bfa20f4f2a9a2e91aac4187/preview</v>
      </c>
      <c r="C1007" s="31" t="str">
        <f>IFERROR(__xludf.DUMMYFUNCTION("""COMPUTED_VALUE"""),"婦人科健診")</f>
        <v>婦人科健診</v>
      </c>
      <c r="D1007" s="31" t="str">
        <f>IFERROR(__xludf.DUMMYFUNCTION("""COMPUTED_VALUE"""),"相模原市,がん検診,子宮頸がん検診,自治体検診,クーポン,対応外")</f>
        <v>相模原市,がん検診,子宮頸がん検診,自治体検診,クーポン,対応外</v>
      </c>
      <c r="E1007" s="31"/>
    </row>
    <row r="1008">
      <c r="A1008" s="31" t="str">
        <f>IFERROR(__xludf.DUMMYFUNCTION("""COMPUTED_VALUE"""),"性病検査は保険診療で受けられますか？/性感染症検査は保険適用ですか？/性病検査は保険がききますか？/性感染症の検査は自費ですか？")</f>
        <v>性病検査は保険診療で受けられますか？/性感染症検査は保険適用ですか？/性病検査は保険がききますか？/性感染症の検査は自費ですか？</v>
      </c>
      <c r="B1008" s="31" t="str">
        <f>IFERROR(__xludf.DUMMYFUNCTION("""COMPUTED_VALUE"""),"■ 症状がある場合
おりものの異常・かゆみ・痛みなど具体的な症状がある方は、医師の判断により健康保険を適用した検査が可能です
■ 症状がない場合
「念のためチェックしておきたい」「パートナーのために確認したい」など、無症状でのスクリーニングをご希望の場合は、原則、自由診療（自費）となります。
保険適用の可否や検査内容は、診察時に状態を確認しながらご説明いたします。
検査をご希望の方は、ご予約のうえご来院ください。ご予約は公式LINEから承っております。ご予約はLINE予約画面の「一般婦人科診療」のメニ"&amp;"ューからお取りください。→https://cline-app.com/qr-codes/98ad6f149bfa20f4f2a9a2e91aac4187/preview")</f>
        <v>■ 症状がある場合
おりものの異常・かゆみ・痛みなど具体的な症状がある方は、医師の判断により健康保険を適用した検査が可能です
■ 症状がない場合
「念のためチェックしておきたい」「パートナーのために確認したい」など、無症状でのスクリーニングをご希望の場合は、原則、自由診療（自費）となります。
保険適用の可否や検査内容は、診察時に状態を確認しながらご説明いたします。
検査をご希望の方は、ご予約のうえご来院ください。ご予約は公式LINEから承っております。ご予約はLINE予約画面の「一般婦人科診療」のメニューからお取りください。→https://cline-app.com/qr-codes/98ad6f149bfa20f4f2a9a2e91aac4187/preview</v>
      </c>
      <c r="C1008" s="31" t="str">
        <f>IFERROR(__xludf.DUMMYFUNCTION("""COMPUTED_VALUE"""),"性感染症検査")</f>
        <v>性感染症検査</v>
      </c>
      <c r="D1008" s="31" t="str">
        <f>IFERROR(__xludf.DUMMYFUNCTION("""COMPUTED_VALUE"""),"性病検査,保険診療,保険適用,自費,性感染症検査,スクリーニング")</f>
        <v>性病検査,保険診療,保険適用,自費,性感染症検査,スクリーニング</v>
      </c>
      <c r="E1008" s="31"/>
    </row>
    <row r="1009">
      <c r="A1009" s="31" t="str">
        <f>IFERROR(__xludf.DUMMYFUNCTION("""COMPUTED_VALUE"""),"肛門ポリープの診察はできますか？/肛門の診察はできますか？/肛門の症状は診てもらえますか？")</f>
        <v>肛門ポリープの診察はできますか？/肛門の診察はできますか？/肛門の症状は診てもらえますか？</v>
      </c>
      <c r="B1009" s="31" t="str">
        <f>IFERROR(__xludf.DUMMYFUNCTION("""COMPUTED_VALUE"""),"大変恐縮ですが、当院は婦人科クリニックのため、肛門に関する診療は行っておりません。肛門ポリープについては、肛門科（肛門外科）をご受診ください。")</f>
        <v>大変恐縮ですが、当院は婦人科クリニックのため、肛門に関する診療は行っておりません。肛門ポリープについては、肛門科（肛門外科）をご受診ください。</v>
      </c>
      <c r="C1009" s="31" t="str">
        <f>IFERROR(__xludf.DUMMYFUNCTION("""COMPUTED_VALUE"""),"受診可否・対応不可")</f>
        <v>受診可否・対応不可</v>
      </c>
      <c r="D1009" s="31" t="str">
        <f>IFERROR(__xludf.DUMMYFUNCTION("""COMPUTED_VALUE"""),"肛門,肛門ポリープ,診療不可,対応外")</f>
        <v>肛門,肛門ポリープ,診療不可,対応外</v>
      </c>
      <c r="E1009" s="31"/>
    </row>
    <row r="1010">
      <c r="A1010" s="31" t="str">
        <f>IFERROR(__xludf.DUMMYFUNCTION("""COMPUTED_VALUE"""),"ブライダルチェックを予約したいのですが、メニューで何を選べばいいですか？/ブライダルチェックの予約は何のメニューで取ればいいですか？/ブライダルチェックは何の項目で予約しますか？")</f>
        <v>ブライダルチェックを予約したいのですが、メニューで何を選べばいいですか？/ブライダルチェックの予約は何のメニューで取ればいいですか？/ブライダルチェックは何の項目で予約しますか？</v>
      </c>
      <c r="B1010" s="31" t="str">
        <f>IFERROR(__xludf.DUMMYFUNCTION("""COMPUTED_VALUE"""),"ブライダルチェックのご予約は、LINE予約画面の「一般婦人科診療」のメニューからお取りください。ご予約は公式LINEから承っております。LINEはこちら→https://cline-app.com/qr-codes/98ad6f149bfa20f4f2a9a2e91aac4187/preview")</f>
        <v>ブライダルチェックのご予約は、LINE予約画面の「一般婦人科診療」のメニューからお取りください。ご予約は公式LINEから承っております。LINEはこちら→https://cline-app.com/qr-codes/98ad6f149bfa20f4f2a9a2e91aac4187/preview</v>
      </c>
      <c r="C1010" s="31" t="str">
        <f>IFERROR(__xludf.DUMMYFUNCTION("""COMPUTED_VALUE"""),"ブライダルチェック")</f>
        <v>ブライダルチェック</v>
      </c>
      <c r="D1010" s="31" t="str">
        <f>IFERROR(__xludf.DUMMYFUNCTION("""COMPUTED_VALUE"""),"ブライダルチェック,予約メニュー,一般婦人科診療,予約方法,メニュー選択")</f>
        <v>ブライダルチェック,予約メニュー,一般婦人科診療,予約方法,メニュー選択</v>
      </c>
      <c r="E1010" s="31"/>
    </row>
    <row r="1011">
      <c r="A1011" s="31" t="str">
        <f>IFERROR(__xludf.DUMMYFUNCTION("""COMPUTED_VALUE"""),"LINEで診察券番号はどこで確認できますか？/診察番号の確認方法を教えてください/診察番号を教えてください/診察番号の確認方法")</f>
        <v>LINEで診察券番号はどこで確認できますか？/診察番号の確認方法を教えてください/診察番号を教えてください/診察番号の確認方法</v>
      </c>
      <c r="B1011" s="31" t="str">
        <f>IFERROR(__xludf.DUMMYFUNCTION("""COMPUTED_VALUE"""),"LINEでの診察券番号の確認方法については、こちらのページをご参照ください。→https://luna-dr.notion.site/f0a26ab231534d8fa9cb069193c411a4")</f>
        <v>LINEでの診察券番号の確認方法については、こちらのページをご参照ください。→https://luna-dr.notion.site/f0a26ab231534d8fa9cb069193c411a4</v>
      </c>
      <c r="C1011" s="31" t="str">
        <f>IFERROR(__xludf.DUMMYFUNCTION("""COMPUTED_VALUE"""),"受診案内・本人確認")</f>
        <v>受診案内・本人確認</v>
      </c>
      <c r="D1011" s="31" t="str">
        <f>IFERROR(__xludf.DUMMYFUNCTION("""COMPUTED_VALUE"""),"LINE,診察券番号,確認方法,番号,どこで確認,診察番号")</f>
        <v>LINE,診察券番号,確認方法,番号,どこで確認,診察番号</v>
      </c>
      <c r="E1011" s="32" t="str">
        <f>IFERROR(__xludf.DUMMYFUNCTION("""COMPUTED_VALUE"""),"https://luna-dr.notion.site/f0a26ab231534d8fa9cb069193c411a4")</f>
        <v>https://luna-dr.notion.site/f0a26ab231534d8fa9cb069193c411a4</v>
      </c>
    </row>
    <row r="1012">
      <c r="A1012" s="31" t="str">
        <f>IFERROR(__xludf.DUMMYFUNCTION("""COMPUTED_VALUE"""),"自費のピルはクレジットカードで払えますか？/ピルの支払いはクレジットカードは使えますか？/自費ピルの支払い方法は？")</f>
        <v>自費のピルはクレジットカードで払えますか？/ピルの支払いはクレジットカードは使えますか？/自費ピルの支払い方法は？</v>
      </c>
      <c r="B1012" s="31" t="str">
        <f>IFERROR(__xludf.DUMMYFUNCTION("""COMPUTED_VALUE"""),"ルナレディースクリニックでは、自費のピル処方を含め、現金のほか、クレジットカード（VISA、Mastercard、JCB、American Express、Diners Club、Discover）、交通系電子マネー、QRコード決済（PayPayなど）でお支払いいただけます。")</f>
        <v>ルナレディースクリニックでは、自費のピル処方を含め、現金のほか、クレジットカード（VISA、Mastercard、JCB、American Express、Diners Club、Discover）、交通系電子マネー、QRコード決済（PayPayなど）でお支払いいただけます。</v>
      </c>
      <c r="C1012" s="31" t="str">
        <f>IFERROR(__xludf.DUMMYFUNCTION("""COMPUTED_VALUE"""),"料金・支払い")</f>
        <v>料金・支払い</v>
      </c>
      <c r="D1012" s="31" t="str">
        <f>IFERROR(__xludf.DUMMYFUNCTION("""COMPUTED_VALUE"""),"自費ピル,クレジットカード,支払い方法,ピル,決済")</f>
        <v>自費ピル,クレジットカード,支払い方法,ピル,決済</v>
      </c>
      <c r="E1012" s="32" t="str">
        <f>IFERROR(__xludf.DUMMYFUNCTION("""COMPUTED_VALUE"""),"https://luna-dr.com/")</f>
        <v>https://luna-dr.com/</v>
      </c>
    </row>
    <row r="1013">
      <c r="A1013" s="31" t="str">
        <f>IFERROR(__xludf.DUMMYFUNCTION("""COMPUTED_VALUE"""),"ベビーカーで行けますか？/ベビーカーで来院できますか？/ベビーカーは持ち込めますか？/赤ちゃん連れで行けますか？")</f>
        <v>ベビーカーで行けますか？/ベビーカーで来院できますか？/ベビーカーは持ち込めますか？/赤ちゃん連れで行けますか？</v>
      </c>
      <c r="B1013" s="31" t="str">
        <f>IFERROR(__xludf.DUMMYFUNCTION("""COMPUTED_VALUE"""),"ベビーカーでのご来院は可能です。ただし、ベビーカーの大きさによっては院内で折りたたんでいただく場合がございます。その際は、患者さまご本人様にお子様を抱っこしていただく必要がございますので、あらかじめご了承ください。")</f>
        <v>ベビーカーでのご来院は可能です。ただし、ベビーカーの大きさによっては院内で折りたたんでいただく場合がございます。その際は、患者さまご本人様にお子様を抱っこしていただく必要がございますので、あらかじめご了承ください。</v>
      </c>
      <c r="C1013" s="31" t="str">
        <f>IFERROR(__xludf.DUMMYFUNCTION("""COMPUTED_VALUE"""),"受診ルール・院内ルール")</f>
        <v>受診ルール・院内ルール</v>
      </c>
      <c r="D1013" s="31" t="str">
        <f>IFERROR(__xludf.DUMMYFUNCTION("""COMPUTED_VALUE"""),"ベビーカー,赤ちゃん連れ,子連れ,抱っこ,来院")</f>
        <v>ベビーカー,赤ちゃん連れ,子連れ,抱っこ,来院</v>
      </c>
      <c r="E1013" s="31"/>
    </row>
    <row r="1014">
      <c r="A1014" s="31" t="str">
        <f>IFERROR(__xludf.DUMMYFUNCTION("""COMPUTED_VALUE"""),"保険診療の料金はいくらですか？/保険診療の大体の金額を教えてください/保険診療の費用はいくらくらいですか？/保険診療の値段を知りたい")</f>
        <v>保険診療の料金はいくらですか？/保険診療の大体の金額を教えてください/保険診療の費用はいくらくらいですか？/保険診療の値段を知りたい</v>
      </c>
      <c r="B1014" s="31" t="str">
        <f>IFERROR(__xludf.DUMMYFUNCTION("""COMPUTED_VALUE"""),"保険診療の料金は、診察内容や検査項目によって異なります。おおよその目安につきましては、各院の料金ページをご確認ください。※診察内容により変動する可能性がございます。横浜駅前院：https://luna-dr.com/yokohama/price/ →川崎駅前院：https://luna-dr.com/kawasaki/price/ →町田駅前院：https://luna-dr.com/machida/price/")</f>
        <v>保険診療の料金は、診察内容や検査項目によって異なります。おおよその目安につきましては、各院の料金ページをご確認ください。※診察内容により変動する可能性がございます。横浜駅前院：https://luna-dr.com/yokohama/price/ →川崎駅前院：https://luna-dr.com/kawasaki/price/ →町田駅前院：https://luna-dr.com/machida/price/</v>
      </c>
      <c r="C1014" s="31" t="str">
        <f>IFERROR(__xludf.DUMMYFUNCTION("""COMPUTED_VALUE"""),"料金・保険")</f>
        <v>料金・保険</v>
      </c>
      <c r="D1014" s="31" t="str">
        <f>IFERROR(__xludf.DUMMYFUNCTION("""COMPUTED_VALUE"""),"保険診療,料金,金額,費用,いくら,保険適用")</f>
        <v>保険診療,料金,金額,費用,いくら,保険適用</v>
      </c>
      <c r="E1014" s="31" t="str">
        <f>IFERROR(__xludf.DUMMYFUNCTION("""COMPUTED_VALUE"""),"https://luna-dr.com/yokohama/price/ | https://luna-dr.com/kawasaki/price/ | https://luna-dr.com/machida/price/")</f>
        <v>https://luna-dr.com/yokohama/price/ | https://luna-dr.com/kawasaki/price/ | https://luna-dr.com/machida/price/</v>
      </c>
    </row>
    <row r="1015">
      <c r="A1015" s="31" t="str">
        <f>IFERROR(__xludf.DUMMYFUNCTION("""COMPUTED_VALUE"""),"これから予約なしで行きたいのですが大丈夫ですか？/今から予約なしで行けますか？/今日予約なしで行っても大丈夫ですか？/今から行きたいのですが予約なしで受診できますか？ /今日今から行けますか？/今から行けますか？/当日予約はできますか？/予約がいっぱいの場合直接行って待てば見てもらえますか？/予約が取れないが直接行っていいか /今日今から行けますか？/予約がいっぱいの場合直接行って待てば見てもらえますか？")</f>
        <v>これから予約なしで行きたいのですが大丈夫ですか？/今から予約なしで行けますか？/今日予約なしで行っても大丈夫ですか？/今から行きたいのですが予約なしで受診できますか？ /今日今から行けますか？/今から行けますか？/当日予約はできますか？/予約がいっぱいの場合直接行って待てば見てもらえますか？/予約が取れないが直接行っていいか /今日今から行けますか？/予約がいっぱいの場合直接行って待てば見てもらえますか？</v>
      </c>
      <c r="B1015" s="31" t="str">
        <f>IFERROR(__xludf.DUMMYFUNCTION("""COMPUTED_VALUE"""),"直接のご来院も可能ですが、待ち時間が発生する場合がございます。また、混雑状況によってはお受けできない場合や、ご案内を終了している場合もございます。事前にご予約をいただくことでスムーズに診察に進むことができます。ご予約は公式LINEからお取りください。LINEはこちら→https://cline-app.com/qr-codes/98ad6f149bfa20f4f2a9a2e91aac4187/preview
本日のご受診をご希望の場合は、ご受診内容によっては受付時間が異なるため、お電話（050-1730-"&amp;"2768）にてご確認ください。")</f>
        <v>直接のご来院も可能ですが、待ち時間が発生する場合がございます。また、混雑状況によってはお受けできない場合や、ご案内を終了している場合もございます。事前にご予約をいただくことでスムーズに診察に進むことができます。ご予約は公式LINEからお取りください。LINEはこちら→https://cline-app.com/qr-codes/98ad6f149bfa20f4f2a9a2e91aac4187/preview
本日のご受診をご希望の場合は、ご受診内容によっては受付時間が異なるため、お電話（050-1730-2768）にてご確認ください。</v>
      </c>
      <c r="C1015" s="31" t="str">
        <f>IFERROR(__xludf.DUMMYFUNCTION("""COMPUTED_VALUE"""),"予約・受診")</f>
        <v>予約・受診</v>
      </c>
      <c r="D1015" s="31" t="str">
        <f>IFERROR(__xludf.DUMMYFUNCTION("""COMPUTED_VALUE"""),"これから,今から,予約なし,当日,飛び込み,今日行きたい")</f>
        <v>これから,今から,予約なし,当日,飛び込み,今日行きたい</v>
      </c>
      <c r="E1015" s="31"/>
    </row>
    <row r="1016">
      <c r="A1016" s="31" t="str">
        <f>IFERROR(__xludf.DUMMYFUNCTION("""COMPUTED_VALUE"""),"熱があっても診療してもらえますか？/発熱していても受診できますか？/熱があるのですが受診できますか？/体温が高くても診察してもらえますか？")</f>
        <v>熱があっても診療してもらえますか？/発熱していても受診できますか？/熱があるのですが受診できますか？/体温が高くても診察してもらえますか？</v>
      </c>
      <c r="B1016" s="31" t="str">
        <f>IFERROR(__xludf.DUMMYFUNCTION("""COMPUTED_VALUE"""),"37.5度以上の発熱がある場合は、受診をお受けすることができません。恐れ入りますが、熱が下がってからの受診をお願いいたします。")</f>
        <v>37.5度以上の発熱がある場合は、受診をお受けすることができません。恐れ入りますが、熱が下がってからの受診をお願いいたします。</v>
      </c>
      <c r="C1016" s="31" t="str">
        <f>IFERROR(__xludf.DUMMYFUNCTION("""COMPUTED_VALUE"""),"受診ルール・院内ルール")</f>
        <v>受診ルール・院内ルール</v>
      </c>
      <c r="D1016" s="31" t="str">
        <f>IFERROR(__xludf.DUMMYFUNCTION("""COMPUTED_VALUE"""),"発熱,熱,37.5度,体温,受診不可,受け入れ")</f>
        <v>発熱,熱,37.5度,体温,受診不可,受け入れ</v>
      </c>
      <c r="E1016" s="31"/>
    </row>
    <row r="1017">
      <c r="A1017" s="31" t="str">
        <f>IFERROR(__xludf.DUMMYFUNCTION("""COMPUTED_VALUE"""),"定期便の料金はいくらですか？/定期配送の料金を教えてください/定期便はいくらですか？/ピルの定期配送の値段を知りたい/定期便の費用")</f>
        <v>定期便の料金はいくらですか？/定期配送の料金を教えてください/定期便はいくらですか？/ピルの定期配送の値段を知りたい/定期便の費用</v>
      </c>
      <c r="B1017" s="31" t="str">
        <f>IFERROR(__xludf.DUMMYFUNCTION("""COMPUTED_VALUE"""),"定期配送の料金は、こちらのページからご確認ください。→https://shop.luna-dr.com/collections/low_dose_pill_subscription")</f>
        <v>定期配送の料金は、こちらのページからご確認ください。→https://shop.luna-dr.com/collections/low_dose_pill_subscription</v>
      </c>
      <c r="C1017" s="31" t="str">
        <f>IFERROR(__xludf.DUMMYFUNCTION("""COMPUTED_VALUE"""),"定期配送")</f>
        <v>定期配送</v>
      </c>
      <c r="D1017" s="31" t="str">
        <f>IFERROR(__xludf.DUMMYFUNCTION("""COMPUTED_VALUE"""),"定期便,定期配送,料金,値段,いくら,費用,ピル,サブスク")</f>
        <v>定期便,定期配送,料金,値段,いくら,費用,ピル,サブスク</v>
      </c>
      <c r="E1017" s="32" t="str">
        <f>IFERROR(__xludf.DUMMYFUNCTION("""COMPUTED_VALUE"""),"https://shop.luna-dr.com/collections/low_dose_pill_subscription")</f>
        <v>https://shop.luna-dr.com/collections/low_dose_pill_subscription</v>
      </c>
    </row>
    <row r="1018">
      <c r="A1018" s="31" t="str">
        <f>IFERROR(__xludf.DUMMYFUNCTION("""COMPUTED_VALUE"""),"お電話の受付時間は【平日：9:45〜13:40、15:15〜19:40、土日祝：9:45〜13:40、15:15〜18:40】となります。お電話は050-1730-2768（全員共通）となります。")</f>
        <v>お電話の受付時間は【平日：9:45〜13:40、15:15〜19:40、土日祝：9:45〜13:40、15:15〜18:40】となります。お電話は050-1730-2768（全員共通）となります。</v>
      </c>
      <c r="B1018" s="31" t="str">
        <f>IFERROR(__xludf.DUMMYFUNCTION("""COMPUTED_VALUE"""),"お電話の受付時間は【平日：9:45〜13:40、15:15〜19:40、土日祝：9:45〜13:40、15:15〜18:40】となります。お電話は050-1730-2768となります。")</f>
        <v>お電話の受付時間は【平日：9:45〜13:40、15:15〜19:40、土日祝：9:45〜13:40、15:15〜18:40】となります。お電話は050-1730-2768となります。</v>
      </c>
      <c r="C1018" s="31" t="str">
        <f>IFERROR(__xludf.DUMMYFUNCTION("""COMPUTED_VALUE"""),"診療時間")</f>
        <v>診療時間</v>
      </c>
      <c r="D1018" s="31" t="str">
        <f>IFERROR(__xludf.DUMMYFUNCTION("""COMPUTED_VALUE"""),"電話,受付時間,電話番号,何時まで,つながる時間")</f>
        <v>電話,受付時間,電話番号,何時まで,つながる時間</v>
      </c>
      <c r="E1018" s="31"/>
    </row>
    <row r="1019">
      <c r="A1019" s="31" t="str">
        <f>IFERROR(__xludf.DUMMYFUNCTION("""COMPUTED_VALUE"""),"診療時間と料金を教えてください/診療時間と料金/営業時間と料金を知りたい")</f>
        <v>診療時間と料金を教えてください/診療時間と料金/営業時間と料金を知りたい</v>
      </c>
      <c r="B1019" s="31" t="str">
        <f>IFERROR(__xludf.DUMMYFUNCTION("""COMPUTED_VALUE"""),"ルナレディースクリニックの診療時間は院によって異なります。・横浜駅前院：平日は午前10:00〜14:00、午後15:30〜20:00。土日祝は午前10:00〜14:00、午後15:30〜19:00。毎日診療しています。詳しくはこちら→https://luna-dr.com/yokohama/ ・川崎駅前院：平日は午前10:00〜14:00、午後15:30〜20:00。土日祝は午前10:00〜14:00、午後15:30〜19:00。毎日診療。詳しくはこちら→https://luna-dr.com/kawas"&amp;"aki/ ・町田駅前院：平日は午前10:00〜14:00、午後15:30〜20:00。日曜は休診。土曜の午後は15:30〜19:00。詳しくはこちら→https://luna-dr.com/machida/ 各院の料金については、料金ページをご確認ください。・横浜駅前院：https://luna-dr.com/yokohama/price/ ・川崎駅前院：https://luna-dr.com/kawasaki/price/ ・町田駅前院：https://luna-dr.com/machida/price"&amp;"/")</f>
        <v>ルナレディースクリニックの診療時間は院によって異なります。・横浜駅前院：平日は午前10:00〜14:00、午後15:30〜20:00。土日祝は午前10:00〜14:00、午後15:30〜19:00。毎日診療しています。詳しくはこちら→https://luna-dr.com/yokohama/ ・川崎駅前院：平日は午前10:00〜14:00、午後15:30〜20:00。土日祝は午前10:00〜14:00、午後15:30〜19:00。毎日診療。詳しくはこちら→https://luna-dr.com/kawasaki/ ・町田駅前院：平日は午前10:00〜14:00、午後15:30〜20:00。日曜は休診。土曜の午後は15:30〜19:00。詳しくはこちら→https://luna-dr.com/machida/ 各院の料金については、料金ページをご確認ください。・横浜駅前院：https://luna-dr.com/yokohama/price/ ・川崎駅前院：https://luna-dr.com/kawasaki/price/ ・町田駅前院：https://luna-dr.com/machida/price/</v>
      </c>
      <c r="C1019" s="31" t="str">
        <f>IFERROR(__xludf.DUMMYFUNCTION("""COMPUTED_VALUE"""),"診療時間")</f>
        <v>診療時間</v>
      </c>
      <c r="D1019" s="31" t="str">
        <f>IFERROR(__xludf.DUMMYFUNCTION("""COMPUTED_VALUE"""),"診療時間,料金,営業時間,費用,時間と料金")</f>
        <v>診療時間,料金,営業時間,費用,時間と料金</v>
      </c>
      <c r="E1019" s="31"/>
    </row>
    <row r="1020">
      <c r="A1020" s="31" t="str">
        <f>IFERROR(__xludf.DUMMYFUNCTION("""COMPUTED_VALUE"""),"ピルが届かないのですが/定期便が届きません/定期配送のピルが届かない")</f>
        <v>ピルが届かないのですが/定期便が届きません/定期配送のピルが届かない</v>
      </c>
      <c r="B1020" s="31" t="str">
        <f>IFERROR(__xludf.DUMMYFUNCTION("""COMPUTED_VALUE"""),"定期配送に関するお問い合わせは、お電話にて承っております。お電話：050-1730-2768（受付時間：平日9:45〜13:40・15:15〜19:40、土日祝9:45〜13:40・15:15〜18:40）")</f>
        <v>定期配送に関するお問い合わせは、お電話にて承っております。お電話：050-1730-2768（受付時間：平日9:45〜13:40・15:15〜19:40、土日祝9:45〜13:40・15:15〜18:40）</v>
      </c>
      <c r="C1020" s="31" t="str">
        <f>IFERROR(__xludf.DUMMYFUNCTION("""COMPUTED_VALUE"""),"定期配送")</f>
        <v>定期配送</v>
      </c>
      <c r="D1020" s="31" t="str">
        <f>IFERROR(__xludf.DUMMYFUNCTION("""COMPUTED_VALUE"""),"ピル届かない,届かない,配送トラブル,定期便")</f>
        <v>ピル届かない,届かない,配送トラブル,定期便</v>
      </c>
      <c r="E1020" s="31"/>
    </row>
    <row r="1021">
      <c r="A1021" s="31" t="str">
        <f>IFERROR(__xludf.DUMMYFUNCTION("""COMPUTED_VALUE"""),"保険ピルは毎回診察が必要ですか？/保険ピルの処方のみ受け取りは可能ですか？")</f>
        <v>保険ピルは毎回診察が必要ですか？/保険ピルの処方のみ受け取りは可能ですか？</v>
      </c>
      <c r="B1021" s="31" t="str">
        <f>IFERROR(__xludf.DUMMYFUNCTION("""COMPUTED_VALUE"""),"保険ピルの場合、処方のたびに医師の診察が必須となります。毎回診察室にて医師より処方いたします。なお、医師の判断により年に1回内診がございます。")</f>
        <v>保険ピルの場合、処方のたびに医師の診察が必須となります。毎回診察室にて医師より処方いたします。なお、医師の判断により年に1回内診がございます。</v>
      </c>
      <c r="C1021" s="31" t="str">
        <f>IFERROR(__xludf.DUMMYFUNCTION("""COMPUTED_VALUE"""),"低用量ピル（保険）")</f>
        <v>低用量ピル（保険）</v>
      </c>
      <c r="D1021" s="31" t="str">
        <f>IFERROR(__xludf.DUMMYFUNCTION("""COMPUTED_VALUE"""),"保険ピル,診察,毎回,処方のみ,受け取り")</f>
        <v>保険ピル,診察,毎回,処方のみ,受け取り</v>
      </c>
      <c r="E1021" s="31"/>
    </row>
    <row r="1022">
      <c r="A1022" s="31" t="str">
        <f>IFERROR(__xludf.DUMMYFUNCTION("""COMPUTED_VALUE"""),"自費診療の場合、初診料や再診料はかかりますか？/自費ピルの初診料はいくらですか？/自費ピルの再診料はいくらですか？/自費診療でのピル処方の初診料と再診料を教えてください")</f>
        <v>自費診療の場合、初診料や再診料はかかりますか？/自費ピルの初診料はいくらですか？/自費ピルの再診料はいくらですか？/自費診療でのピル処方の初診料と再診料を教えてください</v>
      </c>
      <c r="B1022" s="31" t="str">
        <f>IFERROR(__xludf.DUMMYFUNCTION("""COMPUTED_VALUE"""),"自費診療の場合、初診料・再診料はかかりません。保険診療の場合は、毎回初診料または再診料が発生いたします。")</f>
        <v>自費診療の場合、初診料・再診料はかかりません。保険診療の場合は、毎回初診料または再診料が発生いたします。</v>
      </c>
      <c r="C1022" s="31" t="str">
        <f>IFERROR(__xludf.DUMMYFUNCTION("""COMPUTED_VALUE"""),"料金・保険")</f>
        <v>料金・保険</v>
      </c>
      <c r="D1022" s="31" t="str">
        <f>IFERROR(__xludf.DUMMYFUNCTION("""COMPUTED_VALUE"""),"自費,ピル,初診料,再診料,保険診療")</f>
        <v>自費,ピル,初診料,再診料,保険診療</v>
      </c>
      <c r="E1022" s="31"/>
    </row>
    <row r="1023">
      <c r="A1023" s="31" t="str">
        <f>IFERROR(__xludf.DUMMYFUNCTION("""COMPUTED_VALUE"""),"町田で処方しているピルを横浜でも処方できますか？/町田で処方しているピルを川崎でも処方できますか？/横浜で処方しているピルを川崎でも処方できますか？/横浜で処方しているピルを町田でも処方できますか？/川崎で処方しているピルを町田でも処方できますか？/川崎で処方しているピルを横浜でも処方できますか？")</f>
        <v>町田で処方しているピルを横浜でも処方できますか？/町田で処方しているピルを川崎でも処方できますか？/横浜で処方しているピルを川崎でも処方できますか？/横浜で処方しているピルを町田でも処方できますか？/川崎で処方しているピルを町田でも処方できますか？/川崎で処方しているピルを横浜でも処方できますか？</v>
      </c>
      <c r="B1023" s="31" t="str">
        <f>IFERROR(__xludf.DUMMYFUNCTION("""COMPUTED_VALUE"""),"当院の別の院でもピルの処方は可能です。カルテは電子カルテですべての院で共有されておりますので、継続としての処方が可能です。ただし、別の院での受診は初診扱いとなり、保険診療の場合は初診料がかかりますので予めご了承くださいませ。")</f>
        <v>当院の別の院でもピルの処方は可能です。カルテは電子カルテですべての院で共有されておりますので、継続としての処方が可能です。ただし、別の院での受診は初診扱いとなり、保険診療の場合は初診料がかかりますので予めご了承くださいませ。</v>
      </c>
      <c r="C1023" s="31" t="str">
        <f>IFERROR(__xludf.DUMMYFUNCTION("""COMPUTED_VALUE"""),"受診案内・院変更")</f>
        <v>受診案内・院変更</v>
      </c>
      <c r="D1023" s="31" t="str">
        <f>IFERROR(__xludf.DUMMYFUNCTION("""COMPUTED_VALUE"""),"院変更,ピル処方,別の院,カルテ,引き継ぎ")</f>
        <v>院変更,ピル処方,別の院,カルテ,引き継ぎ</v>
      </c>
      <c r="E1023" s="31"/>
    </row>
    <row r="1024">
      <c r="A1024" s="31" t="str">
        <f>IFERROR(__xludf.DUMMYFUNCTION("""COMPUTED_VALUE"""),"ピルの種類を変更したいのですが/避妊効果ありのピルから避妊効果なしのピルに変えたい/OCからLEPに変更したい/ピルを変えたい/ピルの変更")</f>
        <v>ピルの種類を変更したいのですが/避妊効果ありのピルから避妊効果なしのピルに変えたい/OCからLEPに変更したい/ピルを変えたい/ピルの変更</v>
      </c>
      <c r="B1024" s="31" t="str">
        <f>IFERROR(__xludf.DUMMYFUNCTION("""COMPUTED_VALUE"""),"ピルの種類の変更には医師の診察が必要です。ピルの変更をご希望の場合は、ご受診いただき医師にご相談をお願いいたします。ご予約は公式LINEから24時間承っております。LINEはこちら→https://cline-app.com/qr-codes/98ad6f149bfa20f4f2a9a2e91aac4187/preview")</f>
        <v>ピルの種類の変更には医師の診察が必要です。ピルの変更をご希望の場合は、ご受診いただき医師にご相談をお願いいたします。ご予約は公式LINEから24時間承っております。LINEはこちら→https://cline-app.com/qr-codes/98ad6f149bfa20f4f2a9a2e91aac4187/preview</v>
      </c>
      <c r="C1024" s="31" t="str">
        <f>IFERROR(__xludf.DUMMYFUNCTION("""COMPUTED_VALUE"""),"ピル処方")</f>
        <v>ピル処方</v>
      </c>
      <c r="D1024" s="31" t="str">
        <f>IFERROR(__xludf.DUMMYFUNCTION("""COMPUTED_VALUE"""),"ピル変更,種類変更,OC,LEP,切り替え,ピル変更,種類変更,OC,LEP,切り替え,ピルの変更,薬変更,変えたい")</f>
        <v>ピル変更,種類変更,OC,LEP,切り替え,ピル変更,種類変更,OC,LEP,切り替え,ピルの変更,薬変更,変えたい</v>
      </c>
      <c r="E1024" s="31"/>
    </row>
    <row r="1025">
      <c r="A1025" s="31" t="str">
        <f>IFERROR(__xludf.DUMMYFUNCTION("""COMPUTED_VALUE"""),"授乳中でもピルを処方してもらえますか？/授乳中に飲めるピルはありますか？")</f>
        <v>授乳中でもピルを処方してもらえますか？/授乳中に飲めるピルはありますか？</v>
      </c>
      <c r="B1025" s="31" t="str">
        <f>IFERROR(__xludf.DUMMYFUNCTION("""COMPUTED_VALUE"""),"授乳中のピルの内服はリスクもあり慎重投与となるため、ご受診いただき医師にご相談ください。処方の可否は最終的に医師の判断となります。ご予約は公式LINEから24時間承っております。LINEはこちら→https://cline-app.com/qr-codes/98ad6f149bfa20f4f2a9a2e91aac4187/preview")</f>
        <v>授乳中のピルの内服はリスクもあり慎重投与となるため、ご受診いただき医師にご相談ください。処方の可否は最終的に医師の判断となります。ご予約は公式LINEから24時間承っております。LINEはこちら→https://cline-app.com/qr-codes/98ad6f149bfa20f4f2a9a2e91aac4187/preview</v>
      </c>
      <c r="C1025" s="31" t="str">
        <f>IFERROR(__xludf.DUMMYFUNCTION("""COMPUTED_VALUE"""),"低用量ピル")</f>
        <v>低用量ピル</v>
      </c>
      <c r="D1025" s="31" t="str">
        <f>IFERROR(__xludf.DUMMYFUNCTION("""COMPUTED_VALUE"""),"授乳中,ピル,処方,種類,母親")</f>
        <v>授乳中,ピル,処方,種類,母親</v>
      </c>
      <c r="E1025" s="31"/>
    </row>
    <row r="1026">
      <c r="A1026" s="31" t="str">
        <f>IFERROR(__xludf.DUMMYFUNCTION("""COMPUTED_VALUE"""),"ロキソニンは処方してもらえますか？/鎮痛剤を処方してほしい")</f>
        <v>ロキソニンは処方してもらえますか？/鎮痛剤を処方してほしい</v>
      </c>
      <c r="B1026" s="31" t="str">
        <f>IFERROR(__xludf.DUMMYFUNCTION("""COMPUTED_VALUE"""),"薬剤の処方は最終的に医師の判断となりますので、ご受診いただき医師にご相談をお願いいたします。ご予約は公式LINEから24時間承っております。LINEはこちら→https://cline-app.com/qr-codes/98ad6f149bfa20f4f2a9a2e91aac4187/preview")</f>
        <v>薬剤の処方は最終的に医師の判断となりますので、ご受診いただき医師にご相談をお願いいたします。ご予約は公式LINEから24時間承っております。LINEはこちら→https://cline-app.com/qr-codes/98ad6f149bfa20f4f2a9a2e91aac4187/preview</v>
      </c>
      <c r="C1026" s="31" t="str">
        <f>IFERROR(__xludf.DUMMYFUNCTION("""COMPUTED_VALUE"""),"処方")</f>
        <v>処方</v>
      </c>
      <c r="D1026" s="31" t="str">
        <f>IFERROR(__xludf.DUMMYFUNCTION("""COMPUTED_VALUE"""),"ロキソニン,鎮痛剤,処方,痛み止め")</f>
        <v>ロキソニン,鎮痛剤,処方,痛み止め</v>
      </c>
      <c r="E1026" s="31"/>
    </row>
    <row r="1027">
      <c r="A1027" s="31" t="str">
        <f>IFERROR(__xludf.DUMMYFUNCTION("""COMPUTED_VALUE"""),"保険診療の初診料・再診料はいくらですか？/初診料を教えてください")</f>
        <v>保険診療の初診料・再診料はいくらですか？/初診料を教えてください</v>
      </c>
      <c r="B1027" s="31" t="str">
        <f>IFERROR(__xludf.DUMMYFUNCTION("""COMPUTED_VALUE"""),"保険診療の場合、初診料は約890円、再診料は約390円が加算されます。なお、夜間・早朝の受診の場合は、別途加算（約150円）がかかる場合がございます。※あくまで目安の金額となりますのでご了承くださいませ。自費診療の場合は初診料・再診料はかかりません。")</f>
        <v>保険診療の場合、初診料は約890円、再診料は約390円が加算されます。なお、夜間・早朝の受診の場合は、別途加算（約150円）がかかる場合がございます。※あくまで目安の金額となりますのでご了承くださいませ。自費診療の場合は初診料・再診料はかかりません。</v>
      </c>
      <c r="C1027" s="31" t="str">
        <f>IFERROR(__xludf.DUMMYFUNCTION("""COMPUTED_VALUE"""),"料金・保険")</f>
        <v>料金・保険</v>
      </c>
      <c r="D1027" s="31" t="str">
        <f>IFERROR(__xludf.DUMMYFUNCTION("""COMPUTED_VALUE"""),"初診料,再診料,890円,390円,夜間加算")</f>
        <v>初診料,再診料,890円,390円,夜間加算</v>
      </c>
      <c r="E1027" s="31"/>
    </row>
    <row r="1028">
      <c r="A1028" s="31" t="str">
        <f>IFERROR(__xludf.DUMMYFUNCTION("""COMPUTED_VALUE"""),"初診の対応時間はどれくらいですか？/受診にはどのくらい時間がかかりますか？/所要時間を教えてください/診療時間はどのくらいかかりますか？/診察はどのくらいかかりますか？ /予約外来の場合の所要時間は？/予約なしで行くとどのくらいかかりますか？/妊娠検査はどのくらい時間がかかりますか？/妊娠検査の所要時間")</f>
        <v>初診の対応時間はどれくらいですか？/受診にはどのくらい時間がかかりますか？/所要時間を教えてください/診療時間はどのくらいかかりますか？/診察はどのくらいかかりますか？ /予約外来の場合の所要時間は？/予約なしで行くとどのくらいかかりますか？/妊娠検査はどのくらい時間がかかりますか？/妊娠検査の所要時間</v>
      </c>
      <c r="B1028" s="31" t="str">
        <f>IFERROR(__xludf.DUMMYFUNCTION("""COMPUTED_VALUE"""),"外来の状況によって変動いたしますが、ご予約をお取りいただいた場合、トータル1時間前後を目安としていただければと思います。予約外来の場合は、当日の診察状況によって変動いたしますのでご了承くださいませ。")</f>
        <v>外来の状況によって変動いたしますが、ご予約をお取りいただいた場合、トータル1時間前後を目安としていただければと思います。予約外来の場合は、当日の診察状況によって変動いたしますのでご了承くださいませ。</v>
      </c>
      <c r="C1028" s="31" t="str">
        <f>IFERROR(__xludf.DUMMYFUNCTION("""COMPUTED_VALUE"""),"予約・受診")</f>
        <v>予約・受診</v>
      </c>
      <c r="D1028" s="31" t="str">
        <f>IFERROR(__xludf.DUMMYFUNCTION("""COMPUTED_VALUE"""),"所要時間,対応時間,初診,時間,1時間,月経移動,診療時間,どのくらいかかる,かかる時間")</f>
        <v>所要時間,対応時間,初診,時間,1時間,月経移動,診療時間,どのくらいかかる,かかる時間</v>
      </c>
      <c r="E1028" s="31"/>
    </row>
    <row r="1029">
      <c r="A1029" s="31" t="str">
        <f>IFERROR(__xludf.DUMMYFUNCTION("""COMPUTED_VALUE"""),"相談が2つある場合の予約方法を教えてください/複数の相談がある場合はどう予約すればいいですか？/2つの相談を同時にしたい場合の予約方法は？/月経の痛みと月経移動ピルの両方を相談したい/子宮頸がん検診とピル処方を一度に受けたい/診察と検査を同じ日にまとめたい")</f>
        <v>相談が2つある場合の予約方法を教えてください/複数の相談がある場合はどう予約すればいいですか？/2つの相談を同時にしたい場合の予約方法は？/月経の痛みと月経移動ピルの両方を相談したい/子宮頸がん検診とピル処方を一度に受けたい/診察と検査を同じ日にまとめたい</v>
      </c>
      <c r="B1029" s="31" t="str">
        <f>IFERROR(__xludf.DUMMYFUNCTION("""COMPUTED_VALUE"""),"複数のご相談がある場合は、「一般婦人科診療」で1つご予約をお取りいただき、WEB問診票の備考欄にご相談内容をご記入ください。1回のご予約で複数のご相談に対応可能です。ただし、公費での検診（がん検診・HPVワクチン等）と保険診療は、同日に行うことができませんので、それぞれ別日でのご予約をお願いいたします。なお、女性医師をご希望の場合は、お電話（050-1730-2768）にてご予約をお願いいたします。
また、恐れ入りますが、当院では乳房に関する診療（乳腺炎・マンモグラフィ・乳腺エコー・乳がん検診など）、更年"&amp;"期障害の治療、不妊治療・妊活のご相談（妊娠しやすいかどうかの検査等）、体重100kg以上の方への診療、救急対応（緊急搬送・急性期対応）は行っておりませんのであらかじめご了承くださいませ。")</f>
        <v>複数のご相談がある場合は、「一般婦人科診療」で1つご予約をお取りいただき、WEB問診票の備考欄にご相談内容をご記入ください。1回のご予約で複数のご相談に対応可能です。ただし、公費での検診（がん検診・HPVワクチン等）と保険診療は、同日に行うことができませんので、それぞれ別日でのご予約をお願いいたします。なお、女性医師をご希望の場合は、お電話（050-1730-2768）にてご予約をお願いいたします。
また、恐れ入りますが、当院では乳房に関する診療（乳腺炎・マンモグラフィ・乳腺エコー・乳がん検診など）、更年期障害の治療、不妊治療・妊活のご相談（妊娠しやすいかどうかの検査等）、体重100kg以上の方への診療、救急対応（緊急搬送・急性期対応）は行っておりませんのであらかじめご了承くださいませ。</v>
      </c>
      <c r="C1029" s="31" t="str">
        <f>IFERROR(__xludf.DUMMYFUNCTION("""COMPUTED_VALUE"""),"予約・受診")</f>
        <v>予約・受診</v>
      </c>
      <c r="D1029" s="31" t="str">
        <f>IFERROR(__xludf.DUMMYFUNCTION("""COMPUTED_VALUE"""),"複数相談,2つ,同時,一緒に,まとめて,一般婦人科診療,問診票,備考欄")</f>
        <v>複数相談,2つ,同時,一緒に,まとめて,一般婦人科診療,問診票,備考欄</v>
      </c>
      <c r="E1029" s="31"/>
    </row>
    <row r="1030">
      <c r="A1030" s="31" t="str">
        <f>IFERROR(__xludf.DUMMYFUNCTION("""COMPUTED_VALUE"""),"予約のキャンセルはいつまでにすればいいですか？/予約のキャンセルルールを教えてください/キャンセル料はかかりますか？")</f>
        <v>予約のキャンセルはいつまでにすればいいですか？/予約のキャンセルルールを教えてください/キャンセル料はかかりますか？</v>
      </c>
      <c r="B1030" s="31" t="str">
        <f>IFERROR(__xludf.DUMMYFUNCTION("""COMPUTED_VALUE"""),"ご予約のキャンセルに期限はなく、いつでもキャンセルが可能です。キャンセル料もかかりませんので、次回もお気兼ねなくご予約ください。
キャンセルをされる場合は、公式LINEの画面下の「予約確認」からお進みください。LINEはこちら→https://cline-app.com/qr-codes/98ad6f149bfa20f4f2a9a2e91aac4187/preview
※中絶手術（オペ）のご予約をお取りされている方はキャンセル期限がございますので、お電話（050-1730-2768）にてご連絡をお願いいた"&amp;"します。中絶の相談のご予約は、期限なくキャンセル可能です。")</f>
        <v>ご予約のキャンセルに期限はなく、いつでもキャンセルが可能です。キャンセル料もかかりませんので、次回もお気兼ねなくご予約ください。
キャンセルをされる場合は、公式LINEの画面下の「予約確認」からお進みください。LINEはこちら→https://cline-app.com/qr-codes/98ad6f149bfa20f4f2a9a2e91aac4187/preview
※中絶手術（オペ）のご予約をお取りされている方はキャンセル期限がございますので、お電話（050-1730-2768）にてご連絡をお願いいたします。中絶の相談のご予約は、期限なくキャンセル可能です。</v>
      </c>
      <c r="C1030" s="31" t="str">
        <f>IFERROR(__xludf.DUMMYFUNCTION("""COMPUTED_VALUE"""),"予約・受診")</f>
        <v>予約・受診</v>
      </c>
      <c r="D1030" s="31" t="str">
        <f>IFERROR(__xludf.DUMMYFUNCTION("""COMPUTED_VALUE"""),"キャンセル,期限,キャンセル料,無料")</f>
        <v>キャンセル,期限,キャンセル料,無料</v>
      </c>
      <c r="E1030" s="31"/>
    </row>
    <row r="1031">
      <c r="A1031" s="31" t="str">
        <f>IFERROR(__xludf.DUMMYFUNCTION("""COMPUTED_VALUE"""),"マスクは必須ですか？/マスクなしで来院できますか？")</f>
        <v>マスクは必須ですか？/マスクなしで来院できますか？</v>
      </c>
      <c r="B1031" s="31" t="str">
        <f>IFERROR(__xludf.DUMMYFUNCTION("""COMPUTED_VALUE"""),"当院では、マスクの着用は必須ではございません。")</f>
        <v>当院では、マスクの着用は必須ではございません。</v>
      </c>
      <c r="C1031" s="31" t="str">
        <f>IFERROR(__xludf.DUMMYFUNCTION("""COMPUTED_VALUE"""),"受診ルール・院内ルール")</f>
        <v>受診ルール・院内ルール</v>
      </c>
      <c r="D1031" s="31" t="str">
        <f>IFERROR(__xludf.DUMMYFUNCTION("""COMPUTED_VALUE"""),"マスク,必須,着用")</f>
        <v>マスク,必須,着用</v>
      </c>
      <c r="E1031" s="31"/>
    </row>
    <row r="1032">
      <c r="A1032" s="31" t="str">
        <f>IFERROR(__xludf.DUMMYFUNCTION("""COMPUTED_VALUE"""),"一般診療とピル処方どちらを選べばいいですか？/予約メニューの選び方を教えてください/術後検診が終わった後の不調はどの枠で予約すればいい？/検査結果が陽性で治療したい場合の予約項目/月経困難症の薬はどの項目で予約？/ピルの種類変更はどのメニュー？/うまく予約ができない/ホルモン検査を予約したい/ホルモン検査の予約方法/ホルモン検査は何で予約すればいい？/ホルモン検査の予約項目がない")</f>
        <v>一般診療とピル処方どちらを選べばいいですか？/予約メニューの選び方を教えてください/術後検診が終わった後の不調はどの枠で予約すればいい？/検査結果が陽性で治療したい場合の予約項目/月経困難症の薬はどの項目で予約？/ピルの種類変更はどのメニュー？/うまく予約ができない/ホルモン検査を予約したい/ホルモン検査の予約方法/ホルモン検査は何で予約すればいい？/ホルモン検査の予約項目がない</v>
      </c>
      <c r="B1032" s="31" t="str">
        <f>IFERROR(__xludf.DUMMYFUNCTION("""COMPUTED_VALUE"""),"ピルのご相談・処方をご希望の場合は「ピル処方」でご予約ください。それ以外のご相談は「一般婦人科診療」でご予約いただき、WEB問診票に受診内容をご入力ください。複数のご相談がある場合も「一般婦人科診療」で1つご予約ください。")</f>
        <v>ピルのご相談・処方をご希望の場合は「ピル処方」でご予約ください。それ以外のご相談は「一般婦人科診療」でご予約いただき、WEB問診票に受診内容をご入力ください。複数のご相談がある場合も「一般婦人科診療」で1つご予約ください。</v>
      </c>
      <c r="C1032" s="31" t="str">
        <f>IFERROR(__xludf.DUMMYFUNCTION("""COMPUTED_VALUE"""),"予約・受診")</f>
        <v>予約・受診</v>
      </c>
      <c r="D1032" s="31" t="str">
        <f>IFERROR(__xludf.DUMMYFUNCTION("""COMPUTED_VALUE"""),"一般診療,ピル処方,メニュー,選び方")</f>
        <v>一般診療,ピル処方,メニュー,選び方</v>
      </c>
      <c r="E1032" s="31"/>
    </row>
    <row r="1033">
      <c r="A1033" s="31" t="str">
        <f>IFERROR(__xludf.DUMMYFUNCTION("""COMPUTED_VALUE"""),"自治体のがん検診に必要な持ち物を教えてください/川崎市のがん検診に書類は必要ですか？/横浜市のがん検診に書類は必要ですか？/町田市のがん検診に書類は必要ですか？/自治体の子宮頸がん検診に必要な持ち物を教えてください/川崎市子宮頸がん検診に書類は必要ですか？/横浜市の子宮頸がん検診に書類は必要ですか？/町田市の子宮頸がん検診に書類は必要ですか？")</f>
        <v>自治体のがん検診に必要な持ち物を教えてください/川崎市のがん検診に書類は必要ですか？/横浜市のがん検診に書類は必要ですか？/町田市のがん検診に書類は必要ですか？/自治体の子宮頸がん検診に必要な持ち物を教えてください/川崎市子宮頸がん検診に書類は必要ですか？/横浜市の子宮頸がん検診に書類は必要ですか？/町田市の子宮頸がん検診に書類は必要ですか？</v>
      </c>
      <c r="B1033" s="31" t="str">
        <f>IFERROR(__xludf.DUMMYFUNCTION("""COMPUTED_VALUE"""),"自治体のがん検診にお越しの際は、身分証明書をご持参ください。※川崎市・横浜市の20歳・21歳で無料クーポンをご利用の場合は、自治体から届く無料クーポンの持参が必要です。※横浜市のHPV単独法検査をご希望の場合は、自治体から届く受診券シールが必要です。")</f>
        <v>自治体のがん検診にお越しの際は、身分証明書をご持参ください。※川崎市・横浜市の20歳・21歳で無料クーポンをご利用の場合は、自治体から届く無料クーポンの持参が必要です。※横浜市のHPV単独法検査をご希望の場合は、自治体から届く受診券シールが必要です。</v>
      </c>
      <c r="C1033" s="31" t="str">
        <f>IFERROR(__xludf.DUMMYFUNCTION("""COMPUTED_VALUE"""),"婦人科健診")</f>
        <v>婦人科健診</v>
      </c>
      <c r="D1033" s="31" t="str">
        <f>IFERROR(__xludf.DUMMYFUNCTION("""COMPUTED_VALUE"""),"がん検診,持ち物,身分証明書,無料クーポン,受診券シール,子宮頸がん")</f>
        <v>がん検診,持ち物,身分証明書,無料クーポン,受診券シール,子宮頸がん</v>
      </c>
      <c r="E1033" s="31"/>
    </row>
    <row r="1034">
      <c r="A1034" s="31" t="str">
        <f>IFERROR(__xludf.DUMMYFUNCTION("""COMPUTED_VALUE"""),"子宮頸がん検診の結果を持って精密検査を受けたいのですが/他院の検診結果で精密検査はできますか？")</f>
        <v>子宮頸がん検診の結果を持って精密検査を受けたいのですが/他院の検診結果で精密検査はできますか？</v>
      </c>
      <c r="B1034" s="31" t="str">
        <f>IFERROR(__xludf.DUMMYFUNCTION("""COMPUTED_VALUE"""),"検査結果の内容によってご案内が異なるため、お電話（050-1730-2768）にてお問い合わせください。お電話の受付時間は平日9:45〜13:40・15:15〜19:40、土日祝9:45〜13:40・15:15〜18:40となります。")</f>
        <v>検査結果の内容によってご案内が異なるため、お電話（050-1730-2768）にてお問い合わせください。お電話の受付時間は平日9:45〜13:40・15:15〜19:40、土日祝9:45〜13:40・15:15〜18:40となります。</v>
      </c>
      <c r="C1034" s="31" t="str">
        <f>IFERROR(__xludf.DUMMYFUNCTION("""COMPUTED_VALUE"""),"婦人科健診")</f>
        <v>婦人科健診</v>
      </c>
      <c r="D1034" s="31" t="str">
        <f>IFERROR(__xludf.DUMMYFUNCTION("""COMPUTED_VALUE"""),"精密検査,子宮頸がん検診,他院,検診結果,子宮頸管,頸管")</f>
        <v>精密検査,子宮頸がん検診,他院,検診結果,子宮頸管,頸管</v>
      </c>
      <c r="E1034" s="31"/>
    </row>
    <row r="1035">
      <c r="A1035" s="31" t="str">
        <f>IFERROR(__xludf.DUMMYFUNCTION("""COMPUTED_VALUE"""),"ウレアプラズマの検査費用はいくらですか？/マイコプラズマの検査費用はいくらですか？")</f>
        <v>ウレアプラズマの検査費用はいくらですか？/マイコプラズマの検査費用はいくらですか？</v>
      </c>
      <c r="B1035" s="31" t="str">
        <f>IFERROR(__xludf.DUMMYFUNCTION("""COMPUTED_VALUE"""),"マイコプラズマ・ウレアプラズマの検査は川崎駅前院のみで対応しております。検査費用は以下の通りです。・マイコプラズマ・ウレアプラズマ（腟分泌物）5,000円（税込）・マイコプラズマ・ウレアプラズマ（咽頭液）5,000円（税込）")</f>
        <v>マイコプラズマ・ウレアプラズマの検査は川崎駅前院のみで対応しております。検査費用は以下の通りです。・マイコプラズマ・ウレアプラズマ（腟分泌物）5,000円（税込）・マイコプラズマ・ウレアプラズマ（咽頭液）5,000円（税込）</v>
      </c>
      <c r="C1035" s="31" t="str">
        <f>IFERROR(__xludf.DUMMYFUNCTION("""COMPUTED_VALUE"""),"性感染症検査")</f>
        <v>性感染症検査</v>
      </c>
      <c r="D1035" s="31" t="str">
        <f>IFERROR(__xludf.DUMMYFUNCTION("""COMPUTED_VALUE"""),"ウレアプラズマ,マイコプラズマ,検査費用,川崎駅前院,5000円")</f>
        <v>ウレアプラズマ,マイコプラズマ,検査費用,川崎駅前院,5000円</v>
      </c>
      <c r="E1035" s="31"/>
    </row>
    <row r="1036">
      <c r="A1036" s="31" t="str">
        <f>IFERROR(__xludf.DUMMYFUNCTION("""COMPUTED_VALUE"""),"咽頭クラミジアの検査はできますか？/のどのクラミジア検査はできますか？/喉と陰部のクラミジア検査はできますか？/咽頭と膣のクラミジア検査")</f>
        <v>咽頭クラミジアの検査はできますか？/のどのクラミジア検査はできますか？/喉と陰部のクラミジア検査はできますか？/咽頭と膣のクラミジア検査</v>
      </c>
      <c r="B1036" s="31" t="str">
        <f>IFERROR(__xludf.DUMMYFUNCTION("""COMPUTED_VALUE"""),"咽頭クラミジアの検査は当院で対応可能です。ご予約は「一般婦人科診療」のメニューからお取りください。→https://cline-app.com/qr-codes/98ad6f149bfa20f4f2a9a2e91aac4187/preview")</f>
        <v>咽頭クラミジアの検査は当院で対応可能です。ご予約は「一般婦人科診療」のメニューからお取りください。→https://cline-app.com/qr-codes/98ad6f149bfa20f4f2a9a2e91aac4187/preview</v>
      </c>
      <c r="C1036" s="31" t="str">
        <f>IFERROR(__xludf.DUMMYFUNCTION("""COMPUTED_VALUE"""),"性感染症検査")</f>
        <v>性感染症検査</v>
      </c>
      <c r="D1036" s="31" t="str">
        <f>IFERROR(__xludf.DUMMYFUNCTION("""COMPUTED_VALUE"""),"咽頭クラミジア,のど,クラミジア検査")</f>
        <v>咽頭クラミジア,のど,クラミジア検査</v>
      </c>
      <c r="E1036" s="31"/>
    </row>
    <row r="1037">
      <c r="A1037" s="31" t="str">
        <f>IFERROR(__xludf.DUMMYFUNCTION("""COMPUTED_VALUE"""),"中絶手術は最短でいつ受けられますか？/中絶手術のスケジュールを教えてください/中絶手術は翌日にできますか？/中絶手術まで、最短どのくらい")</f>
        <v>中絶手術は最短でいつ受けられますか？/中絶手術のスケジュールを教えてください/中絶手術は翌日にできますか？/中絶手術まで、最短どのくらい</v>
      </c>
      <c r="B1037" s="31" t="str">
        <f>IFERROR(__xludf.DUMMYFUNCTION("""COMPUTED_VALUE"""),"中絶手術は、初回診療の日にエコー検査・血液検査を実施いたします。検査結果が出るまでに2〜3日かかるため、手術は検査結果が出た後のオペの空き状況に応じてのご案内となります。ご予約は公式LINEから24時間承っております。LINEはこちら→https://cline-app.com/qr-codes/98ad6f149bfa20f4f2a9a2e91aac4187/preview")</f>
        <v>中絶手術は、初回診療の日にエコー検査・血液検査を実施いたします。検査結果が出るまでに2〜3日かかるため、手術は検査結果が出た後のオペの空き状況に応じてのご案内となります。ご予約は公式LINEから24時間承っております。LINEはこちら→https://cline-app.com/qr-codes/98ad6f149bfa20f4f2a9a2e91aac4187/preview</v>
      </c>
      <c r="C1037" s="31" t="str">
        <f>IFERROR(__xludf.DUMMYFUNCTION("""COMPUTED_VALUE"""),"中絶手術")</f>
        <v>中絶手術</v>
      </c>
      <c r="D1037" s="31" t="str">
        <f>IFERROR(__xludf.DUMMYFUNCTION("""COMPUTED_VALUE"""),"中絶手術,スケジュール,翌日,最短,検査結果,2-3日")</f>
        <v>中絶手術,スケジュール,翌日,最短,検査結果,2-3日</v>
      </c>
      <c r="E1037" s="31"/>
    </row>
    <row r="1038">
      <c r="A1038" s="31" t="str">
        <f>IFERROR(__xludf.DUMMYFUNCTION("""COMPUTED_VALUE"""),"流産の手術はできますか？/流産手術は保険適用されますか？")</f>
        <v>流産の手術はできますか？/流産手術は保険適用されますか？</v>
      </c>
      <c r="B1038" s="31" t="str">
        <f>IFERROR(__xludf.DUMMYFUNCTION("""COMPUTED_VALUE"""),"流産の手術も当院で対応可能です。保険適用か自費診療かにつきましては、医師の判断となります。ご受診のご予約は公式LINEから24時間承っております。LINEはこちら→https://cline-app.com/qr-codes/98ad6f149bfa20f4f2a9a2e91aac4187/preview")</f>
        <v>流産の手術も当院で対応可能です。保険適用か自費診療かにつきましては、医師の判断となります。ご受診のご予約は公式LINEから24時間承っております。LINEはこちら→https://cline-app.com/qr-codes/98ad6f149bfa20f4f2a9a2e91aac4187/preview</v>
      </c>
      <c r="C1038" s="31" t="str">
        <f>IFERROR(__xludf.DUMMYFUNCTION("""COMPUTED_VALUE"""),"中絶手術")</f>
        <v>中絶手術</v>
      </c>
      <c r="D1038" s="31" t="str">
        <f>IFERROR(__xludf.DUMMYFUNCTION("""COMPUTED_VALUE"""),"流産,手術,保険適用,対応")</f>
        <v>流産,手術,保険適用,対応</v>
      </c>
      <c r="E1038" s="31"/>
    </row>
    <row r="1039">
      <c r="A1039" s="31" t="str">
        <f>IFERROR(__xludf.DUMMYFUNCTION("""COMPUTED_VALUE"""),"中絶手術の同意書はシャチハタでも大丈夫ですか？/同意書の捺印ルールを教えてください")</f>
        <v>中絶手術の同意書はシャチハタでも大丈夫ですか？/同意書の捺印ルールを教えてください</v>
      </c>
      <c r="B1039" s="31" t="str">
        <f>IFERROR(__xludf.DUMMYFUNCTION("""COMPUTED_VALUE"""),"中絶手術の同意書には、印鑑・シャチハタ・拇印のいずれかで対応可能です。")</f>
        <v>中絶手術の同意書には、印鑑・シャチハタ・拇印のいずれかで対応可能です。</v>
      </c>
      <c r="C1039" s="31" t="str">
        <f>IFERROR(__xludf.DUMMYFUNCTION("""COMPUTED_VALUE"""),"中絶手術")</f>
        <v>中絶手術</v>
      </c>
      <c r="D1039" s="31" t="str">
        <f>IFERROR(__xludf.DUMMYFUNCTION("""COMPUTED_VALUE"""),"同意書,シャチハタ,印鑑,拇印,捺印")</f>
        <v>同意書,シャチハタ,印鑑,拇印,捺印</v>
      </c>
      <c r="E1039" s="31"/>
    </row>
    <row r="1040">
      <c r="A1040" s="31" t="str">
        <f>IFERROR(__xludf.DUMMYFUNCTION("""COMPUTED_VALUE"""),"HPVワクチンは何回打つ必要がありますか？/子宮頸がんワクチンは全部で何回接種しますか？/HPVワクチンの接種回数を教えてください/HPVワクチンは何回打ちますか？")</f>
        <v>HPVワクチンは何回打つ必要がありますか？/子宮頸がんワクチンは全部で何回接種しますか？/HPVワクチンの接種回数を教えてください/HPVワクチンは何回打ちますか？</v>
      </c>
      <c r="B1040" s="31" t="str">
        <f>IFERROR(__xludf.DUMMYFUNCTION("""COMPUTED_VALUE"""),"HPVワクチン（子宮頸がんワクチン）は、接種開始時の年齢によって合計2回または3回接種します。当院で取り扱っている9価ワクチン（シルガード9）の場合、15歳未満で初回接種をすれば2回、15歳以上で開始した場合は3回接種となります。【15歳未満で初回接種の場合（2回）】1回目から6か月〜12か月間隔を空けて2回目を接種。※1回目と2回目は5か月以上空ける必要があります。【15歳以上で初回接種の場合（3回）】1回目から2か月後に2回目、1回目から6か月後に3回目を接種。※標準的なスケジュールが難しい場合、2回"&amp;"目は1か月以上、3回目は2回目から3か月以上空けます。HPVワクチンのご予約はお電話（050-1730-2768）にて承っております。")</f>
        <v>HPVワクチン（子宮頸がんワクチン）は、接種開始時の年齢によって合計2回または3回接種します。当院で取り扱っている9価ワクチン（シルガード9）の場合、15歳未満で初回接種をすれば2回、15歳以上で開始した場合は3回接種となります。【15歳未満で初回接種の場合（2回）】1回目から6か月〜12か月間隔を空けて2回目を接種。※1回目と2回目は5か月以上空ける必要があります。【15歳以上で初回接種の場合（3回）】1回目から2か月後に2回目、1回目から6か月後に3回目を接種。※標準的なスケジュールが難しい場合、2回目は1か月以上、3回目は2回目から3か月以上空けます。HPVワクチンのご予約はお電話（050-1730-2768）にて承っております。</v>
      </c>
      <c r="C1040" s="31" t="str">
        <f>IFERROR(__xludf.DUMMYFUNCTION("""COMPUTED_VALUE"""),"HPVワクチン")</f>
        <v>HPVワクチン</v>
      </c>
      <c r="D1040" s="31" t="str">
        <f>IFERROR(__xludf.DUMMYFUNCTION("""COMPUTED_VALUE"""),"HPVワクチン,子宮頸がんワクチン,接種回数,シルガード9,9価,2回,3回,15歳未満,スケジュール")</f>
        <v>HPVワクチン,子宮頸がんワクチン,接種回数,シルガード9,9価,2回,3回,15歳未満,スケジュール</v>
      </c>
      <c r="E1040" s="31"/>
    </row>
    <row r="1041">
      <c r="A1041" s="31" t="str">
        <f>IFERROR(__xludf.DUMMYFUNCTION("""COMPUTED_VALUE"""),"HPVワクチンの公費接種の申請はどこでできますか？/HPVワクチンを公費で受けたいが申請が必要と言われました")</f>
        <v>HPVワクチンの公費接種の申請はどこでできますか？/HPVワクチンを公費で受けたいが申請が必要と言われました</v>
      </c>
      <c r="B1041" s="31" t="str">
        <f>IFERROR(__xludf.DUMMYFUNCTION("""COMPUTED_VALUE"""),"HPVワクチンの公費接種に関する申請手続きは、お住まいの市区町村で受け付けております。対象年齢や申請方法は自治体によって異なりますので、お住まいの自治体のホームページまたは窓口にてご確認ください。")</f>
        <v>HPVワクチンの公費接種に関する申請手続きは、お住まいの市区町村で受け付けております。対象年齢や申請方法は自治体によって異なりますので、お住まいの自治体のホームページまたは窓口にてご確認ください。</v>
      </c>
      <c r="C1041" s="31" t="str">
        <f>IFERROR(__xludf.DUMMYFUNCTION("""COMPUTED_VALUE"""),"HPVワクチン")</f>
        <v>HPVワクチン</v>
      </c>
      <c r="D1041" s="31" t="str">
        <f>IFERROR(__xludf.DUMMYFUNCTION("""COMPUTED_VALUE"""),"HPVワクチン,公費,申請,自治体")</f>
        <v>HPVワクチン,公費,申請,自治体</v>
      </c>
      <c r="E1041" s="31"/>
    </row>
    <row r="1042">
      <c r="A1042" s="31" t="str">
        <f>IFERROR(__xludf.DUMMYFUNCTION("""COMPUTED_VALUE"""),"妊娠証明書は発行できますか？/妊娠証明書をもらえますか？")</f>
        <v>妊娠証明書は発行できますか？/妊娠証明書をもらえますか？</v>
      </c>
      <c r="B1042" s="31" t="str">
        <f>IFERROR(__xludf.DUMMYFUNCTION("""COMPUTED_VALUE"""),"妊娠証明書の発行は可能です。最終的には医師の判断となりますので、ご受診いただき医師にご相談をお願いいたします。ご受診のご予約は公式LINEから24時間承っております。LINEはこちら→https://cline-app.com/qr-codes/98ad6f149bfa20f4f2a9a2e91aac4187/preview")</f>
        <v>妊娠証明書の発行は可能です。最終的には医師の判断となりますので、ご受診いただき医師にご相談をお願いいたします。ご受診のご予約は公式LINEから24時間承っております。LINEはこちら→https://cline-app.com/qr-codes/98ad6f149bfa20f4f2a9a2e91aac4187/preview</v>
      </c>
      <c r="C1042" s="31" t="str">
        <f>IFERROR(__xludf.DUMMYFUNCTION("""COMPUTED_VALUE"""),"書類・証明書")</f>
        <v>書類・証明書</v>
      </c>
      <c r="D1042" s="31" t="str">
        <f>IFERROR(__xludf.DUMMYFUNCTION("""COMPUTED_VALUE"""),"妊娠証明書,発行,書類")</f>
        <v>妊娠証明書,発行,書類</v>
      </c>
      <c r="E1042" s="31"/>
    </row>
    <row r="1043">
      <c r="A1043" s="31" t="str">
        <f>IFERROR(__xludf.DUMMYFUNCTION("""COMPUTED_VALUE"""),"領収書の再発行はできますか？/領収書をなくしてしまったのですが")</f>
        <v>領収書の再発行はできますか？/領収書をなくしてしまったのですが</v>
      </c>
      <c r="B1043" s="31" t="str">
        <f>IFERROR(__xludf.DUMMYFUNCTION("""COMPUTED_VALUE"""),"領収書の再発行はいたしかねます。診療報酬明細書であれば発行が可能です。ご希望の場合は、お電話（050-1730-2768）でのご予約、または受付にてお申し付けください。")</f>
        <v>領収書の再発行はいたしかねます。診療報酬明細書であれば発行が可能です。ご希望の場合は、お電話（050-1730-2768）でのご予約、または受付にてお申し付けください。</v>
      </c>
      <c r="C1043" s="31" t="str">
        <f>IFERROR(__xludf.DUMMYFUNCTION("""COMPUTED_VALUE"""),"書類・証明書")</f>
        <v>書類・証明書</v>
      </c>
      <c r="D1043" s="31" t="str">
        <f>IFERROR(__xludf.DUMMYFUNCTION("""COMPUTED_VALUE"""),"領収書,再発行,診療報酬明細書")</f>
        <v>領収書,再発行,診療報酬明細書</v>
      </c>
      <c r="E1043" s="31"/>
    </row>
    <row r="1044">
      <c r="A1044" s="31" t="str">
        <f>IFERROR(__xludf.DUMMYFUNCTION("""COMPUTED_VALUE"""),"母性健康管理指導事項連絡カードは発行できますか？/母健連絡カードをもらえますか？")</f>
        <v>母性健康管理指導事項連絡カードは発行できますか？/母健連絡カードをもらえますか？</v>
      </c>
      <c r="B1044" s="31" t="str">
        <f>IFERROR(__xludf.DUMMYFUNCTION("""COMPUTED_VALUE"""),"母性健康管理指導事項連絡カードの発行は可能です。最終的には医師の判断となりますので、ご受診いただき医師にご相談をお願いいたします。ご受診のご予約は公式LINEから24時間承っております。LINEはこちら→https://cline-app.com/qr-codes/98ad6f149bfa20f4f2a9a2e91aac4187/preview")</f>
        <v>母性健康管理指導事項連絡カードの発行は可能です。最終的には医師の判断となりますので、ご受診いただき医師にご相談をお願いいたします。ご受診のご予約は公式LINEから24時間承っております。LINEはこちら→https://cline-app.com/qr-codes/98ad6f149bfa20f4f2a9a2e91aac4187/preview</v>
      </c>
      <c r="C1044" s="31" t="str">
        <f>IFERROR(__xludf.DUMMYFUNCTION("""COMPUTED_VALUE"""),"書類・証明書")</f>
        <v>書類・証明書</v>
      </c>
      <c r="D1044" s="31" t="str">
        <f>IFERROR(__xludf.DUMMYFUNCTION("""COMPUTED_VALUE"""),"母性健康管理指導事項連絡カード,母健連絡カード,発行")</f>
        <v>母性健康管理指導事項連絡カード,母健連絡カード,発行</v>
      </c>
      <c r="E1044" s="31"/>
    </row>
    <row r="1045">
      <c r="A1045" s="31" t="str">
        <f>IFERROR(__xludf.DUMMYFUNCTION("""COMPUTED_VALUE"""),"月経移動ピルをもらいに行く時に必要なものはありますか？/月経移動の来院時の持ち物を教えてください")</f>
        <v>月経移動ピルをもらいに行く時に必要なものはありますか？/月経移動の来院時の持ち物を教えてください</v>
      </c>
      <c r="B1045" s="31" t="str">
        <f>IFERROR(__xludf.DUMMYFUNCTION("""COMPUTED_VALUE"""),"月経移動ピルの処方にお越しの際は、身分証明書（マイナ保険証や保険証など）のみご持参ください。")</f>
        <v>月経移動ピルの処方にお越しの際は、身分証明書（マイナ保険証や保険証など）のみご持参ください。</v>
      </c>
      <c r="C1045" s="31" t="str">
        <f>IFERROR(__xludf.DUMMYFUNCTION("""COMPUTED_VALUE"""),"月経移動")</f>
        <v>月経移動</v>
      </c>
      <c r="D1045" s="31" t="str">
        <f>IFERROR(__xludf.DUMMYFUNCTION("""COMPUTED_VALUE"""),"月経移動,持ち物,必要なもの,身分証明書")</f>
        <v>月経移動,持ち物,必要なもの,身分証明書</v>
      </c>
      <c r="E1045" s="31"/>
    </row>
    <row r="1046">
      <c r="A1046" s="31" t="str">
        <f>IFERROR(__xludf.DUMMYFUNCTION("""COMPUTED_VALUE"""),"ピル服用中の血栓検査のための採血はできますか？/血栓スクリーニングの採血は行えますか？/血栓症の検査はいくらですか？")</f>
        <v>ピル服用中の血栓検査のための採血はできますか？/血栓スクリーニングの採血は行えますか？/血栓症の検査はいくらですか？</v>
      </c>
      <c r="B1046" s="31" t="str">
        <f>IFERROR(__xludf.DUMMYFUNCTION("""COMPUTED_VALUE"""),"血栓検査のための採血は当院で対応しております。自費ピル内服者向けの血液検査は5,000円（税込）です。保険適用の場合の料金は受診時にご確認ください。なお、採血は希望される方への対応となります。ピル服用中に定期的に行う検査は超音波検査・細胞診検査です。ご予約は「一般婦人科診療」のメニューからお取りいただき、WEB問診票の備考欄に「血栓検査希望」とご記入ください。→https://cline-app.com/qr-codes/98ad6f149bfa20f4f2a9a2e91aac4187/preview")</f>
        <v>血栓検査のための採血は当院で対応しております。自費ピル内服者向けの血液検査は5,000円（税込）です。保険適用の場合の料金は受診時にご確認ください。なお、採血は希望される方への対応となります。ピル服用中に定期的に行う検査は超音波検査・細胞診検査です。ご予約は「一般婦人科診療」のメニューからお取りいただき、WEB問診票の備考欄に「血栓検査希望」とご記入ください。→https://cline-app.com/qr-codes/98ad6f149bfa20f4f2a9a2e91aac4187/preview</v>
      </c>
      <c r="C1046" s="31" t="str">
        <f>IFERROR(__xludf.DUMMYFUNCTION("""COMPUTED_VALUE"""),"検査")</f>
        <v>検査</v>
      </c>
      <c r="D1046" s="31" t="str">
        <f>IFERROR(__xludf.DUMMYFUNCTION("""COMPUTED_VALUE"""),"血栓検査,採血,ピル,血栓スクリーニング")</f>
        <v>血栓検査,採血,ピル,血栓スクリーニング</v>
      </c>
      <c r="E1046" s="31"/>
    </row>
    <row r="1047">
      <c r="A1047" s="31" t="str">
        <f>IFERROR(__xludf.DUMMYFUNCTION("""COMPUTED_VALUE"""),"マイナ保険証は使えますか？/マイナ保険証の機械は設置されていますか？")</f>
        <v>マイナ保険証は使えますか？/マイナ保険証の機械は設置されていますか？</v>
      </c>
      <c r="B1047" s="31" t="str">
        <f>IFERROR(__xludf.DUMMYFUNCTION("""COMPUTED_VALUE"""),"横浜駅前院・川崎駅前院・町田駅前院の3院すべてにマイナ保険証対応の機械を設置しておりますので、マイナ保険証でのご対応が可能です。")</f>
        <v>横浜駅前院・川崎駅前院・町田駅前院の3院すべてにマイナ保険証対応の機械を設置しておりますので、マイナ保険証でのご対応が可能です。</v>
      </c>
      <c r="C1047" s="31" t="str">
        <f>IFERROR(__xludf.DUMMYFUNCTION("""COMPUTED_VALUE"""),"受診ルール・院内ルール")</f>
        <v>受診ルール・院内ルール</v>
      </c>
      <c r="D1047" s="31" t="str">
        <f>IFERROR(__xludf.DUMMYFUNCTION("""COMPUTED_VALUE"""),"マイナ保険証,マイナンバーカード,対応,設置")</f>
        <v>マイナ保険証,マイナンバーカード,対応,設置</v>
      </c>
      <c r="E1047" s="31"/>
    </row>
    <row r="1048">
      <c r="A1048" s="31" t="str">
        <f>IFERROR(__xludf.DUMMYFUNCTION("""COMPUTED_VALUE"""),"緊急避妊の避妊リングはありますか？/避妊リングを入れたいのですが")</f>
        <v>緊急避妊の避妊リングはありますか？/避妊リングを入れたいのですが</v>
      </c>
      <c r="B1048" s="31" t="str">
        <f>IFERROR(__xludf.DUMMYFUNCTION("""COMPUTED_VALUE"""),"避妊リング（ミレーナ）は当院で対応しております。ミレーナについての詳細はご受診時に医師にご相談ください。ご予約は公式LINEから24時間承っております。LINEはこちら→https://cline-app.com/qr-codes/98ad6f149bfa20f4f2a9a2e91aac4187/preview")</f>
        <v>避妊リング（ミレーナ）は当院で対応しております。ミレーナについての詳細はご受診時に医師にご相談ください。ご予約は公式LINEから24時間承っております。LINEはこちら→https://cline-app.com/qr-codes/98ad6f149bfa20f4f2a9a2e91aac4187/preview</v>
      </c>
      <c r="C1048" s="31" t="str">
        <f>IFERROR(__xludf.DUMMYFUNCTION("""COMPUTED_VALUE"""),"ミレーナ")</f>
        <v>ミレーナ</v>
      </c>
      <c r="D1048" s="31" t="str">
        <f>IFERROR(__xludf.DUMMYFUNCTION("""COMPUTED_VALUE"""),"避妊リング,ミレーナ,IUD")</f>
        <v>避妊リング,ミレーナ,IUD</v>
      </c>
      <c r="E1048" s="31"/>
    </row>
    <row r="1049">
      <c r="A1049" s="31" t="str">
        <f>IFERROR(__xludf.DUMMYFUNCTION("""COMPUTED_VALUE"""),"取り扱っているピルの種類を教えてください/処方できるピルの一覧はありますか？/どんなピルがありますか？/ピルの種類")</f>
        <v>取り扱っているピルの種類を教えてください/処方できるピルの一覧はありますか？/どんなピルがありますか？/ピルの種類</v>
      </c>
      <c r="B1049" s="31" t="str">
        <f>IFERROR(__xludf.DUMMYFUNCTION("""COMPUTED_VALUE"""),"ピルには、毎日服用して避妊や生理トラブルの改善を行う低用量ピルと、緊急時に1回だけ服用するアフターピルがあります。目的によって使い分けます。当院で取り扱っているピルは以下の通りです。【保険ピル（来院診療のみ）】ヤーズフレックス配合錠・アリッサ・ルナベル配合錠LD・フリウェル配合錠LD・ルナベル配合錠ULD・フリウェル配合錠ULD・ヤーズ配合錠・ドロエチ配合錠・ジェミーナ配合錠 ※保険ピルの料金は保険診療の内容により異なるため、事前にお伝えすることができません。【自費ピル】ファボワール21錠/28錠 1シー"&amp;"ト3,000円・ラベルフィーユ21錠/28錠 1シート3,000円・スリンダ（ミニピル）28錠 1シート3,300円（来院のみ）【アフターピル】レボノルゲストレル1.5mg 15,000円・エラワン（ウリプリスタル酢酸エステル）/Josei 17,000円【オンライン診療で処方可能なピル】ラベルフィーユ28・ファボワール28・プラノバール21錠・エラワン（ウリプリスタル酢酸エステル）・レボノルゲストレル ※マーベロン・アンジュ・トリキュラーは取り扱いがございません。詳しくはこちらをご覧ください。→http"&amp;"s://luna-dr.com/subjects/pill-prescription/")</f>
        <v>ピルには、毎日服用して避妊や生理トラブルの改善を行う低用量ピルと、緊急時に1回だけ服用するアフターピルがあります。目的によって使い分けます。当院で取り扱っているピルは以下の通りです。【保険ピル（来院診療のみ）】ヤーズフレックス配合錠・アリッサ・ルナベル配合錠LD・フリウェル配合錠LD・ルナベル配合錠ULD・フリウェル配合錠ULD・ヤーズ配合錠・ドロエチ配合錠・ジェミーナ配合錠 ※保険ピルの料金は保険診療の内容により異なるため、事前にお伝えすることができません。【自費ピル】ファボワール21錠/28錠 1シート3,000円・ラベルフィーユ21錠/28錠 1シート3,000円・スリンダ（ミニピル）28錠 1シート3,300円（来院のみ）【アフターピル】レボノルゲストレル1.5mg 15,000円・エラワン（ウリプリスタル酢酸エステル）/Josei 17,000円【オンライン診療で処方可能なピル】ラベルフィーユ28・ファボワール28・プラノバール21錠・エラワン（ウリプリスタル酢酸エステル）・レボノルゲストレル ※マーベロン・アンジュ・トリキュラーは取り扱いがございません。詳しくはこちらをご覧ください。→https://luna-dr.com/subjects/pill-prescription/</v>
      </c>
      <c r="C1049" s="31" t="str">
        <f>IFERROR(__xludf.DUMMYFUNCTION("""COMPUTED_VALUE"""),"ピル処方")</f>
        <v>ピル処方</v>
      </c>
      <c r="D1049" s="31" t="str">
        <f>IFERROR(__xludf.DUMMYFUNCTION("""COMPUTED_VALUE"""),"ピル,種類,一覧,取り扱い,保険ピル,自費ピル,アフターピル,オンライン,ピルの種類")</f>
        <v>ピル,種類,一覧,取り扱い,保険ピル,自費ピル,アフターピル,オンライン,ピルの種類</v>
      </c>
      <c r="E1049" s="32" t="str">
        <f>IFERROR(__xludf.DUMMYFUNCTION("""COMPUTED_VALUE"""),"https://luna-dr.com/subjects/pill-prescription/")</f>
        <v>https://luna-dr.com/subjects/pill-prescription/</v>
      </c>
    </row>
    <row r="1050">
      <c r="A1050" s="31" t="str">
        <f>IFERROR(__xludf.DUMMYFUNCTION("""COMPUTED_VALUE"""),"ヤーズフレックスは取り扱っていますか？/ヤーズフレックスの処方はできますか？/ヤーズフレックスの料金はいくらですか？")</f>
        <v>ヤーズフレックスは取り扱っていますか？/ヤーズフレックスの処方はできますか？/ヤーズフレックスの料金はいくらですか？</v>
      </c>
      <c r="B1050" s="31" t="str">
        <f>IFERROR(__xludf.DUMMYFUNCTION("""COMPUTED_VALUE"""),"ヤーズフレックス配合錠は当院で取り扱っております。保険適用のピルとなりますので、料金は保険診療の内容により異なります。事前に料金をお伝えすることはできかねますので、ご了承ください。ご予約は公式LINEから受け付けておりますので、友だち追加の上ご利用ください。※生理痛などの治療を目的とする低用量ピルは、初回は検査が必要なため来院診療となりますので、ご注意ください。来院診療のご予約：こちらのLINEをご利用ください→https://cline-app.com/qr-codes/98ad6f149bfa20f4"&amp;"f2a9a2e91aac4187/preview")</f>
        <v>ヤーズフレックス配合錠は当院で取り扱っております。保険適用のピルとなりますので、料金は保険診療の内容により異なります。事前に料金をお伝えすることはできかねますので、ご了承ください。ご予約は公式LINEから受け付けておりますので、友だち追加の上ご利用ください。※生理痛などの治療を目的とする低用量ピルは、初回は検査が必要なため来院診療となりますので、ご注意ください。来院診療のご予約：こちらのLINEをご利用ください→https://cline-app.com/qr-codes/98ad6f149bfa20f4f2a9a2e91aac4187/preview</v>
      </c>
      <c r="C1050" s="31" t="str">
        <f>IFERROR(__xludf.DUMMYFUNCTION("""COMPUTED_VALUE"""),"低用量ピル（保険）")</f>
        <v>低用量ピル（保険）</v>
      </c>
      <c r="D1050" s="31" t="str">
        <f>IFERROR(__xludf.DUMMYFUNCTION("""COMPUTED_VALUE"""),"ヤーズフレックス,保険ピル")</f>
        <v>ヤーズフレックス,保険ピル</v>
      </c>
      <c r="E1050" s="31"/>
    </row>
    <row r="1051">
      <c r="A1051" s="31" t="str">
        <f>IFERROR(__xludf.DUMMYFUNCTION("""COMPUTED_VALUE"""),"アリッサは取り扱っていますか？/アリッサの処方はできますか？/アリッサの料金はいくらですか？")</f>
        <v>アリッサは取り扱っていますか？/アリッサの処方はできますか？/アリッサの料金はいくらですか？</v>
      </c>
      <c r="B1051" s="31" t="str">
        <f>IFERROR(__xludf.DUMMYFUNCTION("""COMPUTED_VALUE"""),"アリッサは当院で取り扱っております。保険適用のピルとなりますので、料金は保険診療の内容により異なります。事前に料金をお伝えすることはできかねますので、ご了承ください。ご予約は公式LINEから受け付けておりますので、友だち追加の上ご利用ください。※生理痛などの治療を目的とする低用量ピルは、初回は検査が必要なため来院診療となりますので、ご注意ください。来院診療のご予約：こちらのLINEをご利用ください→https://cline-app.com/qr-codes/98ad6f149bfa20f4f2a9a2e"&amp;"91aac4187/preview")</f>
        <v>アリッサは当院で取り扱っております。保険適用のピルとなりますので、料金は保険診療の内容により異なります。事前に料金をお伝えすることはできかねますので、ご了承ください。ご予約は公式LINEから受け付けておりますので、友だち追加の上ご利用ください。※生理痛などの治療を目的とする低用量ピルは、初回は検査が必要なため来院診療となりますので、ご注意ください。来院診療のご予約：こちらのLINEをご利用ください→https://cline-app.com/qr-codes/98ad6f149bfa20f4f2a9a2e91aac4187/preview</v>
      </c>
      <c r="C1051" s="31" t="str">
        <f>IFERROR(__xludf.DUMMYFUNCTION("""COMPUTED_VALUE"""),"低用量ピル（保険）")</f>
        <v>低用量ピル（保険）</v>
      </c>
      <c r="D1051" s="31" t="str">
        <f>IFERROR(__xludf.DUMMYFUNCTION("""COMPUTED_VALUE"""),"アリッサ,保険ピル")</f>
        <v>アリッサ,保険ピル</v>
      </c>
      <c r="E1051" s="31"/>
    </row>
    <row r="1052">
      <c r="A1052" s="31" t="str">
        <f>IFERROR(__xludf.DUMMYFUNCTION("""COMPUTED_VALUE"""),"ルナベルは取り扱っていますか？/ルナベルLDの処方はできますか？/ルナベルULDの料金はいくらですか？")</f>
        <v>ルナベルは取り扱っていますか？/ルナベルLDの処方はできますか？/ルナベルULDの料金はいくらですか？</v>
      </c>
      <c r="B1052" s="31" t="str">
        <f>IFERROR(__xludf.DUMMYFUNCTION("""COMPUTED_VALUE"""),"ルナベル配合錠LD・ルナベル配合錠ULDともに当院で取り扱っております。保険適用のピルとなりますので、料金は保険診療の内容により異なります。事前に料金をお伝えすることはできかねますので、ご了承ください。ご予約は公式LINEから受け付けておりますので、友だち追加の上ご利用ください。※生理痛などの治療を目的とする低用量ピルは、初回は検査が必要なため来院診療となりますので、ご注意ください。来院診療のご予約：こちらのLINEをご利用ください→https://cline-app.com/qr-codes/98ad6"&amp;"f149bfa20f4f2a9a2e91aac4187/preview")</f>
        <v>ルナベル配合錠LD・ルナベル配合錠ULDともに当院で取り扱っております。保険適用のピルとなりますので、料金は保険診療の内容により異なります。事前に料金をお伝えすることはできかねますので、ご了承ください。ご予約は公式LINEから受け付けておりますので、友だち追加の上ご利用ください。※生理痛などの治療を目的とする低用量ピルは、初回は検査が必要なため来院診療となりますので、ご注意ください。来院診療のご予約：こちらのLINEをご利用ください→https://cline-app.com/qr-codes/98ad6f149bfa20f4f2a9a2e91aac4187/preview</v>
      </c>
      <c r="C1052" s="31" t="str">
        <f>IFERROR(__xludf.DUMMYFUNCTION("""COMPUTED_VALUE"""),"低用量ピル（保険）")</f>
        <v>低用量ピル（保険）</v>
      </c>
      <c r="D1052" s="31" t="str">
        <f>IFERROR(__xludf.DUMMYFUNCTION("""COMPUTED_VALUE"""),"ルナベル,ルナベルLD,ルナベルULD,保険ピル")</f>
        <v>ルナベル,ルナベルLD,ルナベルULD,保険ピル</v>
      </c>
      <c r="E1052" s="31"/>
    </row>
    <row r="1053">
      <c r="A1053" s="31" t="str">
        <f>IFERROR(__xludf.DUMMYFUNCTION("""COMPUTED_VALUE"""),"フリウェルは取り扱っていますか？/フリウェルLDの処方はできますか？/フリウェルULDの料金はいくらですか？")</f>
        <v>フリウェルは取り扱っていますか？/フリウェルLDの処方はできますか？/フリウェルULDの料金はいくらですか？</v>
      </c>
      <c r="B1053" s="31" t="str">
        <f>IFERROR(__xludf.DUMMYFUNCTION("""COMPUTED_VALUE"""),"フリウェル配合錠LD・フリウェル配合錠ULDともに当院で取り扱っております。保険適用のピルとなりますので、料金は保険診療の内容により異なります。事前に料金をお伝えすることはできかねますので、ご了承ください。ご予約は公式LINEから受け付けておりますので、友だち追加の上ご利用ください。※生理痛などの治療を目的とする低用量ピルは、初回は検査が必要なため来院診療となりますので、ご注意ください。来院診療のご予約：こちらのLINEをご利用ください→https://cline-app.com/qr-codes/98a"&amp;"d6f149bfa20f4f2a9a2e91aac4187/preview")</f>
        <v>フリウェル配合錠LD・フリウェル配合錠ULDともに当院で取り扱っております。保険適用のピルとなりますので、料金は保険診療の内容により異なります。事前に料金をお伝えすることはできかねますので、ご了承ください。ご予約は公式LINEから受け付けておりますので、友だち追加の上ご利用ください。※生理痛などの治療を目的とする低用量ピルは、初回は検査が必要なため来院診療となりますので、ご注意ください。来院診療のご予約：こちらのLINEをご利用ください→https://cline-app.com/qr-codes/98ad6f149bfa20f4f2a9a2e91aac4187/preview</v>
      </c>
      <c r="C1053" s="31" t="str">
        <f>IFERROR(__xludf.DUMMYFUNCTION("""COMPUTED_VALUE"""),"低用量ピル（保険）")</f>
        <v>低用量ピル（保険）</v>
      </c>
      <c r="D1053" s="31" t="str">
        <f>IFERROR(__xludf.DUMMYFUNCTION("""COMPUTED_VALUE"""),"フリウェル,フリウェルLD,フリウェルULD,保険ピル")</f>
        <v>フリウェル,フリウェルLD,フリウェルULD,保険ピル</v>
      </c>
      <c r="E1053" s="31"/>
    </row>
    <row r="1054">
      <c r="A1054" s="31" t="str">
        <f>IFERROR(__xludf.DUMMYFUNCTION("""COMPUTED_VALUE"""),"ヤーズは取り扱っていますか？/ヤーズ配合錠の処方はできますか？/ヤーズの料金はいくらですか？")</f>
        <v>ヤーズは取り扱っていますか？/ヤーズ配合錠の処方はできますか？/ヤーズの料金はいくらですか？</v>
      </c>
      <c r="B1054" s="31" t="str">
        <f>IFERROR(__xludf.DUMMYFUNCTION("""COMPUTED_VALUE"""),"ヤーズ配合錠は当院で取り扱っております。保険適用のピルとなりますので、料金は保険診療の内容により異なります。事前に料金をお伝えすることはできかねますので、ご了承ください。ご予約は公式LINEから受け付けておりますので、友だち追加の上ご利用ください。※生理痛などの治療を目的とする低用量ピルは、初回は検査が必要なため来院診療となりますので、ご注意ください。来院診療のご予約：こちらのLINEをご利用ください→https://cline-app.com/qr-codes/98ad6f149bfa20f4f2a9a"&amp;"2e91aac4187/preview")</f>
        <v>ヤーズ配合錠は当院で取り扱っております。保険適用のピルとなりますので、料金は保険診療の内容により異なります。事前に料金をお伝えすることはできかねますので、ご了承ください。ご予約は公式LINEから受け付けておりますので、友だち追加の上ご利用ください。※生理痛などの治療を目的とする低用量ピルは、初回は検査が必要なため来院診療となりますので、ご注意ください。来院診療のご予約：こちらのLINEをご利用ください→https://cline-app.com/qr-codes/98ad6f149bfa20f4f2a9a2e91aac4187/preview</v>
      </c>
      <c r="C1054" s="31" t="str">
        <f>IFERROR(__xludf.DUMMYFUNCTION("""COMPUTED_VALUE"""),"低用量ピル（保険）")</f>
        <v>低用量ピル（保険）</v>
      </c>
      <c r="D1054" s="31" t="str">
        <f>IFERROR(__xludf.DUMMYFUNCTION("""COMPUTED_VALUE"""),"ヤーズ,保険ピル")</f>
        <v>ヤーズ,保険ピル</v>
      </c>
      <c r="E1054" s="31"/>
    </row>
    <row r="1055">
      <c r="A1055" s="31" t="str">
        <f>IFERROR(__xludf.DUMMYFUNCTION("""COMPUTED_VALUE"""),"ドロエチは取り扱っていますか？/ドロエチ配合錠の処方はできますか？/ドロエチの料金はいくらですか？")</f>
        <v>ドロエチは取り扱っていますか？/ドロエチ配合錠の処方はできますか？/ドロエチの料金はいくらですか？</v>
      </c>
      <c r="B1055" s="31" t="str">
        <f>IFERROR(__xludf.DUMMYFUNCTION("""COMPUTED_VALUE"""),"ドロエチ配合錠は当院で取り扱っております。保険適用のピルとなりますので、料金は保険診療の内容により異なります。事前に料金をお伝えすることはできかねますので、ご了承ください。ご予約は公式LINEから受け付けておりますので、友だち追加の上ご利用ください。※生理痛などの治療を目的とする低用量ピルは、初回は検査が必要なため来院診療となりますので、ご注意ください。来院診療のご予約：こちらのLINEをご利用ください→https://cline-app.com/qr-codes/98ad6f149bfa20f4f2a9"&amp;"a2e91aac4187/preview")</f>
        <v>ドロエチ配合錠は当院で取り扱っております。保険適用のピルとなりますので、料金は保険診療の内容により異なります。事前に料金をお伝えすることはできかねますので、ご了承ください。ご予約は公式LINEから受け付けておりますので、友だち追加の上ご利用ください。※生理痛などの治療を目的とする低用量ピルは、初回は検査が必要なため来院診療となりますので、ご注意ください。来院診療のご予約：こちらのLINEをご利用ください→https://cline-app.com/qr-codes/98ad6f149bfa20f4f2a9a2e91aac4187/preview</v>
      </c>
      <c r="C1055" s="31" t="str">
        <f>IFERROR(__xludf.DUMMYFUNCTION("""COMPUTED_VALUE"""),"低用量ピル（保険）")</f>
        <v>低用量ピル（保険）</v>
      </c>
      <c r="D1055" s="31" t="str">
        <f>IFERROR(__xludf.DUMMYFUNCTION("""COMPUTED_VALUE"""),"ドロエチ,保険ピル")</f>
        <v>ドロエチ,保険ピル</v>
      </c>
      <c r="E1055" s="31"/>
    </row>
    <row r="1056">
      <c r="A1056" s="31" t="str">
        <f>IFERROR(__xludf.DUMMYFUNCTION("""COMPUTED_VALUE"""),"ジェミーナは取り扱っていますか？/ジェミーナ配合錠の処方はできますか？/ジェミーナの料金はいくらですか？")</f>
        <v>ジェミーナは取り扱っていますか？/ジェミーナ配合錠の処方はできますか？/ジェミーナの料金はいくらですか？</v>
      </c>
      <c r="B1056" s="31" t="str">
        <f>IFERROR(__xludf.DUMMYFUNCTION("""COMPUTED_VALUE"""),"ジェミーナ配合錠は当院で取り扱っております。保険適用のピルとなりますので、料金は保険診療の内容により異なります。事前に料金をお伝えすることはできかねますので、ご了承ください。ご予約は公式LINEから受け付けておりますので、友だち追加の上ご利用ください。※生理痛などの治療を目的とする低用量ピルは、初回は検査が必要なため来院診療となりますので、ご注意ください。来院診療のご予約：こちらのLINEをご利用ください→https://cline-app.com/qr-codes/98ad6f149bfa20f4f2a"&amp;"9a2e91aac4187/preview")</f>
        <v>ジェミーナ配合錠は当院で取り扱っております。保険適用のピルとなりますので、料金は保険診療の内容により異なります。事前に料金をお伝えすることはできかねますので、ご了承ください。ご予約は公式LINEから受け付けておりますので、友だち追加の上ご利用ください。※生理痛などの治療を目的とする低用量ピルは、初回は検査が必要なため来院診療となりますので、ご注意ください。来院診療のご予約：こちらのLINEをご利用ください→https://cline-app.com/qr-codes/98ad6f149bfa20f4f2a9a2e91aac4187/preview</v>
      </c>
      <c r="C1056" s="31" t="str">
        <f>IFERROR(__xludf.DUMMYFUNCTION("""COMPUTED_VALUE"""),"低用量ピル（保険）")</f>
        <v>低用量ピル（保険）</v>
      </c>
      <c r="D1056" s="31" t="str">
        <f>IFERROR(__xludf.DUMMYFUNCTION("""COMPUTED_VALUE"""),"ジェミーナ,保険ピル")</f>
        <v>ジェミーナ,保険ピル</v>
      </c>
      <c r="E1056" s="31"/>
    </row>
    <row r="1057">
      <c r="A1057" s="31" t="str">
        <f>IFERROR(__xludf.DUMMYFUNCTION("""COMPUTED_VALUE"""),"ファボワールの料金はいくらですか？/ファボワールは取り扱っていますか？")</f>
        <v>ファボワールの料金はいくらですか？/ファボワールは取り扱っていますか？</v>
      </c>
      <c r="B1057" s="31" t="str">
        <f>IFERROR(__xludf.DUMMYFUNCTION("""COMPUTED_VALUE"""),"ファボワール21錠/28錠は当院で取り扱っております。自費診療で1シート3,000円（税込）です。ご予約は公式LINEから受け付けておりますので、友だち追加の上ご利用ください。
※生理痛などの治療を目的とする低用量ピルは、初回は検査が必要なため来院診療となりますので、ご注意ください。
来院診療のご予約：こちらのLINEをご利用ください→https://cline-app.com/qr-codes/98ad6f149bfa20f4f2a9a2e91aac4187/preview
オンライン診療のご予約：こ"&amp;"ちらのオンライン診療LINEページをご利用ください→https://liff-gateway.lineml.jp/landing?follow=%40590gpxrd&amp;lp=fX73yx&amp;liff_id=1657094566-LmjNPPbV""")</f>
        <v>ファボワール21錠/28錠は当院で取り扱っております。自費診療で1シート3,000円（税込）です。ご予約は公式LINEから受け付けておりますので、友だち追加の上ご利用ください。
※生理痛などの治療を目的とする低用量ピルは、初回は検査が必要なため来院診療となりますので、ご注意ください。
来院診療のご予約：こちらのLINEをご利用ください→https://cline-app.com/qr-codes/98ad6f149bfa20f4f2a9a2e91aac4187/preview
オンライン診療のご予約：こちらのオンライン診療LINEページをご利用ください→https://liff-gateway.lineml.jp/landing?follow=%40590gpxrd&amp;lp=fX73yx&amp;liff_id=1657094566-LmjNPPbV"</v>
      </c>
      <c r="C1057" s="31" t="str">
        <f>IFERROR(__xludf.DUMMYFUNCTION("""COMPUTED_VALUE"""),"低用量ピル（自費）")</f>
        <v>低用量ピル（自費）</v>
      </c>
      <c r="D1057" s="31" t="str">
        <f>IFERROR(__xludf.DUMMYFUNCTION("""COMPUTED_VALUE"""),"ファボワール,自費ピル,3000円")</f>
        <v>ファボワール,自費ピル,3000円</v>
      </c>
      <c r="E1057" s="31"/>
    </row>
    <row r="1058">
      <c r="A1058" s="31" t="str">
        <f>IFERROR(__xludf.DUMMYFUNCTION("""COMPUTED_VALUE"""),"ラベルフィーユの料金はいくらですか？/ラベルフィーユは取り扱っていますか？")</f>
        <v>ラベルフィーユの料金はいくらですか？/ラベルフィーユは取り扱っていますか？</v>
      </c>
      <c r="B1058" s="31" t="str">
        <f>IFERROR(__xludf.DUMMYFUNCTION("""COMPUTED_VALUE"""),"ラベルフィーユ21錠/28錠は当院で取り扱っております。自費診療で1シート3,000円（税込）です。ご予約は公式LINEから受け付けておりますので、友だち追加の上ご利用ください。
※生理痛などの治療を目的とする低用量ピルは、初回は検査が必要なため来院診療となりますので、ご注意ください。
来院診療のご予約：こちらのLINEをご利用ください→https://cline-app.com/qr-codes/98ad6f149bfa20f4f2a9a2e91aac4187/preview
オンライン診療のご予約："&amp;"こちらのオンライン診療LINEページをご利用ください→https://liff-gateway.lineml.jp/landing?follow=%40590gpxrd&amp;lp=fX73yx&amp;liff_id=1657094566-LmjNPPbV""")</f>
        <v>ラベルフィーユ21錠/28錠は当院で取り扱っております。自費診療で1シート3,000円（税込）です。ご予約は公式LINEから受け付けておりますので、友だち追加の上ご利用ください。
※生理痛などの治療を目的とする低用量ピルは、初回は検査が必要なため来院診療となりますので、ご注意ください。
来院診療のご予約：こちらのLINEをご利用ください→https://cline-app.com/qr-codes/98ad6f149bfa20f4f2a9a2e91aac4187/preview
オンライン診療のご予約：こちらのオンライン診療LINEページをご利用ください→https://liff-gateway.lineml.jp/landing?follow=%40590gpxrd&amp;lp=fX73yx&amp;liff_id=1657094566-LmjNPPbV"</v>
      </c>
      <c r="C1058" s="31" t="str">
        <f>IFERROR(__xludf.DUMMYFUNCTION("""COMPUTED_VALUE"""),"低用量ピル（自費）")</f>
        <v>低用量ピル（自費）</v>
      </c>
      <c r="D1058" s="31" t="str">
        <f>IFERROR(__xludf.DUMMYFUNCTION("""COMPUTED_VALUE"""),"ラベルフィーユ,自費ピル,3000円")</f>
        <v>ラベルフィーユ,自費ピル,3000円</v>
      </c>
      <c r="E1058" s="31"/>
    </row>
    <row r="1059">
      <c r="A1059" s="31" t="str">
        <f>IFERROR(__xludf.DUMMYFUNCTION("""COMPUTED_VALUE"""),"スリンダの料金はいくらですか？/スリンダは取り扱っていますか？")</f>
        <v>スリンダの料金はいくらですか？/スリンダは取り扱っていますか？</v>
      </c>
      <c r="B1059" s="31" t="str">
        <f>IFERROR(__xludf.DUMMYFUNCTION("""COMPUTED_VALUE"""),"スリンダ28錠は当院で取り扱っております。自費診療で1シート3,300円（税込）です。ご予約は公式LINEから受け付けておりますので、友だち追加の上ご利用ください。
※生理痛などの治療を目的とする低用量ピルは、初回は検査が必要なため来院診療となりますので、ご注意ください。
来院診療のご予約：こちらのLINEをご利用ください→https://cline-app.com/qr-codes/98ad6f149bfa20f4f2a9a2e91aac4187/preview
オンライン診療のご予約：こちらのオンラ"&amp;"イン診療LINEページをご利用ください→https://liff-gateway.lineml.jp/landing?follow=%40590gpxrd&amp;lp=fX73yx&amp;liff_id=1657094566-LmjNPPbV""")</f>
        <v>スリンダ28錠は当院で取り扱っております。自費診療で1シート3,300円（税込）です。ご予約は公式LINEから受け付けておりますので、友だち追加の上ご利用ください。
※生理痛などの治療を目的とする低用量ピルは、初回は検査が必要なため来院診療となりますので、ご注意ください。
来院診療のご予約：こちらのLINEをご利用ください→https://cline-app.com/qr-codes/98ad6f149bfa20f4f2a9a2e91aac4187/preview
オンライン診療のご予約：こちらのオンライン診療LINEページをご利用ください→https://liff-gateway.lineml.jp/landing?follow=%40590gpxrd&amp;lp=fX73yx&amp;liff_id=1657094566-LmjNPPbV"</v>
      </c>
      <c r="C1059" s="31" t="str">
        <f>IFERROR(__xludf.DUMMYFUNCTION("""COMPUTED_VALUE"""),"低用量ピル（自費）")</f>
        <v>低用量ピル（自費）</v>
      </c>
      <c r="D1059" s="31" t="str">
        <f>IFERROR(__xludf.DUMMYFUNCTION("""COMPUTED_VALUE"""),"スリンダ,自費ピル,3300円")</f>
        <v>スリンダ,自費ピル,3300円</v>
      </c>
      <c r="E1059" s="31"/>
    </row>
    <row r="1060">
      <c r="A1060" s="31" t="str">
        <f>IFERROR(__xludf.DUMMYFUNCTION("""COMPUTED_VALUE"""),"ミニピルの処方はありますか？/ミニピルは取り扱っていますか？/ミニピルの料金はいくらですか？/ミニピル処方は保険診療ですか？/スリンダは保険適用ですか？/ミニピルは保険がききますか？")</f>
        <v>ミニピルの処方はありますか？/ミニピルは取り扱っていますか？/ミニピルの料金はいくらですか？/ミニピル処方は保険診療ですか？/スリンダは保険適用ですか？/ミニピルは保険がききますか？</v>
      </c>
      <c r="B1060" s="31" t="str">
        <f>IFERROR(__xludf.DUMMYFUNCTION("""COMPUTED_VALUE"""),"当院ではミニピルとしてスリンダ28錠を取り扱っております。自費診療で1シート3,300円（税込）です。スリンダは黄体ホルモンのみを含むピルで、来院診療での処方となります。ご予約は公式LINEから24時間承っております。LINEはこちら→https://cline-app.com/qr-codes/98ad6f149bfa20f4f2a9a2e91aac4187/preview")</f>
        <v>当院ではミニピルとしてスリンダ28錠を取り扱っております。自費診療で1シート3,300円（税込）です。スリンダは黄体ホルモンのみを含むピルで、来院診療での処方となります。ご予約は公式LINEから24時間承っております。LINEはこちら→https://cline-app.com/qr-codes/98ad6f149bfa20f4f2a9a2e91aac4187/preview</v>
      </c>
      <c r="C1060" s="31" t="str">
        <f>IFERROR(__xludf.DUMMYFUNCTION("""COMPUTED_VALUE"""),"ピル処方")</f>
        <v>ピル処方</v>
      </c>
      <c r="D1060" s="31" t="str">
        <f>IFERROR(__xludf.DUMMYFUNCTION("""COMPUTED_VALUE"""),"ミニピル,スリンダ,黄体ホルモン,プロゲスチン,3300円")</f>
        <v>ミニピル,スリンダ,黄体ホルモン,プロゲスチン,3300円</v>
      </c>
      <c r="E1060" s="31"/>
    </row>
    <row r="1061">
      <c r="A1061" s="31" t="str">
        <f>IFERROR(__xludf.DUMMYFUNCTION("""COMPUTED_VALUE"""),"マーベロンは取り扱っていますか？/マーベロンの処方はできますか？")</f>
        <v>マーベロンは取り扱っていますか？/マーベロンの処方はできますか？</v>
      </c>
      <c r="B1061" s="31" t="str">
        <f>IFERROR(__xludf.DUMMYFUNCTION("""COMPUTED_VALUE"""),"大変恐縮ではございますが、マーベロン21錠/28錠は当院では取り扱いがございません。当院で取り扱いのある自費ピルは、ファボワール（1シート3,000円）、ラベルフィーユ（1シート3,000円）、スリンダ（1シート3,300円）となります。当院で取り扱いがあるピルの処方をご希望される場合は、ご予約を公式LINEから受け付けております。友だち追加の上ご利用ください。
※生理痛などの治療を目的とする低用量ピルは、初回は検査が必要なため来院診療となりますので、ご注意ください。
来院診療のご予約：こちらのLINE"&amp;"をご利用ください→https://cline-app.com/qr-codes/98ad6f149bfa20f4f2a9a2e91aac4187/preview
オンライン診療のご予約：こちらのオンライン診療LINEページをご利用ください→https://liff-gateway.lineml.jp/landing?follow=%40590gpxrd&amp;lp=fX73yx&amp;liff_id=1657094566-LmjNPPbV""")</f>
        <v>大変恐縮ではございますが、マーベロン21錠/28錠は当院では取り扱いがございません。当院で取り扱いのある自費ピルは、ファボワール（1シート3,000円）、ラベルフィーユ（1シート3,000円）、スリンダ（1シート3,300円）となります。当院で取り扱いがあるピルの処方をご希望される場合は、ご予約を公式LINEから受け付けております。友だち追加の上ご利用ください。
※生理痛などの治療を目的とする低用量ピルは、初回は検査が必要なため来院診療となりますので、ご注意ください。
来院診療のご予約：こちらのLINEをご利用ください→https://cline-app.com/qr-codes/98ad6f149bfa20f4f2a9a2e91aac4187/preview
オンライン診療のご予約：こちらのオンライン診療LINEページをご利用ください→https://liff-gateway.lineml.jp/landing?follow=%40590gpxrd&amp;lp=fX73yx&amp;liff_id=1657094566-LmjNPPbV"</v>
      </c>
      <c r="C1061" s="31" t="str">
        <f>IFERROR(__xludf.DUMMYFUNCTION("""COMPUTED_VALUE"""),"低用量ピル（自費）")</f>
        <v>低用量ピル（自費）</v>
      </c>
      <c r="D1061" s="31" t="str">
        <f>IFERROR(__xludf.DUMMYFUNCTION("""COMPUTED_VALUE"""),"マーベロン,取り扱いなし")</f>
        <v>マーベロン,取り扱いなし</v>
      </c>
      <c r="E1061" s="31"/>
    </row>
    <row r="1062">
      <c r="A1062" s="31" t="str">
        <f>IFERROR(__xludf.DUMMYFUNCTION("""COMPUTED_VALUE"""),"アンジュは取り扱っていますか？/アンジュの処方はできますか？")</f>
        <v>アンジュは取り扱っていますか？/アンジュの処方はできますか？</v>
      </c>
      <c r="B1062" s="31" t="str">
        <f>IFERROR(__xludf.DUMMYFUNCTION("""COMPUTED_VALUE"""),"大変恐縮ではございますが、アンジュ21錠/28錠は当院では取り扱いがございません。当院で取り扱いのある自費ピルは、ファボワール（1シート3,000円）、ラベルフィーユ（1シート3,000円）、スリンダ（1シート3,300円）となります。当院で取り扱いがあるピルの処方をご希望される場合は、ご予約を公式LINEから受け付けております。友だち追加の上ご利用ください。
※生理痛などの治療を目的とする低用量ピルは、初回は検査が必要なため来院診療となりますので、ご注意ください。
来院診療のご予約：こちらのLINEを"&amp;"ご利用ください→https://cline-app.com/qr-codes/98ad6f149bfa20f4f2a9a2e91aac4187/preview
オンライン診療のご予約：こちらのオンライン診療LINEページをご利用ください→https://liff-gateway.lineml.jp/landing?follow=%40590gpxrd&amp;lp=fX73yx&amp;liff_id=1657094566-LmjNPPbV""")</f>
        <v>大変恐縮ではございますが、アンジュ21錠/28錠は当院では取り扱いがございません。当院で取り扱いのある自費ピルは、ファボワール（1シート3,000円）、ラベルフィーユ（1シート3,000円）、スリンダ（1シート3,300円）となります。当院で取り扱いがあるピルの処方をご希望される場合は、ご予約を公式LINEから受け付けております。友だち追加の上ご利用ください。
※生理痛などの治療を目的とする低用量ピルは、初回は検査が必要なため来院診療となりますので、ご注意ください。
来院診療のご予約：こちらのLINEをご利用ください→https://cline-app.com/qr-codes/98ad6f149bfa20f4f2a9a2e91aac4187/preview
オンライン診療のご予約：こちらのオンライン診療LINEページをご利用ください→https://liff-gateway.lineml.jp/landing?follow=%40590gpxrd&amp;lp=fX73yx&amp;liff_id=1657094566-LmjNPPbV"</v>
      </c>
      <c r="C1062" s="31" t="str">
        <f>IFERROR(__xludf.DUMMYFUNCTION("""COMPUTED_VALUE"""),"低用量ピル（自費）")</f>
        <v>低用量ピル（自費）</v>
      </c>
      <c r="D1062" s="31" t="str">
        <f>IFERROR(__xludf.DUMMYFUNCTION("""COMPUTED_VALUE"""),"アンジュ,取り扱いなし")</f>
        <v>アンジュ,取り扱いなし</v>
      </c>
      <c r="E1062" s="31"/>
    </row>
    <row r="1063">
      <c r="A1063" s="31" t="str">
        <f>IFERROR(__xludf.DUMMYFUNCTION("""COMPUTED_VALUE"""),"トリキュラーは取り扱っていますか？/トリキュラーの処方はできますか？")</f>
        <v>トリキュラーは取り扱っていますか？/トリキュラーの処方はできますか？</v>
      </c>
      <c r="B1063" s="31" t="str">
        <f>IFERROR(__xludf.DUMMYFUNCTION("""COMPUTED_VALUE"""),"大変恐縮ではございますが、トリキュラー錠21/28は当院では取り扱いがございません。当院で取り扱いのある自費ピルは、ファボワール（1シート3,000円）、ラベルフィーユ（1シート3,000円）、スリンダ（1シート3,300円）となります。当院で取り扱いがあるピルの処方をご希望される場合は、ご予約を公式LINEから受け付けております。友だち追加の上ご利用ください。
※生理痛などの治療を目的とする低用量ピルは、初回は検査が必要なため来院診療となりますので、ご注意ください。
来院診療のご予約：こちらのLINE"&amp;"をご利用ください→https://cline-app.com/qr-codes/98ad6f149bfa20f4f2a9a2e91aac4187/preview
オンライン診療のご予約：こちらのオンライン診療LINEページをご利用ください→https://liff-gateway.lineml.jp/landing?follow=%40590gpxrd&amp;lp=fX73yx&amp;liff_id=1657094566-LmjNPPbV""")</f>
        <v>大変恐縮ではございますが、トリキュラー錠21/28は当院では取り扱いがございません。当院で取り扱いのある自費ピルは、ファボワール（1シート3,000円）、ラベルフィーユ（1シート3,000円）、スリンダ（1シート3,300円）となります。当院で取り扱いがあるピルの処方をご希望される場合は、ご予約を公式LINEから受け付けております。友だち追加の上ご利用ください。
※生理痛などの治療を目的とする低用量ピルは、初回は検査が必要なため来院診療となりますので、ご注意ください。
来院診療のご予約：こちらのLINEをご利用ください→https://cline-app.com/qr-codes/98ad6f149bfa20f4f2a9a2e91aac4187/preview
オンライン診療のご予約：こちらのオンライン診療LINEページをご利用ください→https://liff-gateway.lineml.jp/landing?follow=%40590gpxrd&amp;lp=fX73yx&amp;liff_id=1657094566-LmjNPPbV"</v>
      </c>
      <c r="C1063" s="31" t="str">
        <f>IFERROR(__xludf.DUMMYFUNCTION("""COMPUTED_VALUE"""),"低用量ピル（自費）")</f>
        <v>低用量ピル（自費）</v>
      </c>
      <c r="D1063" s="31" t="str">
        <f>IFERROR(__xludf.DUMMYFUNCTION("""COMPUTED_VALUE"""),"トリキュラー,取り扱いなし")</f>
        <v>トリキュラー,取り扱いなし</v>
      </c>
      <c r="E1063" s="31"/>
    </row>
    <row r="1064">
      <c r="A1064" s="31" t="str">
        <f>IFERROR(__xludf.DUMMYFUNCTION("""COMPUTED_VALUE"""),"レボノルゲストレルの料金はいくらですか？/レボノルゲストレルは取り扱っていますか？")</f>
        <v>レボノルゲストレルの料金はいくらですか？/レボノルゲストレルは取り扱っていますか？</v>
      </c>
      <c r="B1064" s="31" t="str">
        <f>IFERROR(__xludf.DUMMYFUNCTION("""COMPUTED_VALUE"""),"レボノルゲストレル1.5mgは15,000円（税込）です。72時間以内に服用するアフターピルとなります。アフターピルは初診の方でも来院せずにご相談・処方が可能なオンライン診療をご利用いただけます。24時間いつでもご自身のタイミングで予約できます。
来院診療のご予約：こちらのLINEをご利用ください→https://cline-app.com/qr-codes/98ad6f149bfa20f4f2a9a2e91aac4187/preview
オンライン診療のご予約：こちらのオンライン診療LINEページをご"&amp;"利用ください→https://liff-gateway.lineml.jp/landing?follow=%40590gpxrd&amp;lp=fX73yx&amp;liff_id=1657094566-LmjNPPbV")</f>
        <v>レボノルゲストレル1.5mgは15,000円（税込）です。72時間以内に服用するアフターピルとなります。アフターピルは初診の方でも来院せずにご相談・処方が可能なオンライン診療をご利用いただけます。24時間いつでもご自身のタイミングで予約できます。
来院診療のご予約：こちらのLINEをご利用ください→https://cline-app.com/qr-codes/98ad6f149bfa20f4f2a9a2e91aac4187/preview
オンライン診療のご予約：こちらのオンライン診療LINEページをご利用ください→https://liff-gateway.lineml.jp/landing?follow=%40590gpxrd&amp;lp=fX73yx&amp;liff_id=1657094566-LmjNPPbV</v>
      </c>
      <c r="C1064" s="31" t="str">
        <f>IFERROR(__xludf.DUMMYFUNCTION("""COMPUTED_VALUE"""),"アフターピル")</f>
        <v>アフターピル</v>
      </c>
      <c r="D1064" s="31" t="str">
        <f>IFERROR(__xludf.DUMMYFUNCTION("""COMPUTED_VALUE"""),"レボノルゲストレル,アフターピル,15000円,72時間")</f>
        <v>レボノルゲストレル,アフターピル,15000円,72時間</v>
      </c>
      <c r="E1064" s="31"/>
    </row>
    <row r="1065">
      <c r="A1065" s="31" t="str">
        <f>IFERROR(__xludf.DUMMYFUNCTION("""COMPUTED_VALUE"""),"エラワンの料金はいくらですか？/Joseiの料金はいくらですか？/エラワンは取り扱っていますか？")</f>
        <v>エラワンの料金はいくらですか？/Joseiの料金はいくらですか？/エラワンは取り扱っていますか？</v>
      </c>
      <c r="B1065" s="31" t="str">
        <f>IFERROR(__xludf.DUMMYFUNCTION("""COMPUTED_VALUE"""),"エラワン/Joseiは17,000円（税込）です。120時間以内に服用するアフターピルとなります。アフターピルは初診の方でも来院せずにご相談・処方が可能なオンライン診療をご利用いただけます。24時間いつでもご自身のタイミングで予約できます。
来院診療のご予約：こちらのLINEをご利用ください→https://cline-app.com/qr-codes/98ad6f149bfa20f4f2a9a2e91aac4187/preview
オンライン診療のご予約：こちらのオンライン診療LINEページをご利用く"&amp;"ださい→https://liff-gateway.lineml.jp/landing?follow=%40590gpxrd&amp;lp=fX73yx&amp;liff_id=1657094566-LmjNPPbV")</f>
        <v>エラワン/Joseiは17,000円（税込）です。120時間以内に服用するアフターピルとなります。アフターピルは初診の方でも来院せずにご相談・処方が可能なオンライン診療をご利用いただけます。24時間いつでもご自身のタイミングで予約できます。
来院診療のご予約：こちらのLINEをご利用ください→https://cline-app.com/qr-codes/98ad6f149bfa20f4f2a9a2e91aac4187/preview
オンライン診療のご予約：こちらのオンライン診療LINEページをご利用ください→https://liff-gateway.lineml.jp/landing?follow=%40590gpxrd&amp;lp=fX73yx&amp;liff_id=1657094566-LmjNPPbV</v>
      </c>
      <c r="C1065" s="31" t="str">
        <f>IFERROR(__xludf.DUMMYFUNCTION("""COMPUTED_VALUE"""),"アフターピル")</f>
        <v>アフターピル</v>
      </c>
      <c r="D1065" s="31" t="str">
        <f>IFERROR(__xludf.DUMMYFUNCTION("""COMPUTED_VALUE"""),"エラワン,Josei,アフターピル,17000円,120時間")</f>
        <v>エラワン,Josei,アフターピル,17000円,120時間</v>
      </c>
      <c r="E1065" s="31"/>
    </row>
    <row r="1066">
      <c r="A1066" s="31" t="str">
        <f>IFERROR(__xludf.DUMMYFUNCTION("""COMPUTED_VALUE"""),"予約メニューはどれを選べばいいですか？/何のメニューで予約すればいいか分かりません/予約の取り方が分かりません/どのメニューで予約したらいいですか？/保険診療の予約は一般婦人科を選択すれば良いですか？/保険診療の予約メニュー/処方箋の再発行の予約方法を教えてください/妊婦健診の予約方法")</f>
        <v>予約メニューはどれを選べばいいですか？/何のメニューで予約すればいいか分かりません/予約の取り方が分かりません/どのメニューで予約したらいいですか？/保険診療の予約は一般婦人科を選択すれば良いですか？/保険診療の予約メニュー/処方箋の再発行の予約方法を教えてください/妊婦健診の予約方法</v>
      </c>
      <c r="B1066" s="31" t="str">
        <f>IFERROR(__xludf.DUMMYFUNCTION("""COMPUTED_VALUE"""),"ピルのご相談・処方をご希望の場合は「ピル処方」でご予約ください。それ以外のご相談（生理痛・おりもの・性感染症・ミレーナ・ブライダルチェック・コンジローマ・不正出血など）は「一般婦人科診療」でご予約いただき、WEB問診票に受診内容をご入力ください。複数のご相談がある場合も「一般婦人科診療」で1つご予約をお取りいただき、問診票の備考欄にご相談内容をご記入いただければ、1回のご予約で対応いたします。")</f>
        <v>ピルのご相談・処方をご希望の場合は「ピル処方」でご予約ください。それ以外のご相談（生理痛・おりもの・性感染症・ミレーナ・ブライダルチェック・コンジローマ・不正出血など）は「一般婦人科診療」でご予約いただき、WEB問診票に受診内容をご入力ください。複数のご相談がある場合も「一般婦人科診療」で1つご予約をお取りいただき、問診票の備考欄にご相談内容をご記入いただければ、1回のご予約で対応いたします。</v>
      </c>
      <c r="C1066" s="31" t="str">
        <f>IFERROR(__xludf.DUMMYFUNCTION("""COMPUTED_VALUE"""),"予約・受診")</f>
        <v>予約・受診</v>
      </c>
      <c r="D1066" s="31" t="str">
        <f>IFERROR(__xludf.DUMMYFUNCTION("""COMPUTED_VALUE"""),"予約メニュー,どれ,選び方,分からない,ピル処方,一般婦人科診療,問診票")</f>
        <v>予約メニュー,どれ,選び方,分からない,ピル処方,一般婦人科診療,問診票</v>
      </c>
      <c r="E1066" s="31"/>
    </row>
    <row r="1067">
      <c r="A1067" s="31" t="str">
        <f>IFERROR(__xludf.DUMMYFUNCTION("""COMPUTED_VALUE"""),"生理痛の診療時間を教えてください/生理痛で受診したい場合の診療時間は？/生理痛は何時まで診てもらえますか？")</f>
        <v>生理痛の診療時間を教えてください/生理痛で受診したい場合の診療時間は？/生理痛は何時まで診てもらえますか？</v>
      </c>
      <c r="B1067" s="31" t="str">
        <f>IFERROR(__xludf.DUMMYFUNCTION("""COMPUTED_VALUE"""),"生理痛のご相談は通常の診療時間内で対応しております。診療時間は院によって異なりますので、詳しくは各院のページをご確認ください。・横浜駅前院：https://luna-dr.com/yokohama/ ・川崎駅前院：https://luna-dr.com/kawasaki/ ・町田駅前院：https://luna-dr.com/machida/ ご予約は公式LINEから24時間承っております。LINEはこちら→https://cline-app.com/qr-codes/98ad6f149bfa20f4f2"&amp;"a9a2e91aac4187/preview")</f>
        <v>生理痛のご相談は通常の診療時間内で対応しております。診療時間は院によって異なりますので、詳しくは各院のページをご確認ください。・横浜駅前院：https://luna-dr.com/yokohama/ ・川崎駅前院：https://luna-dr.com/kawasaki/ ・町田駅前院：https://luna-dr.com/machida/ ご予約は公式LINEから24時間承っております。LINEはこちら→https://cline-app.com/qr-codes/98ad6f149bfa20f4f2a9a2e91aac4187/preview</v>
      </c>
      <c r="C1067" s="31" t="str">
        <f>IFERROR(__xludf.DUMMYFUNCTION("""COMPUTED_VALUE"""),"診療時間")</f>
        <v>診療時間</v>
      </c>
      <c r="D1067" s="31" t="str">
        <f>IFERROR(__xludf.DUMMYFUNCTION("""COMPUTED_VALUE"""),"生理痛,診療時間,受付時間")</f>
        <v>生理痛,診療時間,受付時間</v>
      </c>
      <c r="E1067" s="31"/>
    </row>
    <row r="1068">
      <c r="A1068" s="31" t="str">
        <f>IFERROR(__xludf.DUMMYFUNCTION("""COMPUTED_VALUE"""),"中絶相談の診療時間を教えてください/中絶相談で受診したい場合の診療時間は？/中絶相談は何時まで診てもらえますか？")</f>
        <v>中絶相談の診療時間を教えてください/中絶相談で受診したい場合の診療時間は？/中絶相談は何時まで診てもらえますか？</v>
      </c>
      <c r="B1068" s="31" t="str">
        <f>IFERROR(__xludf.DUMMYFUNCTION("""COMPUTED_VALUE"""),"中絶相談のご相談は通常の診療時間内で対応しております。診療時間は院によって異なりますので、詳しくは各院のページをご確認ください。・横浜駅前院：https://luna-dr.com/yokohama/ ・川崎駅前院：https://luna-dr.com/kawasaki/ ・町田駅前院：https://luna-dr.com/machida/ ご予約は公式LINEから24時間承っております。LINEはこちら→https://cline-app.com/qr-codes/98ad6f149bfa20f4f"&amp;"2a9a2e91aac4187/preview")</f>
        <v>中絶相談のご相談は通常の診療時間内で対応しております。診療時間は院によって異なりますので、詳しくは各院のページをご確認ください。・横浜駅前院：https://luna-dr.com/yokohama/ ・川崎駅前院：https://luna-dr.com/kawasaki/ ・町田駅前院：https://luna-dr.com/machida/ ご予約は公式LINEから24時間承っております。LINEはこちら→https://cline-app.com/qr-codes/98ad6f149bfa20f4f2a9a2e91aac4187/preview</v>
      </c>
      <c r="C1068" s="31" t="str">
        <f>IFERROR(__xludf.DUMMYFUNCTION("""COMPUTED_VALUE"""),"診療時間")</f>
        <v>診療時間</v>
      </c>
      <c r="D1068" s="31" t="str">
        <f>IFERROR(__xludf.DUMMYFUNCTION("""COMPUTED_VALUE"""),"中絶相談,診療時間,受付時間")</f>
        <v>中絶相談,診療時間,受付時間</v>
      </c>
      <c r="E1068" s="31"/>
    </row>
    <row r="1069">
      <c r="A1069" s="31" t="str">
        <f>IFERROR(__xludf.DUMMYFUNCTION("""COMPUTED_VALUE"""),"コンジローマとは何ですか？/尖圭コンジローマとはどんな病気ですか？")</f>
        <v>コンジローマとは何ですか？/尖圭コンジローマとはどんな病気ですか？</v>
      </c>
      <c r="B1069" s="31" t="str">
        <f>IFERROR(__xludf.DUMMYFUNCTION("""COMPUTED_VALUE"""),"尖圭コンジローマは、HPV（ヒトパピローマウイルス）の6型・11型への感染によって発症する性感染症です。性器周辺にイボ状の小さな腫瘍があらわれます。イボの形状は乳頭状・トサカ状・カリフラワー状などで、色はピンク色や茶色、白色や黒色などです。潜伏期間は数週間〜2〜3ヶ月程度ですが、半年以上経ってから症状が出る場合もあります。詳しくはこちらをご確認ください。→https://luna-dr.com/subjects/media/2794/")</f>
        <v>尖圭コンジローマは、HPV（ヒトパピローマウイルス）の6型・11型への感染によって発症する性感染症です。性器周辺にイボ状の小さな腫瘍があらわれます。イボの形状は乳頭状・トサカ状・カリフラワー状などで、色はピンク色や茶色、白色や黒色などです。潜伏期間は数週間〜2〜3ヶ月程度ですが、半年以上経ってから症状が出る場合もあります。詳しくはこちらをご確認ください。→https://luna-dr.com/subjects/media/2794/</v>
      </c>
      <c r="C1069" s="31" t="str">
        <f>IFERROR(__xludf.DUMMYFUNCTION("""COMPUTED_VALUE"""),"性感染症")</f>
        <v>性感染症</v>
      </c>
      <c r="D1069" s="31" t="str">
        <f>IFERROR(__xludf.DUMMYFUNCTION("""COMPUTED_VALUE"""),"コンジローマ,尖圭コンジローマ,HPV,イボ,性感染症,性病")</f>
        <v>コンジローマ,尖圭コンジローマ,HPV,イボ,性感染症,性病</v>
      </c>
      <c r="E1069" s="32" t="str">
        <f>IFERROR(__xludf.DUMMYFUNCTION("""COMPUTED_VALUE"""),"https://luna-dr.com/subjects/media/2794/")</f>
        <v>https://luna-dr.com/subjects/media/2794/</v>
      </c>
    </row>
    <row r="1070">
      <c r="A1070" s="31" t="str">
        <f>IFERROR(__xludf.DUMMYFUNCTION("""COMPUTED_VALUE"""),"コンジローマの治療方法を教えてください/尖圭コンジローマの治療はできますか？/コンジローマはどうやって治療しますか？")</f>
        <v>コンジローマの治療方法を教えてください/尖圭コンジローマの治療はできますか？/コンジローマはどうやって治療しますか？</v>
      </c>
      <c r="B1070" s="31" t="str">
        <f>IFERROR(__xludf.DUMMYFUNCTION("""COMPUTED_VALUE"""),"尖圭コンジローマの治療は当院で対応しております。主な治療方法は以下の3つです。【外用薬による治療】抗ウイルス作用のある塗り薬を患部に塗布します。週3回、最大16週間継続します。治療費は3割負担で約4,500円/月です。【液体窒素による治療】液体窒素を患部に押し当て、ウイルスの活性を抑えます。1〜2週おきに治療を継続します。治療費は3割負担で1回約800〜1,000円です。【手術療法】局所麻酔の上、電気メスでイボを切除します。1度の治療で全てのイボを取り除くことができます。治療費は3割負担で約9,000〜1"&amp;"5,000円です。症状に応じて医師が最適な治療法を判断いたします。詳しくはこちらをご確認ください。→https://luna-dr.com/subjects/media/2794/")</f>
        <v>尖圭コンジローマの治療は当院で対応しております。主な治療方法は以下の3つです。【外用薬による治療】抗ウイルス作用のある塗り薬を患部に塗布します。週3回、最大16週間継続します。治療費は3割負担で約4,500円/月です。【液体窒素による治療】液体窒素を患部に押し当て、ウイルスの活性を抑えます。1〜2週おきに治療を継続します。治療費は3割負担で1回約800〜1,000円です。【手術療法】局所麻酔の上、電気メスでイボを切除します。1度の治療で全てのイボを取り除くことができます。治療費は3割負担で約9,000〜15,000円です。症状に応じて医師が最適な治療法を判断いたします。詳しくはこちらをご確認ください。→https://luna-dr.com/subjects/media/2794/</v>
      </c>
      <c r="C1070" s="31" t="str">
        <f>IFERROR(__xludf.DUMMYFUNCTION("""COMPUTED_VALUE"""),"性感染症")</f>
        <v>性感染症</v>
      </c>
      <c r="D1070" s="31" t="str">
        <f>IFERROR(__xludf.DUMMYFUNCTION("""COMPUTED_VALUE"""),"コンジローマ,尖圭コンジローマ,治療,外用薬,液体窒素,手術,電気メス,治療費")</f>
        <v>コンジローマ,尖圭コンジローマ,治療,外用薬,液体窒素,手術,電気メス,治療費</v>
      </c>
      <c r="E1070" s="32" t="str">
        <f>IFERROR(__xludf.DUMMYFUNCTION("""COMPUTED_VALUE"""),"https://luna-dr.com/subjects/media/2794/")</f>
        <v>https://luna-dr.com/subjects/media/2794/</v>
      </c>
    </row>
    <row r="1071">
      <c r="A1071" s="31" t="str">
        <f>IFERROR(__xludf.DUMMYFUNCTION("""COMPUTED_VALUE"""),"コンジローマは自然に治りますか？/コンジローマは放置しても大丈夫ですか？")</f>
        <v>コンジローマは自然に治りますか？/コンジローマは放置しても大丈夫ですか？</v>
      </c>
      <c r="B1071" s="31" t="str">
        <f>IFERROR(__xludf.DUMMYFUNCTION("""COMPUTED_VALUE"""),"尖圭コンジローマが自然治癒することは稀です。放置するとイボが増殖・大きくなる可能性があり、悪性化する恐れもあります。また、パートナーに感染させてしまう場合もあります。症状の悪化防止と感染拡大予防のため、早めの受診をおすすめいたします。ご予約は公式LINEから24時間承っております。LINEはこちら→https://cline-app.com/qr-codes/98ad6f149bfa20f4f2a9a2e91aac4187/preview")</f>
        <v>尖圭コンジローマが自然治癒することは稀です。放置するとイボが増殖・大きくなる可能性があり、悪性化する恐れもあります。また、パートナーに感染させてしまう場合もあります。症状の悪化防止と感染拡大予防のため、早めの受診をおすすめいたします。ご予約は公式LINEから24時間承っております。LINEはこちら→https://cline-app.com/qr-codes/98ad6f149bfa20f4f2a9a2e91aac4187/preview</v>
      </c>
      <c r="C1071" s="31" t="str">
        <f>IFERROR(__xludf.DUMMYFUNCTION("""COMPUTED_VALUE"""),"性感染症")</f>
        <v>性感染症</v>
      </c>
      <c r="D1071" s="31" t="str">
        <f>IFERROR(__xludf.DUMMYFUNCTION("""COMPUTED_VALUE"""),"コンジローマ,自然治癒,放置,悪性化,再発")</f>
        <v>コンジローマ,自然治癒,放置,悪性化,再発</v>
      </c>
      <c r="E1071" s="32" t="str">
        <f>IFERROR(__xludf.DUMMYFUNCTION("""COMPUTED_VALUE"""),"https://luna-dr.com/subjects/media/2794/")</f>
        <v>https://luna-dr.com/subjects/media/2794/</v>
      </c>
    </row>
    <row r="1072">
      <c r="A1072" s="31" t="str">
        <f>IFERROR(__xludf.DUMMYFUNCTION("""COMPUTED_VALUE"""),"コンジローマは再発しますか？/コンジローマの再発率はどのくらいですか？")</f>
        <v>コンジローマは再発しますか？/コンジローマの再発率はどのくらいですか？</v>
      </c>
      <c r="B1072" s="31" t="str">
        <f>IFERROR(__xludf.DUMMYFUNCTION("""COMPUTED_VALUE"""),"尖圭コンジローマの再発リスクは、治療後3ヵ月以内で約25％といわれています。表面上のイボを取り除いた場合でもウイルスが潜在し再発する恐れがあるため、イボ消失後も最低3ヵ月は再発していないかどうかの確認が必要です。詳しくはこちらをご確認ください。→https://luna-dr.com/subjects/media/2794/")</f>
        <v>尖圭コンジローマの再発リスクは、治療後3ヵ月以内で約25％といわれています。表面上のイボを取り除いた場合でもウイルスが潜在し再発する恐れがあるため、イボ消失後も最低3ヵ月は再発していないかどうかの確認が必要です。詳しくはこちらをご確認ください。→https://luna-dr.com/subjects/media/2794/</v>
      </c>
      <c r="C1072" s="31" t="str">
        <f>IFERROR(__xludf.DUMMYFUNCTION("""COMPUTED_VALUE"""),"性感染症")</f>
        <v>性感染症</v>
      </c>
      <c r="D1072" s="31" t="str">
        <f>IFERROR(__xludf.DUMMYFUNCTION("""COMPUTED_VALUE"""),"コンジローマ,再発,再発率,25%,経過観察")</f>
        <v>コンジローマ,再発,再発率,25%,経過観察</v>
      </c>
      <c r="E1072" s="32" t="str">
        <f>IFERROR(__xludf.DUMMYFUNCTION("""COMPUTED_VALUE"""),"https://luna-dr.com/subjects/media/2794/")</f>
        <v>https://luna-dr.com/subjects/media/2794/</v>
      </c>
    </row>
    <row r="1073">
      <c r="A1073" s="31" t="str">
        <f>IFERROR(__xludf.DUMMYFUNCTION("""COMPUTED_VALUE"""),"コンジローマの検査方法を教えてください/コンジローマはどうやって検査しますか？")</f>
        <v>コンジローマの検査方法を教えてください/コンジローマはどうやって検査しますか？</v>
      </c>
      <c r="B1073" s="31" t="str">
        <f>IFERROR(__xludf.DUMMYFUNCTION("""COMPUTED_VALUE"""),"尖圭コンジローマの検査は、医師による目視での「視診」で行います。特別な検査は基本的に必要ありません。気になる症状がございましたら、ご受診いただき医師にご相談ください。ご予約は公式LINEから24時間承っております。LINEはこちら→https://cline-app.com/qr-codes/98ad6f149bfa20f4f2a9a2e91aac4187/preview")</f>
        <v>尖圭コンジローマの検査は、医師による目視での「視診」で行います。特別な検査は基本的に必要ありません。気になる症状がございましたら、ご受診いただき医師にご相談ください。ご予約は公式LINEから24時間承っております。LINEはこちら→https://cline-app.com/qr-codes/98ad6f149bfa20f4f2a9a2e91aac4187/preview</v>
      </c>
      <c r="C1073" s="31" t="str">
        <f>IFERROR(__xludf.DUMMYFUNCTION("""COMPUTED_VALUE"""),"性感染症")</f>
        <v>性感染症</v>
      </c>
      <c r="D1073" s="31" t="str">
        <f>IFERROR(__xludf.DUMMYFUNCTION("""COMPUTED_VALUE"""),"コンジローマ,検査,視診,診察")</f>
        <v>コンジローマ,検査,視診,診察</v>
      </c>
      <c r="E1073" s="32" t="str">
        <f>IFERROR(__xludf.DUMMYFUNCTION("""COMPUTED_VALUE"""),"https://luna-dr.com/subjects/media/2794/")</f>
        <v>https://luna-dr.com/subjects/media/2794/</v>
      </c>
    </row>
    <row r="1074">
      <c r="A1074" s="31" t="str">
        <f>IFERROR(__xludf.DUMMYFUNCTION("""COMPUTED_VALUE"""),"コンジローマの予防方法はありますか？/コンジローマを予防するにはどうすればいいですか？")</f>
        <v>コンジローマの予防方法はありますか？/コンジローマを予防するにはどうすればいいですか？</v>
      </c>
      <c r="B1074" s="31" t="str">
        <f>IFERROR(__xludf.DUMMYFUNCTION("""COMPUTED_VALUE"""),"尖圭コンジローマの予防には、コンドームの使用に加え、HPVワクチンの接種が効果的です。当院で取り扱っている9価ワクチン（シルガード9）はHPV6型・11型にも対応しており、尖圭コンジローマの予防効果があります。HPVワクチンのご予約はお電話（050-1730-2768）にて承っております。")</f>
        <v>尖圭コンジローマの予防には、コンドームの使用に加え、HPVワクチンの接種が効果的です。当院で取り扱っている9価ワクチン（シルガード9）はHPV6型・11型にも対応しており、尖圭コンジローマの予防効果があります。HPVワクチンのご予約はお電話（050-1730-2768）にて承っております。</v>
      </c>
      <c r="C1074" s="31" t="str">
        <f>IFERROR(__xludf.DUMMYFUNCTION("""COMPUTED_VALUE"""),"性感染症")</f>
        <v>性感染症</v>
      </c>
      <c r="D1074" s="31" t="str">
        <f>IFERROR(__xludf.DUMMYFUNCTION("""COMPUTED_VALUE"""),"コンジローマ,予防,HPVワクチン,シルガード9,コンドーム")</f>
        <v>コンジローマ,予防,HPVワクチン,シルガード9,コンドーム</v>
      </c>
      <c r="E1074" s="32" t="str">
        <f>IFERROR(__xludf.DUMMYFUNCTION("""COMPUTED_VALUE"""),"https://luna-dr.com/subjects/media/2794/")</f>
        <v>https://luna-dr.com/subjects/media/2794/</v>
      </c>
    </row>
    <row r="1075">
      <c r="A1075" s="31" t="str">
        <f>IFERROR(__xludf.DUMMYFUNCTION("""COMPUTED_VALUE"""),"月経移動ピルの処方にはどのくらい時間がかかりますか？/月経移動の診察の所要時間は？")</f>
        <v>月経移動ピルの処方にはどのくらい時間がかかりますか？/月経移動の診察の所要時間は？</v>
      </c>
      <c r="B1075" s="31" t="str">
        <f>IFERROR(__xludf.DUMMYFUNCTION("""COMPUTED_VALUE"""),"外来の状況によって変動いたしますが、ご予約をお取りいただいた場合、トータル1時間前後を目安としていただければと思います。")</f>
        <v>外来の状況によって変動いたしますが、ご予約をお取りいただいた場合、トータル1時間前後を目安としていただければと思います。</v>
      </c>
      <c r="C1075" s="31" t="str">
        <f>IFERROR(__xludf.DUMMYFUNCTION("""COMPUTED_VALUE"""),"月経移動")</f>
        <v>月経移動</v>
      </c>
      <c r="D1075" s="31" t="str">
        <f>IFERROR(__xludf.DUMMYFUNCTION("""COMPUTED_VALUE"""),"月経移動,所要時間,時間,どのくらい")</f>
        <v>月経移動,所要時間,時間,どのくらい</v>
      </c>
      <c r="E1075" s="31"/>
    </row>
    <row r="1076">
      <c r="A1076" s="31" t="str">
        <f>IFERROR(__xludf.DUMMYFUNCTION("""COMPUTED_VALUE"""),"ピル処方の診察にはどのくらい時間がかかりますか？/ピルの処方の所要時間は？")</f>
        <v>ピル処方の診察にはどのくらい時間がかかりますか？/ピルの処方の所要時間は？</v>
      </c>
      <c r="B1076" s="31" t="str">
        <f>IFERROR(__xludf.DUMMYFUNCTION("""COMPUTED_VALUE"""),"外来の状況によって変動いたしますが、ご予約をお取りいただいた場合、トータル1時間前後を目安としていただければと思います。")</f>
        <v>外来の状況によって変動いたしますが、ご予約をお取りいただいた場合、トータル1時間前後を目安としていただければと思います。</v>
      </c>
      <c r="C1076" s="31" t="str">
        <f>IFERROR(__xludf.DUMMYFUNCTION("""COMPUTED_VALUE"""),"ピル処方")</f>
        <v>ピル処方</v>
      </c>
      <c r="D1076" s="31" t="str">
        <f>IFERROR(__xludf.DUMMYFUNCTION("""COMPUTED_VALUE"""),"ピル処方,所要時間,時間,どのくらい")</f>
        <v>ピル処方,所要時間,時間,どのくらい</v>
      </c>
      <c r="E1076" s="31"/>
    </row>
    <row r="1077">
      <c r="A1077" s="31" t="str">
        <f>IFERROR(__xludf.DUMMYFUNCTION("""COMPUTED_VALUE"""),"性病検査にはどのくらい時間がかかりますか？/性感染症検査の所要時間は？")</f>
        <v>性病検査にはどのくらい時間がかかりますか？/性感染症検査の所要時間は？</v>
      </c>
      <c r="B1077" s="31" t="str">
        <f>IFERROR(__xludf.DUMMYFUNCTION("""COMPUTED_VALUE"""),"外来の状況によって変動いたしますが、ご予約をお取りいただいた場合、トータル1時間前後を目安としていただければと思います。")</f>
        <v>外来の状況によって変動いたしますが、ご予約をお取りいただいた場合、トータル1時間前後を目安としていただければと思います。</v>
      </c>
      <c r="C1077" s="31" t="str">
        <f>IFERROR(__xludf.DUMMYFUNCTION("""COMPUTED_VALUE"""),"性感染症検査")</f>
        <v>性感染症検査</v>
      </c>
      <c r="D1077" s="31" t="str">
        <f>IFERROR(__xludf.DUMMYFUNCTION("""COMPUTED_VALUE"""),"性病検査,性感染症検査,所要時間,時間,どのくらい")</f>
        <v>性病検査,性感染症検査,所要時間,時間,どのくらい</v>
      </c>
      <c r="E1077" s="31"/>
    </row>
    <row r="1078">
      <c r="A1078" s="31" t="str">
        <f>IFERROR(__xludf.DUMMYFUNCTION("""COMPUTED_VALUE"""),"子宮頸がん検診にはどのくらい時間がかかりますか？/子宮頸がん検査の所要時間は？")</f>
        <v>子宮頸がん検診にはどのくらい時間がかかりますか？/子宮頸がん検査の所要時間は？</v>
      </c>
      <c r="B1078" s="31" t="str">
        <f>IFERROR(__xludf.DUMMYFUNCTION("""COMPUTED_VALUE"""),"外来の状況によって変動いたしますが、ご予約をお取りいただいた場合、トータル1時間前後を目安としていただければと思います。")</f>
        <v>外来の状況によって変動いたしますが、ご予約をお取りいただいた場合、トータル1時間前後を目安としていただければと思います。</v>
      </c>
      <c r="C1078" s="31" t="str">
        <f>IFERROR(__xludf.DUMMYFUNCTION("""COMPUTED_VALUE"""),"婦人科健診")</f>
        <v>婦人科健診</v>
      </c>
      <c r="D1078" s="31" t="str">
        <f>IFERROR(__xludf.DUMMYFUNCTION("""COMPUTED_VALUE"""),"子宮頸がん検診,子宮頸がん検査,所要時間,時間,どのくらい")</f>
        <v>子宮頸がん検診,子宮頸がん検査,所要時間,時間,どのくらい</v>
      </c>
      <c r="E1078" s="31"/>
    </row>
    <row r="1079">
      <c r="A1079" s="31" t="str">
        <f>IFERROR(__xludf.DUMMYFUNCTION("""COMPUTED_VALUE"""),"おりもの検査にはどのくらい時間がかかりますか？/おりもの検査の所要時間は？")</f>
        <v>おりもの検査にはどのくらい時間がかかりますか？/おりもの検査の所要時間は？</v>
      </c>
      <c r="B1079" s="31" t="str">
        <f>IFERROR(__xludf.DUMMYFUNCTION("""COMPUTED_VALUE"""),"外来の状況によって変動いたしますが、ご予約をお取りいただいた場合、トータル1時間前後を目安としていただければと思います。")</f>
        <v>外来の状況によって変動いたしますが、ご予約をお取りいただいた場合、トータル1時間前後を目安としていただければと思います。</v>
      </c>
      <c r="C1079" s="31" t="str">
        <f>IFERROR(__xludf.DUMMYFUNCTION("""COMPUTED_VALUE"""),"おりもの検査")</f>
        <v>おりもの検査</v>
      </c>
      <c r="D1079" s="31" t="str">
        <f>IFERROR(__xludf.DUMMYFUNCTION("""COMPUTED_VALUE"""),"おりもの検査,所要時間,時間,どのくらい")</f>
        <v>おりもの検査,所要時間,時間,どのくらい</v>
      </c>
      <c r="E1079" s="31"/>
    </row>
    <row r="1080">
      <c r="A1080" s="31" t="str">
        <f>IFERROR(__xludf.DUMMYFUNCTION("""COMPUTED_VALUE"""),"中絶手術の診察にはどのくらい時間がかかりますか？/中絶の初回診療の所要時間は？")</f>
        <v>中絶手術の診察にはどのくらい時間がかかりますか？/中絶の初回診療の所要時間は？</v>
      </c>
      <c r="B1080" s="31" t="str">
        <f>IFERROR(__xludf.DUMMYFUNCTION("""COMPUTED_VALUE"""),"外来の状況によって変動いたしますが、ご予約をお取りいただいた場合、トータル1時間前後を目安としていただければと思います。")</f>
        <v>外来の状況によって変動いたしますが、ご予約をお取りいただいた場合、トータル1時間前後を目安としていただければと思います。</v>
      </c>
      <c r="C1080" s="31" t="str">
        <f>IFERROR(__xludf.DUMMYFUNCTION("""COMPUTED_VALUE"""),"中絶手術")</f>
        <v>中絶手術</v>
      </c>
      <c r="D1080" s="31" t="str">
        <f>IFERROR(__xludf.DUMMYFUNCTION("""COMPUTED_VALUE"""),"中絶手術,初回診療,所要時間,時間,どのくらい")</f>
        <v>中絶手術,初回診療,所要時間,時間,どのくらい</v>
      </c>
      <c r="E1080" s="31"/>
    </row>
    <row r="1081">
      <c r="A1081" s="31" t="str">
        <f>IFERROR(__xludf.DUMMYFUNCTION("""COMPUTED_VALUE"""),"予約枠が空いていないのですが/予約が取れません/予約が埋まっています/空いている日はありますか？/予約の空きがありません")</f>
        <v>予約枠が空いていないのですが/予約が取れません/予約が埋まっています/空いている日はありますか？/予約の空きがありません</v>
      </c>
      <c r="B1081" s="31" t="str">
        <f>IFERROR(__xludf.DUMMYFUNCTION("""COMPUTED_VALUE"""),"ご予約の空き状況につきましては、お電話（050-1730-2768）にてお問い合わせください。電話受付時間は、平日9:45〜13:40・15:15〜19:40、土日祝9:45〜13:40・15:15〜18:40です。")</f>
        <v>ご予約の空き状況につきましては、お電話（050-1730-2768）にてお問い合わせください。電話受付時間は、平日9:45〜13:40・15:15〜19:40、土日祝9:45〜13:40・15:15〜18:40です。</v>
      </c>
      <c r="C1081" s="31" t="str">
        <f>IFERROR(__xludf.DUMMYFUNCTION("""COMPUTED_VALUE"""),"予約・受診")</f>
        <v>予約・受診</v>
      </c>
      <c r="D1081" s="31" t="str">
        <f>IFERROR(__xludf.DUMMYFUNCTION("""COMPUTED_VALUE"""),"予約枠,空いていない,空き,取れない,埋まっている,満席")</f>
        <v>予約枠,空いていない,空き,取れない,埋まっている,満席</v>
      </c>
      <c r="E1081" s="31"/>
    </row>
    <row r="1082">
      <c r="A1082" s="31" t="str">
        <f>IFERROR(__xludf.DUMMYFUNCTION("""COMPUTED_VALUE"""),"ミレーナは予約メニューで何を選べばいいですか？/ミレーナの予約はどのメニューですか？")</f>
        <v>ミレーナは予約メニューで何を選べばいいですか？/ミレーナの予約はどのメニューですか？</v>
      </c>
      <c r="B1082" s="31" t="str">
        <f>IFERROR(__xludf.DUMMYFUNCTION("""COMPUTED_VALUE"""),"ミレーナのご相談は「一般婦人科診療」のメニューでご予約ください。ご予約は公式LINEから24時間承っております。LINEはこちら→https://cline-app.com/qr-codes/98ad6f149bfa20f4f2a9a2e91aac4187/preview")</f>
        <v>ミレーナのご相談は「一般婦人科診療」のメニューでご予約ください。ご予約は公式LINEから24時間承っております。LINEはこちら→https://cline-app.com/qr-codes/98ad6f149bfa20f4f2a9a2e91aac4187/preview</v>
      </c>
      <c r="C1082" s="31" t="str">
        <f>IFERROR(__xludf.DUMMYFUNCTION("""COMPUTED_VALUE"""),"ミレーナ")</f>
        <v>ミレーナ</v>
      </c>
      <c r="D1082" s="31" t="str">
        <f>IFERROR(__xludf.DUMMYFUNCTION("""COMPUTED_VALUE"""),"ミレーナ,予約メニュー,一般婦人科診療")</f>
        <v>ミレーナ,予約メニュー,一般婦人科診療</v>
      </c>
      <c r="E1082" s="31"/>
    </row>
    <row r="1083">
      <c r="A1083" s="31" t="str">
        <f>IFERROR(__xludf.DUMMYFUNCTION("""COMPUTED_VALUE"""),"性病検査は予約メニューで何を選べばいいですか？/性感染症検査の予約はどのメニューですか？")</f>
        <v>性病検査は予約メニューで何を選べばいいですか？/性感染症検査の予約はどのメニューですか？</v>
      </c>
      <c r="B1083" s="31" t="str">
        <f>IFERROR(__xludf.DUMMYFUNCTION("""COMPUTED_VALUE"""),"性感染症（性病）検査のご予約は「一般婦人科診療」のメニューからお取りください。WEB問診票に検査希望の内容をご入力ください。ご予約は公式LINEから24時間承っております。LINEはこちら→https://cline-app.com/qr-codes/98ad6f149bfa20f4f2a9a2e91aac4187/preview")</f>
        <v>性感染症（性病）検査のご予約は「一般婦人科診療」のメニューからお取りください。WEB問診票に検査希望の内容をご入力ください。ご予約は公式LINEから24時間承っております。LINEはこちら→https://cline-app.com/qr-codes/98ad6f149bfa20f4f2a9a2e91aac4187/preview</v>
      </c>
      <c r="C1083" s="31" t="str">
        <f>IFERROR(__xludf.DUMMYFUNCTION("""COMPUTED_VALUE"""),"性感染症検査")</f>
        <v>性感染症検査</v>
      </c>
      <c r="D1083" s="31" t="str">
        <f>IFERROR(__xludf.DUMMYFUNCTION("""COMPUTED_VALUE"""),"性病検査,性感染症検査,予約メニュー,一般婦人科診療")</f>
        <v>性病検査,性感染症検査,予約メニュー,一般婦人科診療</v>
      </c>
      <c r="E1083" s="31"/>
    </row>
    <row r="1084">
      <c r="A1084" s="31" t="str">
        <f>IFERROR(__xludf.DUMMYFUNCTION("""COMPUTED_VALUE"""),"おりもの検査は予約メニューで何を選べばいいですか？/おりもの検査の予約はどのメニューですか？")</f>
        <v>おりもの検査は予約メニューで何を選べばいいですか？/おりもの検査の予約はどのメニューですか？</v>
      </c>
      <c r="B1084" s="31" t="str">
        <f>IFERROR(__xludf.DUMMYFUNCTION("""COMPUTED_VALUE"""),"おりもの検査のご予約は「一般婦人科診療」のメニューからお取りください。WEB問診票に検査希望の内容をご入力ください。ご予約は公式LINEから24時間承っております。LINEはこちら→https://cline-app.com/qr-codes/98ad6f149bfa20f4f2a9a2e91aac4187/preview")</f>
        <v>おりもの検査のご予約は「一般婦人科診療」のメニューからお取りください。WEB問診票に検査希望の内容をご入力ください。ご予約は公式LINEから24時間承っております。LINEはこちら→https://cline-app.com/qr-codes/98ad6f149bfa20f4f2a9a2e91aac4187/preview</v>
      </c>
      <c r="C1084" s="31" t="str">
        <f>IFERROR(__xludf.DUMMYFUNCTION("""COMPUTED_VALUE"""),"おりもの検査")</f>
        <v>おりもの検査</v>
      </c>
      <c r="D1084" s="31" t="str">
        <f>IFERROR(__xludf.DUMMYFUNCTION("""COMPUTED_VALUE"""),"おりもの検査,予約メニュー,一般婦人科診療")</f>
        <v>おりもの検査,予約メニュー,一般婦人科診療</v>
      </c>
      <c r="E1084" s="31"/>
    </row>
    <row r="1085">
      <c r="A1085" s="31" t="str">
        <f>IFERROR(__xludf.DUMMYFUNCTION("""COMPUTED_VALUE"""),"不正出血の相談は予約メニューで何を選べばいいですか？/不正出血の予約はどのメニューですか？")</f>
        <v>不正出血の相談は予約メニューで何を選べばいいですか？/不正出血の予約はどのメニューですか？</v>
      </c>
      <c r="B1085" s="31" t="str">
        <f>IFERROR(__xludf.DUMMYFUNCTION("""COMPUTED_VALUE"""),"不正出血のご相談は「一般婦人科診療」のメニューでご予約ください。WEB問診票に症状をご入力ください。ご予約は公式LINEから24時間承っております。LINEはこちら→https://cline-app.com/qr-codes/98ad6f149bfa20f4f2a9a2e91aac4187/preview")</f>
        <v>不正出血のご相談は「一般婦人科診療」のメニューでご予約ください。WEB問診票に症状をご入力ください。ご予約は公式LINEから24時間承っております。LINEはこちら→https://cline-app.com/qr-codes/98ad6f149bfa20f4f2a9a2e91aac4187/preview</v>
      </c>
      <c r="C1085" s="31" t="str">
        <f>IFERROR(__xludf.DUMMYFUNCTION("""COMPUTED_VALUE"""),"不正出血")</f>
        <v>不正出血</v>
      </c>
      <c r="D1085" s="31" t="str">
        <f>IFERROR(__xludf.DUMMYFUNCTION("""COMPUTED_VALUE"""),"不正出血,予約メニュー,一般婦人科診療")</f>
        <v>不正出血,予約メニュー,一般婦人科診療</v>
      </c>
      <c r="E1085" s="31"/>
    </row>
    <row r="1086">
      <c r="A1086" s="31" t="str">
        <f>IFERROR(__xludf.DUMMYFUNCTION("""COMPUTED_VALUE"""),"生理痛の相談は予約メニューで何を選べばいいですか？/生理痛の予約はどのメニューですか？")</f>
        <v>生理痛の相談は予約メニューで何を選べばいいですか？/生理痛の予約はどのメニューですか？</v>
      </c>
      <c r="B1086" s="31" t="str">
        <f>IFERROR(__xludf.DUMMYFUNCTION("""COMPUTED_VALUE"""),"生理痛のご相談は「一般婦人科診療」のメニューでご予約ください。WEB問診票に症状をご入力ください。ご予約は公式LINEから24時間承っております。LINEはこちら→https://cline-app.com/qr-codes/98ad6f149bfa20f4f2a9a2e91aac4187/preview")</f>
        <v>生理痛のご相談は「一般婦人科診療」のメニューでご予約ください。WEB問診票に症状をご入力ください。ご予約は公式LINEから24時間承っております。LINEはこちら→https://cline-app.com/qr-codes/98ad6f149bfa20f4f2a9a2e91aac4187/preview</v>
      </c>
      <c r="C1086" s="31" t="str">
        <f>IFERROR(__xludf.DUMMYFUNCTION("""COMPUTED_VALUE"""),"生理痛")</f>
        <v>生理痛</v>
      </c>
      <c r="D1086" s="31" t="str">
        <f>IFERROR(__xludf.DUMMYFUNCTION("""COMPUTED_VALUE"""),"生理痛,予約メニュー,一般婦人科診療")</f>
        <v>生理痛,予約メニュー,一般婦人科診療</v>
      </c>
      <c r="E1086" s="31"/>
    </row>
    <row r="1087">
      <c r="A1087" s="31" t="str">
        <f>IFERROR(__xludf.DUMMYFUNCTION("""COMPUTED_VALUE"""),"コンジローマの予約は何のメニューですか？/コンジローマは予約メニューで何を選べばいいですか？")</f>
        <v>コンジローマの予約は何のメニューですか？/コンジローマは予約メニューで何を選べばいいですか？</v>
      </c>
      <c r="B1087" s="31" t="str">
        <f>IFERROR(__xludf.DUMMYFUNCTION("""COMPUTED_VALUE"""),"コンジローマのご相談・治療は「一般婦人科診療」のメニューでご予約ください。WEB問診票に症状をご入力ください。ご予約は公式LINEから24時間承っております。LINEはこちら→https://cline-app.com/qr-codes/98ad6f149bfa20f4f2a9a2e91aac4187/preview")</f>
        <v>コンジローマのご相談・治療は「一般婦人科診療」のメニューでご予約ください。WEB問診票に症状をご入力ください。ご予約は公式LINEから24時間承っております。LINEはこちら→https://cline-app.com/qr-codes/98ad6f149bfa20f4f2a9a2e91aac4187/preview</v>
      </c>
      <c r="C1087" s="31" t="str">
        <f>IFERROR(__xludf.DUMMYFUNCTION("""COMPUTED_VALUE"""),"性感染症")</f>
        <v>性感染症</v>
      </c>
      <c r="D1087" s="31" t="str">
        <f>IFERROR(__xludf.DUMMYFUNCTION("""COMPUTED_VALUE"""),"コンジローマ,予約メニュー,一般婦人科診療")</f>
        <v>コンジローマ,予約メニュー,一般婦人科診療</v>
      </c>
      <c r="E1087" s="31"/>
    </row>
    <row r="1088">
      <c r="A1088" s="31" t="str">
        <f>IFERROR(__xludf.DUMMYFUNCTION("""COMPUTED_VALUE"""),"保険ピルの再診は予約メニューで何を選べばいいですか？/保険ピルの継続処方の予約メニューは？")</f>
        <v>保険ピルの再診は予約メニューで何を選べばいいですか？/保険ピルの継続処方の予約メニューは？</v>
      </c>
      <c r="B1088" s="31" t="str">
        <f>IFERROR(__xludf.DUMMYFUNCTION("""COMPUTED_VALUE"""),"保険ピルの継続処方で当院に処方歴がある方は「保険ピル（診察あり）」のメニューでご予約ください。当院での処方が初めての方は「ピル処方」でご予約ください。ご予約は公式LINEから24時間承っております。LINEはこちら→https://cline-app.com/qr-codes/98ad6f149bfa20f4f2a9a2e91aac4187/preview")</f>
        <v>保険ピルの継続処方で当院に処方歴がある方は「保険ピル（診察あり）」のメニューでご予約ください。当院での処方が初めての方は「ピル処方」でご予約ください。ご予約は公式LINEから24時間承っております。LINEはこちら→https://cline-app.com/qr-codes/98ad6f149bfa20f4f2a9a2e91aac4187/preview</v>
      </c>
      <c r="C1088" s="31" t="str">
        <f>IFERROR(__xludf.DUMMYFUNCTION("""COMPUTED_VALUE"""),"低用量ピル（保険）")</f>
        <v>低用量ピル（保険）</v>
      </c>
      <c r="D1088" s="31" t="str">
        <f>IFERROR(__xludf.DUMMYFUNCTION("""COMPUTED_VALUE"""),"保険ピル,再診,継続処方,予約メニュー")</f>
        <v>保険ピル,再診,継続処方,予約メニュー</v>
      </c>
      <c r="E1088" s="31"/>
    </row>
    <row r="1089">
      <c r="A1089" s="31" t="str">
        <f>IFERROR(__xludf.DUMMYFUNCTION("""COMPUTED_VALUE"""),"自費ピルの薬だけ欲しいのですが/診察なしで薬だけもらえますか？/以前もらった薬を追加でもらえますか？/診察はしないで薬だけもらいたい/診察なしで薬だけ欲しい/薬だけもらいたい/薬を貰いに行く為の予約項目/他の病院で処方された薬を出してほしい/他院で処方されたデュファストンを継続したい/他院の薬を追加で出してほしい/処方箋のみ/処方箋だけ欲しい/処方箋が欲しい/再来は薬のみの処方は可能ですか？")</f>
        <v>自費ピルの薬だけ欲しいのですが/診察なしで薬だけもらえますか？/以前もらった薬を追加でもらえますか？/診察はしないで薬だけもらいたい/診察なしで薬だけ欲しい/薬だけもらいたい/薬を貰いに行く為の予約項目/他の病院で処方された薬を出してほしい/他院で処方されたデュファストンを継続したい/他院の薬を追加で出してほしい/処方箋のみ/処方箋だけ欲しい/処方箋が欲しい/再来は薬のみの処方は可能ですか？</v>
      </c>
      <c r="B1089" s="31" t="str">
        <f>IFERROR(__xludf.DUMMYFUNCTION("""COMPUTED_VALUE"""),"【自費ピルの場合】当院で自費ピルの処方歴がある方は「自費ピル処方（薬のみで診察希望なし）」のメニューでご予約ください。当院での処方が初めての方は「ピル処方」でご予約ください。【ピル以外のお薬の場合】ピル以外のお薬は診察なしでの処方はできかねます。「一般婦人科診療（前回の続き）」のメニューでご予約ください。ご予約は公式LINEから24時間承っております。LINEはこちら→https://cline-app.com/qr-codes/98ad6f149bfa20f4f2a9a2e91aac4187/previ"&amp;"ew")</f>
        <v>【自費ピルの場合】当院で自費ピルの処方歴がある方は「自費ピル処方（薬のみで診察希望なし）」のメニューでご予約ください。当院での処方が初めての方は「ピル処方」でご予約ください。【ピル以外のお薬の場合】ピル以外のお薬は診察なしでの処方はできかねます。「一般婦人科診療（前回の続き）」のメニューでご予約ください。ご予約は公式LINEから24時間承っております。LINEはこちら→https://cline-app.com/qr-codes/98ad6f149bfa20f4f2a9a2e91aac4187/preview</v>
      </c>
      <c r="C1089" s="31" t="str">
        <f>IFERROR(__xludf.DUMMYFUNCTION("""COMPUTED_VALUE"""),"低用量ピル（自費）")</f>
        <v>低用量ピル（自費）</v>
      </c>
      <c r="D1089" s="31" t="str">
        <f>IFERROR(__xludf.DUMMYFUNCTION("""COMPUTED_VALUE"""),"自費ピル,薬のみ,処方のみ,予約メニュー,薬だけ,診察なし")</f>
        <v>自費ピル,薬のみ,処方のみ,予約メニュー,薬だけ,診察なし</v>
      </c>
      <c r="E1089" s="31"/>
    </row>
    <row r="1090">
      <c r="A1090" s="31" t="str">
        <f>IFERROR(__xludf.DUMMYFUNCTION("""COMPUTED_VALUE"""),"検査結果を聞きたいのですが予約メニューは何を選べばいいですか？/検査結果の説明を受けたい")</f>
        <v>検査結果を聞きたいのですが予約メニューは何を選べばいいですか？/検査結果の説明を受けたい</v>
      </c>
      <c r="B1090" s="31" t="str">
        <f>IFERROR(__xludf.DUMMYFUNCTION("""COMPUTED_VALUE"""),"検査結果の説明をご希望の方は「検査結果説明」のメニューでご予約ください。治療も含めてのご案内が可能です。ご予約は公式LINEから24時間承っております。LINEはこちら→https://cline-app.com/qr-codes/98ad6f149bfa20f4f2a9a2e91aac4187/preview")</f>
        <v>検査結果の説明をご希望の方は「検査結果説明」のメニューでご予約ください。治療も含めてのご案内が可能です。ご予約は公式LINEから24時間承っております。LINEはこちら→https://cline-app.com/qr-codes/98ad6f149bfa20f4f2a9a2e91aac4187/preview</v>
      </c>
      <c r="C1090" s="31" t="str">
        <f>IFERROR(__xludf.DUMMYFUNCTION("""COMPUTED_VALUE"""),"検査結果・確認方法")</f>
        <v>検査結果・確認方法</v>
      </c>
      <c r="D1090" s="31" t="str">
        <f>IFERROR(__xludf.DUMMYFUNCTION("""COMPUTED_VALUE"""),"検査結果,結果説明,予約メニュー")</f>
        <v>検査結果,結果説明,予約メニュー</v>
      </c>
      <c r="E1090" s="31"/>
    </row>
    <row r="1091">
      <c r="A1091" s="31" t="str">
        <f>IFERROR(__xludf.DUMMYFUNCTION("""COMPUTED_VALUE"""),"予約は何日前から可能ですか？/いつから予約できますか？/当日予約はできますか？/予約はいつから取れますか？")</f>
        <v>予約は何日前から可能ですか？/いつから予約できますか？/当日予約はできますか？/予約はいつから取れますか？</v>
      </c>
      <c r="B1091" s="31" t="str">
        <f>IFERROR(__xludf.DUMMYFUNCTION("""COMPUTED_VALUE"""),"ご予約はいつでも可能です。当日でも枠が空いていればご予約いただけます。ご予約は公式LINEから24時間承っております。LINEはこちら→https://cline-app.com/qr-codes/98ad6f149bfa20f4f2a9a2e91aac4187/preview")</f>
        <v>ご予約はいつでも可能です。当日でも枠が空いていればご予約いただけます。ご予約は公式LINEから24時間承っております。LINEはこちら→https://cline-app.com/qr-codes/98ad6f149bfa20f4f2a9a2e91aac4187/preview</v>
      </c>
      <c r="C1091" s="31" t="str">
        <f>IFERROR(__xludf.DUMMYFUNCTION("""COMPUTED_VALUE"""),"予約・受診")</f>
        <v>予約・受診</v>
      </c>
      <c r="D1091" s="31" t="str">
        <f>IFERROR(__xludf.DUMMYFUNCTION("""COMPUTED_VALUE"""),"予約,何日前,いつから,当日予約,当日枠")</f>
        <v>予約,何日前,いつから,当日予約,当日枠</v>
      </c>
      <c r="E1091" s="31"/>
    </row>
    <row r="1092">
      <c r="A1092" s="31" t="str">
        <f>IFERROR(__xludf.DUMMYFUNCTION("""COMPUTED_VALUE"""),"生理中に性病検査はできますか？/生理中におりもの検査はできますか？/生理中でも性感染症検査は受けられますか？/生理中に子宮頸がん検診はできますか？/生理中にHPV検査はできますか？/生理中に子宮頸がん検査はできますか？/生理中でもクラミジア検査は受けられますか？/カンジダの症状があるが、生理中でも受診できるか")</f>
        <v>生理中に性病検査はできますか？/生理中におりもの検査はできますか？/生理中でも性感染症検査は受けられますか？/生理中に子宮頸がん検診はできますか？/生理中にHPV検査はできますか？/生理中に子宮頸がん検査はできますか？/生理中でもクラミジア検査は受けられますか？/カンジダの症状があるが、生理中でも受診できるか</v>
      </c>
      <c r="B1092" s="31" t="str">
        <f>IFERROR(__xludf.DUMMYFUNCTION("""COMPUTED_VALUE"""),"HPV検査・子宮頸がん・性病検査は生理の日にちを避けた方が良いですが、不正出血などで悩まれている場合は生理中の受診も可能でございます。生理中でも内診台に乗っていただく場合がございますので、気になるようでしたら生理後にご受診ください。また、生理中でも検査は可能ですが、経血量が多い時期は検査精度に影響する可能性があるため、可能な限り避けていただくことを当院ではおすすめしています。")</f>
        <v>HPV検査・子宮頸がん・性病検査は生理の日にちを避けた方が良いですが、不正出血などで悩まれている場合は生理中の受診も可能でございます。生理中でも内診台に乗っていただく場合がございますので、気になるようでしたら生理後にご受診ください。また、生理中でも検査は可能ですが、経血量が多い時期は検査精度に影響する可能性があるため、可能な限り避けていただくことを当院ではおすすめしています。</v>
      </c>
      <c r="C1092" s="31" t="str">
        <f>IFERROR(__xludf.DUMMYFUNCTION("""COMPUTED_VALUE"""),"性感染症検査")</f>
        <v>性感染症検査</v>
      </c>
      <c r="D1092" s="31" t="str">
        <f>IFERROR(__xludf.DUMMYFUNCTION("""COMPUTED_VALUE"""),"生理中,性病検査,性感染症検査,おりもの検査,できる")</f>
        <v>生理中,性病検査,性感染症検査,おりもの検査,できる</v>
      </c>
      <c r="E1092" s="31"/>
    </row>
    <row r="1093">
      <c r="A1093" s="31" t="str">
        <f>IFERROR(__xludf.DUMMYFUNCTION("""COMPUTED_VALUE"""),"陰部のかゆみがあるのですが診てもらえますか？/外陰の腫れを診察できますか？/膣のただれを検査できますか？/カンジダでも診てもらえますか？/カンジタの診断はできますか？/痒みがあるのですが受診できますか？")</f>
        <v>陰部のかゆみがあるのですが診てもらえますか？/外陰の腫れを診察できますか？/膣のただれを検査できますか？/カンジダでも診てもらえますか？/カンジタの診断はできますか？/痒みがあるのですが受診できますか？</v>
      </c>
      <c r="B1093" s="31" t="str">
        <f>IFERROR(__xludf.DUMMYFUNCTION("""COMPUTED_VALUE"""),"かゆみ・腫れ・ただれなどの婦人科症状は当院で対応可能です。「一般婦人科診療」のメニューでご予約いただき、WEB問診票に症状をご入力ください。ご予約は公式LINEから24時間承っております。LINEはこちら→https://cline-app.com/qr-codes/98ad6f149bfa20f4f2a9a2e91aac4187/preview")</f>
        <v>かゆみ・腫れ・ただれなどの婦人科症状は当院で対応可能です。「一般婦人科診療」のメニューでご予約いただき、WEB問診票に症状をご入力ください。ご予約は公式LINEから24時間承っております。LINEはこちら→https://cline-app.com/qr-codes/98ad6f149bfa20f4f2a9a2e91aac4187/preview</v>
      </c>
      <c r="C1093" s="31" t="str">
        <f>IFERROR(__xludf.DUMMYFUNCTION("""COMPUTED_VALUE"""),"受診案内")</f>
        <v>受診案内</v>
      </c>
      <c r="D1093" s="31" t="str">
        <f>IFERROR(__xludf.DUMMYFUNCTION("""COMPUTED_VALUE"""),"かゆみ,痒み,腫れ,ただれ,カンジダ,カンジタ,外陰,陰部,対応可能,診察")</f>
        <v>かゆみ,痒み,腫れ,ただれ,カンジダ,カンジタ,外陰,陰部,対応可能,診察</v>
      </c>
      <c r="E1093" s="31"/>
    </row>
    <row r="1094">
      <c r="A1094" s="31" t="str">
        <f>IFERROR(__xludf.DUMMYFUNCTION("""COMPUTED_VALUE"""),"子宮内膜症を調べてほしいのですが/子宮が痛いので受診したい/PMSがひどくなった/生理痛がひどい/生理が止まらない/一ヶ月生理が続いている/子宮内膜症の検査はできますか？/子宮内膜症の予約方法を教えてください/PMSの症状での予約方法")</f>
        <v>子宮内膜症を調べてほしいのですが/子宮が痛いので受診したい/PMSがひどくなった/生理痛がひどい/生理が止まらない/一ヶ月生理が続いている/子宮内膜症の検査はできますか？/子宮内膜症の予約方法を教えてください/PMSの症状での予約方法</v>
      </c>
      <c r="B1094" s="31" t="str">
        <f>IFERROR(__xludf.DUMMYFUNCTION("""COMPUTED_VALUE"""),"生理トラブルや婦人科症状のご相談は当院で対応可能です。「一般婦人科診療」のメニューでご予約いただき、WEB問診票に症状をご入力ください。ご予約は公式LINEから24時間承っております。LINEはこちら→https://cline-app.com/qr-codes/98ad6f149bfa20f4f2a9a2e91aac4187/preview")</f>
        <v>生理トラブルや婦人科症状のご相談は当院で対応可能です。「一般婦人科診療」のメニューでご予約いただき、WEB問診票に症状をご入力ください。ご予約は公式LINEから24時間承っております。LINEはこちら→https://cline-app.com/qr-codes/98ad6f149bfa20f4f2a9a2e91aac4187/preview</v>
      </c>
      <c r="C1094" s="31" t="str">
        <f>IFERROR(__xludf.DUMMYFUNCTION("""COMPUTED_VALUE"""),"受診案内")</f>
        <v>受診案内</v>
      </c>
      <c r="D1094" s="31" t="str">
        <f>IFERROR(__xludf.DUMMYFUNCTION("""COMPUTED_VALUE"""),"子宮内膜症,PMS,生理痛,生理が止まらない,生理トラブル,対応可能,診察")</f>
        <v>子宮内膜症,PMS,生理痛,生理が止まらない,生理トラブル,対応可能,診察</v>
      </c>
      <c r="E1094" s="31"/>
    </row>
    <row r="1095">
      <c r="A1095" s="31" t="str">
        <f>IFERROR(__xludf.DUMMYFUNCTION("""COMPUTED_VALUE"""),"性病かもしれないのですが検査できますか？/性感染症が心配です/クラミジア陽性で治療したい/性病検査で陽性だったので薬がほしい")</f>
        <v>性病かもしれないのですが検査できますか？/性感染症が心配です/クラミジア陽性で治療したい/性病検査で陽性だったので薬がほしい</v>
      </c>
      <c r="B1095" s="31" t="str">
        <f>IFERROR(__xludf.DUMMYFUNCTION("""COMPUTED_VALUE"""),"性感染症の検査・治療は当院で対応可能です。「一般婦人科診療」のメニューでご予約いただき、WEB問診票に検査希望の内容をご入力ください。治療費は保険適用の場合と自費の場合がございます。料金の詳細は各院の料金ページをご確認ください。ご予約は公式LINEから24時間承っております。LINEはこちら→https://cline-app.com/qr-codes/98ad6f149bfa20f4f2a9a2e91aac4187/preview")</f>
        <v>性感染症の検査・治療は当院で対応可能です。「一般婦人科診療」のメニューでご予約いただき、WEB問診票に検査希望の内容をご入力ください。治療費は保険適用の場合と自費の場合がございます。料金の詳細は各院の料金ページをご確認ください。ご予約は公式LINEから24時間承っております。LINEはこちら→https://cline-app.com/qr-codes/98ad6f149bfa20f4f2a9a2e91aac4187/preview</v>
      </c>
      <c r="C1095" s="31" t="str">
        <f>IFERROR(__xludf.DUMMYFUNCTION("""COMPUTED_VALUE"""),"性感染症検査")</f>
        <v>性感染症検査</v>
      </c>
      <c r="D1095" s="31" t="str">
        <f>IFERROR(__xludf.DUMMYFUNCTION("""COMPUTED_VALUE"""),"性病,性感染症,クラミジア,陽性,治療,薬,心配,検査")</f>
        <v>性病,性感染症,クラミジア,陽性,治療,薬,心配,検査</v>
      </c>
      <c r="E1095" s="31"/>
    </row>
    <row r="1096">
      <c r="A1096" s="31" t="str">
        <f>IFERROR(__xludf.DUMMYFUNCTION("""COMPUTED_VALUE"""),"かかりつけ医が開いていない土日に診てもらえますか？/土日祝は診療していますか？/休日でも受診できますか？")</f>
        <v>かかりつけ医が開いていない土日に診てもらえますか？/土日祝は診療していますか？/休日でも受診できますか？</v>
      </c>
      <c r="B1096" s="31" t="str">
        <f>IFERROR(__xludf.DUMMYFUNCTION("""COMPUTED_VALUE"""),"当院は土日祝も診療しております。診療時間は院によって異なりますので、詳しくは各院のページをご確認ください。・横浜駅前院：https://luna-dr.com/yokohama/ ・川崎駅前院：https://luna-dr.com/kawasaki/ ・町田駅前院：https://luna-dr.com/machida/ ご予約は公式LINEから24時間承っております。LINEはこちら→https://cline-app.com/qr-codes/98ad6f149bfa20f4f2a9a2e91aac"&amp;"4187/preview")</f>
        <v>当院は土日祝も診療しております。診療時間は院によって異なりますので、詳しくは各院のページをご確認ください。・横浜駅前院：https://luna-dr.com/yokohama/ ・川崎駅前院：https://luna-dr.com/kawasaki/ ・町田駅前院：https://luna-dr.com/machida/ ご予約は公式LINEから24時間承っております。LINEはこちら→https://cline-app.com/qr-codes/98ad6f149bfa20f4f2a9a2e91aac4187/preview</v>
      </c>
      <c r="C1096" s="31" t="str">
        <f>IFERROR(__xludf.DUMMYFUNCTION("""COMPUTED_VALUE"""),"診療時間")</f>
        <v>診療時間</v>
      </c>
      <c r="D1096" s="31" t="str">
        <f>IFERROR(__xludf.DUMMYFUNCTION("""COMPUTED_VALUE"""),"土日,祝日,休日,土日祝,かかりつけ,開いていない")</f>
        <v>土日,祝日,休日,土日祝,かかりつけ,開いていない</v>
      </c>
      <c r="E1096" s="31"/>
    </row>
    <row r="1097">
      <c r="A1097" s="31" t="str">
        <f>IFERROR(__xludf.DUMMYFUNCTION("""COMPUTED_VALUE"""),"駐輪場はありますか？/駐車場はありますか？/車で行けますか？/自転車で行けますか？")</f>
        <v>駐輪場はありますか？/駐車場はありますか？/車で行けますか？/自転車で行けますか？</v>
      </c>
      <c r="B1097" s="31" t="str">
        <f>IFERROR(__xludf.DUMMYFUNCTION("""COMPUTED_VALUE"""),"当院（全院）では提携している駐車場・駐輪場はございません。お近くのパーキングをご利用ください。なお、駐車場・駐輪場の利用料は患者さまのご負担となりますので、予めご了承いただけますと幸いです。")</f>
        <v>当院（全院）では提携している駐車場・駐輪場はございません。お近くのパーキングをご利用ください。なお、駐車場・駐輪場の利用料は患者さまのご負担となりますので、予めご了承いただけますと幸いです。</v>
      </c>
      <c r="C1097" s="31" t="str">
        <f>IFERROR(__xludf.DUMMYFUNCTION("""COMPUTED_VALUE"""),"アクセス")</f>
        <v>アクセス</v>
      </c>
      <c r="D1097" s="31" t="str">
        <f>IFERROR(__xludf.DUMMYFUNCTION("""COMPUTED_VALUE"""),"駐輪場,駐車場,自転車,車,パーキング,利用料")</f>
        <v>駐輪場,駐車場,自転車,車,パーキング,利用料</v>
      </c>
      <c r="E1097" s="31"/>
    </row>
    <row r="1098">
      <c r="A1098" s="31" t="str">
        <f>IFERROR(__xludf.DUMMYFUNCTION("""COMPUTED_VALUE"""),"排卵しているか診てもらえますか？/排卵検査はできますか？/排卵日を調べてほしい/排卵チェックはできますか？")</f>
        <v>排卵しているか診てもらえますか？/排卵検査はできますか？/排卵日を調べてほしい/排卵チェックはできますか？</v>
      </c>
      <c r="B1098" s="31" t="str">
        <f>IFERROR(__xludf.DUMMYFUNCTION("""COMPUTED_VALUE"""),"恐れ入りますが、当院では妊娠・妊活・不妊に関する診療を行っておりませんので、排卵に関する検査は行っておりません。")</f>
        <v>恐れ入りますが、当院では妊娠・妊活・不妊に関する診療を行っておりませんので、排卵に関する検査は行っておりません。</v>
      </c>
      <c r="C1098" s="31" t="str">
        <f>IFERROR(__xludf.DUMMYFUNCTION("""COMPUTED_VALUE"""),"受診可否・対応不可")</f>
        <v>受診可否・対応不可</v>
      </c>
      <c r="D1098" s="31" t="str">
        <f>IFERROR(__xludf.DUMMYFUNCTION("""COMPUTED_VALUE"""),"排卵,排卵検査,排卵日,排卵チェック,妊活,不妊")</f>
        <v>排卵,排卵検査,排卵日,排卵チェック,妊活,不妊</v>
      </c>
      <c r="E1098" s="31"/>
    </row>
    <row r="1099">
      <c r="A1099" s="31" t="str">
        <f>IFERROR(__xludf.DUMMYFUNCTION("""COMPUTED_VALUE"""),"LINEを変えた時はどうすればいいですか？/LINEアカウントを変更した場合/LINE引き継ぎできなかった/LINEの機種変更")</f>
        <v>LINEを変えた時はどうすればいいですか？/LINEアカウントを変更した場合/LINE引き継ぎできなかった/LINEの機種変更</v>
      </c>
      <c r="B1099" s="31" t="str">
        <f>IFERROR(__xludf.DUMMYFUNCTION("""COMPUTED_VALUE"""),"LINEアカウントを変更された場合は、次回ご来院の際に受付にてご相談ください。")</f>
        <v>LINEアカウントを変更された場合は、次回ご来院の際に受付にてご相談ください。</v>
      </c>
      <c r="C1099" s="31" t="str">
        <f>IFERROR(__xludf.DUMMYFUNCTION("""COMPUTED_VALUE"""),"受診案内・手続き")</f>
        <v>受診案内・手続き</v>
      </c>
      <c r="D1099" s="31" t="str">
        <f>IFERROR(__xludf.DUMMYFUNCTION("""COMPUTED_VALUE"""),"LINE変更,アカウント変更,機種変更,引き継ぎ,LINE変えた")</f>
        <v>LINE変更,アカウント変更,機種変更,引き継ぎ,LINE変えた</v>
      </c>
      <c r="E1099" s="31"/>
    </row>
    <row r="1100">
      <c r="A1100" s="31" t="str">
        <f>IFERROR(__xludf.DUMMYFUNCTION("""COMPUTED_VALUE"""),"低用量ピルは最大何ヶ月分まで処方してもらえますか？/ピルはまとめて何シートもらえますか？/ピルの最大処方日数を教えてください")</f>
        <v>低用量ピルは最大何ヶ月分まで処方してもらえますか？/ピルはまとめて何シートもらえますか？/ピルの最大処方日数を教えてください</v>
      </c>
      <c r="B1100" s="31" t="str">
        <f>IFERROR(__xludf.DUMMYFUNCTION("""COMPUTED_VALUE"""),"低用量ピルの最大処方数は、ピルの種類によって異なります。【避妊目的のピル（OC・自費）】最大6ヶ月分まで処方可能です。【治療目的のピル（LEP・保険適用）】最大3ヶ月分まで処方可能です。※初診時はお薬がご自身に合うかを確認するため、1シートのみの処方となります。詳しくはこちらをご覧ください。→https://luna-dr.com/subjects/low-dose-contraceptive/")</f>
        <v>低用量ピルの最大処方数は、ピルの種類によって異なります。【避妊目的のピル（OC・自費）】最大6ヶ月分まで処方可能です。【治療目的のピル（LEP・保険適用）】最大3ヶ月分まで処方可能です。※初診時はお薬がご自身に合うかを確認するため、1シートのみの処方となります。詳しくはこちらをご覧ください。→https://luna-dr.com/subjects/low-dose-contraceptive/</v>
      </c>
      <c r="C1100" s="31" t="str">
        <f>IFERROR(__xludf.DUMMYFUNCTION("""COMPUTED_VALUE"""),"ピル処方")</f>
        <v>ピル処方</v>
      </c>
      <c r="D1100" s="31" t="str">
        <f>IFERROR(__xludf.DUMMYFUNCTION("""COMPUTED_VALUE"""),"最大処方,何ヶ月分,何シート,まとめて,処方日数,OC,LEP,6ヶ月,3ヶ月")</f>
        <v>最大処方,何ヶ月分,何シート,まとめて,処方日数,OC,LEP,6ヶ月,3ヶ月</v>
      </c>
      <c r="E1100" s="32" t="str">
        <f>IFERROR(__xludf.DUMMYFUNCTION("""COMPUTED_VALUE"""),"https://luna-dr.com/subjects/low-dose-contraceptive/")</f>
        <v>https://luna-dr.com/subjects/low-dose-contraceptive/</v>
      </c>
    </row>
    <row r="1101">
      <c r="A1101" s="31" t="str">
        <f>IFERROR(__xludf.DUMMYFUNCTION("""COMPUTED_VALUE"""),"未成年でもピルを処方してもらえますか？/低用量ピルを処方してもらいたいのですが未成年です/高校生でもピルはもらえますか？/親の同行は必要ですか？")</f>
        <v>未成年でもピルを処方してもらえますか？/低用量ピルを処方してもらいたいのですが未成年です/高校生でもピルはもらえますか？/親の同行は必要ですか？</v>
      </c>
      <c r="B1101" s="31" t="str">
        <f>IFERROR(__xludf.DUMMYFUNCTION("""COMPUTED_VALUE"""),"15歳以上であればピルの処方は可能です。ただし、18歳未満の患者さまは保護者の方の同伴が必須となります。ご予約は「ピル処方」のメニューからお取りください。ご予約は公式LINEから24時間承っております。LINEはこちら→https://cline-app.com/qr-codes/98ad6f149bfa20f4f2a9a2e91aac4187/preview")</f>
        <v>15歳以上であればピルの処方は可能です。ただし、18歳未満の患者さまは保護者の方の同伴が必須となります。ご予約は「ピル処方」のメニューからお取りください。ご予約は公式LINEから24時間承っております。LINEはこちら→https://cline-app.com/qr-codes/98ad6f149bfa20f4f2a9a2e91aac4187/preview</v>
      </c>
      <c r="C1101" s="31" t="str">
        <f>IFERROR(__xludf.DUMMYFUNCTION("""COMPUTED_VALUE"""),"ピル処方")</f>
        <v>ピル処方</v>
      </c>
      <c r="D1101" s="31" t="str">
        <f>IFERROR(__xludf.DUMMYFUNCTION("""COMPUTED_VALUE"""),"未成年,ピル,処方,保護者,同伴,高校生,15歳,18歳未満,親")</f>
        <v>未成年,ピル,処方,保護者,同伴,高校生,15歳,18歳未満,親</v>
      </c>
      <c r="E1101" s="31"/>
    </row>
    <row r="1102">
      <c r="A1102" s="31" t="str">
        <f>IFERROR(__xludf.DUMMYFUNCTION("""COMPUTED_VALUE"""),"陰唇縮小はできますか？/小陰唇縮小手術は対応していますか？/小陰唇についての診察は行っているか/小陰唇の相談はできますか")</f>
        <v>陰唇縮小はできますか？/小陰唇縮小手術は対応していますか？/小陰唇についての診察は行っているか/小陰唇の相談はできますか</v>
      </c>
      <c r="B1102" s="31" t="str">
        <f>IFERROR(__xludf.DUMMYFUNCTION("""COMPUTED_VALUE"""),"恐れ入りますが、陰唇縮小手術は当院では行っておりません。")</f>
        <v>恐れ入りますが、陰唇縮小手術は当院では行っておりません。</v>
      </c>
      <c r="C1102" s="31" t="str">
        <f>IFERROR(__xludf.DUMMYFUNCTION("""COMPUTED_VALUE"""),"受診可否・対応不可")</f>
        <v>受診可否・対応不可</v>
      </c>
      <c r="D1102" s="31" t="str">
        <f>IFERROR(__xludf.DUMMYFUNCTION("""COMPUTED_VALUE"""),"陰唇縮小,小陰唇,手術,美容外科")</f>
        <v>陰唇縮小,小陰唇,手術,美容外科</v>
      </c>
      <c r="E1102" s="31"/>
    </row>
    <row r="1103">
      <c r="A1103" s="31" t="str">
        <f>IFERROR(__xludf.DUMMYFUNCTION("""COMPUTED_VALUE"""),"利尿剤の処方はできますか？/利尿剤を出してもらえますか？")</f>
        <v>利尿剤の処方はできますか？/利尿剤を出してもらえますか？</v>
      </c>
      <c r="B1103" s="31" t="str">
        <f>IFERROR(__xludf.DUMMYFUNCTION("""COMPUTED_VALUE"""),"恐れ入りますが、利尿剤の処方は当院では行っておりません。")</f>
        <v>恐れ入りますが、利尿剤の処方は当院では行っておりません。</v>
      </c>
      <c r="C1103" s="31" t="str">
        <f>IFERROR(__xludf.DUMMYFUNCTION("""COMPUTED_VALUE"""),"受診可否・対応不可")</f>
        <v>受診可否・対応不可</v>
      </c>
      <c r="D1103" s="31" t="str">
        <f>IFERROR(__xludf.DUMMYFUNCTION("""COMPUTED_VALUE"""),"利尿剤,処方,対応不可")</f>
        <v>利尿剤,処方,対応不可</v>
      </c>
      <c r="E1103" s="31"/>
    </row>
    <row r="1104">
      <c r="A1104" s="31" t="str">
        <f>IFERROR(__xludf.DUMMYFUNCTION("""COMPUTED_VALUE"""),"高校生ですが予約はどうすればいいですか？/未成年の予約方法を教えてください/18歳未満の予約方法/未成年ですが予約できますか？/高校生の予約方法/10代の予約/子供の予約を取りたい/娘の予約を取りたい/高校生ひとりで受診できますか？/高校生1人で行っても大丈夫ですか？/ひとりで受診はできますか？/1人で受診できますか？/保護者なしで受診できますか？")</f>
        <v>高校生ですが予約はどうすればいいですか？/未成年の予約方法を教えてください/18歳未満の予約方法/未成年ですが予約できますか？/高校生の予約方法/10代の予約/子供の予約を取りたい/娘の予約を取りたい/高校生ひとりで受診できますか？/高校生1人で行っても大丈夫ですか？/ひとりで受診はできますか？/1人で受診できますか？/保護者なしで受診できますか？</v>
      </c>
      <c r="B1104" s="31" t="str">
        <f>IFERROR(__xludf.DUMMYFUNCTION("""COMPUTED_VALUE"""),"当院は15歳以上の方からご受診いただけます。18歳未満の患者さまはお1人でのご受診はできませんので、保護者の方の同伴が必須となります。ご予約は保護者の方とご一緒にご来院いただける日時で、ご希望の内容に応じたメニュー（一般婦人科診療・ピル処方等）からお取りください。LINEはこちら→https://cline-app.com/qr-codes/98ad6f149bfa20f4f2a9a2e91aac4187/preview")</f>
        <v>当院は15歳以上の方からご受診いただけます。18歳未満の患者さまはお1人でのご受診はできませんので、保護者の方の同伴が必須となります。ご予約は保護者の方とご一緒にご来院いただける日時で、ご希望の内容に応じたメニュー（一般婦人科診療・ピル処方等）からお取りください。LINEはこちら→https://cline-app.com/qr-codes/98ad6f149bfa20f4f2a9a2e91aac4187/preview</v>
      </c>
      <c r="C1104" s="31" t="str">
        <f>IFERROR(__xludf.DUMMYFUNCTION("""COMPUTED_VALUE"""),"受診案内")</f>
        <v>受診案内</v>
      </c>
      <c r="D1104" s="31" t="str">
        <f>IFERROR(__xludf.DUMMYFUNCTION("""COMPUTED_VALUE"""),"高校生,未成年,18歳未満,保護者,同伴,予約,母親と同伴")</f>
        <v>高校生,未成年,18歳未満,保護者,同伴,予約,母親と同伴</v>
      </c>
      <c r="E1104" s="31"/>
    </row>
    <row r="1105">
      <c r="A1105" s="31" t="str">
        <f>IFERROR(__xludf.DUMMYFUNCTION("""COMPUTED_VALUE"""),"妊娠中ですが外陰部のかゆみで受診できますか？/妊娠中の受診は可能ですか？/妊婦ですが診てもらえますか？")</f>
        <v>妊娠中ですが外陰部のかゆみで受診できますか？/妊娠中の受診は可能ですか？/妊婦ですが診てもらえますか？</v>
      </c>
      <c r="B1105" s="31" t="str">
        <f>IFERROR(__xludf.DUMMYFUNCTION("""COMPUTED_VALUE"""),"当院では妊娠12週未満の方のみご受診が可能です。かかりつけの産婦人科がある場合は、まずかかりつけ医でのご受診をお願いいたします。")</f>
        <v>当院では妊娠12週未満の方のみご受診が可能です。かかりつけの産婦人科がある場合は、まずかかりつけ医でのご受診をお願いいたします。</v>
      </c>
      <c r="C1105" s="31" t="str">
        <f>IFERROR(__xludf.DUMMYFUNCTION("""COMPUTED_VALUE"""),"受診案内")</f>
        <v>受診案内</v>
      </c>
      <c r="D1105" s="31" t="str">
        <f>IFERROR(__xludf.DUMMYFUNCTION("""COMPUTED_VALUE"""),"妊娠中,妊婦,外陰部,かゆみ,12週未満,かかりつけ")</f>
        <v>妊娠中,妊婦,外陰部,かゆみ,12週未満,かかりつけ</v>
      </c>
      <c r="E1105" s="31"/>
    </row>
    <row r="1106">
      <c r="A1106" s="31" t="str">
        <f>IFERROR(__xludf.DUMMYFUNCTION("""COMPUTED_VALUE"""),"中絶手術のキャンセルをしたいのですが/中絶手術の予約を変更したい/中絶オペの日程を変更したい/中絶手術の予約をキャンセルしたい")</f>
        <v>中絶手術のキャンセルをしたいのですが/中絶手術の予約を変更したい/中絶オペの日程を変更したい/中絶手術の予約をキャンセルしたい</v>
      </c>
      <c r="B1106" s="31" t="str">
        <f>IFERROR(__xludf.DUMMYFUNCTION("""COMPUTED_VALUE"""),"当院で中絶手術のご予約をお取りされている方は、キャンセル期限がございますので、お電話にてご連絡をお願いいたします。お電話：050-1730-2768（受付時間：平日9:45〜13:40・15:15〜19:40、土日祝9:45〜13:40・15:15〜18:40）※中絶相談のご予約（まだオペ予約を取っていない方）のキャンセルは、期限なくいつでも可能です。")</f>
        <v>当院で中絶手術のご予約をお取りされている方は、キャンセル期限がございますので、お電話にてご連絡をお願いいたします。お電話：050-1730-2768（受付時間：平日9:45〜13:40・15:15〜19:40、土日祝9:45〜13:40・15:15〜18:40）※中絶相談のご予約（まだオペ予約を取っていない方）のキャンセルは、期限なくいつでも可能です。</v>
      </c>
      <c r="C1106" s="31" t="str">
        <f>IFERROR(__xludf.DUMMYFUNCTION("""COMPUTED_VALUE"""),"中絶手術")</f>
        <v>中絶手術</v>
      </c>
      <c r="D1106" s="31" t="str">
        <f>IFERROR(__xludf.DUMMYFUNCTION("""COMPUTED_VALUE"""),"中絶手術,オペ,キャンセル,変更,日程変更,予約変更,キャンセル期限")</f>
        <v>中絶手術,オペ,キャンセル,変更,日程変更,予約変更,キャンセル期限</v>
      </c>
      <c r="E1106" s="31" t="str">
        <f>IFERROR(__xludf.DUMMYFUNCTION("""COMPUTED_VALUE"""),"nan")</f>
        <v>nan</v>
      </c>
    </row>
    <row r="1107">
      <c r="A1107" s="31" t="str">
        <f>IFERROR(__xludf.DUMMYFUNCTION("""COMPUTED_VALUE"""),"プラセンタ注射はできますか？/プラセンタ注射は対応していますか？")</f>
        <v>プラセンタ注射はできますか？/プラセンタ注射は対応していますか？</v>
      </c>
      <c r="B1107" s="31" t="str">
        <f>IFERROR(__xludf.DUMMYFUNCTION("""COMPUTED_VALUE"""),"恐れ入りますが、プラセンタ注射は当院では行っておりません。")</f>
        <v>恐れ入りますが、プラセンタ注射は当院では行っておりません。</v>
      </c>
      <c r="C1107" s="31" t="str">
        <f>IFERROR(__xludf.DUMMYFUNCTION("""COMPUTED_VALUE"""),"受診可否・対応不可")</f>
        <v>受診可否・対応不可</v>
      </c>
      <c r="D1107" s="31" t="str">
        <f>IFERROR(__xludf.DUMMYFUNCTION("""COMPUTED_VALUE"""),"プラセンタ,注射,対応不可")</f>
        <v>プラセンタ,注射,対応不可</v>
      </c>
      <c r="E1107" s="31"/>
    </row>
    <row r="1108">
      <c r="A1108" s="31" t="str">
        <f>IFERROR(__xludf.DUMMYFUNCTION("""COMPUTED_VALUE"""),"検査結果を聞きに行く場合、予約は必要ですか？/結果通知は予約なしで行けますか？/子宮頸がん検診の結果予約/検査結果の予約/結果を聞くための予約")</f>
        <v>検査結果を聞きに行く場合、予約は必要ですか？/結果通知は予約なしで行けますか？/子宮頸がん検診の結果予約/検査結果の予約/結果を聞くための予約</v>
      </c>
      <c r="B1108" s="31" t="str">
        <f>IFERROR(__xludf.DUMMYFUNCTION("""COMPUTED_VALUE"""),"検査結果の説明をご希望の場合は「検査結果説明」のメニューでご予約ください。→https://cline-app.com/qr-codes/98ad6f149bfa20f4f2a9a2e91aac4187/preview")</f>
        <v>検査結果の説明をご希望の場合は「検査結果説明」のメニューでご予約ください。→https://cline-app.com/qr-codes/98ad6f149bfa20f4f2a9a2e91aac4187/preview</v>
      </c>
      <c r="C1108" s="31" t="str">
        <f>IFERROR(__xludf.DUMMYFUNCTION("""COMPUTED_VALUE"""),"予約・受診")</f>
        <v>予約・受診</v>
      </c>
      <c r="D1108" s="31" t="str">
        <f>IFERROR(__xludf.DUMMYFUNCTION("""COMPUTED_VALUE"""),"検査結果,結果通知,予約,検査結果説明")</f>
        <v>検査結果,結果通知,予約,検査結果説明</v>
      </c>
      <c r="E1108" s="31"/>
    </row>
    <row r="1109">
      <c r="A1109" s="31" t="str">
        <f>IFERROR(__xludf.DUMMYFUNCTION("""COMPUTED_VALUE"""),"相模原市民ですが受診可能ですか？/他の市区町村からでも受診できますか？/他の市区町村の保険証でも受診できますか？")</f>
        <v>相模原市民ですが受診可能ですか？/他の市区町村からでも受診できますか？/他の市区町村の保険証でも受診できますか？</v>
      </c>
      <c r="B1109" s="31" t="str">
        <f>IFERROR(__xludf.DUMMYFUNCTION("""COMPUTED_VALUE"""),"お住まいの市区町村に関係なくご受診いただけます。健康保険証（またはマイナ保険証）をお持ちであれば、どの自治体の方でも保険診療が可能です。ただし、自治体のがん検診（公費）につきましては、横浜市・川崎市・町田市が対象となります。")</f>
        <v>お住まいの市区町村に関係なくご受診いただけます。健康保険証（またはマイナ保険証）をお持ちであれば、どの自治体の方でも保険診療が可能です。ただし、自治体のがん検診（公費）につきましては、横浜市・川崎市・町田市が対象となります。</v>
      </c>
      <c r="C1109" s="31" t="str">
        <f>IFERROR(__xludf.DUMMYFUNCTION("""COMPUTED_VALUE"""),"受診案内")</f>
        <v>受診案内</v>
      </c>
      <c r="D1109" s="31" t="str">
        <f>IFERROR(__xludf.DUMMYFUNCTION("""COMPUTED_VALUE"""),"相模原市,他の市区町村,保険証,受診可能,自治体")</f>
        <v>相模原市,他の市区町村,保険証,受診可能,自治体</v>
      </c>
      <c r="E1109" s="31"/>
    </row>
    <row r="1110">
      <c r="A1110" s="31" t="str">
        <f>IFERROR(__xludf.DUMMYFUNCTION("""COMPUTED_VALUE"""),"低用量ピルの治療目的の場合の検査って何ですか？/LEPの初回検査は何をしますか？")</f>
        <v>低用量ピルの治療目的の場合の検査って何ですか？/LEPの初回検査は何をしますか？</v>
      </c>
      <c r="B1110" s="31" t="str">
        <f>IFERROR(__xludf.DUMMYFUNCTION("""COMPUTED_VALUE"""),"治療目的（LEPピル）の場合、生理痛などの原因を詳しく調べるため、超音波（エコー）検査を行います。その上で、生理の回数を減らして負担を軽減する「ヤーズフレックス」など、症状に合ったお薬をご提案します。")</f>
        <v>治療目的（LEPピル）の場合、生理痛などの原因を詳しく調べるため、超音波（エコー）検査を行います。その上で、生理の回数を減らして負担を軽減する「ヤーズフレックス」など、症状に合ったお薬をご提案します。</v>
      </c>
      <c r="C1110" s="31" t="str">
        <f>IFERROR(__xludf.DUMMYFUNCTION("""COMPUTED_VALUE"""),"ピル処方")</f>
        <v>ピル処方</v>
      </c>
      <c r="D1110" s="31" t="str">
        <f>IFERROR(__xludf.DUMMYFUNCTION("""COMPUTED_VALUE"""),"LEP,治療目的,検査,エコー,超音波,初回")</f>
        <v>LEP,治療目的,検査,エコー,超音波,初回</v>
      </c>
      <c r="E1110" s="32" t="str">
        <f>IFERROR(__xludf.DUMMYFUNCTION("""COMPUTED_VALUE"""),"https://luna-dr.com/subjects/low-dose-contraceptive/")</f>
        <v>https://luna-dr.com/subjects/low-dose-contraceptive/</v>
      </c>
    </row>
    <row r="1111">
      <c r="A1111" s="31" t="str">
        <f>IFERROR(__xludf.DUMMYFUNCTION("""COMPUTED_VALUE"""),"AMH検査はどの予約メニューで取ればいいですか？/AMH検査の予約方法")</f>
        <v>AMH検査はどの予約メニューで取ればいいですか？/AMH検査の予約方法</v>
      </c>
      <c r="B1111" s="31" t="str">
        <f>IFERROR(__xludf.DUMMYFUNCTION("""COMPUTED_VALUE"""),"AMH検査のご予約は「一般婦人科診療」のメニューからお取りください。→https://cline-app.com/qr-codes/98ad6f149bfa20f4f2a9a2e91aac4187/preview")</f>
        <v>AMH検査のご予約は「一般婦人科診療」のメニューからお取りください。→https://cline-app.com/qr-codes/98ad6f149bfa20f4f2a9a2e91aac4187/preview</v>
      </c>
      <c r="C1111" s="31" t="str">
        <f>IFERROR(__xludf.DUMMYFUNCTION("""COMPUTED_VALUE"""),"ブライダルチェック")</f>
        <v>ブライダルチェック</v>
      </c>
      <c r="D1111" s="31" t="str">
        <f>IFERROR(__xludf.DUMMYFUNCTION("""COMPUTED_VALUE"""),"AMH,予約メニュー,一般婦人科診療,ブライダルチェック")</f>
        <v>AMH,予約メニュー,一般婦人科診療,ブライダルチェック</v>
      </c>
      <c r="E1111" s="31"/>
    </row>
    <row r="1112">
      <c r="A1112" s="31" t="str">
        <f>IFERROR(__xludf.DUMMYFUNCTION("""COMPUTED_VALUE"""),"出産費用はいくらですか？/出産はできますか？分娩は行っていますか？/出産できますか？/お産はできますか？/子供は産めますか？/産科受診/分娩は対応していますか？/無痛分娩はできますか")</f>
        <v>出産費用はいくらですか？/出産はできますか？分娩は行っていますか？/出産できますか？/お産はできますか？/子供は産めますか？/産科受診/分娩は対応していますか？/無痛分娩はできますか</v>
      </c>
      <c r="B1112" s="31" t="str">
        <f>IFERROR(__xludf.DUMMYFUNCTION("""COMPUTED_VALUE"""),"恐れ入りますが、当院は婦人科クリニックのため、分娩（出産）には対応しておりません。")</f>
        <v>恐れ入りますが、当院は婦人科クリニックのため、分娩（出産）には対応しておりません。</v>
      </c>
      <c r="C1112" s="31" t="str">
        <f>IFERROR(__xludf.DUMMYFUNCTION("""COMPUTED_VALUE"""),"受診可否・対応不可")</f>
        <v>受診可否・対応不可</v>
      </c>
      <c r="D1112" s="31" t="str">
        <f>IFERROR(__xludf.DUMMYFUNCTION("""COMPUTED_VALUE"""),"出産,分娩,対応不可,無痛分娩")</f>
        <v>出産,分娩,対応不可,無痛分娩</v>
      </c>
      <c r="E1112" s="31"/>
    </row>
    <row r="1113">
      <c r="A1113" s="31" t="str">
        <f>IFERROR(__xludf.DUMMYFUNCTION("""COMPUTED_VALUE"""),"資格確認書とは何ですか？/資格確認書について教えてください")</f>
        <v>資格確認書とは何ですか？/資格確認書について教えてください</v>
      </c>
      <c r="B1113" s="31" t="str">
        <f>IFERROR(__xludf.DUMMYFUNCTION("""COMPUTED_VALUE"""),"資格確認書は、健康保険の加入状況を証明する書類です。マイナ保険証をお持ちでない方は、お手元の資格確認書を保険証の代わりとしてご持参ください。")</f>
        <v>資格確認書は、健康保険の加入状況を証明する書類です。マイナ保険証をお持ちでない方は、お手元の資格確認書を保険証の代わりとしてご持参ください。</v>
      </c>
      <c r="C1113" s="31" t="str">
        <f>IFERROR(__xludf.DUMMYFUNCTION("""COMPUTED_VALUE"""),"受診案内")</f>
        <v>受診案内</v>
      </c>
      <c r="D1113" s="31" t="str">
        <f>IFERROR(__xludf.DUMMYFUNCTION("""COMPUTED_VALUE"""),"資格確認書,保険証,マイナ保険証")</f>
        <v>資格確認書,保険証,マイナ保険証</v>
      </c>
      <c r="E1113" s="31"/>
    </row>
    <row r="1114">
      <c r="A1114" s="31" t="str">
        <f>IFERROR(__xludf.DUMMYFUNCTION("""COMPUTED_VALUE"""),"予約の日時を変更したいのですが/予約日を変更できますか？/予約変更の方法を教えてください")</f>
        <v>予約の日時を変更したいのですが/予約日を変更できますか？/予約変更の方法を教えてください</v>
      </c>
      <c r="B1114" s="31" t="str">
        <f>IFERROR(__xludf.DUMMYFUNCTION("""COMPUTED_VALUE"""),"ご予約の日時変更は、LINEの予約画面から変更が可能です。一度ご予約をキャンセルいただき、ご希望の日時で再度ご予約をお取りください。→https://cline-app.com/qr-codes/98ad6f149bfa20f4f2a9a2e91aac4187/preview")</f>
        <v>ご予約の日時変更は、LINEの予約画面から変更が可能です。一度ご予約をキャンセルいただき、ご希望の日時で再度ご予約をお取りください。→https://cline-app.com/qr-codes/98ad6f149bfa20f4f2a9a2e91aac4187/preview</v>
      </c>
      <c r="C1114" s="31" t="str">
        <f>IFERROR(__xludf.DUMMYFUNCTION("""COMPUTED_VALUE"""),"予約・受診")</f>
        <v>予約・受診</v>
      </c>
      <c r="D1114" s="31" t="str">
        <f>IFERROR(__xludf.DUMMYFUNCTION("""COMPUTED_VALUE"""),"予約変更,日時変更,変更方法")</f>
        <v>予約変更,日時変更,変更方法</v>
      </c>
      <c r="E1114" s="31"/>
    </row>
    <row r="1115">
      <c r="A1115" s="31" t="str">
        <f>IFERROR(__xludf.DUMMYFUNCTION("""COMPUTED_VALUE"""),"ベトナム語の通訳はいますか？/通訳はいますか？")</f>
        <v>ベトナム語の通訳はいますか？/通訳はいますか？</v>
      </c>
      <c r="B1115" s="31" t="str">
        <f>IFERROR(__xludf.DUMMYFUNCTION("""COMPUTED_VALUE"""),"恐れ入りますが、当院では通訳のご用意はございません。患者さまご本人が日本語で直接コミュニケーションが取れることが必要となります。")</f>
        <v>恐れ入りますが、当院では通訳のご用意はございません。患者さまご本人が日本語で直接コミュニケーションが取れることが必要となります。</v>
      </c>
      <c r="C1115" s="31" t="str">
        <f>IFERROR(__xludf.DUMMYFUNCTION("""COMPUTED_VALUE"""),"受診案内")</f>
        <v>受診案内</v>
      </c>
      <c r="D1115" s="31" t="str">
        <f>IFERROR(__xludf.DUMMYFUNCTION("""COMPUTED_VALUE"""),"通訳,ベトナム語,外国語,対応")</f>
        <v>通訳,ベトナム語,外国語,対応</v>
      </c>
      <c r="E1115" s="31"/>
    </row>
    <row r="1116">
      <c r="A1116" s="31" t="str">
        <f>IFERROR(__xludf.DUMMYFUNCTION("""COMPUTED_VALUE"""),"HPVワクチンは何回打つ必要がありますか？/子宮頸がんワクチンは全部で何回接種しますか？/HPVワクチンの接種回数を教えてください/HPVワクチンは何回打ちますか？")</f>
        <v>HPVワクチンは何回打つ必要がありますか？/子宮頸がんワクチンは全部で何回接種しますか？/HPVワクチンの接種回数を教えてください/HPVワクチンは何回打ちますか？</v>
      </c>
      <c r="B1116" s="31" t="str">
        <f>IFERROR(__xludf.DUMMYFUNCTION("""COMPUTED_VALUE"""),"HPVワクチン（子宮頸がんワクチン）は、接種開始時の年齢によって合計2回または3回接種します。当院で取り扱っている9価ワクチン（シルガード9）の場合、15歳未満で初回接種をすれば2回、15歳以上で開始した場合は3回接種となります。【15歳未満で初回接種の場合（2回）】1回目から6か月〜12か月間隔を空けて2回目を接種。※1回目と2回目は5か月以上空ける必要があります。【15歳以上で初回接種の場合（3回）】1回目から2か月後に2回目、1回目から6か月後に3回目を接種。※標準的なスケジュールが難しい場合、2回"&amp;"目は1か月以上、3回目は2回目から3か月以上空けます。HPVワクチンのご予約はお電話（050-1730-2768）にて承っております。")</f>
        <v>HPVワクチン（子宮頸がんワクチン）は、接種開始時の年齢によって合計2回または3回接種します。当院で取り扱っている9価ワクチン（シルガード9）の場合、15歳未満で初回接種をすれば2回、15歳以上で開始した場合は3回接種となります。【15歳未満で初回接種の場合（2回）】1回目から6か月〜12か月間隔を空けて2回目を接種。※1回目と2回目は5か月以上空ける必要があります。【15歳以上で初回接種の場合（3回）】1回目から2か月後に2回目、1回目から6か月後に3回目を接種。※標準的なスケジュールが難しい場合、2回目は1か月以上、3回目は2回目から3か月以上空けます。HPVワクチンのご予約はお電話（050-1730-2768）にて承っております。</v>
      </c>
      <c r="C1116" s="31" t="str">
        <f>IFERROR(__xludf.DUMMYFUNCTION("""COMPUTED_VALUE"""),"HPVワクチン")</f>
        <v>HPVワクチン</v>
      </c>
      <c r="D1116" s="31" t="str">
        <f>IFERROR(__xludf.DUMMYFUNCTION("""COMPUTED_VALUE"""),"HPVワクチン,子宮頸がんワクチン,接種回数,シルガード9,9価,2回,3回,15歳未満,スケジュール")</f>
        <v>HPVワクチン,子宮頸がんワクチン,接種回数,シルガード9,9価,2回,3回,15歳未満,スケジュール</v>
      </c>
      <c r="E1116" s="31"/>
    </row>
    <row r="1117">
      <c r="A1117" s="31" t="str">
        <f>IFERROR(__xludf.DUMMYFUNCTION("""COMPUTED_VALUE"""),"血尿が出ているのですが診てもらえますか？/血尿の検査はできますか？")</f>
        <v>血尿が出ているのですが診てもらえますか？/血尿の検査はできますか？</v>
      </c>
      <c r="B1117" s="31" t="str">
        <f>IFERROR(__xludf.DUMMYFUNCTION("""COMPUTED_VALUE"""),"恐れ入りますが、血尿の診療は当院では行っておりません。泌尿器科でのご受診をお願いいたします。")</f>
        <v>恐れ入りますが、血尿の診療は当院では行っておりません。泌尿器科でのご受診をお願いいたします。</v>
      </c>
      <c r="C1117" s="31" t="str">
        <f>IFERROR(__xludf.DUMMYFUNCTION("""COMPUTED_VALUE"""),"受診可否・対応不可")</f>
        <v>受診可否・対応不可</v>
      </c>
      <c r="D1117" s="31" t="str">
        <f>IFERROR(__xludf.DUMMYFUNCTION("""COMPUTED_VALUE"""),"血尿,泌尿器科,対応不可")</f>
        <v>血尿,泌尿器科,対応不可</v>
      </c>
      <c r="E1117" s="31"/>
    </row>
    <row r="1118">
      <c r="A1118" s="31" t="str">
        <f>IFERROR(__xludf.DUMMYFUNCTION("""COMPUTED_VALUE"""),"男性も診療できますか？/男性の受診はできますか？/彼も一緒に受診できますか？/男性の付き添いは可能ですか？/男性はいくらですか？/男性の料金")</f>
        <v>男性も診療できますか？/男性の受診はできますか？/彼も一緒に受診できますか？/男性の付き添いは可能ですか？/男性はいくらですか？/男性の料金</v>
      </c>
      <c r="B1118" s="31" t="str">
        <f>IFERROR(__xludf.DUMMYFUNCTION("""COMPUTED_VALUE"""),"当院は女性専用クリニックのため、男性の診療・ご入室は承っておりません。")</f>
        <v>当院は女性専用クリニックのため、男性の診療・ご入室は承っておりません。</v>
      </c>
      <c r="C1118" s="31" t="str">
        <f>IFERROR(__xludf.DUMMYFUNCTION("""COMPUTED_VALUE"""),"受診可否・対応不可")</f>
        <v>受診可否・対応不可</v>
      </c>
      <c r="D1118" s="31" t="str">
        <f>IFERROR(__xludf.DUMMYFUNCTION("""COMPUTED_VALUE"""),"男性,男,彼,パートナー,付き添い,入室")</f>
        <v>男性,男,彼,パートナー,付き添い,入室</v>
      </c>
      <c r="E1118" s="31"/>
    </row>
    <row r="1119">
      <c r="A1119" s="31" t="str">
        <f>IFERROR(__xludf.DUMMYFUNCTION("""COMPUTED_VALUE"""),"紹介状を書いてもらいたいのですが何で予約すればいいですか？/紹介状が欲しい場合の予約メニュー")</f>
        <v>紹介状を書いてもらいたいのですが何で予約すればいいですか？/紹介状が欲しい場合の予約メニュー</v>
      </c>
      <c r="B1119" s="31" t="str">
        <f>IFERROR(__xludf.DUMMYFUNCTION("""COMPUTED_VALUE"""),"紹介状の発行をご希望の場合は、前回の続きの診察であれば「再診 &gt; 一般婦人科診療（前回の続き）」、それ以外であれば「一般婦人科診療」のメニューでご予約ください。WEB問診票の備考欄に「紹介状希望」とご記入いただくとスムーズです。ご予約は公式LINEからお願い致します→https://cline-app.com/qr-codes/98ad6f149bfa20f4f2a9a2e91aac4187/preview")</f>
        <v>紹介状の発行をご希望の場合は、前回の続きの診察であれば「再診 &gt; 一般婦人科診療（前回の続き）」、それ以外であれば「一般婦人科診療」のメニューでご予約ください。WEB問診票の備考欄に「紹介状希望」とご記入いただくとスムーズです。ご予約は公式LINEからお願い致します→https://cline-app.com/qr-codes/98ad6f149bfa20f4f2a9a2e91aac4187/preview</v>
      </c>
      <c r="C1119" s="31" t="str">
        <f>IFERROR(__xludf.DUMMYFUNCTION("""COMPUTED_VALUE"""),"受診案内・手続き")</f>
        <v>受診案内・手続き</v>
      </c>
      <c r="D1119" s="31" t="str">
        <f>IFERROR(__xludf.DUMMYFUNCTION("""COMPUTED_VALUE"""),"紹介状,予約メニュー,書いてほしい")</f>
        <v>紹介状,予約メニュー,書いてほしい</v>
      </c>
      <c r="E1119" s="31"/>
    </row>
    <row r="1120">
      <c r="A1120" s="31" t="str">
        <f>IFERROR(__xludf.DUMMYFUNCTION("""COMPUTED_VALUE"""),"ゴールデンウィークは営業していますか？/GW中は診療していますか？/GW期間中の休診日はありますか？")</f>
        <v>ゴールデンウィークは営業していますか？/GW中は診療していますか？/GW期間中の休診日はありますか？</v>
      </c>
      <c r="B1120" s="31" t="str">
        <f>IFERROR(__xludf.DUMMYFUNCTION("""COMPUTED_VALUE"""),"ゴールデンウィーク期間中も横浜駅前院、川崎駅前院、町田駅前院は通常通り診療しております。町田駅前院は通常通り日曜日が休診です。ご予約は公式LINEから24時間承っております。ご予約は公式LINEからお願い致します→https://cline-app.com/qr-codes/98ad6f149bfa20f4f2a9a2e91aac4187/preview")</f>
        <v>ゴールデンウィーク期間中も横浜駅前院、川崎駅前院、町田駅前院は通常通り診療しております。町田駅前院は通常通り日曜日が休診です。ご予約は公式LINEから24時間承っております。ご予約は公式LINEからお願い致します→https://cline-app.com/qr-codes/98ad6f149bfa20f4f2a9a2e91aac4187/preview</v>
      </c>
      <c r="C1120" s="31" t="str">
        <f>IFERROR(__xludf.DUMMYFUNCTION("""COMPUTED_VALUE"""),"診療時間")</f>
        <v>診療時間</v>
      </c>
      <c r="D1120" s="31" t="str">
        <f>IFERROR(__xludf.DUMMYFUNCTION("""COMPUTED_VALUE"""),"ゴールデンウィーク,GW,連休,営業,休診")</f>
        <v>ゴールデンウィーク,GW,連休,営業,休診</v>
      </c>
      <c r="E1120" s="31"/>
    </row>
    <row r="1121">
      <c r="A1121" s="31" t="str">
        <f>IFERROR(__xludf.DUMMYFUNCTION("""COMPUTED_VALUE"""),"吐き気止めの料金はいくらですか？/吐き気止めは処方してもらえますか？")</f>
        <v>吐き気止めの料金はいくらですか？/吐き気止めは処方してもらえますか？</v>
      </c>
      <c r="B1121" s="31" t="str">
        <f>IFERROR(__xludf.DUMMYFUNCTION("""COMPUTED_VALUE"""),"吐き気止めの料金は220円（税込）です。別途、初診料・再診料がかかります。")</f>
        <v>吐き気止めの料金は220円（税込）です。別途、初診料・再診料がかかります。</v>
      </c>
      <c r="C1121" s="31" t="str">
        <f>IFERROR(__xludf.DUMMYFUNCTION("""COMPUTED_VALUE"""),"料金・支払い")</f>
        <v>料金・支払い</v>
      </c>
      <c r="D1121" s="31" t="str">
        <f>IFERROR(__xludf.DUMMYFUNCTION("""COMPUTED_VALUE"""),"吐き気止め,料金,220円")</f>
        <v>吐き気止め,料金,220円</v>
      </c>
      <c r="E1121" s="31"/>
    </row>
    <row r="1122">
      <c r="A1122" s="31" t="str">
        <f>IFERROR(__xludf.DUMMYFUNCTION("""COMPUTED_VALUE"""),"ピルの服用をやめたい場合、診察は必要ですか？/妊娠希望でピルを中止したい")</f>
        <v>ピルの服用をやめたい場合、診察は必要ですか？/妊娠希望でピルを中止したい</v>
      </c>
      <c r="B1122" s="31" t="str">
        <f>IFERROR(__xludf.DUMMYFUNCTION("""COMPUTED_VALUE"""),"ピルの中断時期については医師の判断が必要となりますので、一度ご受診をお願いいたします。「一般婦人科診療（前回の続き）」のメニューでご予約ください。→https://cline-app.com/qr-codes/98ad6f149bfa20f4f2a9a2e91aac4187/preview
なお、当院では妊活・不妊に関する診療は行っておりませんので、妊活のご相談については妊活を取り扱っているクリニックへのご受診をおすすめいたします。")</f>
        <v>ピルの中断時期については医師の判断が必要となりますので、一度ご受診をお願いいたします。「一般婦人科診療（前回の続き）」のメニューでご予約ください。→https://cline-app.com/qr-codes/98ad6f149bfa20f4f2a9a2e91aac4187/preview
なお、当院では妊活・不妊に関する診療は行っておりませんので、妊活のご相談については妊活を取り扱っているクリニックへのご受診をおすすめいたします。</v>
      </c>
      <c r="C1122" s="31" t="str">
        <f>IFERROR(__xludf.DUMMYFUNCTION("""COMPUTED_VALUE"""),"ピル処方")</f>
        <v>ピル処方</v>
      </c>
      <c r="D1122" s="31" t="str">
        <f>IFERROR(__xludf.DUMMYFUNCTION("""COMPUTED_VALUE"""),"ピル中止,やめたい,妊娠希望,妊活")</f>
        <v>ピル中止,やめたい,妊娠希望,妊活</v>
      </c>
      <c r="E1122" s="31"/>
    </row>
    <row r="1123">
      <c r="A1123" s="31" t="str">
        <f>IFERROR(__xludf.DUMMYFUNCTION("""COMPUTED_VALUE"""),"生理中でもピルを処方してもらえますか？/生理中でも受診できますか？/生理中のピル処方")</f>
        <v>生理中でもピルを処方してもらえますか？/生理中でも受診できますか？/生理中のピル処方</v>
      </c>
      <c r="B1123" s="31" t="str">
        <f>IFERROR(__xludf.DUMMYFUNCTION("""COMPUTED_VALUE"""),"生理中でもピルの処方は可能です。ご予約は「ピル処方」のメニューからお取りください。→https://cline-app.com/qr-codes/98ad6f149bfa20f4f2a9a2e91aac4187/preview")</f>
        <v>生理中でもピルの処方は可能です。ご予約は「ピル処方」のメニューからお取りください。→https://cline-app.com/qr-codes/98ad6f149bfa20f4f2a9a2e91aac4187/preview</v>
      </c>
      <c r="C1123" s="31" t="str">
        <f>IFERROR(__xludf.DUMMYFUNCTION("""COMPUTED_VALUE"""),"ピル処方")</f>
        <v>ピル処方</v>
      </c>
      <c r="D1123" s="31" t="str">
        <f>IFERROR(__xludf.DUMMYFUNCTION("""COMPUTED_VALUE"""),"生理中,ピル処方,受診可能")</f>
        <v>生理中,ピル処方,受診可能</v>
      </c>
      <c r="E1123" s="31"/>
    </row>
    <row r="1124">
      <c r="A1124" s="31" t="str">
        <f>IFERROR(__xludf.DUMMYFUNCTION("""COMPUTED_VALUE"""),"ブライダルチェックの基本パックから一部検査を外した場合、料金は変わりますか？/ブライダルチェックの検査を選べますか？")</f>
        <v>ブライダルチェックの基本パックから一部検査を外した場合、料金は変わりますか？/ブライダルチェックの検査を選べますか？</v>
      </c>
      <c r="B1124" s="31" t="str">
        <f>IFERROR(__xludf.DUMMYFUNCTION("""COMPUTED_VALUE"""),"ブライダルチェックの基本セット（経膣超音波・クラミジア・子宮頸がん検診）はセット価格で15,000円のため、一部の検査を外しても料金は変わりません。ご希望に応じてセット以外の組み合わせでのご案内も可能ですので、看護師にご相談ください。")</f>
        <v>ブライダルチェックの基本セット（経膣超音波・クラミジア・子宮頸がん検診）はセット価格で15,000円のため、一部の検査を外しても料金は変わりません。ご希望に応じてセット以外の組み合わせでのご案内も可能ですので、看護師にご相談ください。</v>
      </c>
      <c r="C1124" s="31" t="str">
        <f>IFERROR(__xludf.DUMMYFUNCTION("""COMPUTED_VALUE"""),"ブライダルチェック")</f>
        <v>ブライダルチェック</v>
      </c>
      <c r="D1124" s="31" t="str">
        <f>IFERROR(__xludf.DUMMYFUNCTION("""COMPUTED_VALUE"""),"ブライダルチェック,料金,一部外す,セット,変更")</f>
        <v>ブライダルチェック,料金,一部外す,セット,変更</v>
      </c>
      <c r="E1124" s="31"/>
    </row>
    <row r="1125">
      <c r="A1125" s="31" t="str">
        <f>IFERROR(__xludf.DUMMYFUNCTION("""COMPUTED_VALUE"""),"子宮頚部細胞診で陽性だった場合どうすればいいですか？/細胞診の結果が要精密検査だった")</f>
        <v>子宮頚部細胞診で陽性だった場合どうすればいいですか？/細胞診の結果が要精密検査だった</v>
      </c>
      <c r="B1125" s="31" t="str">
        <f>IFERROR(__xludf.DUMMYFUNCTION("""COMPUTED_VALUE"""),"検査結果の内容によって対応が異なるため、検査結果をお持ちの上ご受診をお願いいたします。「一般婦人科診療」のメニューでご予約ください。→https://cline-app.com/qr-codes/98ad6f149bfa20f4f2a9a2e91aac4187/preview")</f>
        <v>検査結果の内容によって対応が異なるため、検査結果をお持ちの上ご受診をお願いいたします。「一般婦人科診療」のメニューでご予約ください。→https://cline-app.com/qr-codes/98ad6f149bfa20f4f2a9a2e91aac4187/preview</v>
      </c>
      <c r="C1125" s="31" t="str">
        <f>IFERROR(__xludf.DUMMYFUNCTION("""COMPUTED_VALUE"""),"検診")</f>
        <v>検診</v>
      </c>
      <c r="D1125" s="31" t="str">
        <f>IFERROR(__xludf.DUMMYFUNCTION("""COMPUTED_VALUE"""),"細胞診,陽性,要精密検査,子宮頸がん")</f>
        <v>細胞診,陽性,要精密検査,子宮頸がん</v>
      </c>
      <c r="E1125" s="31"/>
    </row>
    <row r="1126">
      <c r="A1126" s="31" t="str">
        <f>IFERROR(__xludf.DUMMYFUNCTION("""COMPUTED_VALUE"""),"健康診断で再検査になりました。受診できますか？/健康診断で引っかかった")</f>
        <v>健康診断で再検査になりました。受診できますか？/健康診断で引っかかった</v>
      </c>
      <c r="B1126" s="31" t="str">
        <f>IFERROR(__xludf.DUMMYFUNCTION("""COMPUTED_VALUE"""),"婦人科関連の再検査については、検査結果の内容によって受診可否が異なります。子宮頸がん検査での再検査の場合はお電話（050-1730-2768）にてご確認ください。なお、胸に関する検査での再検査は当院では対応しておりませんので予めご了承くださいませ。")</f>
        <v>婦人科関連の再検査については、検査結果の内容によって受診可否が異なります。子宮頸がん検査での再検査の場合はお電話（050-1730-2768）にてご確認ください。なお、胸に関する検査での再検査は当院では対応しておりませんので予めご了承くださいませ。</v>
      </c>
      <c r="C1126" s="31" t="str">
        <f>IFERROR(__xludf.DUMMYFUNCTION("""COMPUTED_VALUE"""),"検診")</f>
        <v>検診</v>
      </c>
      <c r="D1126" s="31" t="str">
        <f>IFERROR(__xludf.DUMMYFUNCTION("""COMPUTED_VALUE"""),"健康診断,再検査,引っかかった,要精密検査")</f>
        <v>健康診断,再検査,引っかかった,要精密検査</v>
      </c>
      <c r="E1126" s="31"/>
    </row>
    <row r="1127">
      <c r="A1127" s="31" t="str">
        <f>IFERROR(__xludf.DUMMYFUNCTION("""COMPUTED_VALUE"""),"子宮頚部細胞診に性病検査は含まれますか？/細胞診で性感染症は分かりますか？")</f>
        <v>子宮頚部細胞診に性病検査は含まれますか？/細胞診で性感染症は分かりますか？</v>
      </c>
      <c r="B1127" s="31" t="str">
        <f>IFERROR(__xludf.DUMMYFUNCTION("""COMPUTED_VALUE"""),"子宮頚部細胞診に性病検査は含まれておりません。性感染症が気になる方は、別途性感染症検査をお受けください。「一般婦人科診療」のメニューでご予約いただき、WEB問診票に検査希望の内容をご入力ください。→https://cline-app.com/qr-codes/98ad6f149bfa20f4f2a9a2e91aac4187/preview")</f>
        <v>子宮頚部細胞診に性病検査は含まれておりません。性感染症が気になる方は、別途性感染症検査をお受けください。「一般婦人科診療」のメニューでご予約いただき、WEB問診票に検査希望の内容をご入力ください。→https://cline-app.com/qr-codes/98ad6f149bfa20f4f2a9a2e91aac4187/preview</v>
      </c>
      <c r="C1127" s="31" t="str">
        <f>IFERROR(__xludf.DUMMYFUNCTION("""COMPUTED_VALUE"""),"検診")</f>
        <v>検診</v>
      </c>
      <c r="D1127" s="31" t="str">
        <f>IFERROR(__xludf.DUMMYFUNCTION("""COMPUTED_VALUE"""),"細胞診,性病検査,含まれる,性感染症")</f>
        <v>細胞診,性病検査,含まれる,性感染症</v>
      </c>
      <c r="E1127" s="31"/>
    </row>
    <row r="1128">
      <c r="A1128" s="31" t="str">
        <f>IFERROR(__xludf.DUMMYFUNCTION("""COMPUTED_VALUE"""),"咽頭クラミジアの検査費用はいくらですか？/喉の性病検査の料金")</f>
        <v>咽頭クラミジアの検査費用はいくらですか？/喉の性病検査の料金</v>
      </c>
      <c r="B1128" s="31" t="str">
        <f>IFERROR(__xludf.DUMMYFUNCTION("""COMPUTED_VALUE"""),"咽頭の性感染症検査も当院で対応可能です。検査費用は1項目5,000円（税込）です。ご予約は「一般婦人科診療」のメニューからお取りください。→https://cline-app.com/qr-codes/98ad6f149bfa20f4f2a9a2e91aac4187/preview")</f>
        <v>咽頭の性感染症検査も当院で対応可能です。検査費用は1項目5,000円（税込）です。ご予約は「一般婦人科診療」のメニューからお取りください。→https://cline-app.com/qr-codes/98ad6f149bfa20f4f2a9a2e91aac4187/preview</v>
      </c>
      <c r="C1128" s="31" t="str">
        <f>IFERROR(__xludf.DUMMYFUNCTION("""COMPUTED_VALUE"""),"性感染症検査")</f>
        <v>性感染症検査</v>
      </c>
      <c r="D1128" s="31" t="str">
        <f>IFERROR(__xludf.DUMMYFUNCTION("""COMPUTED_VALUE"""),"咽頭クラミジア,喉,性病検査,検査費用")</f>
        <v>咽頭クラミジア,喉,性病検査,検査費用</v>
      </c>
      <c r="E1128" s="31"/>
    </row>
    <row r="1129">
      <c r="A1129" s="31" t="str">
        <f>IFERROR(__xludf.DUMMYFUNCTION("""COMPUTED_VALUE"""),"他院で性病検査をして陽性でした。治療はできますか？/他の病院の検査結果で治療してもらえますか？")</f>
        <v>他院で性病検査をして陽性でした。治療はできますか？/他の病院の検査結果で治療してもらえますか？</v>
      </c>
      <c r="B1129" s="31" t="str">
        <f>IFERROR(__xludf.DUMMYFUNCTION("""COMPUTED_VALUE"""),"他院での検査結果（オンライン検査を含む）で、検査結果にフルネームの記載がある場合は保険適用で治療が可能です。ただし、検査項目によっては自費のみの診療となる場合もございますのでご了承ください。検査結果をお持ちの上「一般婦人科診療」のメニューでご予約ください。→https://cline-app.com/qr-codes/98ad6f149bfa20f4f2a9a2e91aac4187/preview")</f>
        <v>他院での検査結果（オンライン検査を含む）で、検査結果にフルネームの記載がある場合は保険適用で治療が可能です。ただし、検査項目によっては自費のみの診療となる場合もございますのでご了承ください。検査結果をお持ちの上「一般婦人科診療」のメニューでご予約ください。→https://cline-app.com/qr-codes/98ad6f149bfa20f4f2a9a2e91aac4187/preview</v>
      </c>
      <c r="C1129" s="31" t="str">
        <f>IFERROR(__xludf.DUMMYFUNCTION("""COMPUTED_VALUE"""),"性感染症検査")</f>
        <v>性感染症検査</v>
      </c>
      <c r="D1129" s="31" t="str">
        <f>IFERROR(__xludf.DUMMYFUNCTION("""COMPUTED_VALUE"""),"他院,陽性,治療,保険適用,検査結果")</f>
        <v>他院,陽性,治療,保険適用,検査結果</v>
      </c>
      <c r="E1129" s="31"/>
    </row>
    <row r="1130">
      <c r="A1130" s="31" t="str">
        <f>IFERROR(__xludf.DUMMYFUNCTION("""COMPUTED_VALUE"""),"子宮頸がん検査とAMH検査を当日まとめて受けられますか？/複数の検査を同じ日にできますか？")</f>
        <v>子宮頸がん検査とAMH検査を当日まとめて受けられますか？/複数の検査を同じ日にできますか？</v>
      </c>
      <c r="B1130" s="31" t="str">
        <f>IFERROR(__xludf.DUMMYFUNCTION("""COMPUTED_VALUE"""),"検査の組み合わせについては医師の判断となりますので、ご受診時に医師にご相談ください。ご予約は「一般婦人科診療」のメニューからお取りいただき、WEB問診票の備考欄にご希望の検査内容をご記入ください。ご予約は「一般婦人科診療」のメニューからお取りください。→https://cline-app.com/qr-codes/98ad6f149bfa20f4f2a9a2e91aac4187/preview")</f>
        <v>検査の組み合わせについては医師の判断となりますので、ご受診時に医師にご相談ください。ご予約は「一般婦人科診療」のメニューからお取りいただき、WEB問診票の備考欄にご希望の検査内容をご記入ください。ご予約は「一般婦人科診療」のメニューからお取りください。→https://cline-app.com/qr-codes/98ad6f149bfa20f4f2a9a2e91aac4187/preview</v>
      </c>
      <c r="C1130" s="31" t="str">
        <f>IFERROR(__xludf.DUMMYFUNCTION("""COMPUTED_VALUE"""),"検診")</f>
        <v>検診</v>
      </c>
      <c r="D1130" s="31" t="str">
        <f>IFERROR(__xludf.DUMMYFUNCTION("""COMPUTED_VALUE"""),"当日,同時,まとめて,複数検査,AMH")</f>
        <v>当日,同時,まとめて,複数検査,AMH</v>
      </c>
      <c r="E1130" s="31"/>
    </row>
    <row r="1131">
      <c r="A1131" s="31" t="str">
        <f>IFERROR(__xludf.DUMMYFUNCTION("""COMPUTED_VALUE"""),"麻疹抗体検査はできますか？/麻疹の検査はできますか？")</f>
        <v>麻疹抗体検査はできますか？/麻疹の検査はできますか？</v>
      </c>
      <c r="B1131" s="31" t="str">
        <f>IFERROR(__xludf.DUMMYFUNCTION("""COMPUTED_VALUE"""),"恐れ入りますが、麻疹抗体検査及び、麻疹ワクチン接種は当院では対応しておりません。")</f>
        <v>恐れ入りますが、麻疹抗体検査及び、麻疹ワクチン接種は当院では対応しておりません。</v>
      </c>
      <c r="C1131" s="31" t="str">
        <f>IFERROR(__xludf.DUMMYFUNCTION("""COMPUTED_VALUE"""),"受診可否・対応不可")</f>
        <v>受診可否・対応不可</v>
      </c>
      <c r="D1131" s="31" t="str">
        <f>IFERROR(__xludf.DUMMYFUNCTION("""COMPUTED_VALUE"""),"麻疹,麻疹抗体,対応不可")</f>
        <v>麻疹,麻疹抗体,対応不可</v>
      </c>
      <c r="E1131" s="31"/>
    </row>
    <row r="1132">
      <c r="A1132" s="31" t="str">
        <f>IFERROR(__xludf.DUMMYFUNCTION("""COMPUTED_VALUE"""),"がん検診の結果は電話で聞けますか？/検査結果を電話で教えてもらえますか？")</f>
        <v>がん検診の結果は電話で聞けますか？/検査結果を電話で教えてもらえますか？</v>
      </c>
      <c r="B1132" s="31" t="str">
        <f>IFERROR(__xludf.DUMMYFUNCTION("""COMPUTED_VALUE"""),"恐れ入りますが、検査結果のお電話でのご案内は行っておりません。検査結果のご説明は「検査結果説明」のメニューでご予約ください。→https://cline-app.com/qr-codes/98ad6f149bfa20f4f2a9a2e91aac4187/preview")</f>
        <v>恐れ入りますが、検査結果のお電話でのご案内は行っておりません。検査結果のご説明は「検査結果説明」のメニューでご予約ください。→https://cline-app.com/qr-codes/98ad6f149bfa20f4f2a9a2e91aac4187/preview</v>
      </c>
      <c r="C1132" s="31" t="str">
        <f>IFERROR(__xludf.DUMMYFUNCTION("""COMPUTED_VALUE"""),"検査結果")</f>
        <v>検査結果</v>
      </c>
      <c r="D1132" s="31" t="str">
        <f>IFERROR(__xludf.DUMMYFUNCTION("""COMPUTED_VALUE"""),"電話,結果,聞けますか,確認方法")</f>
        <v>電話,結果,聞けますか,確認方法</v>
      </c>
      <c r="E1132" s="31"/>
    </row>
    <row r="1133">
      <c r="A1133" s="31" t="str">
        <f>IFERROR(__xludf.DUMMYFUNCTION("""COMPUTED_VALUE"""),"中絶手術の予約は何時からできますか？/中絶手術は午前と午後どちらですか？")</f>
        <v>中絶手術の予約は何時からできますか？/中絶手術は午前と午後どちらですか？</v>
      </c>
      <c r="B1133" s="31" t="str">
        <f>IFERROR(__xludf.DUMMYFUNCTION("""COMPUTED_VALUE"""),"中絶手術のご予約については、午前・午後の枠でのご案内となります。詳しい時間につきましては看護師よりご案内いたしますので、まずは「中絶相談」のメニューで初回診療をご予約ください。→https://cline-app.com/qr-codes/98ad6f149bfa20f4f2a9a2e91aac4187/preview")</f>
        <v>中絶手術のご予約については、午前・午後の枠でのご案内となります。詳しい時間につきましては看護師よりご案内いたしますので、まずは「中絶相談」のメニューで初回診療をご予約ください。→https://cline-app.com/qr-codes/98ad6f149bfa20f4f2a9a2e91aac4187/preview</v>
      </c>
      <c r="C1133" s="31" t="str">
        <f>IFERROR(__xludf.DUMMYFUNCTION("""COMPUTED_VALUE"""),"中絶手術")</f>
        <v>中絶手術</v>
      </c>
      <c r="D1133" s="31" t="str">
        <f>IFERROR(__xludf.DUMMYFUNCTION("""COMPUTED_VALUE"""),"中絶手術,予約,何時から,午前,午後")</f>
        <v>中絶手術,予約,何時から,午前,午後</v>
      </c>
      <c r="E1133" s="31"/>
    </row>
    <row r="1134">
      <c r="A1134" s="31" t="str">
        <f>IFERROR(__xludf.DUMMYFUNCTION("""COMPUTED_VALUE"""),"中絶手術後に自宅に郵送で届くものはありますか？")</f>
        <v>中絶手術後に自宅に郵送で届くものはありますか？</v>
      </c>
      <c r="B1134" s="31" t="str">
        <f>IFERROR(__xludf.DUMMYFUNCTION("""COMPUTED_VALUE"""),"中絶手術後にご自宅に届くものはございませんので、ご安心ください。")</f>
        <v>中絶手術後にご自宅に届くものはございませんので、ご安心ください。</v>
      </c>
      <c r="C1134" s="31" t="str">
        <f>IFERROR(__xludf.DUMMYFUNCTION("""COMPUTED_VALUE"""),"中絶手術")</f>
        <v>中絶手術</v>
      </c>
      <c r="D1134" s="31" t="str">
        <f>IFERROR(__xludf.DUMMYFUNCTION("""COMPUTED_VALUE"""),"中絶手術,郵送,届くもの,プライバシー")</f>
        <v>中絶手術,郵送,届くもの,プライバシー</v>
      </c>
      <c r="E1134" s="31"/>
    </row>
    <row r="1135">
      <c r="A1135" s="31" t="str">
        <f>IFERROR(__xludf.DUMMYFUNCTION("""COMPUTED_VALUE"""),"中絶手術日は何時に行けばいいですか？/中絶手術の当日の流れを教えてください")</f>
        <v>中絶手術日は何時に行けばいいですか？/中絶手術の当日の流れを教えてください</v>
      </c>
      <c r="B1135" s="31" t="str">
        <f>IFERROR(__xludf.DUMMYFUNCTION("""COMPUTED_VALUE"""),"手術当日の来院時間や流れにつきましては、初回診療の際に看護師よりご案内いたします。まずは「中絶相談」のメニューで初回診療をご予約ください。→https://cline-app.com/qr-codes/98ad6f149bfa20f4f2a9a2e91aac4187/preview")</f>
        <v>手術当日の来院時間や流れにつきましては、初回診療の際に看護師よりご案内いたします。まずは「中絶相談」のメニューで初回診療をご予約ください。→https://cline-app.com/qr-codes/98ad6f149bfa20f4f2a9a2e91aac4187/preview</v>
      </c>
      <c r="C1135" s="31" t="str">
        <f>IFERROR(__xludf.DUMMYFUNCTION("""COMPUTED_VALUE"""),"中絶手術")</f>
        <v>中絶手術</v>
      </c>
      <c r="D1135" s="31" t="str">
        <f>IFERROR(__xludf.DUMMYFUNCTION("""COMPUTED_VALUE"""),"中絶手術,当日,何時,来院時間,流れ")</f>
        <v>中絶手術,当日,何時,来院時間,流れ</v>
      </c>
      <c r="E1135" s="31"/>
    </row>
    <row r="1136">
      <c r="A1136" s="31" t="str">
        <f>IFERROR(__xludf.DUMMYFUNCTION("""COMPUTED_VALUE"""),"流産の手術の予約メニューは何を選べばいいですか？/稽留流産の手術の予約方法")</f>
        <v>流産の手術の予約メニューは何を選べばいいですか？/稽留流産の手術の予約方法</v>
      </c>
      <c r="B1136" s="31" t="str">
        <f>IFERROR(__xludf.DUMMYFUNCTION("""COMPUTED_VALUE"""),"流産手術のご予約は「一般婦人科診療」のメニューからお取りください。WEB問診票の備考欄に「流産手術」とご記入ください。→https://cline-app.com/qr-codes/98ad6f149bfa20f4f2a9a2e91aac4187/preview")</f>
        <v>流産手術のご予約は「一般婦人科診療」のメニューからお取りください。WEB問診票の備考欄に「流産手術」とご記入ください。→https://cline-app.com/qr-codes/98ad6f149bfa20f4f2a9a2e91aac4187/preview</v>
      </c>
      <c r="C1136" s="31" t="str">
        <f>IFERROR(__xludf.DUMMYFUNCTION("""COMPUTED_VALUE"""),"中絶手術")</f>
        <v>中絶手術</v>
      </c>
      <c r="D1136" s="31" t="str">
        <f>IFERROR(__xludf.DUMMYFUNCTION("""COMPUTED_VALUE"""),"流産,手術,予約メニュー,稽留流産,一般婦人科診療")</f>
        <v>流産,手術,予約メニュー,稽留流産,一般婦人科診療</v>
      </c>
      <c r="E1136" s="31"/>
    </row>
    <row r="1137">
      <c r="A1137" s="31" t="str">
        <f>IFERROR(__xludf.DUMMYFUNCTION("""COMPUTED_VALUE"""),"流産のエコー検査は保険適用ですか？/流産の検査費用")</f>
        <v>流産のエコー検査は保険適用ですか？/流産の検査費用</v>
      </c>
      <c r="B1137" s="31" t="str">
        <f>IFERROR(__xludf.DUMMYFUNCTION("""COMPUTED_VALUE"""),"流産関連の検査の保険適用可否については、診察の上で医師の判断となるため、事前にお伝えすることができかねます。ご受診いただき医師にご相談ください。「一般婦人科診療」のメニューでご予約ください。→https://cline-app.com/qr-codes/98ad6f149bfa20f4f2a9a2e91aac4187/preview")</f>
        <v>流産関連の検査の保険適用可否については、診察の上で医師の判断となるため、事前にお伝えすることができかねます。ご受診いただき医師にご相談ください。「一般婦人科診療」のメニューでご予約ください。→https://cline-app.com/qr-codes/98ad6f149bfa20f4f2a9a2e91aac4187/preview</v>
      </c>
      <c r="C1137" s="31" t="str">
        <f>IFERROR(__xludf.DUMMYFUNCTION("""COMPUTED_VALUE"""),"中絶手術")</f>
        <v>中絶手術</v>
      </c>
      <c r="D1137" s="31" t="str">
        <f>IFERROR(__xludf.DUMMYFUNCTION("""COMPUTED_VALUE"""),"流産,エコー,保険適用,検査費用")</f>
        <v>流産,エコー,保険適用,検査費用</v>
      </c>
      <c r="E1137" s="31"/>
    </row>
    <row r="1138">
      <c r="A1138" s="31" t="str">
        <f>IFERROR(__xludf.DUMMYFUNCTION("""COMPUTED_VALUE"""),"中絶同意書のフォーマットはダウンロードできますか？/中絶の同意書は事前にもらえますか？")</f>
        <v>中絶同意書のフォーマットはダウンロードできますか？/中絶の同意書は事前にもらえますか？</v>
      </c>
      <c r="B1138" s="31" t="str">
        <f>IFERROR(__xludf.DUMMYFUNCTION("""COMPUTED_VALUE"""),"中絶同意書は初回のご相談でご受診いただいた際にお渡ししております。事前にダウンロードできるフォーマットはございません。ご本人とパートナーの署名・捺印（印鑑・シャチハタ・拇印いずれも可）が必要です。")</f>
        <v>中絶同意書は初回のご相談でご受診いただいた際にお渡ししております。事前にダウンロードできるフォーマットはございません。ご本人とパートナーの署名・捺印（印鑑・シャチハタ・拇印いずれも可）が必要です。</v>
      </c>
      <c r="C1138" s="31" t="str">
        <f>IFERROR(__xludf.DUMMYFUNCTION("""COMPUTED_VALUE"""),"中絶手術")</f>
        <v>中絶手術</v>
      </c>
      <c r="D1138" s="31" t="str">
        <f>IFERROR(__xludf.DUMMYFUNCTION("""COMPUTED_VALUE"""),"中絶,同意書,フォーマット,ダウンロード,事前")</f>
        <v>中絶,同意書,フォーマット,ダウンロード,事前</v>
      </c>
      <c r="E1138" s="31"/>
    </row>
    <row r="1139">
      <c r="A1139" s="31" t="str">
        <f>IFERROR(__xludf.DUMMYFUNCTION("""COMPUTED_VALUE"""),"流産手術後の経過確認の費用はどれくらいですか？/流産手術後の検診費用")</f>
        <v>流産手術後の経過確認の費用はどれくらいですか？/流産手術後の検診費用</v>
      </c>
      <c r="B1139" s="31" t="str">
        <f>IFERROR(__xludf.DUMMYFUNCTION("""COMPUTED_VALUE"""),"術後検診の料金につきましては、受診時に受付にてご確認ください。")</f>
        <v>術後検診の料金につきましては、受診時に受付にてご確認ください。</v>
      </c>
      <c r="C1139" s="31" t="str">
        <f>IFERROR(__xludf.DUMMYFUNCTION("""COMPUTED_VALUE"""),"中絶手術")</f>
        <v>中絶手術</v>
      </c>
      <c r="D1139" s="31" t="str">
        <f>IFERROR(__xludf.DUMMYFUNCTION("""COMPUTED_VALUE"""),"流産手術,術後,経過確認,費用,検診")</f>
        <v>流産手術,術後,経過確認,費用,検診</v>
      </c>
      <c r="E1139" s="31"/>
    </row>
    <row r="1140">
      <c r="A1140" s="31" t="str">
        <f>IFERROR(__xludf.DUMMYFUNCTION("""COMPUTED_VALUE"""),"保険証がないのですが受診できますか？/保険証を持っていない場合/資格確認証がない/資格確認証をもっていない/保険証なしで保険ピルを自費で処方された場合、次回保険証を持参すれば返金されますか？/アフターピルに保険証はいりますか？/自費の性病検査でも保険証は必要？")</f>
        <v>保険証がないのですが受診できますか？/保険証を持っていない場合/資格確認証がない/資格確認証をもっていない/保険証なしで保険ピルを自費で処方された場合、次回保険証を持参すれば返金されますか？/アフターピルに保険証はいりますか？/自費の性病検査でも保険証は必要？</v>
      </c>
      <c r="B1140" s="31" t="str">
        <f>IFERROR(__xludf.DUMMYFUNCTION("""COMPUTED_VALUE"""),"保険証をお持ちでない場合でもご受診いただけます。保険診療を行った場合は当日10割負担となりますが、当月中に領収書と保険証をお持ちいただければ7割分の返金対応を行っております。自費診療の場合は保険証がなくても処方可能です。")</f>
        <v>保険証をお持ちでない場合でもご受診いただけます。保険診療を行った場合は当日10割負担となりますが、当月中に領収書と保険証をお持ちいただければ7割分の返金対応を行っております。自費診療の場合は保険証がなくても処方可能です。</v>
      </c>
      <c r="C1140" s="31" t="str">
        <f>IFERROR(__xludf.DUMMYFUNCTION("""COMPUTED_VALUE"""),"受診案内")</f>
        <v>受診案内</v>
      </c>
      <c r="D1140" s="31" t="str">
        <f>IFERROR(__xludf.DUMMYFUNCTION("""COMPUTED_VALUE"""),"保険証なし,保険証がない,10割負担,返金")</f>
        <v>保険証なし,保険証がない,10割負担,返金</v>
      </c>
      <c r="E1140" s="31"/>
    </row>
    <row r="1141">
      <c r="A1141" s="31" t="str">
        <f>IFERROR(__xludf.DUMMYFUNCTION("""COMPUTED_VALUE"""),"紹介状の再発行はできますか？/紹介状をもう一度出してもらえますか？")</f>
        <v>紹介状の再発行はできますか？/紹介状をもう一度出してもらえますか？</v>
      </c>
      <c r="B1141" s="31" t="str">
        <f>IFERROR(__xludf.DUMMYFUNCTION("""COMPUTED_VALUE"""),"紹介状の再発行は可能です。再発行料は自費の場合2,200円（税込）です。保険適用の場合の料金は受診時にご確認ください。お電話（050-1730-2768）または受付にてお申し付けください。")</f>
        <v>紹介状の再発行は可能です。再発行料は自費の場合2,200円（税込）です。保険適用の場合の料金は受診時にご確認ください。お電話（050-1730-2768）または受付にてお申し付けください。</v>
      </c>
      <c r="C1141" s="31" t="str">
        <f>IFERROR(__xludf.DUMMYFUNCTION("""COMPUTED_VALUE"""),"書類・証明")</f>
        <v>書類・証明</v>
      </c>
      <c r="D1141" s="31" t="str">
        <f>IFERROR(__xludf.DUMMYFUNCTION("""COMPUTED_VALUE"""),"紹介状,再発行,料金")</f>
        <v>紹介状,再発行,料金</v>
      </c>
      <c r="E1141" s="31"/>
    </row>
    <row r="1142">
      <c r="A1142" s="31" t="str">
        <f>IFERROR(__xludf.DUMMYFUNCTION("""COMPUTED_VALUE"""),"HRTの相談はできますか？/ホルモン補充療法は対応していますか？")</f>
        <v>HRTの相談はできますか？/ホルモン補充療法は対応していますか？</v>
      </c>
      <c r="B1142" s="31" t="str">
        <f>IFERROR(__xludf.DUMMYFUNCTION("""COMPUTED_VALUE"""),"恐れ入りますが、HRT（ホルモン補充療法）は当院では対応しておりません。")</f>
        <v>恐れ入りますが、HRT（ホルモン補充療法）は当院では対応しておりません。</v>
      </c>
      <c r="C1142" s="31" t="str">
        <f>IFERROR(__xludf.DUMMYFUNCTION("""COMPUTED_VALUE"""),"受診可否・対応不可")</f>
        <v>受診可否・対応不可</v>
      </c>
      <c r="D1142" s="31" t="str">
        <f>IFERROR(__xludf.DUMMYFUNCTION("""COMPUTED_VALUE"""),"HRT,ホルモン補充療法,対応不可")</f>
        <v>HRT,ホルモン補充療法,対応不可</v>
      </c>
      <c r="E1142" s="31"/>
    </row>
    <row r="1143">
      <c r="A1143" s="31" t="str">
        <f>IFERROR(__xludf.DUMMYFUNCTION("""COMPUTED_VALUE"""),"バルトリン腺の治療はできますか？/バルトリン腺炎は診てもらえますか？/バルトリン腺化膿の診察/バルトリン腺のレーザー治療はできますか？/バルトリン腺の切開はできますか？")</f>
        <v>バルトリン腺の治療はできますか？/バルトリン腺炎は診てもらえますか？/バルトリン腺化膿の診察/バルトリン腺のレーザー治療はできますか？/バルトリン腺の切開はできますか？</v>
      </c>
      <c r="B1143" s="31" t="str">
        <f>IFERROR(__xludf.DUMMYFUNCTION("""COMPUTED_VALUE"""),"バルトリン腺の治療は当院で対応可能です。ただし、レーザー治療・切開は行っておらず、排膿処置のみの対応となります。ご予約は「一般婦人科診療」のメニューでご予約ください。→https://cline-app.com/qr-codes/98ad6f149bfa20f4f2a9a2e91aac4187/preview")</f>
        <v>バルトリン腺の治療は当院で対応可能です。ただし、レーザー治療・切開は行っておらず、排膿処置のみの対応となります。ご予約は「一般婦人科診療」のメニューでご予約ください。→https://cline-app.com/qr-codes/98ad6f149bfa20f4f2a9a2e91aac4187/preview</v>
      </c>
      <c r="C1143" s="31" t="str">
        <f>IFERROR(__xludf.DUMMYFUNCTION("""COMPUTED_VALUE"""),"受診案内")</f>
        <v>受診案内</v>
      </c>
      <c r="D1143" s="31" t="str">
        <f>IFERROR(__xludf.DUMMYFUNCTION("""COMPUTED_VALUE"""),"バルトリン腺,治療,化膿,対応可能")</f>
        <v>バルトリン腺,治療,化膿,対応可能</v>
      </c>
      <c r="E1143" s="31"/>
    </row>
    <row r="1144">
      <c r="A1144" s="31" t="str">
        <f>IFERROR(__xludf.DUMMYFUNCTION("""COMPUTED_VALUE"""),"漢方の処方はできますか？/漢方薬を出してもらえますか？")</f>
        <v>漢方の処方はできますか？/漢方薬を出してもらえますか？</v>
      </c>
      <c r="B1144" s="31" t="str">
        <f>IFERROR(__xludf.DUMMYFUNCTION("""COMPUTED_VALUE"""),"漢方の処方については医師の判断で可能です。ご希望の場合は「一般婦人科診療」のメニューでご予約ください。→https://cline-app.com/qr-codes/98ad6f149bfa20f4f2a9a2e91aac4187/preview")</f>
        <v>漢方の処方については医師の判断で可能です。ご希望の場合は「一般婦人科診療」のメニューでご予約ください。→https://cline-app.com/qr-codes/98ad6f149bfa20f4f2a9a2e91aac4187/preview</v>
      </c>
      <c r="C1144" s="31" t="str">
        <f>IFERROR(__xludf.DUMMYFUNCTION("""COMPUTED_VALUE"""),"受診案内")</f>
        <v>受診案内</v>
      </c>
      <c r="D1144" s="31" t="str">
        <f>IFERROR(__xludf.DUMMYFUNCTION("""COMPUTED_VALUE"""),"漢方,漢方薬,処方")</f>
        <v>漢方,漢方薬,処方</v>
      </c>
      <c r="E1144" s="31"/>
    </row>
    <row r="1145">
      <c r="A1145" s="31" t="str">
        <f>IFERROR(__xludf.DUMMYFUNCTION("""COMPUTED_VALUE"""),"心拍確認はできますか？/妊娠初期の心拍確認")</f>
        <v>心拍確認はできますか？/妊娠初期の心拍確認</v>
      </c>
      <c r="B1145" s="31" t="str">
        <f>IFERROR(__xludf.DUMMYFUNCTION("""COMPUTED_VALUE"""),"心拍確認は当院で行っております。ご予約は「一般婦人科診療」のメニューからお取りください。なお、卵黄嚢確認には対応しておりません。→https://cline-app.com/qr-codes/98ad6f149bfa20f4f2a9a2e91aac4187/preview")</f>
        <v>心拍確認は当院で行っております。ご予約は「一般婦人科診療」のメニューからお取りください。なお、卵黄嚢確認には対応しておりません。→https://cline-app.com/qr-codes/98ad6f149bfa20f4f2a9a2e91aac4187/preview</v>
      </c>
      <c r="C1145" s="31" t="str">
        <f>IFERROR(__xludf.DUMMYFUNCTION("""COMPUTED_VALUE"""),"受診案内")</f>
        <v>受診案内</v>
      </c>
      <c r="D1145" s="31" t="str">
        <f>IFERROR(__xludf.DUMMYFUNCTION("""COMPUTED_VALUE"""),"心拍確認,妊娠初期,超音波")</f>
        <v>心拍確認,妊娠初期,超音波</v>
      </c>
      <c r="E1145" s="31"/>
    </row>
    <row r="1146">
      <c r="A1146" s="31" t="str">
        <f>IFERROR(__xludf.DUMMYFUNCTION("""COMPUTED_VALUE"""),"オンライン診療のビデオ通話はどのくらいの時間がかかりますか？/オンライン診療の所要時間")</f>
        <v>オンライン診療のビデオ通話はどのくらいの時間がかかりますか？/オンライン診療の所要時間</v>
      </c>
      <c r="B1146" s="31" t="str">
        <f>IFERROR(__xludf.DUMMYFUNCTION("""COMPUTED_VALUE"""),"オンライン診療の通話時間は10分ほどです。予約枠は30分確保されておりますので、ご質問等ございましたらお気軽にお聞きください。")</f>
        <v>オンライン診療の通話時間は10分ほどです。予約枠は30分確保されておりますので、ご質問等ございましたらお気軽にお聞きください。</v>
      </c>
      <c r="C1146" s="31" t="str">
        <f>IFERROR(__xludf.DUMMYFUNCTION("""COMPUTED_VALUE"""),"オンライン診療")</f>
        <v>オンライン診療</v>
      </c>
      <c r="D1146" s="31" t="str">
        <f>IFERROR(__xludf.DUMMYFUNCTION("""COMPUTED_VALUE"""),"オンライン診療,ビデオ通話,時間,所要時間,10分")</f>
        <v>オンライン診療,ビデオ通話,時間,所要時間,10分</v>
      </c>
      <c r="E1146" s="31"/>
    </row>
    <row r="1147">
      <c r="A1147" s="31" t="str">
        <f>IFERROR(__xludf.DUMMYFUNCTION("""COMPUTED_VALUE"""),"予約の時間より前に来ても大丈夫ですか？/予約より早く着いた場合/初診の場合何分前に受付すればいいですか？/予約時間の何分前に行けばいいですか？/来院は何分前が良いですか？")</f>
        <v>予約の時間より前に来ても大丈夫ですか？/予約より早く着いた場合/初診の場合何分前に受付すればいいですか？/予約時間の何分前に行けばいいですか？/来院は何分前が良いですか？</v>
      </c>
      <c r="B1147" s="31" t="str">
        <f>IFERROR(__xludf.DUMMYFUNCTION("""COMPUTED_VALUE"""),"予約時間より前にご来院いただいても問題ございません。ただし、その時間帯のご予約の方が優先となりますので、少しお待ちいただく場合がございます。")</f>
        <v>予約時間より前にご来院いただいても問題ございません。ただし、その時間帯のご予約の方が優先となりますので、少しお待ちいただく場合がございます。</v>
      </c>
      <c r="C1147" s="31" t="str">
        <f>IFERROR(__xludf.DUMMYFUNCTION("""COMPUTED_VALUE"""),"予約・受診")</f>
        <v>予約・受診</v>
      </c>
      <c r="D1147" s="31" t="str">
        <f>IFERROR(__xludf.DUMMYFUNCTION("""COMPUTED_VALUE"""),"予約前,早く着いた,早めに来院")</f>
        <v>予約前,早く着いた,早めに来院</v>
      </c>
      <c r="E1147" s="31"/>
    </row>
    <row r="1148">
      <c r="A1148" s="31" t="str">
        <f>IFERROR(__xludf.DUMMYFUNCTION("""COMPUTED_VALUE"""),"コンジローマの視診の料金はいくらですか？/コンジローマの診察費用")</f>
        <v>コンジローマの視診の料金はいくらですか？/コンジローマの診察費用</v>
      </c>
      <c r="B1148" s="31" t="str">
        <f>IFERROR(__xludf.DUMMYFUNCTION("""COMPUTED_VALUE"""),"コンジローマの視診料金につきましては、受診時に受付にてご確認ください。")</f>
        <v>コンジローマの視診料金につきましては、受診時に受付にてご確認ください。</v>
      </c>
      <c r="C1148" s="31" t="str">
        <f>IFERROR(__xludf.DUMMYFUNCTION("""COMPUTED_VALUE"""),"料金・支払い")</f>
        <v>料金・支払い</v>
      </c>
      <c r="D1148" s="31" t="str">
        <f>IFERROR(__xludf.DUMMYFUNCTION("""COMPUTED_VALUE"""),"コンジローマ,視診,料金")</f>
        <v>コンジローマ,視診,料金</v>
      </c>
      <c r="E1148" s="31"/>
    </row>
    <row r="1149">
      <c r="A1149" s="31" t="str">
        <f>IFERROR(__xludf.DUMMYFUNCTION("""COMPUTED_VALUE"""),"生理中でも膣錠はもらえますか？/生理中の膣錠処方")</f>
        <v>生理中でも膣錠はもらえますか？/生理中の膣錠処方</v>
      </c>
      <c r="B1149" s="31" t="str">
        <f>IFERROR(__xludf.DUMMYFUNCTION("""COMPUTED_VALUE"""),"膣錠の処方可否は医師の判断となりますので、ご受診時に医師にご相談ください。なお、生理中は膣錠が経血と一緒に流れ出てしまうため、使用を控えていただいております。「一般婦人科診療（前回の続き）」のメニューでご予約ください。→https://cline-app.com/qr-codes/98ad6f149bfa20f4f2a9a2e91aac4187/preview")</f>
        <v>膣錠の処方可否は医師の判断となりますので、ご受診時に医師にご相談ください。なお、生理中は膣錠が経血と一緒に流れ出てしまうため、使用を控えていただいております。「一般婦人科診療（前回の続き）」のメニューでご予約ください。→https://cline-app.com/qr-codes/98ad6f149bfa20f4f2a9a2e91aac4187/preview</v>
      </c>
      <c r="C1149" s="31" t="str">
        <f>IFERROR(__xludf.DUMMYFUNCTION("""COMPUTED_VALUE"""),"処方薬")</f>
        <v>処方薬</v>
      </c>
      <c r="D1149" s="31" t="str">
        <f>IFERROR(__xludf.DUMMYFUNCTION("""COMPUTED_VALUE"""),"膣錠,生理中,処方")</f>
        <v>膣錠,生理中,処方</v>
      </c>
      <c r="E1149" s="31"/>
    </row>
    <row r="1150">
      <c r="A1150" s="31" t="str">
        <f>IFERROR(__xludf.DUMMYFUNCTION("""COMPUTED_VALUE"""),"胎児エコーはできますか？/妊娠中のエコー検査はできますか？/赤ちゃんのエコーを見てもらえますか？")</f>
        <v>胎児エコーはできますか？/妊娠中のエコー検査はできますか？/赤ちゃんのエコーを見てもらえますか？</v>
      </c>
      <c r="B1150" s="31" t="str">
        <f>IFERROR(__xludf.DUMMYFUNCTION("""COMPUTED_VALUE"""),"当院では妊娠12週未満の方のエコー検査に対応しております。ご予約は「一般婦人科診療」のメニューからお取りください。→https://cline-app.com/qr-codes/98ad6f149bfa20f4f2a9a2e91aac4187/preview　※妊娠12週以降の方は、かかりつけの産婦人科でのご受診をお願いいたします。")</f>
        <v>当院では妊娠12週未満の方のエコー検査に対応しております。ご予約は「一般婦人科診療」のメニューからお取りください。→https://cline-app.com/qr-codes/98ad6f149bfa20f4f2a9a2e91aac4187/preview　※妊娠12週以降の方は、かかりつけの産婦人科でのご受診をお願いいたします。</v>
      </c>
      <c r="C1150" s="31" t="str">
        <f>IFERROR(__xludf.DUMMYFUNCTION("""COMPUTED_VALUE"""),"受診案内")</f>
        <v>受診案内</v>
      </c>
      <c r="D1150" s="31" t="str">
        <f>IFERROR(__xludf.DUMMYFUNCTION("""COMPUTED_VALUE"""),"胎児エコー,エコー検査,妊娠中,超音波,12週")</f>
        <v>胎児エコー,エコー検査,妊娠中,超音波,12週</v>
      </c>
      <c r="E1150" s="31"/>
    </row>
    <row r="1151">
      <c r="A1151" s="31" t="str">
        <f>IFERROR(__xludf.DUMMYFUNCTION("""COMPUTED_VALUE"""),"排卵誘発剤の処方はしてもらえますか？/排卵誘発剤は出してもらえますか？")</f>
        <v>排卵誘発剤の処方はしてもらえますか？/排卵誘発剤は出してもらえますか？</v>
      </c>
      <c r="B1151" s="31" t="str">
        <f>IFERROR(__xludf.DUMMYFUNCTION("""COMPUTED_VALUE"""),"恐れ入りますが、当院では妊娠・妊活・不妊に関する診療を行っておりませんので、排卵誘発剤の処方は行っておりません。")</f>
        <v>恐れ入りますが、当院では妊娠・妊活・不妊に関する診療を行っておりませんので、排卵誘発剤の処方は行っておりません。</v>
      </c>
      <c r="C1151" s="31" t="str">
        <f>IFERROR(__xludf.DUMMYFUNCTION("""COMPUTED_VALUE"""),"受診可否・対応不可")</f>
        <v>受診可否・対応不可</v>
      </c>
      <c r="D1151" s="31" t="str">
        <f>IFERROR(__xludf.DUMMYFUNCTION("""COMPUTED_VALUE"""),"排卵誘発剤,処方,妊活,不妊,対応不可")</f>
        <v>排卵誘発剤,処方,妊活,不妊,対応不可</v>
      </c>
      <c r="E1151" s="31"/>
    </row>
    <row r="1152">
      <c r="A1152" s="31" t="str">
        <f>IFERROR(__xludf.DUMMYFUNCTION("""COMPUTED_VALUE"""),"妊活の相談はできますか？/妊活について相談したい/不妊の相談はできますか？")</f>
        <v>妊活の相談はできますか？/妊活について相談したい/不妊の相談はできますか？</v>
      </c>
      <c r="B1152" s="31" t="str">
        <f>IFERROR(__xludf.DUMMYFUNCTION("""COMPUTED_VALUE"""),"恐れ入りますが、当院では妊活・不妊に関する診療は行っておりません。妊活を取り扱っているクリニックへのご受診をおすすめいたします。")</f>
        <v>恐れ入りますが、当院では妊活・不妊に関する診療は行っておりません。妊活を取り扱っているクリニックへのご受診をおすすめいたします。</v>
      </c>
      <c r="C1152" s="31" t="str">
        <f>IFERROR(__xludf.DUMMYFUNCTION("""COMPUTED_VALUE"""),"受診可否・対応不可")</f>
        <v>受診可否・対応不可</v>
      </c>
      <c r="D1152" s="31" t="str">
        <f>IFERROR(__xludf.DUMMYFUNCTION("""COMPUTED_VALUE"""),"妊活,不妊,相談,対応不可")</f>
        <v>妊活,不妊,相談,対応不可</v>
      </c>
      <c r="E1152" s="31"/>
    </row>
    <row r="1153">
      <c r="A1153" s="31" t="str">
        <f>IFERROR(__xludf.DUMMYFUNCTION("""COMPUTED_VALUE"""),"高校生でピル処方したいのですが親に知られますか？/未成年のピル処方は親にバレますか？/ピル処方で親に通知は届きますか？")</f>
        <v>高校生でピル処方したいのですが親に知られますか？/未成年のピル処方は親にバレますか？/ピル処方で親に通知は届きますか？</v>
      </c>
      <c r="B1153" s="31" t="str">
        <f>IFERROR(__xludf.DUMMYFUNCTION("""COMPUTED_VALUE"""),"当院では未成年の方のピル処方について、ピルの種類によって対応が異なります。【自費ピル・アフターピル・月経移動ピルの場合】15歳以上であれば保護者の同伴なしでご受診いただけます。通知等がご自宅に届くことはございません。【保険適用のピル（LEP）の場合】初回診察時に保護者の方の同伴が必須となります。来院診療のご予約：こちらのLINEをご利用ください。ご予約は「ピル処方」のメニューからお取りください。→https://cline-app.com/qr-codes/98ad6f149bfa20f4f2a9a2e9"&amp;"1aac4187/preview
オンライン診療のご予約：こちらのオンライン診療LINEページをご利用ください→https://liff-gateway.lineml.jp/landing?follow=%40590gpxrd&amp;lp=fX73yx&amp;liff_id=1657094566-LmjNPPbV")</f>
        <v>当院では未成年の方のピル処方について、ピルの種類によって対応が異なります。【自費ピル・アフターピル・月経移動ピルの場合】15歳以上であれば保護者の同伴なしでご受診いただけます。通知等がご自宅に届くことはございません。【保険適用のピル（LEP）の場合】初回診察時に保護者の方の同伴が必須となります。来院診療のご予約：こちらのLINEをご利用ください。ご予約は「ピル処方」のメニューからお取りください。→https://cline-app.com/qr-codes/98ad6f149bfa20f4f2a9a2e91aac4187/preview
オンライン診療のご予約：こちらのオンライン診療LINEページをご利用ください→https://liff-gateway.lineml.jp/landing?follow=%40590gpxrd&amp;lp=fX73yx&amp;liff_id=1657094566-LmjNPPbV</v>
      </c>
      <c r="C1153" s="31" t="str">
        <f>IFERROR(__xludf.DUMMYFUNCTION("""COMPUTED_VALUE"""),"ピル処方")</f>
        <v>ピル処方</v>
      </c>
      <c r="D1153" s="31" t="str">
        <f>IFERROR(__xludf.DUMMYFUNCTION("""COMPUTED_VALUE"""),"高校生,未成年,親にバレる,保護者,通知,知られる")</f>
        <v>高校生,未成年,親にバレる,保護者,通知,知られる</v>
      </c>
      <c r="E1153" s="31" t="str">
        <f>IFERROR(__xludf.DUMMYFUNCTION("""COMPUTED_VALUE"""),"nan")</f>
        <v>nan</v>
      </c>
    </row>
    <row r="1154">
      <c r="A1154" s="31" t="str">
        <f>IFERROR(__xludf.DUMMYFUNCTION("""COMPUTED_VALUE"""),"処方箋が切れた場合どうすればいいですか？/自費ピルの処方箋の期限が切れた/処方箋の再発行はできますか？")</f>
        <v>処方箋が切れた場合どうすればいいですか？/自費ピルの処方箋の期限が切れた/処方箋の再発行はできますか？</v>
      </c>
      <c r="B1154" s="31" t="str">
        <f>IFERROR(__xludf.DUMMYFUNCTION("""COMPUTED_VALUE"""),"期限切れの処方箋は受付にて再発行が可能です。再発行料は1,100円（税込）です。再度の診察は基本的に不要ですが、前回の処方からだいぶ期間が空いている場合はカウンセリングがある場合がございます。")</f>
        <v>期限切れの処方箋は受付にて再発行が可能です。再発行料は1,100円（税込）です。再度の診察は基本的に不要ですが、前回の処方からだいぶ期間が空いている場合はカウンセリングがある場合がございます。</v>
      </c>
      <c r="C1154" s="31" t="str">
        <f>IFERROR(__xludf.DUMMYFUNCTION("""COMPUTED_VALUE"""),"ピル処方")</f>
        <v>ピル処方</v>
      </c>
      <c r="D1154" s="31" t="str">
        <f>IFERROR(__xludf.DUMMYFUNCTION("""COMPUTED_VALUE"""),"処方箋,期限切れ,再発行,1100円")</f>
        <v>処方箋,期限切れ,再発行,1100円</v>
      </c>
      <c r="E1154" s="31"/>
    </row>
    <row r="1155">
      <c r="A1155" s="31" t="str">
        <f>IFERROR(__xludf.DUMMYFUNCTION("""COMPUTED_VALUE"""),"スリンダは避妊効果はありますか？/スリンダに避妊効果はある？/ミニピルの避妊効果")</f>
        <v>スリンダは避妊効果はありますか？/スリンダに避妊効果はある？/ミニピルの避妊効果</v>
      </c>
      <c r="B1155" s="31" t="str">
        <f>IFERROR(__xludf.DUMMYFUNCTION("""COMPUTED_VALUE"""),"スリンダ（ミニピル）には避妊効果がございます。")</f>
        <v>スリンダ（ミニピル）には避妊効果がございます。</v>
      </c>
      <c r="C1155" s="31" t="str">
        <f>IFERROR(__xludf.DUMMYFUNCTION("""COMPUTED_VALUE"""),"ピル処方")</f>
        <v>ピル処方</v>
      </c>
      <c r="D1155" s="31" t="str">
        <f>IFERROR(__xludf.DUMMYFUNCTION("""COMPUTED_VALUE"""),"スリンダ,ミニピル,避妊効果")</f>
        <v>スリンダ,ミニピル,避妊効果</v>
      </c>
      <c r="E1155" s="31"/>
    </row>
    <row r="1156">
      <c r="A1156" s="31" t="str">
        <f>IFERROR(__xludf.DUMMYFUNCTION("""COMPUTED_VALUE"""),"スリンダで生理日程をずらせますか？/スリンダで月経移動はできますか？/ミニピルで生理をずらしたい")</f>
        <v>スリンダで生理日程をずらせますか？/スリンダで月経移動はできますか？/ミニピルで生理をずらしたい</v>
      </c>
      <c r="B1156" s="31" t="str">
        <f>IFERROR(__xludf.DUMMYFUNCTION("""COMPUTED_VALUE"""),"スリンダ（ミニピル）での月経移動については、事前に看護師への確認が必要となります。")</f>
        <v>スリンダ（ミニピル）での月経移動については、事前に看護師への確認が必要となります。</v>
      </c>
      <c r="C1156" s="31" t="str">
        <f>IFERROR(__xludf.DUMMYFUNCTION("""COMPUTED_VALUE"""),"ピル処方")</f>
        <v>ピル処方</v>
      </c>
      <c r="D1156" s="31" t="str">
        <f>IFERROR(__xludf.DUMMYFUNCTION("""COMPUTED_VALUE"""),"スリンダ,ミニピル,月経移動,生理をずらす,日程変更")</f>
        <v>スリンダ,ミニピル,月経移動,生理をずらす,日程変更</v>
      </c>
      <c r="E1156" s="31"/>
    </row>
    <row r="1157">
      <c r="A1157" s="31" t="str">
        <f>IFERROR(__xludf.DUMMYFUNCTION("""COMPUTED_VALUE"""),"コルポスコピー検査はできますか？/コルポ検査は受けられますか？/組織診は受けられますか？")</f>
        <v>コルポスコピー検査はできますか？/コルポ検査は受けられますか？/組織診は受けられますか？</v>
      </c>
      <c r="B1157" s="31" t="str">
        <f>IFERROR(__xludf.DUMMYFUNCTION("""COMPUTED_VALUE"""),"恐れ入りますが、コルポスコピー検査（腟拡大鏡検査）は当院では行っておりません。")</f>
        <v>恐れ入りますが、コルポスコピー検査（腟拡大鏡検査）は当院では行っておりません。</v>
      </c>
      <c r="C1157" s="31" t="str">
        <f>IFERROR(__xludf.DUMMYFUNCTION("""COMPUTED_VALUE"""),"受診可否・対応不可")</f>
        <v>受診可否・対応不可</v>
      </c>
      <c r="D1157" s="31" t="str">
        <f>IFERROR(__xludf.DUMMYFUNCTION("""COMPUTED_VALUE"""),"コルポスコピー,コルポ,組織診,腟拡大鏡")</f>
        <v>コルポスコピー,コルポ,組織診,腟拡大鏡</v>
      </c>
      <c r="E1157" s="31"/>
    </row>
    <row r="1158">
      <c r="A1158" s="31" t="str">
        <f>IFERROR(__xludf.DUMMYFUNCTION("""COMPUTED_VALUE"""),"子宮頸がんの精密検査はできますか？/子宮頸がん検査で要精密検査と言われました/子宮頸がんの再検査をしたい")</f>
        <v>子宮頸がんの精密検査はできますか？/子宮頸がん検査で要精密検査と言われました/子宮頸がんの再検査をしたい</v>
      </c>
      <c r="B1158" s="31" t="str">
        <f>IFERROR(__xludf.DUMMYFUNCTION("""COMPUTED_VALUE"""),"子宮頸がんの精密検査につきましては、検査結果の内容によってご案内が異なります。検査結果をお手元にご準備の上、お電話（050-1730-2768）にてお問い合わせください。")</f>
        <v>子宮頸がんの精密検査につきましては、検査結果の内容によってご案内が異なります。検査結果をお手元にご準備の上、お電話（050-1730-2768）にてお問い合わせください。</v>
      </c>
      <c r="C1158" s="31" t="str">
        <f>IFERROR(__xludf.DUMMYFUNCTION("""COMPUTED_VALUE"""),"検診")</f>
        <v>検診</v>
      </c>
      <c r="D1158" s="31" t="str">
        <f>IFERROR(__xludf.DUMMYFUNCTION("""COMPUTED_VALUE"""),"子宮頸がん,精密検査,要精密検査,再検査")</f>
        <v>子宮頸がん,精密検査,要精密検査,再検査</v>
      </c>
      <c r="E1158" s="31"/>
    </row>
    <row r="1159">
      <c r="A1159" s="31" t="str">
        <f>IFERROR(__xludf.DUMMYFUNCTION("""COMPUTED_VALUE"""),"中絶手術にパートナーは付き添えますか？/手術後はパートナーが付き添えますか？/手術当日に保護者は一緒に待てますか？")</f>
        <v>中絶手術にパートナーは付き添えますか？/手術後はパートナーが付き添えますか？/手術当日に保護者は一緒に待てますか？</v>
      </c>
      <c r="B1159" s="31" t="str">
        <f>IFERROR(__xludf.DUMMYFUNCTION("""COMPUTED_VALUE"""),"男性のご入室は当院ではお断りしております。また、中絶手術当日のお付き添い（保護者の方を含む）および院内でお待ちいただくことは出来ませんので予めご了承くださいませ。")</f>
        <v>男性のご入室は当院ではお断りしております。また、中絶手術当日のお付き添い（保護者の方を含む）および院内でお待ちいただくことは出来ませんので予めご了承くださいませ。</v>
      </c>
      <c r="C1159" s="31" t="str">
        <f>IFERROR(__xludf.DUMMYFUNCTION("""COMPUTED_VALUE"""),"中絶手術")</f>
        <v>中絶手術</v>
      </c>
      <c r="D1159" s="31" t="str">
        <f>IFERROR(__xludf.DUMMYFUNCTION("""COMPUTED_VALUE"""),"付き添い,パートナー,手術,保護者,待つ,入室")</f>
        <v>付き添い,パートナー,手術,保護者,待つ,入室</v>
      </c>
      <c r="E1159" s="31"/>
    </row>
    <row r="1160">
      <c r="A1160" s="31" t="str">
        <f>IFERROR(__xludf.DUMMYFUNCTION("""COMPUTED_VALUE"""),"経膣エコーが痛いのですが配慮してもらえますか？/内診が怖いです/検査の痛みが心配/内診は拒否できますか？/内診は必須ですか？/内診したくない/性交渉経験がないのですが内診はありますか？/内診は必ずしなければいけませんか/生理不順は内診しますか/内診を受けずに診察や処方はできますか？")</f>
        <v>経膣エコーが痛いのですが配慮してもらえますか？/内診が怖いです/検査の痛みが心配/内診は拒否できますか？/内診は必須ですか？/内診したくない/性交渉経験がないのですが内診はありますか？/内診は必ずしなければいけませんか/生理不順は内診しますか/内診を受けずに診察や処方はできますか？</v>
      </c>
      <c r="B1160" s="31" t="str">
        <f>IFERROR(__xludf.DUMMYFUNCTION("""COMPUTED_VALUE"""),"検査時のご不安やお痛みについては、診察の際に医師やスタッフにお伝えください。できる限り配慮してご対応いたします。")</f>
        <v>検査時のご不安やお痛みについては、診察の際に医師やスタッフにお伝えください。できる限り配慮してご対応いたします。</v>
      </c>
      <c r="C1160" s="31" t="str">
        <f>IFERROR(__xludf.DUMMYFUNCTION("""COMPUTED_VALUE"""),"受診案内")</f>
        <v>受診案内</v>
      </c>
      <c r="D1160" s="31" t="str">
        <f>IFERROR(__xludf.DUMMYFUNCTION("""COMPUTED_VALUE"""),"経膣エコー,痛み,内診,配慮,怖い")</f>
        <v>経膣エコー,痛み,内診,配慮,怖い</v>
      </c>
      <c r="E1160" s="31"/>
    </row>
    <row r="1161">
      <c r="A1161" s="31" t="str">
        <f>IFERROR(__xludf.DUMMYFUNCTION("""COMPUTED_VALUE"""),"保険診療と自由診療はどう決まるのですか？/保険か自費かの判別はどうするの？/保険適用になるかどうかの基準は？")</f>
        <v>保険診療と自由診療はどう決まるのですか？/保険か自費かの判別はどうするの？/保険適用になるかどうかの基準は？</v>
      </c>
      <c r="B1161" s="31" t="str">
        <f>IFERROR(__xludf.DUMMYFUNCTION("""COMPUTED_VALUE"""),"保険適用か自由診療かは、症状の有無やご受診内容によって異なります。具体的な適用可否は診察時に医師が判断いたします。")</f>
        <v>保険適用か自由診療かは、症状の有無やご受診内容によって異なります。具体的な適用可否は診察時に医師が判断いたします。</v>
      </c>
      <c r="C1161" s="31" t="str">
        <f>IFERROR(__xludf.DUMMYFUNCTION("""COMPUTED_VALUE"""),"料金・保険")</f>
        <v>料金・保険</v>
      </c>
      <c r="D1161" s="31" t="str">
        <f>IFERROR(__xludf.DUMMYFUNCTION("""COMPUTED_VALUE"""),"保険診療,自由診療,判別,保険適用,自費")</f>
        <v>保険診療,自由診療,判別,保険適用,自費</v>
      </c>
      <c r="E1161" s="31"/>
    </row>
    <row r="1162">
      <c r="A1162" s="31" t="str">
        <f>IFERROR(__xludf.DUMMYFUNCTION("""COMPUTED_VALUE"""),"診察の流れを教えてください/初めて受診する場合の流れは？/来院時の流れ/受診の流れ")</f>
        <v>診察の流れを教えてください/初めて受診する場合の流れは？/来院時の流れ/受診の流れ</v>
      </c>
      <c r="B1162" s="31" t="str">
        <f>IFERROR(__xludf.DUMMYFUNCTION("""COMPUTED_VALUE"""),"ご来院後の流れは、受付→WEB問診（事前にご回答いただくとスムーズです）→診察→検査（必要な場合）→お会計となります。ご予約は公式LINEから24時間承っております。LINEはこちら→https://cline-app.com/qr-codes/98ad6f149bfa20f4f2a9a2e91aac4187/preview")</f>
        <v>ご来院後の流れは、受付→WEB問診（事前にご回答いただくとスムーズです）→診察→検査（必要な場合）→お会計となります。ご予約は公式LINEから24時間承っております。LINEはこちら→https://cline-app.com/qr-codes/98ad6f149bfa20f4f2a9a2e91aac4187/preview</v>
      </c>
      <c r="C1162" s="31" t="str">
        <f>IFERROR(__xludf.DUMMYFUNCTION("""COMPUTED_VALUE"""),"受診案内")</f>
        <v>受診案内</v>
      </c>
      <c r="D1162" s="31" t="str">
        <f>IFERROR(__xludf.DUMMYFUNCTION("""COMPUTED_VALUE"""),"診察の流れ,初めて,来院,受診の流れ")</f>
        <v>診察の流れ,初めて,来院,受診の流れ</v>
      </c>
      <c r="E1162" s="31"/>
    </row>
    <row r="1163">
      <c r="A1163" s="31" t="str">
        <f>IFERROR(__xludf.DUMMYFUNCTION("""COMPUTED_VALUE"""),"定期便とは何ですか？/定期配送とは/ピルの定期購入とは/定期便について教えてください")</f>
        <v>定期便とは何ですか？/定期配送とは/ピルの定期購入とは/定期便について教えてください</v>
      </c>
      <c r="B1163" s="31" t="str">
        <f>IFERROR(__xludf.DUMMYFUNCTION("""COMPUTED_VALUE"""),"低用量ピルの定期配送サービスです。オンライン診療で処方を受けた後、ご自宅にお薬を定期的にお届けします。詳しくはこちら→https://luna-dr.com/telemedicine/")</f>
        <v>低用量ピルの定期配送サービスです。オンライン診療で処方を受けた後、ご自宅にお薬を定期的にお届けします。詳しくはこちら→https://luna-dr.com/telemedicine/</v>
      </c>
      <c r="C1163" s="31" t="str">
        <f>IFERROR(__xludf.DUMMYFUNCTION("""COMPUTED_VALUE"""),"定期配送")</f>
        <v>定期配送</v>
      </c>
      <c r="D1163" s="31" t="str">
        <f>IFERROR(__xludf.DUMMYFUNCTION("""COMPUTED_VALUE"""),"定期便,定期配送,定期購入,とは")</f>
        <v>定期便,定期配送,定期購入,とは</v>
      </c>
      <c r="E1163" s="32" t="str">
        <f>IFERROR(__xludf.DUMMYFUNCTION("""COMPUTED_VALUE"""),"https://luna-dr.com/telemedicine/")</f>
        <v>https://luna-dr.com/telemedicine/</v>
      </c>
    </row>
    <row r="1164">
      <c r="A1164" s="31" t="str">
        <f>IFERROR(__xludf.DUMMYFUNCTION("""COMPUTED_VALUE"""),"検査結果はいつ分かりますか？/検査結果はどれくらいで出ますか？/結果はいつ頃わかりますか？/培養検査の結果はどれくらいで出る？/雑菌検査結果はいつ出ますか？")</f>
        <v>検査結果はいつ分かりますか？/検査結果はどれくらいで出ますか？/結果はいつ頃わかりますか？/培養検査の結果はどれくらいで出る？/雑菌検査結果はいつ出ますか？</v>
      </c>
      <c r="B1164" s="31" t="str">
        <f>IFERROR(__xludf.DUMMYFUNCTION("""COMPUTED_VALUE"""),"検査結果は検査の種類によって異なります。クラミジア・淋菌等は約4日〜10日後にWebでご確認いただけます。血液検査は約1〜2週間後にご来院いただき医師から直接ご説明いたします。検査結果確認サイトはこちら→https://result.luna-dr.com/clinic_login")</f>
        <v>検査結果は検査の種類によって異なります。クラミジア・淋菌等は約4日〜10日後にWebでご確認いただけます。血液検査は約1〜2週間後にご来院いただき医師から直接ご説明いたします。検査結果確認サイトはこちら→https://result.luna-dr.com/clinic_login</v>
      </c>
      <c r="C1164" s="31" t="str">
        <f>IFERROR(__xludf.DUMMYFUNCTION("""COMPUTED_VALUE"""),"検査結果")</f>
        <v>検査結果</v>
      </c>
      <c r="D1164" s="31" t="str">
        <f>IFERROR(__xludf.DUMMYFUNCTION("""COMPUTED_VALUE"""),"検査結果,いつ,どれくらい,結果,日数")</f>
        <v>検査結果,いつ,どれくらい,結果,日数</v>
      </c>
      <c r="E1164" s="32" t="str">
        <f>IFERROR(__xludf.DUMMYFUNCTION("""COMPUTED_VALUE"""),"https://result.luna-dr.com/clinic_login")</f>
        <v>https://result.luna-dr.com/clinic_login</v>
      </c>
    </row>
    <row r="1165">
      <c r="A1165" s="31" t="str">
        <f>IFERROR(__xludf.DUMMYFUNCTION("""COMPUTED_VALUE"""),"尿路感染は診てもらえますか？/尿路感染症の診察はできますか？/膀胱炎と尿路感染の両方を診てもらえますか？/尿路感染について相談したい/尿路感染か膣炎疑いなんですが/尿路感染と膣炎の両方を診てもらえますか？")</f>
        <v>尿路感染は診てもらえますか？/尿路感染症の診察はできますか？/膀胱炎と尿路感染の両方を診てもらえますか？/尿路感染について相談したい/尿路感染か膣炎疑いなんですが/尿路感染と膣炎の両方を診てもらえますか？</v>
      </c>
      <c r="B1165" s="31" t="str">
        <f>IFERROR(__xludf.DUMMYFUNCTION("""COMPUTED_VALUE"""),"尿路感染症については泌尿器科が専門となるため、当院での診察は行っておりません。お近くの泌尿器科へのご受診をお願いいたします。")</f>
        <v>尿路感染症については泌尿器科が専門となるため、当院での診察は行っておりません。お近くの泌尿器科へのご受診をお願いいたします。</v>
      </c>
      <c r="C1165" s="31" t="str">
        <f>IFERROR(__xludf.DUMMYFUNCTION("""COMPUTED_VALUE"""),"対応不可")</f>
        <v>対応不可</v>
      </c>
      <c r="D1165" s="31" t="str">
        <f>IFERROR(__xludf.DUMMYFUNCTION("""COMPUTED_VALUE"""),"尿路感染,尿路感染症,泌尿器科,膀胱炎,膣炎")</f>
        <v>尿路感染,尿路感染症,泌尿器科,膀胱炎,膣炎</v>
      </c>
      <c r="E1165" s="31"/>
    </row>
    <row r="1166">
      <c r="A1166" s="31" t="str">
        <f>IFERROR(__xludf.DUMMYFUNCTION("""COMPUTED_VALUE"""),"モナリザタッチはできますか？/モナリザタッチは行っていますか？/モナリザタッチについて教えてください")</f>
        <v>モナリザタッチはできますか？/モナリザタッチは行っていますか？/モナリザタッチについて教えてください</v>
      </c>
      <c r="B1166" s="31" t="str">
        <f>IFERROR(__xludf.DUMMYFUNCTION("""COMPUTED_VALUE"""),"モナリザタッチは当院では行っておりません。モナリザタッチをご希望の場合は、取り扱いのあるクリニックへのご受診をお願いいたします。")</f>
        <v>モナリザタッチは当院では行っておりません。モナリザタッチをご希望の場合は、取り扱いのあるクリニックへのご受診をお願いいたします。</v>
      </c>
      <c r="C1166" s="31" t="str">
        <f>IFERROR(__xludf.DUMMYFUNCTION("""COMPUTED_VALUE"""),"対応不可")</f>
        <v>対応不可</v>
      </c>
      <c r="D1166" s="31" t="str">
        <f>IFERROR(__xludf.DUMMYFUNCTION("""COMPUTED_VALUE"""),"モナリザタッチ,MonaLisa Touch,レーザー治療")</f>
        <v>モナリザタッチ,MonaLisa Touch,レーザー治療</v>
      </c>
      <c r="E1166" s="31"/>
    </row>
    <row r="1167">
      <c r="A1167" s="31" t="str">
        <f>IFERROR(__xludf.DUMMYFUNCTION("""COMPUTED_VALUE"""),"妊娠中の咳や気管支の痛みで受診できますか？/妊娠中の風邪は診てもらえますか？/妊娠中の内科的な症状")</f>
        <v>妊娠中の咳や気管支の痛みで受診できますか？/妊娠中の風邪は診てもらえますか？/妊娠中の内科的な症状</v>
      </c>
      <c r="B1167" s="31" t="str">
        <f>IFERROR(__xludf.DUMMYFUNCTION("""COMPUTED_VALUE"""),"当院は婦人科のため、咳・気管支の痛みなどの内科的な症状の診療は行っておりません。内科へのご受診をお願いいたします。")</f>
        <v>当院は婦人科のため、咳・気管支の痛みなどの内科的な症状の診療は行っておりません。内科へのご受診をお願いいたします。</v>
      </c>
      <c r="C1167" s="31" t="str">
        <f>IFERROR(__xludf.DUMMYFUNCTION("""COMPUTED_VALUE"""),"対応不可")</f>
        <v>対応不可</v>
      </c>
      <c r="D1167" s="31" t="str">
        <f>IFERROR(__xludf.DUMMYFUNCTION("""COMPUTED_VALUE"""),"妊娠中,咳,気管支,内科,風邪")</f>
        <v>妊娠中,咳,気管支,内科,風邪</v>
      </c>
      <c r="E1167" s="31"/>
    </row>
    <row r="1168">
      <c r="A1168" s="31" t="str">
        <f>IFERROR(__xludf.DUMMYFUNCTION("""COMPUTED_VALUE"""),"脱毛は取り扱っていますか？/医療脱毛はできますか？/脱毛について")</f>
        <v>脱毛は取り扱っていますか？/医療脱毛はできますか？/脱毛について</v>
      </c>
      <c r="B1168" s="31" t="str">
        <f>IFERROR(__xludf.DUMMYFUNCTION("""COMPUTED_VALUE"""),"当院では脱毛（医療脱毛を含む）は行っておりません。")</f>
        <v>当院では脱毛（医療脱毛を含む）は行っておりません。</v>
      </c>
      <c r="C1168" s="31" t="str">
        <f>IFERROR(__xludf.DUMMYFUNCTION("""COMPUTED_VALUE"""),"対応不可")</f>
        <v>対応不可</v>
      </c>
      <c r="D1168" s="31" t="str">
        <f>IFERROR(__xludf.DUMMYFUNCTION("""COMPUTED_VALUE"""),"脱毛,医療脱毛")</f>
        <v>脱毛,医療脱毛</v>
      </c>
      <c r="E1168" s="31"/>
    </row>
    <row r="1169">
      <c r="A1169" s="31" t="str">
        <f>IFERROR(__xludf.DUMMYFUNCTION("""COMPUTED_VALUE"""),"アレルギー検査は行っていますか？/アレルギー検査はできますか？/アレルギーの検査")</f>
        <v>アレルギー検査は行っていますか？/アレルギー検査はできますか？/アレルギーの検査</v>
      </c>
      <c r="B1169" s="31" t="str">
        <f>IFERROR(__xludf.DUMMYFUNCTION("""COMPUTED_VALUE"""),"当院は婦人科のため、アレルギー検査は行っておりません。アレルギー科または内科へのご受診をお願いいたします。")</f>
        <v>当院は婦人科のため、アレルギー検査は行っておりません。アレルギー科または内科へのご受診をお願いいたします。</v>
      </c>
      <c r="C1169" s="31" t="str">
        <f>IFERROR(__xludf.DUMMYFUNCTION("""COMPUTED_VALUE"""),"対応不可")</f>
        <v>対応不可</v>
      </c>
      <c r="D1169" s="31" t="str">
        <f>IFERROR(__xludf.DUMMYFUNCTION("""COMPUTED_VALUE"""),"アレルギー検査,アレルギー")</f>
        <v>アレルギー検査,アレルギー</v>
      </c>
      <c r="E1169" s="31"/>
    </row>
    <row r="1170">
      <c r="A1170" s="31" t="str">
        <f>IFERROR(__xludf.DUMMYFUNCTION("""COMPUTED_VALUE"""),"父親が娘を連れて受診できますか？/父親の付き添いは可能ですか？/男性の保護者は同伴できますか？")</f>
        <v>父親が娘を連れて受診できますか？/父親の付き添いは可能ですか？/男性の保護者は同伴できますか？</v>
      </c>
      <c r="B1170" s="31" t="str">
        <f>IFERROR(__xludf.DUMMYFUNCTION("""COMPUTED_VALUE"""),"当院は女性専用のため、男性の方のご入室はお断りしております。18歳未満の患者さまには保護者の同伴が必須ですが、女性の保護者の方にお願いしております。男性の保護者の方は院外でお待ちいただくことになりますので、ご了承ください。")</f>
        <v>当院は女性専用のため、男性の方のご入室はお断りしております。18歳未満の患者さまには保護者の同伴が必須ですが、女性の保護者の方にお願いしております。男性の保護者の方は院外でお待ちいただくことになりますので、ご了承ください。</v>
      </c>
      <c r="C1170" s="31" t="str">
        <f>IFERROR(__xludf.DUMMYFUNCTION("""COMPUTED_VALUE"""),"受診案内")</f>
        <v>受診案内</v>
      </c>
      <c r="D1170" s="31" t="str">
        <f>IFERROR(__xludf.DUMMYFUNCTION("""COMPUTED_VALUE"""),"父親,男性,保護者,付き添い,高校生,娘")</f>
        <v>父親,男性,保護者,付き添い,高校生,娘</v>
      </c>
      <c r="E1170" s="31"/>
    </row>
    <row r="1171">
      <c r="A1171" s="31" t="str">
        <f>IFERROR(__xludf.DUMMYFUNCTION("""COMPUTED_VALUE"""),"アクセスと診療時間を教えてください/場所と診療時間/アクセスと診療時間")</f>
        <v>アクセスと診療時間を教えてください/場所と診療時間/アクセスと診療時間</v>
      </c>
      <c r="B1171" s="31" t="str">
        <f>IFERROR(__xludf.DUMMYFUNCTION("""COMPUTED_VALUE"""),"ルナレディースクリニックの住所は院によって異なります。
・横浜駅前院：〒220-0004 神奈川県横浜市西区北幸1丁目1-8 エキニア横浜7F（横浜駅から徒歩2分）。詳しくはこちら：https://luna-dr.com/yokohama/
・川崎駅前院：〒210-0007 神奈川県川崎市川崎区駅前本町3-1 NMF川崎東口ビルB1F（川崎駅から徒歩30秒）。詳しくはこちら：https://luna-dr.com/kawasaki/
・町田駅前院：〒194-0013 東京都町田市原町田6丁目3-20 TK"&amp;"町田ビル3階（町田駅から徒歩2分）。詳しくはこちら：https://luna-dr.com/
診療時間は院によって診療時間・休診日が異なります。
・横浜駅前院：平日は午前診療が10:00〜14:00、午後診療が15:30〜20:00です。土日祝は午前診療が10:00〜14:00、午後診療が15:30〜19:00です。土日祝日も含め、毎日診療を行っています。診療時間はこちら：https://luna-dr.com/yokohama/consultation-hours/ 
・川崎駅前院：平日は午前診療が10"&amp;":00〜14:00、午後診療が15:30〜20:00です。土日祝は午前診療が10:00〜14:00、午後診療が15:30〜19:00です。土日祝日も含め、毎日診療を行っています。診療時間はこちら：https://luna-dr.com/kawasaki/consultation-hours/ 
・町田駅前院：午前診療が10:00〜14:00、午後診療が15:30〜20:00です。日曜は休診となります。土曜日の午後診療は15:30〜19:00です。診療時間はこちら：https://luna-dr.com/m"&amp;"achida/consultation-hours/")</f>
        <v>ルナレディースクリニックの住所は院によって異なります。
・横浜駅前院：〒220-0004 神奈川県横浜市西区北幸1丁目1-8 エキニア横浜7F（横浜駅から徒歩2分）。詳しくはこちら：https://luna-dr.com/yokohama/
・川崎駅前院：〒210-0007 神奈川県川崎市川崎区駅前本町3-1 NMF川崎東口ビルB1F（川崎駅から徒歩30秒）。詳しくはこちら：https://luna-dr.com/kawasaki/
・町田駅前院：〒194-0013 東京都町田市原町田6丁目3-20 TK町田ビル3階（町田駅から徒歩2分）。詳しくはこちら：https://luna-dr.com/
診療時間は院によって診療時間・休診日が異なります。
・横浜駅前院：平日は午前診療が10:00〜14:00、午後診療が15:30〜20:00です。土日祝は午前診療が10:00〜14:00、午後診療が15:30〜19:00です。土日祝日も含め、毎日診療を行っています。診療時間はこちら：https://luna-dr.com/yokohama/consultation-hours/ 
・川崎駅前院：平日は午前診療が10:00〜14:00、午後診療が15:30〜20:00です。土日祝は午前診療が10:00〜14:00、午後診療が15:30〜19:00です。土日祝日も含め、毎日診療を行っています。診療時間はこちら：https://luna-dr.com/kawasaki/consultation-hours/ 
・町田駅前院：午前診療が10:00〜14:00、午後診療が15:30〜20:00です。日曜は休診となります。土曜日の午後診療は15:30〜19:00です。診療時間はこちら：https://luna-dr.com/machida/consultation-hours/</v>
      </c>
      <c r="C1171" s="31" t="str">
        <f>IFERROR(__xludf.DUMMYFUNCTION("""COMPUTED_VALUE"""),"アクセス")</f>
        <v>アクセス</v>
      </c>
      <c r="D1171" s="31" t="str">
        <f>IFERROR(__xludf.DUMMYFUNCTION("""COMPUTED_VALUE"""),"アクセス,診療時間,場所,行き方")</f>
        <v>アクセス,診療時間,場所,行き方</v>
      </c>
      <c r="E1171" s="31"/>
    </row>
    <row r="1172">
      <c r="A1172" s="31" t="str">
        <f>IFERROR(__xludf.DUMMYFUNCTION("""COMPUTED_VALUE"""),"婦人科検診の結果はどこで見られますか？/検査結果のネットでの見方を教えてください/検査結果の確認方法/子宮頸がん検診の結果の見方/検査結果をWebで確認する方法/結果はどうやって見るんですか？/がん検査結果の表がほしい/検査結果の書類をもらいたい/検査結果を紙でもらえますか")</f>
        <v>婦人科検診の結果はどこで見られますか？/検査結果のネットでの見方を教えてください/検査結果の確認方法/子宮頸がん検診の結果の見方/検査結果をWebで確認する方法/結果はどうやって見るんですか？/がん検査結果の表がほしい/検査結果の書類をもらいたい/検査結果を紙でもらえますか</v>
      </c>
      <c r="B1172" s="31" t="str">
        <f>IFERROR(__xludf.DUMMYFUNCTION("""COMPUTED_VALUE"""),"婦人科検診の結果は、検査日から約2週間後に検査結果確認サイトからWebでご確認いただけます。確認サイトはこちら→https://result.luna-dr.com/clinic_login 診察番号（患者番号）はLINEまたは領収書からご確認いただけます。詳しい確認手順はこちらのページをご参照ください。→https://luna-dr.notion.site/f0a26ab231534d8fa9cb069193c411a4　精密検査や治療が必要な結果だった場合は、医師が改めて診察を行い、今後の治療方針に"&amp;"ついてご説明します。")</f>
        <v>婦人科検診の結果は、検査日から約2週間後に検査結果確認サイトからWebでご確認いただけます。確認サイトはこちら→https://result.luna-dr.com/clinic_login 診察番号（患者番号）はLINEまたは領収書からご確認いただけます。詳しい確認手順はこちらのページをご参照ください。→https://luna-dr.notion.site/f0a26ab231534d8fa9cb069193c411a4　精密検査や治療が必要な結果だった場合は、医師が改めて診察を行い、今後の治療方針についてご説明します。</v>
      </c>
      <c r="C1172" s="31" t="str">
        <f>IFERROR(__xludf.DUMMYFUNCTION("""COMPUTED_VALUE"""),"検査結果")</f>
        <v>検査結果</v>
      </c>
      <c r="D1172" s="31" t="str">
        <f>IFERROR(__xludf.DUMMYFUNCTION("""COMPUTED_VALUE"""),"検査結果,確認方法,見方,Web,ネット,子宮頸がん検診,婦人科検診,結果確認")</f>
        <v>検査結果,確認方法,見方,Web,ネット,子宮頸がん検診,婦人科検診,結果確認</v>
      </c>
      <c r="E1172" s="31"/>
    </row>
    <row r="1173">
      <c r="A1173" s="31" t="str">
        <f>IFERROR(__xludf.DUMMYFUNCTION("""COMPUTED_VALUE"""),"超低用量ピルは処方してもらえますか？/超低用量ピルの取り扱いはありますか？/LEPは処方可能ですか？")</f>
        <v>超低用量ピルは処方してもらえますか？/超低用量ピルの取り扱いはありますか？/LEPは処方可能ですか？</v>
      </c>
      <c r="B1173" s="31" t="str">
        <f>IFERROR(__xludf.DUMMYFUNCTION("""COMPUTED_VALUE"""),"超低用量ピル（LEP）は来院診療にて医師の診察（エコー）を受けていただき、医師の許可があれば処方可能です。当院で取り扱いのある超低用量ピルは、ヤーズフレックス・ドロエチ・ルリウェル（ルナベル）ULD・ヤーズ配合錠・ジェミーナがございます。ご予約は公式LINEから24時間承っております。LINEはこちら→https://cline-app.com/qr-codes/98ad6f149bfa20f4f2a9a2e91aac4187/preview")</f>
        <v>超低用量ピル（LEP）は来院診療にて医師の診察（エコー）を受けていただき、医師の許可があれば処方可能です。当院で取り扱いのある超低用量ピルは、ヤーズフレックス・ドロエチ・ルリウェル（ルナベル）ULD・ヤーズ配合錠・ジェミーナがございます。ご予約は公式LINEから24時間承っております。LINEはこちら→https://cline-app.com/qr-codes/98ad6f149bfa20f4f2a9a2e91aac4187/preview</v>
      </c>
      <c r="C1173" s="31" t="str">
        <f>IFERROR(__xludf.DUMMYFUNCTION("""COMPUTED_VALUE"""),"低用量ピル")</f>
        <v>低用量ピル</v>
      </c>
      <c r="D1173" s="31" t="str">
        <f>IFERROR(__xludf.DUMMYFUNCTION("""COMPUTED_VALUE"""),"超低用量ピル,LEP,ヤーズフレックス,ドロエチ,ルリウェル,ルナベル,ジェミーナ,ヤーズ")</f>
        <v>超低用量ピル,LEP,ヤーズフレックス,ドロエチ,ルリウェル,ルナベル,ジェミーナ,ヤーズ</v>
      </c>
      <c r="E1173" s="31"/>
    </row>
    <row r="1174">
      <c r="A1174" s="31" t="str">
        <f>IFERROR(__xludf.DUMMYFUNCTION("""COMPUTED_VALUE"""),"低用量ピルは定期便ではなく1シートだけオンラインで購入できますか？/ピルを1シートだけ買いたい/単発でピルを買えますか？")</f>
        <v>低用量ピルは定期便ではなく1シートだけオンラインで購入できますか？/ピルを1シートだけ買いたい/単発でピルを買えますか？</v>
      </c>
      <c r="B1174" s="31" t="str">
        <f>IFERROR(__xludf.DUMMYFUNCTION("""COMPUTED_VALUE"""),"ネットショップでの単発購入は行っておりません。1シートのみのご購入をご希望の場合は、オンライン診療を受けていただいたうえで単品購入が可能です。オンライン診療はこちらのLINEからご予約ください。→https://liff-gateway.lineml.jp/landing?follow=%40590gpxrd&amp;lp=rJHUjK&amp;liff_id=1657094566-LmjNPPbV")</f>
        <v>ネットショップでの単発購入は行っておりません。1シートのみのご購入をご希望の場合は、オンライン診療を受けていただいたうえで単品購入が可能です。オンライン診療はこちらのLINEからご予約ください。→https://liff-gateway.lineml.jp/landing?follow=%40590gpxrd&amp;lp=rJHUjK&amp;liff_id=1657094566-LmjNPPbV</v>
      </c>
      <c r="C1174" s="31" t="str">
        <f>IFERROR(__xludf.DUMMYFUNCTION("""COMPUTED_VALUE"""),"定期配送")</f>
        <v>定期配送</v>
      </c>
      <c r="D1174" s="31" t="str">
        <f>IFERROR(__xludf.DUMMYFUNCTION("""COMPUTED_VALUE"""),"低用量ピル,1シート,単発,単品,オンライン購入")</f>
        <v>低用量ピル,1シート,単発,単品,オンライン購入</v>
      </c>
      <c r="E1174" s="31"/>
    </row>
    <row r="1175">
      <c r="A1175" s="31" t="str">
        <f>IFERROR(__xludf.DUMMYFUNCTION("""COMPUTED_VALUE"""),"予約枠はいつ解放されますか？/翌月の予約はいつからできますか？/来月の予約はいつから取れますか？/予約は何日からできますか？/先の予約は可能ですか？/")</f>
        <v>予約枠はいつ解放されますか？/翌月の予約はいつからできますか？/来月の予約はいつから取れますか？/予約は何日からできますか？/先の予約は可能ですか？/</v>
      </c>
      <c r="B1175" s="31" t="str">
        <f>IFERROR(__xludf.DUMMYFUNCTION("""COMPUTED_VALUE"""),"毎月20日に翌月分の予約枠が解放されます。ご予約は公式LINEから24時間承っております。LINEはこちら→https://cline-app.com/qr-codes/98ad6f149bfa20f4f2a9a2e91aac4187/preview")</f>
        <v>毎月20日に翌月分の予約枠が解放されます。ご予約は公式LINEから24時間承っております。LINEはこちら→https://cline-app.com/qr-codes/98ad6f149bfa20f4f2a9a2e91aac4187/preview</v>
      </c>
      <c r="C1175" s="31" t="str">
        <f>IFERROR(__xludf.DUMMYFUNCTION("""COMPUTED_VALUE"""),"予約")</f>
        <v>予約</v>
      </c>
      <c r="D1175" s="31" t="str">
        <f>IFERROR(__xludf.DUMMYFUNCTION("""COMPUTED_VALUE"""),"予約枠,解放,いつから,翌月,来月,先の予約")</f>
        <v>予約枠,解放,いつから,翌月,来月,先の予約</v>
      </c>
      <c r="E1175" s="31"/>
    </row>
    <row r="1176">
      <c r="A1176" s="31" t="str">
        <f>IFERROR(__xludf.DUMMYFUNCTION("""COMPUTED_VALUE"""),"予約が勝手にキャンセルされていたのですが/自動キャンセルの条件はありますか？/予約がキャンセルになっていた")</f>
        <v>予約が勝手にキャンセルされていたのですが/自動キャンセルの条件はありますか？/予約がキャンセルになっていた</v>
      </c>
      <c r="B1176" s="31" t="str">
        <f>IFERROR(__xludf.DUMMYFUNCTION("""COMPUTED_VALUE"""),"予約時間を10分以上経過しますと、予約が自動でキャンセルされます。キャンセルされた場合は、LINEに自動で通知が届きます。再度ご予約をお取りいただくか、お電話（050-1730-2768）にてお問い合わせください。")</f>
        <v>予約時間を10分以上経過しますと、予約が自動でキャンセルされます。キャンセルされた場合は、LINEに自動で通知が届きます。再度ご予約をお取りいただくか、お電話（050-1730-2768）にてお問い合わせください。</v>
      </c>
      <c r="C1176" s="31" t="str">
        <f>IFERROR(__xludf.DUMMYFUNCTION("""COMPUTED_VALUE"""),"予約")</f>
        <v>予約</v>
      </c>
      <c r="D1176" s="31" t="str">
        <f>IFERROR(__xludf.DUMMYFUNCTION("""COMPUTED_VALUE"""),"自動キャンセル,勝手にキャンセル,10分")</f>
        <v>自動キャンセル,勝手にキャンセル,10分</v>
      </c>
      <c r="E1176" s="31"/>
    </row>
    <row r="1177">
      <c r="A1177" s="31" t="str">
        <f>IFERROR(__xludf.DUMMYFUNCTION("""COMPUTED_VALUE"""),"オンライン診療の確認メールはいつ届きますか？/オンライン診療のリマインド")</f>
        <v>オンライン診療の確認メールはいつ届きますか？/オンライン診療のリマインド</v>
      </c>
      <c r="B1177" s="31" t="str">
        <f>IFERROR(__xludf.DUMMYFUNCTION("""COMPUTED_VALUE"""),"オンライン診療の連絡は、ご予約取得日と予約当日の朝に届きます。")</f>
        <v>オンライン診療の連絡は、ご予約取得日と予約当日の朝に届きます。</v>
      </c>
      <c r="C1177" s="31" t="str">
        <f>IFERROR(__xludf.DUMMYFUNCTION("""COMPUTED_VALUE"""),"オンライン診療")</f>
        <v>オンライン診療</v>
      </c>
      <c r="D1177" s="31" t="str">
        <f>IFERROR(__xludf.DUMMYFUNCTION("""COMPUTED_VALUE"""),"オンライン診療,メール,連絡,リマインド,届く")</f>
        <v>オンライン診療,メール,連絡,リマインド,届く</v>
      </c>
      <c r="E1177" s="31"/>
    </row>
    <row r="1178">
      <c r="A1178" s="31" t="str">
        <f>IFERROR(__xludf.DUMMYFUNCTION("""COMPUTED_VALUE"""),"ビデオ診察はカメラオフでも大丈夫ですか？/オンライン診療でカメラをオフにしたい")</f>
        <v>ビデオ診察はカメラオフでも大丈夫ですか？/オンライン診療でカメラをオフにしたい</v>
      </c>
      <c r="B1178" s="31" t="str">
        <f>IFERROR(__xludf.DUMMYFUNCTION("""COMPUTED_VALUE"""),"ビデオ診療ではカメラオンが必須となっております。医師・患者さまともにカメラをオンにしていただく必要がございます。")</f>
        <v>ビデオ診療ではカメラオンが必須となっております。医師・患者さまともにカメラをオンにしていただく必要がございます。</v>
      </c>
      <c r="C1178" s="31" t="str">
        <f>IFERROR(__xludf.DUMMYFUNCTION("""COMPUTED_VALUE"""),"オンライン診療")</f>
        <v>オンライン診療</v>
      </c>
      <c r="D1178" s="31" t="str">
        <f>IFERROR(__xludf.DUMMYFUNCTION("""COMPUTED_VALUE"""),"ビデオ診察,カメラオフ,カメラ,オンライン")</f>
        <v>ビデオ診察,カメラオフ,カメラ,オンライン</v>
      </c>
      <c r="E1178" s="31"/>
    </row>
    <row r="1179">
      <c r="A1179" s="31" t="str">
        <f>IFERROR(__xludf.DUMMYFUNCTION("""COMPUTED_VALUE"""),"術後検診の所要時間はどのくらいですか？/術後検診にかかる時間")</f>
        <v>術後検診の所要時間はどのくらいですか？/術後検診にかかる時間</v>
      </c>
      <c r="B1179" s="31" t="str">
        <f>IFERROR(__xludf.DUMMYFUNCTION("""COMPUTED_VALUE"""),"術後検診はご受診からお会計まで1時間前後が目安です。")</f>
        <v>術後検診はご受診からお会計まで1時間前後が目安です。</v>
      </c>
      <c r="C1179" s="31" t="str">
        <f>IFERROR(__xludf.DUMMYFUNCTION("""COMPUTED_VALUE"""),"中絶手術")</f>
        <v>中絶手術</v>
      </c>
      <c r="D1179" s="31" t="str">
        <f>IFERROR(__xludf.DUMMYFUNCTION("""COMPUTED_VALUE"""),"術後検診,所要時間,時間")</f>
        <v>術後検診,所要時間,時間</v>
      </c>
      <c r="E1179" s="31"/>
    </row>
    <row r="1180">
      <c r="A1180" s="31" t="str">
        <f>IFERROR(__xludf.DUMMYFUNCTION("""COMPUTED_VALUE"""),"術後検診の持ち物は何ですか？/術後検診に必要なもの")</f>
        <v>術後検診の持ち物は何ですか？/術後検診に必要なもの</v>
      </c>
      <c r="B1180" s="31" t="str">
        <f>IFERROR(__xludf.DUMMYFUNCTION("""COMPUTED_VALUE"""),"術後検診にお持ちいただくものは身分証明書のみです。")</f>
        <v>術後検診にお持ちいただくものは身分証明書のみです。</v>
      </c>
      <c r="C1180" s="31" t="str">
        <f>IFERROR(__xludf.DUMMYFUNCTION("""COMPUTED_VALUE"""),"中絶手術")</f>
        <v>中絶手術</v>
      </c>
      <c r="D1180" s="31" t="str">
        <f>IFERROR(__xludf.DUMMYFUNCTION("""COMPUTED_VALUE"""),"術後検診,持ち物,必要なもの")</f>
        <v>術後検診,持ち物,必要なもの</v>
      </c>
      <c r="E1180" s="31"/>
    </row>
    <row r="1181">
      <c r="A1181" s="31" t="str">
        <f>IFERROR(__xludf.DUMMYFUNCTION("""COMPUTED_VALUE"""),"ラクトフローラは店舗で購入できますか？/院内で購入できる商品はありますか？/院内で売っている商品は？")</f>
        <v>ラクトフローラは店舗で購入できますか？/院内で購入できる商品はありますか？/院内で売っている商品は？</v>
      </c>
      <c r="B1181" s="31" t="str">
        <f>IFERROR(__xludf.DUMMYFUNCTION("""COMPUTED_VALUE"""),"ラクトフローラ（乳酸桿菌）は全院の店舗で購入可能です。そのほか院内では、Lypo-C・Lypo-C+D・FemCHECK検査キット・コラージュフルフルをお取り扱いしております。")</f>
        <v>ラクトフローラ（乳酸桿菌）は全院の店舗で購入可能です。そのほか院内では、Lypo-C・Lypo-C+D・FemCHECK検査キット・コラージュフルフルをお取り扱いしております。</v>
      </c>
      <c r="C1181" s="31" t="str">
        <f>IFERROR(__xludf.DUMMYFUNCTION("""COMPUTED_VALUE"""),"受診案内")</f>
        <v>受診案内</v>
      </c>
      <c r="D1181" s="31" t="str">
        <f>IFERROR(__xludf.DUMMYFUNCTION("""COMPUTED_VALUE"""),"ラクトフローラ,店舗購入,院内販売,Lypo-C,コラージュフルフル")</f>
        <v>ラクトフローラ,店舗購入,院内販売,Lypo-C,コラージュフルフル</v>
      </c>
      <c r="E1181" s="31"/>
    </row>
    <row r="1182">
      <c r="A1182" s="31" t="str">
        <f>IFERROR(__xludf.DUMMYFUNCTION("""COMPUTED_VALUE"""),"解析結果の「ステータス」とは何ですか？/解析中で陽性と書いてある場合は陽性ですか？/検査結果が解析中と表示されている")</f>
        <v>解析結果の「ステータス」とは何ですか？/解析中で陽性と書いてある場合は陽性ですか？/検査結果が解析中と表示されている</v>
      </c>
      <c r="B1182" s="31" t="str">
        <f>IFERROR(__xludf.DUMMYFUNCTION("""COMPUTED_VALUE"""),"「解析中」は全ての検査結果が出揃っていない状態を表しています。全ての結果が出揃うとステータスが変わります。なお、解析中であっても、表示されている検査結果は確定のものとなります。")</f>
        <v>「解析中」は全ての検査結果が出揃っていない状態を表しています。全ての結果が出揃うとステータスが変わります。なお、解析中であっても、表示されている検査結果は確定のものとなります。</v>
      </c>
      <c r="C1182" s="31" t="str">
        <f>IFERROR(__xludf.DUMMYFUNCTION("""COMPUTED_VALUE"""),"検査結果")</f>
        <v>検査結果</v>
      </c>
      <c r="D1182" s="31" t="str">
        <f>IFERROR(__xludf.DUMMYFUNCTION("""COMPUTED_VALUE"""),"解析中,ステータス,検査結果,確定,陽性")</f>
        <v>解析中,ステータス,検査結果,確定,陽性</v>
      </c>
      <c r="E1182" s="31"/>
    </row>
    <row r="1183">
      <c r="A1183" s="31" t="str">
        <f>IFERROR(__xludf.DUMMYFUNCTION("""COMPUTED_VALUE"""),"エコー写真はもらえますか？/エコー写真が欲しい/前回もらえなかったエコー写真が欲しい")</f>
        <v>エコー写真はもらえますか？/エコー写真が欲しい/前回もらえなかったエコー写真が欲しい</v>
      </c>
      <c r="B1183" s="31" t="str">
        <f>IFERROR(__xludf.DUMMYFUNCTION("""COMPUTED_VALUE"""),"エコー写真は、診察時に医師にご希望をお伝えいただければお渡し可能です。")</f>
        <v>エコー写真は、診察時に医師にご希望をお伝えいただければお渡し可能です。</v>
      </c>
      <c r="C1183" s="31" t="str">
        <f>IFERROR(__xludf.DUMMYFUNCTION("""COMPUTED_VALUE"""),"検査結果")</f>
        <v>検査結果</v>
      </c>
      <c r="D1183" s="31" t="str">
        <f>IFERROR(__xludf.DUMMYFUNCTION("""COMPUTED_VALUE"""),"エコー写真,もらえる,お渡し")</f>
        <v>エコー写真,もらえる,お渡し</v>
      </c>
      <c r="E1183" s="31"/>
    </row>
    <row r="1184">
      <c r="A1184" s="31" t="str">
        <f>IFERROR(__xludf.DUMMYFUNCTION("""COMPUTED_VALUE"""),"月経移動で受診する場合、内診はありますか？/月経移動の診察は内診がありますか？")</f>
        <v>月経移動で受診する場合、内診はありますか？/月経移動の診察は内診がありますか？</v>
      </c>
      <c r="B1184" s="31" t="str">
        <f>IFERROR(__xludf.DUMMYFUNCTION("""COMPUTED_VALUE"""),"月経移動の処方のみの場合は、通常は内診なく処方が可能です。ただし、当日の医師の判断により内診を行う場合がございます。ご予約は「月経移動」のメニューからお取りください。→https://cline-app.com/qr-codes/98ad6f149bfa20f4f2a9a2e91aac4187/preview")</f>
        <v>月経移動の処方のみの場合は、通常は内診なく処方が可能です。ただし、当日の医師の判断により内診を行う場合がございます。ご予約は「月経移動」のメニューからお取りください。→https://cline-app.com/qr-codes/98ad6f149bfa20f4f2a9a2e91aac4187/preview</v>
      </c>
      <c r="C1184" s="31" t="str">
        <f>IFERROR(__xludf.DUMMYFUNCTION("""COMPUTED_VALUE"""),"月経移動")</f>
        <v>月経移動</v>
      </c>
      <c r="D1184" s="31" t="str">
        <f>IFERROR(__xludf.DUMMYFUNCTION("""COMPUTED_VALUE"""),"月経移動,内診,処方")</f>
        <v>月経移動,内診,処方</v>
      </c>
      <c r="E1184" s="31"/>
    </row>
    <row r="1185">
      <c r="A1185" s="31" t="str">
        <f>IFERROR(__xludf.DUMMYFUNCTION("""COMPUTED_VALUE"""),"診察と経膣エコーは同日にできますか？/予約した即日にエコー検査を受けられますか？")</f>
        <v>診察と経膣エコーは同日にできますか？/予約した即日にエコー検査を受けられますか？</v>
      </c>
      <c r="B1185" s="31" t="str">
        <f>IFERROR(__xludf.DUMMYFUNCTION("""COMPUTED_VALUE"""),"診察と経膣エコーは同日に対応可能です。診察時に医師にご希望をお伝えください。ご予約は公式LINEから24時間承っております。LINEはこちら→https://cline-app.com/qr-codes/98ad6f149bfa20f4f2a9a2e91aac4187/preview")</f>
        <v>診察と経膣エコーは同日に対応可能です。診察時に医師にご希望をお伝えください。ご予約は公式LINEから24時間承っております。LINEはこちら→https://cline-app.com/qr-codes/98ad6f149bfa20f4f2a9a2e91aac4187/preview</v>
      </c>
      <c r="C1185" s="31" t="str">
        <f>IFERROR(__xludf.DUMMYFUNCTION("""COMPUTED_VALUE"""),"受診案内")</f>
        <v>受診案内</v>
      </c>
      <c r="D1185" s="31" t="str">
        <f>IFERROR(__xludf.DUMMYFUNCTION("""COMPUTED_VALUE"""),"経膣エコー,同日,即日,超音波")</f>
        <v>経膣エコー,同日,即日,超音波</v>
      </c>
      <c r="E1185" s="31"/>
    </row>
    <row r="1186">
      <c r="A1186" s="31" t="str">
        <f>IFERROR(__xludf.DUMMYFUNCTION("""COMPUTED_VALUE"""),"術後検診は生理中でも受診できますか？/術後検診で超音波検査はありますか？")</f>
        <v>術後検診は生理中でも受診できますか？/術後検診で超音波検査はありますか？</v>
      </c>
      <c r="B1186" s="31" t="str">
        <f>IFERROR(__xludf.DUMMYFUNCTION("""COMPUTED_VALUE"""),"術後検診は生理中でも受診可能です。子宮の状態確認のため、医師の判断で超音波検査を行う場合がございます。ご予約は公式LINEから24時間承っております。LINEはこちら→https://cline-app.com/qr-codes/98ad6f149bfa20f4f2a9a2e91aac4187/preview")</f>
        <v>術後検診は生理中でも受診可能です。子宮の状態確認のため、医師の判断で超音波検査を行う場合がございます。ご予約は公式LINEから24時間承っております。LINEはこちら→https://cline-app.com/qr-codes/98ad6f149bfa20f4f2a9a2e91aac4187/preview</v>
      </c>
      <c r="C1186" s="31" t="str">
        <f>IFERROR(__xludf.DUMMYFUNCTION("""COMPUTED_VALUE"""),"中絶手術")</f>
        <v>中絶手術</v>
      </c>
      <c r="D1186" s="31" t="str">
        <f>IFERROR(__xludf.DUMMYFUNCTION("""COMPUTED_VALUE"""),"術後検診,生理中,超音波")</f>
        <v>術後検診,生理中,超音波</v>
      </c>
      <c r="E1186" s="31"/>
    </row>
    <row r="1187">
      <c r="A1187" s="31" t="str">
        <f>IFERROR(__xludf.DUMMYFUNCTION("""COMPUTED_VALUE"""),"アフターピルを処方してもらう場合、診察料や初診料はかかりますか？/アフターピルは薬代以外にかかりますか？/15000円以外にかかりますか？")</f>
        <v>アフターピルを処方してもらう場合、診察料や初診料はかかりますか？/アフターピルは薬代以外にかかりますか？/15000円以外にかかりますか？</v>
      </c>
      <c r="B1187" s="31" t="str">
        <f>IFERROR(__xludf.DUMMYFUNCTION("""COMPUTED_VALUE"""),"アフターピルは自費診療となるため、診察料・初診料はかかりません。お薬の金額のみのお支払いとなります。")</f>
        <v>アフターピルは自費診療となるため、診察料・初診料はかかりません。お薬の金額のみのお支払いとなります。</v>
      </c>
      <c r="C1187" s="31" t="str">
        <f>IFERROR(__xludf.DUMMYFUNCTION("""COMPUTED_VALUE"""),"アフターピル")</f>
        <v>アフターピル</v>
      </c>
      <c r="D1187" s="31" t="str">
        <f>IFERROR(__xludf.DUMMYFUNCTION("""COMPUTED_VALUE"""),"アフターピル,診察料,初診料,自費,追加料金")</f>
        <v>アフターピル,診察料,初診料,自費,追加料金</v>
      </c>
      <c r="E1187" s="31"/>
    </row>
    <row r="1188">
      <c r="A1188" s="31" t="str">
        <f>IFERROR(__xludf.DUMMYFUNCTION("""COMPUTED_VALUE"""),"問診票のURLが開けません/SMSの問診票URLがエラーになる/問診票が開けない場合")</f>
        <v>問診票のURLが開けません/SMSの問診票URLがエラーになる/問診票が開けない場合</v>
      </c>
      <c r="B1188" s="31" t="str">
        <f>IFERROR(__xludf.DUMMYFUNCTION("""COMPUTED_VALUE"""),"問診票のURLが開けない場合は、お電話（050-1730-2768）にてご連絡いただければ再度URLを送信可能です。また、問診票が未回答のままでもご受診当日に院内でご対応いただけますので、ご安心ください。")</f>
        <v>問診票のURLが開けない場合は、お電話（050-1730-2768）にてご連絡いただければ再度URLを送信可能です。また、問診票が未回答のままでもご受診当日に院内でご対応いただけますので、ご安心ください。</v>
      </c>
      <c r="C1188" s="31" t="str">
        <f>IFERROR(__xludf.DUMMYFUNCTION("""COMPUTED_VALUE"""),"UI操作")</f>
        <v>UI操作</v>
      </c>
      <c r="D1188" s="31" t="str">
        <f>IFERROR(__xludf.DUMMYFUNCTION("""COMPUTED_VALUE"""),"問診票,URL,エラー,開けない,SMS")</f>
        <v>問診票,URL,エラー,開けない,SMS</v>
      </c>
      <c r="E1188" s="31"/>
    </row>
    <row r="1189">
      <c r="A1189" s="31" t="str">
        <f>IFERROR(__xludf.DUMMYFUNCTION("""COMPUTED_VALUE"""),"問診票を回答済みですが確認できますか？/回答した問診票を見直したい")</f>
        <v>問診票を回答済みですが確認できますか？/回答した問診票を見直したい</v>
      </c>
      <c r="B1189" s="31" t="str">
        <f>IFERROR(__xludf.DUMMYFUNCTION("""COMPUTED_VALUE"""),"恐れ入りますが、回答済みの問診票を再度ご確認いただくことはできかねます。内容の修正が必要な場合は、ご受診当日に受付にてお申し出ください。")</f>
        <v>恐れ入りますが、回答済みの問診票を再度ご確認いただくことはできかねます。内容の修正が必要な場合は、ご受診当日に受付にてお申し出ください。</v>
      </c>
      <c r="C1189" s="31" t="str">
        <f>IFERROR(__xludf.DUMMYFUNCTION("""COMPUTED_VALUE"""),"UI操作")</f>
        <v>UI操作</v>
      </c>
      <c r="D1189" s="31" t="str">
        <f>IFERROR(__xludf.DUMMYFUNCTION("""COMPUTED_VALUE"""),"問診票,確認,回答済み")</f>
        <v>問診票,確認,回答済み</v>
      </c>
      <c r="E1189" s="31"/>
    </row>
    <row r="1190">
      <c r="A1190" s="31" t="str">
        <f>IFERROR(__xludf.DUMMYFUNCTION("""COMPUTED_VALUE"""),"問診票の喫煙回数は1日あたりですか？")</f>
        <v>問診票の喫煙回数は1日あたりですか？</v>
      </c>
      <c r="B1190" s="31" t="str">
        <f>IFERROR(__xludf.DUMMYFUNCTION("""COMPUTED_VALUE"""),"問診票の喫煙回数は1日あたりの喫煙本数をご入力ください。")</f>
        <v>問診票の喫煙回数は1日あたりの喫煙本数をご入力ください。</v>
      </c>
      <c r="C1190" s="31" t="str">
        <f>IFERROR(__xludf.DUMMYFUNCTION("""COMPUTED_VALUE"""),"UI操作")</f>
        <v>UI操作</v>
      </c>
      <c r="D1190" s="31" t="str">
        <f>IFERROR(__xludf.DUMMYFUNCTION("""COMPUTED_VALUE"""),"問診票,喫煙,本数,1日")</f>
        <v>問診票,喫煙,本数,1日</v>
      </c>
      <c r="E1190" s="31"/>
    </row>
    <row r="1191">
      <c r="A1191" s="31" t="str">
        <f>IFERROR(__xludf.DUMMYFUNCTION("""COMPUTED_VALUE"""),"前回いつ診療を受けたか確認したい/受診履歴を知りたい/最後の受診日")</f>
        <v>前回いつ診療を受けたか確認したい/受診履歴を知りたい/最後の受診日</v>
      </c>
      <c r="B1191" s="31" t="str">
        <f>IFERROR(__xludf.DUMMYFUNCTION("""COMPUTED_VALUE"""),"LINEからご予約された場合は、LINEの予約履歴からご確認いただけます。お電話でご予約された場合は、予約受診状況の確認ができかねますので、お電話（050-1730-2768）にてお問い合わせください。")</f>
        <v>LINEからご予約された場合は、LINEの予約履歴からご確認いただけます。お電話でご予約された場合は、予約受診状況の確認ができかねますので、お電話（050-1730-2768）にてお問い合わせください。</v>
      </c>
      <c r="C1191" s="31" t="str">
        <f>IFERROR(__xludf.DUMMYFUNCTION("""COMPUTED_VALUE"""),"受診案内")</f>
        <v>受診案内</v>
      </c>
      <c r="D1191" s="31" t="str">
        <f>IFERROR(__xludf.DUMMYFUNCTION("""COMPUTED_VALUE"""),"受診履歴,前回,最後,受診日,確認")</f>
        <v>受診履歴,前回,最後,受診日,確認</v>
      </c>
      <c r="E1191" s="31"/>
    </row>
    <row r="1192">
      <c r="A1192" s="31" t="str">
        <f>IFERROR(__xludf.DUMMYFUNCTION("""COMPUTED_VALUE"""),"スピロノラクトンは処方できますか？/ノアルテンは処方できますか？/クロミッドは処方できますか？/オンライン診療で抗生物質をもらえますか？/〇〇という薬は処方できますか？/ボンジェスタを処方していますか？")</f>
        <v>スピロノラクトンは処方できますか？/ノアルテンは処方できますか？/クロミッドは処方できますか？/オンライン診療で抗生物質をもらえますか？/〇〇という薬は処方できますか？/ボンジェスタを処方していますか？</v>
      </c>
      <c r="B1192" s="31" t="str">
        <f>IFERROR(__xludf.DUMMYFUNCTION("""COMPUTED_VALUE"""),"お薬の処方可否は医師の診察にて判断となるため、事前のご案内ができかねます。お電話でもお答えが難しい内容となりますので、ご予約のうえ医師にご相談ください。ご予約は公式LINEから24時間承っております。LINEはこちら→https://cline-app.com/qr-codes/98ad6f149bfa20f4f2a9a2e91aac4187/preview")</f>
        <v>お薬の処方可否は医師の診察にて判断となるため、事前のご案内ができかねます。お電話でもお答えが難しい内容となりますので、ご予約のうえ医師にご相談ください。ご予約は公式LINEから24時間承っております。LINEはこちら→https://cline-app.com/qr-codes/98ad6f149bfa20f4f2a9a2e91aac4187/preview</v>
      </c>
      <c r="C1192" s="31" t="str">
        <f>IFERROR(__xludf.DUMMYFUNCTION("""COMPUTED_VALUE"""),"処方薬")</f>
        <v>処方薬</v>
      </c>
      <c r="D1192" s="31" t="str">
        <f>IFERROR(__xludf.DUMMYFUNCTION("""COMPUTED_VALUE"""),"処方,薬,処方可能,スピロノラクトン,ノアルテン,クロミッド,抗生物質")</f>
        <v>処方,薬,処方可能,スピロノラクトン,ノアルテン,クロミッド,抗生物質</v>
      </c>
      <c r="E1192" s="31"/>
    </row>
    <row r="1193">
      <c r="A1193" s="31" t="str">
        <f>IFERROR(__xludf.DUMMYFUNCTION("""COMPUTED_VALUE"""),"ミニピルは定期配送できますか？/スリンダは郵送してもらえますか？/ミニピルの定期配送")</f>
        <v>ミニピルは定期配送できますか？/スリンダは郵送してもらえますか？/ミニピルの定期配送</v>
      </c>
      <c r="B1193" s="31" t="str">
        <f>IFERROR(__xludf.DUMMYFUNCTION("""COMPUTED_VALUE"""),"ミニピル（スリンダ）の定期配送は可能です。定期配送の購入はこちらからお進みください→
https://shop.luna-dr.com/collections/low_dose_pill_subscription")</f>
        <v>ミニピル（スリンダ）の定期配送は可能です。定期配送の購入はこちらからお進みください→
https://shop.luna-dr.com/collections/low_dose_pill_subscription</v>
      </c>
      <c r="C1193" s="31" t="str">
        <f>IFERROR(__xludf.DUMMYFUNCTION("""COMPUTED_VALUE"""),"低用量ピル（自費）")</f>
        <v>低用量ピル（自費）</v>
      </c>
      <c r="D1193" s="31" t="str">
        <f>IFERROR(__xludf.DUMMYFUNCTION("""COMPUTED_VALUE"""),"ミニピル,スリンダ,定期配送,郵送")</f>
        <v>ミニピル,スリンダ,定期配送,郵送</v>
      </c>
      <c r="E1193" s="31"/>
    </row>
    <row r="1194">
      <c r="A1194" s="31" t="str">
        <f>IFERROR(__xludf.DUMMYFUNCTION("""COMPUTED_VALUE"""),"ピルと太田胃酸は一緒に飲んでも大丈夫ですか？/ピル服用中に蕁麻疹が出た/ピルと他の薬の飲み合わせ")</f>
        <v>ピルと太田胃酸は一緒に飲んでも大丈夫ですか？/ピル服用中に蕁麻疹が出た/ピルと他の薬の飲み合わせ</v>
      </c>
      <c r="B1194" s="31" t="str">
        <f>IFERROR(__xludf.DUMMYFUNCTION("""COMPUTED_VALUE"""),"お薬の飲み合わせや服用中の症状については、お電話にてお問い合わせくださいませ。お電話は050-1730-2768（受付時間：平日9:45〜13:40・15:15〜19:40、土日祝9:45〜13:40・15:15〜18:40）となります。")</f>
        <v>お薬の飲み合わせや服用中の症状については、お電話にてお問い合わせくださいませ。お電話は050-1730-2768（受付時間：平日9:45〜13:40・15:15〜19:40、土日祝9:45〜13:40・15:15〜18:40）となります。</v>
      </c>
      <c r="C1194" s="31" t="str">
        <f>IFERROR(__xludf.DUMMYFUNCTION("""COMPUTED_VALUE"""),"処方薬")</f>
        <v>処方薬</v>
      </c>
      <c r="D1194" s="31" t="str">
        <f>IFERROR(__xludf.DUMMYFUNCTION("""COMPUTED_VALUE"""),"飲み合わせ,太田胃酸,蕁麻疹,副作用,併用")</f>
        <v>飲み合わせ,太田胃酸,蕁麻疹,副作用,併用</v>
      </c>
      <c r="E1194" s="31"/>
    </row>
    <row r="1195">
      <c r="A1195" s="31" t="str">
        <f>IFERROR(__xludf.DUMMYFUNCTION("""COMPUTED_VALUE"""),"薬は院内処方ですか？/薬は当日もらえますか？/処方箋を持って薬局に行く形ですか？")</f>
        <v>薬は院内処方ですか？/薬は当日もらえますか？/処方箋を持って薬局に行く形ですか？</v>
      </c>
      <c r="B1195" s="31" t="str">
        <f>IFERROR(__xludf.DUMMYFUNCTION("""COMPUTED_VALUE"""),"お薬によって院内でお渡しするものと、処方箋を発行し院外の薬局でお受け取りいただくものがございます。詳しくは診察時に医師・スタッフにご確認ください。")</f>
        <v>お薬によって院内でお渡しするものと、処方箋を発行し院外の薬局でお受け取りいただくものがございます。詳しくは診察時に医師・スタッフにご確認ください。</v>
      </c>
      <c r="C1195" s="31" t="str">
        <f>IFERROR(__xludf.DUMMYFUNCTION("""COMPUTED_VALUE"""),"処方薬")</f>
        <v>処方薬</v>
      </c>
      <c r="D1195" s="31" t="str">
        <f>IFERROR(__xludf.DUMMYFUNCTION("""COMPUTED_VALUE"""),"院内処方,院外処方,処方箋,薬局,当日")</f>
        <v>院内処方,院外処方,処方箋,薬局,当日</v>
      </c>
      <c r="E1195" s="31"/>
    </row>
    <row r="1196">
      <c r="A1196" s="31" t="str">
        <f>IFERROR(__xludf.DUMMYFUNCTION("""COMPUTED_VALUE"""),"保険診療の検査や薬の料金はいくらですか？/フラジール膣錠の料金/膣錠の処方料金")</f>
        <v>保険診療の検査や薬の料金はいくらですか？/フラジール膣錠の料金/膣錠の処方料金</v>
      </c>
      <c r="B1196" s="31" t="str">
        <f>IFERROR(__xludf.DUMMYFUNCTION("""COMPUTED_VALUE"""),"保険診療の場合、診察内容・検査項目・処方薬が医師の判断により異なるため、事前に料金をお伝えすることができかねます。ご了承いただけますと幸いです。")</f>
        <v>保険診療の場合、診察内容・検査項目・処方薬が医師の判断により異なるため、事前に料金をお伝えすることができかねます。ご了承いただけますと幸いです。</v>
      </c>
      <c r="C1196" s="31" t="str">
        <f>IFERROR(__xludf.DUMMYFUNCTION("""COMPUTED_VALUE"""),"料金・保険")</f>
        <v>料金・保険</v>
      </c>
      <c r="D1196" s="31" t="str">
        <f>IFERROR(__xludf.DUMMYFUNCTION("""COMPUTED_VALUE"""),"保険診療,料金,事前,フラジール,膣錠")</f>
        <v>保険診療,料金,事前,フラジール,膣錠</v>
      </c>
      <c r="E1196" s="31"/>
    </row>
    <row r="1197">
      <c r="A1197" s="31" t="str">
        <f>IFERROR(__xludf.DUMMYFUNCTION("""COMPUTED_VALUE"""),"月経移動ピル5,000円には何日分の薬が含まれていますか？/月経移動ピルは何錠もらえますか？/プラノバールは何錠処方されますか？")</f>
        <v>月経移動ピル5,000円には何日分の薬が含まれていますか？/月経移動ピルは何錠もらえますか？/プラノバールは何錠処方されますか？</v>
      </c>
      <c r="B1197" s="31" t="str">
        <f>IFERROR(__xludf.DUMMYFUNCTION("""COMPUTED_VALUE"""),"月経移動ピル（プラノバール）は21錠（1シート）の処方で5,000円（税込）です。7錠のみ等の処方は行っておらず、オンライン・来院ともに1シート単位の処方となります。1回の月経移動で使用し余った残薬は、次回の月経移動でご使用いただけます。")</f>
        <v>月経移動ピル（プラノバール）は21錠（1シート）の処方で5,000円（税込）です。7錠のみ等の処方は行っておらず、オンライン・来院ともに1シート単位の処方となります。1回の月経移動で使用し余った残薬は、次回の月経移動でご使用いただけます。</v>
      </c>
      <c r="C1197" s="31" t="str">
        <f>IFERROR(__xludf.DUMMYFUNCTION("""COMPUTED_VALUE"""),"月経移動")</f>
        <v>月経移動</v>
      </c>
      <c r="D1197" s="31" t="str">
        <f>IFERROR(__xludf.DUMMYFUNCTION("""COMPUTED_VALUE"""),"月経移動,プラノバール,何日分,何錠,21錠,1シート,残薬")</f>
        <v>月経移動,プラノバール,何日分,何錠,21錠,1シート,残薬</v>
      </c>
      <c r="E1197" s="31"/>
    </row>
    <row r="1198">
      <c r="A1198" s="31" t="str">
        <f>IFERROR(__xludf.DUMMYFUNCTION("""COMPUTED_VALUE"""),"ドロエチ服用中に生理がきた場合どうすればいいですか？/アリッサ配合錠を休薬から飲んでしまった/プラノバールで遅らせた次の次の生理は遅れますか？")</f>
        <v>ドロエチ服用中に生理がきた場合どうすればいいですか？/アリッサ配合錠を休薬から飲んでしまった/プラノバールで遅らせた次の次の生理は遅れますか？</v>
      </c>
      <c r="B1198" s="31" t="str">
        <f>IFERROR(__xludf.DUMMYFUNCTION("""COMPUTED_VALUE"""),"お薬の服用方法や服用中の症状については、個別の判断が必要となるため、診察にてご相談ください。ご予約は公式LINEから24時間承っております。LINEはこちら→https://cline-app.com/qr-codes/98ad6f149bfa20f4f2a9a2e91aac4187/preview")</f>
        <v>お薬の服用方法や服用中の症状については、個別の判断が必要となるため、診察にてご相談ください。ご予約は公式LINEから24時間承っております。LINEはこちら→https://cline-app.com/qr-codes/98ad6f149bfa20f4f2a9a2e91aac4187/preview</v>
      </c>
      <c r="C1198" s="31" t="str">
        <f>IFERROR(__xludf.DUMMYFUNCTION("""COMPUTED_VALUE"""),"処方薬")</f>
        <v>処方薬</v>
      </c>
      <c r="D1198" s="31" t="str">
        <f>IFERROR(__xludf.DUMMYFUNCTION("""COMPUTED_VALUE"""),"ドロエチ,アリッサ,服用中,生理がきた,休薬,飲み間違い,服用方法")</f>
        <v>ドロエチ,アリッサ,服用中,生理がきた,休薬,飲み間違い,服用方法</v>
      </c>
      <c r="E1198" s="31"/>
    </row>
    <row r="1199">
      <c r="A1199" s="31" t="str">
        <f>IFERROR(__xludf.DUMMYFUNCTION("""COMPUTED_VALUE"""),"妊娠12週未満ですがかかりつけではなくても受診できますか？/かかりつけ医が休みで受診したい/妊娠中ですが他院でも受診できますか？")</f>
        <v>妊娠12週未満ですがかかりつけではなくても受診できますか？/かかりつけ医が休みで受診したい/妊娠中ですが他院でも受診できますか？</v>
      </c>
      <c r="B1199" s="31" t="str">
        <f>IFERROR(__xludf.DUMMYFUNCTION("""COMPUTED_VALUE"""),"妊娠12週未満であれば、かかりつけ医が休診日等の場合も当院でご受診いただけます。「一般婦人科診療」のメニューでご予約ください。→https://cline-app.com/qr-codes/98ad6f149bfa20f4f2a9a2e91aac4187/preview")</f>
        <v>妊娠12週未満であれば、かかりつけ医が休診日等の場合も当院でご受診いただけます。「一般婦人科診療」のメニューでご予約ください。→https://cline-app.com/qr-codes/98ad6f149bfa20f4f2a9a2e91aac4187/preview</v>
      </c>
      <c r="C1199" s="31" t="str">
        <f>IFERROR(__xludf.DUMMYFUNCTION("""COMPUTED_VALUE"""),"妊娠")</f>
        <v>妊娠</v>
      </c>
      <c r="D1199" s="31" t="str">
        <f>IFERROR(__xludf.DUMMYFUNCTION("""COMPUTED_VALUE"""),"妊娠,12週,かかりつけ,他院,休診")</f>
        <v>妊娠,12週,かかりつけ,他院,休診</v>
      </c>
      <c r="E1199" s="31"/>
    </row>
    <row r="1200">
      <c r="A1200" s="31" t="str">
        <f>IFERROR(__xludf.DUMMYFUNCTION("""COMPUTED_VALUE"""),"分娩先が決まっていなくても妊婦健診だけ受けられますか？/どこで産むか決まっていないが健診だけ受けたい")</f>
        <v>分娩先が決まっていなくても妊婦健診だけ受けられますか？/どこで産むか決まっていないが健診だけ受けたい</v>
      </c>
      <c r="B1200" s="31" t="str">
        <f>IFERROR(__xludf.DUMMYFUNCTION("""COMPUTED_VALUE"""),"妊娠12週未満であれば、分娩先が決まっていなくても妊婦健診をお受けいただけます。「一般婦人科診療」のメニューでご予約ください。→https://cline-app.com/qr-codes/98ad6f149bfa20f4f2a9a2e91aac4187/preview")</f>
        <v>妊娠12週未満であれば、分娩先が決まっていなくても妊婦健診をお受けいただけます。「一般婦人科診療」のメニューでご予約ください。→https://cline-app.com/qr-codes/98ad6f149bfa20f4f2a9a2e91aac4187/preview</v>
      </c>
      <c r="C1200" s="31" t="str">
        <f>IFERROR(__xludf.DUMMYFUNCTION("""COMPUTED_VALUE"""),"妊娠")</f>
        <v>妊娠</v>
      </c>
      <c r="D1200" s="31" t="str">
        <f>IFERROR(__xludf.DUMMYFUNCTION("""COMPUTED_VALUE"""),"妊婦健診,分娩先,未定,健診のみ")</f>
        <v>妊婦健診,分娩先,未定,健診のみ</v>
      </c>
      <c r="E1200" s="31"/>
    </row>
    <row r="1201">
      <c r="A1201" s="31" t="str">
        <f>IFERROR(__xludf.DUMMYFUNCTION("""COMPUTED_VALUE"""),"初診で採血はありますか？/不正出血で受診した場合採血はしますか？")</f>
        <v>初診で採血はありますか？/不正出血で受診した場合採血はしますか？</v>
      </c>
      <c r="B1201" s="31" t="str">
        <f>IFERROR(__xludf.DUMMYFUNCTION("""COMPUTED_VALUE"""),"採血の有無は診察内容や症状により医師が判断いたしますため、事前に確約することができかねます。ご不明な点がございましたら、診察時に医師にご相談ください。")</f>
        <v>採血の有無は診察内容や症状により医師が判断いたしますため、事前に確約することができかねます。ご不明な点がございましたら、診察時に医師にご相談ください。</v>
      </c>
      <c r="C1201" s="31" t="str">
        <f>IFERROR(__xludf.DUMMYFUNCTION("""COMPUTED_VALUE"""),"受診案内")</f>
        <v>受診案内</v>
      </c>
      <c r="D1201" s="31" t="str">
        <f>IFERROR(__xludf.DUMMYFUNCTION("""COMPUTED_VALUE"""),"初診,採血,不正出血")</f>
        <v>初診,採血,不正出血</v>
      </c>
      <c r="E1201" s="31"/>
    </row>
    <row r="1202">
      <c r="A1202" s="31" t="str">
        <f>IFERROR(__xludf.DUMMYFUNCTION("""COMPUTED_VALUE"""),"ピルの購入履歴を確認したい/いつピルを買ったか知りたい/購入履歴の確認方法")</f>
        <v>ピルの購入履歴を確認したい/いつピルを買ったか知りたい/購入履歴の確認方法</v>
      </c>
      <c r="B1202" s="31" t="str">
        <f>IFERROR(__xludf.DUMMYFUNCTION("""COMPUTED_VALUE"""),"来院のみでご購入の場合は領収書にてご確認ください。定期配送をご契約の場合はご契約の媒体よりご確認いただけます。ご不明な場合はお電話（050-1730-2768）にてお問い合わせくださいませ。")</f>
        <v>来院のみでご購入の場合は領収書にてご確認ください。定期配送をご契約の場合はご契約の媒体よりご確認いただけます。ご不明な場合はお電話（050-1730-2768）にてお問い合わせくださいませ。</v>
      </c>
      <c r="C1202" s="31" t="str">
        <f>IFERROR(__xludf.DUMMYFUNCTION("""COMPUTED_VALUE"""),"定期配送")</f>
        <v>定期配送</v>
      </c>
      <c r="D1202" s="31" t="str">
        <f>IFERROR(__xludf.DUMMYFUNCTION("""COMPUTED_VALUE"""),"購入履歴,いつ買った,確認")</f>
        <v>購入履歴,いつ買った,確認</v>
      </c>
      <c r="E1202" s="31"/>
    </row>
    <row r="1203">
      <c r="A1203" s="31" t="str">
        <f>IFERROR(__xludf.DUMMYFUNCTION("""COMPUTED_VALUE"""),"支払い状況を確認したい/定期配送の支払いはどうなっていますか？/決済の確認方法")</f>
        <v>支払い状況を確認したい/定期配送の支払いはどうなっていますか？/決済の確認方法</v>
      </c>
      <c r="B1203" s="31" t="str">
        <f>IFERROR(__xludf.DUMMYFUNCTION("""COMPUTED_VALUE"""),"定期配送は自動決済となっており、お支払いが失敗した場合のみご連絡が届きます。薬剤の発送時にはメールにて配送状況のご連絡がございます。詳しくはお電話（050-1730-2768）にてお問い合わせください。")</f>
        <v>定期配送は自動決済となっており、お支払いが失敗した場合のみご連絡が届きます。薬剤の発送時にはメールにて配送状況のご連絡がございます。詳しくはお電話（050-1730-2768）にてお問い合わせください。</v>
      </c>
      <c r="C1203" s="31" t="str">
        <f>IFERROR(__xludf.DUMMYFUNCTION("""COMPUTED_VALUE"""),"定期配送")</f>
        <v>定期配送</v>
      </c>
      <c r="D1203" s="31" t="str">
        <f>IFERROR(__xludf.DUMMYFUNCTION("""COMPUTED_VALUE"""),"支払い状況,決済,自動決済,配送状況")</f>
        <v>支払い状況,決済,自動決済,配送状況</v>
      </c>
      <c r="E1203" s="31"/>
    </row>
    <row r="1204">
      <c r="A1204" s="31" t="str">
        <f>IFERROR(__xludf.DUMMYFUNCTION("""COMPUTED_VALUE"""),"注文を間違えた場合どうなりますか？/定期配送の注文間違い/間違えて注文してしまった")</f>
        <v>注文を間違えた場合どうなりますか？/定期配送の注文間違い/間違えて注文してしまった</v>
      </c>
      <c r="B1204" s="31" t="str">
        <f>IFERROR(__xludf.DUMMYFUNCTION("""COMPUTED_VALUE"""),"決済後の返金・返品は承ることができかねます。今回分は配送させていただき、解約をご希望の場合はお問い合わせフォームよりご連絡ください。こちらのフォーム（https://docs.google.com/forms/d/e/1FAIpQLSe41t1VsvN-rfcwsRSkalz89S2yqQc4zpWrbdcrwPo95Iif-Q/viewform）よりご連絡ください。なお、処方歴がなく誤ってご注文された場合は、処方ができかねるため返金対応とさせていただきます。")</f>
        <v>決済後の返金・返品は承ることができかねます。今回分は配送させていただき、解約をご希望の場合はお問い合わせフォームよりご連絡ください。こちらのフォーム（https://docs.google.com/forms/d/e/1FAIpQLSe41t1VsvN-rfcwsRSkalz89S2yqQc4zpWrbdcrwPo95Iif-Q/viewform）よりご連絡ください。なお、処方歴がなく誤ってご注文された場合は、処方ができかねるため返金対応とさせていただきます。</v>
      </c>
      <c r="C1204" s="31" t="str">
        <f>IFERROR(__xludf.DUMMYFUNCTION("""COMPUTED_VALUE"""),"定期配送")</f>
        <v>定期配送</v>
      </c>
      <c r="D1204" s="31" t="str">
        <f>IFERROR(__xludf.DUMMYFUNCTION("""COMPUTED_VALUE"""),"注文間違い,返金,返品,解約")</f>
        <v>注文間違い,返金,返品,解約</v>
      </c>
      <c r="E1204" s="31"/>
    </row>
    <row r="1205">
      <c r="A1205" s="31" t="str">
        <f>IFERROR(__xludf.DUMMYFUNCTION("""COMPUTED_VALUE"""),"腹部エコーはできますか？/腹部エコー検査はありますか？/お腹の上からのエコーはできますか？")</f>
        <v>腹部エコーはできますか？/腹部エコー検査はありますか？/お腹の上からのエコーはできますか？</v>
      </c>
      <c r="B1205" s="31" t="str">
        <f>IFERROR(__xludf.DUMMYFUNCTION("""COMPUTED_VALUE"""),"当院では腹部エコーは行っておりません。当院でのエコー検査は経膣エコーでのご対応となります。")</f>
        <v>当院では腹部エコーは行っておりません。当院でのエコー検査は経膣エコーでのご対応となります。</v>
      </c>
      <c r="C1205" s="31" t="str">
        <f>IFERROR(__xludf.DUMMYFUNCTION("""COMPUTED_VALUE"""),"受診案内")</f>
        <v>受診案内</v>
      </c>
      <c r="D1205" s="31" t="str">
        <f>IFERROR(__xludf.DUMMYFUNCTION("""COMPUTED_VALUE"""),"腹部エコー,経膣エコー,エコー検査,超音波,お腹")</f>
        <v>腹部エコー,経膣エコー,エコー検査,超音波,お腹</v>
      </c>
      <c r="E1205" s="31"/>
    </row>
    <row r="1206">
      <c r="A1206" s="31" t="str">
        <f>IFERROR(__xludf.DUMMYFUNCTION("""COMPUTED_VALUE"""),"横浜院と元町ルナは同じ病院ですか？/元町ルナレディースとの違いは？/元町のルナレディースは同じですか？")</f>
        <v>横浜院と元町ルナは同じ病院ですか？/元町ルナレディースとの違いは？/元町のルナレディースは同じですか？</v>
      </c>
      <c r="B1206" s="31" t="str">
        <f>IFERROR(__xludf.DUMMYFUNCTION("""COMPUTED_VALUE"""),"ルナレディースクリニックは横浜駅前院・川崎駅前院・町田駅前院の3院となります。元町のクリニックは当院とは別のクリニックでございます。")</f>
        <v>ルナレディースクリニックは横浜駅前院・川崎駅前院・町田駅前院の3院となります。元町のクリニックは当院とは別のクリニックでございます。</v>
      </c>
      <c r="C1206" s="31" t="str">
        <f>IFERROR(__xludf.DUMMYFUNCTION("""COMPUTED_VALUE"""),"クリニック情報")</f>
        <v>クリニック情報</v>
      </c>
      <c r="D1206" s="31" t="str">
        <f>IFERROR(__xludf.DUMMYFUNCTION("""COMPUTED_VALUE"""),"横浜院,元町,元町ルナ,別のクリニック")</f>
        <v>横浜院,元町,元町ルナ,別のクリニック</v>
      </c>
      <c r="E1206" s="31"/>
    </row>
    <row r="1207">
      <c r="A1207" s="31" t="str">
        <f>IFERROR(__xludf.DUMMYFUNCTION("""COMPUTED_VALUE"""),"初めてですが受付ではどうすればいいですか？/受付で何を伝えればいいですか？/来院したらまず何をすればいいですか？")</f>
        <v>初めてですが受付ではどうすればいいですか？/受付で何を伝えればいいですか？/来院したらまず何をすればいいですか？</v>
      </c>
      <c r="B1207" s="31" t="str">
        <f>IFERROR(__xludf.DUMMYFUNCTION("""COMPUTED_VALUE"""),"ご来院されましたら、受付にてご予約のお名前をお伝えください。保険証またはマイナンバーカードをご提示いただきます。WEB問診を事前にご回答いただくとスムーズに診察へお進みいただけます。")</f>
        <v>ご来院されましたら、受付にてご予約のお名前をお伝えください。保険証またはマイナンバーカードをご提示いただきます。WEB問診を事前にご回答いただくとスムーズに診察へお進みいただけます。</v>
      </c>
      <c r="C1207" s="31" t="str">
        <f>IFERROR(__xludf.DUMMYFUNCTION("""COMPUTED_VALUE"""),"受診案内")</f>
        <v>受診案内</v>
      </c>
      <c r="D1207" s="31" t="str">
        <f>IFERROR(__xludf.DUMMYFUNCTION("""COMPUTED_VALUE"""),"受付,初めて,流れ,名前,来院")</f>
        <v>受付,初めて,流れ,名前,来院</v>
      </c>
      <c r="E1207" s="31"/>
    </row>
    <row r="1208">
      <c r="A1208" s="31" t="str">
        <f>IFERROR(__xludf.DUMMYFUNCTION("""COMPUTED_VALUE"""),"男性医師はいますか？/男性もいるのですか？/男性医師もいるのですか？")</f>
        <v>男性医師はいますか？/男性もいるのですか？/男性医師もいるのですか？</v>
      </c>
      <c r="B1208" s="31" t="str">
        <f>IFERROR(__xludf.DUMMYFUNCTION("""COMPUTED_VALUE"""),"当院には男性医師も在籍しております。女性医師をご希望の場合はお電話でご予約・お問い合わせください。お電話は050-1730-2768までご連絡ください。電話受付時間は、平日9:45〜13:40・15:15〜19:40、土日祝9:45〜13:40・15:15〜18:40です。")</f>
        <v>当院には男性医師も在籍しております。女性医師をご希望の場合はお電話でご予約・お問い合わせください。お電話は050-1730-2768までご連絡ください。電話受付時間は、平日9:45〜13:40・15:15〜19:40、土日祝9:45〜13:40・15:15〜18:40です。</v>
      </c>
      <c r="C1208" s="31" t="str">
        <f>IFERROR(__xludf.DUMMYFUNCTION("""COMPUTED_VALUE"""),"受診案内")</f>
        <v>受診案内</v>
      </c>
      <c r="D1208" s="31" t="str">
        <f>IFERROR(__xludf.DUMMYFUNCTION("""COMPUTED_VALUE"""),"男性医師,いる")</f>
        <v>男性医師,いる</v>
      </c>
      <c r="E1208" s="31"/>
    </row>
    <row r="1209">
      <c r="A1209" s="31" t="str">
        <f>IFERROR(__xludf.DUMMYFUNCTION("""COMPUTED_VALUE"""),"LINEをやっていない場合はどうすればいいですか？/LINE以外で予約できますか？/ラインがない場合の予約方法")</f>
        <v>LINEをやっていない場合はどうすればいいですか？/LINE以外で予約できますか？/ラインがない場合の予約方法</v>
      </c>
      <c r="B1209" s="31" t="str">
        <f>IFERROR(__xludf.DUMMYFUNCTION("""COMPUTED_VALUE"""),"LINEをご利用でない場合は、お電話（050-1730-2768）にてご予約を承っております。受付時間は平日9:45〜13:40・15:15〜19:40、土日祝9:45〜13:40・15:15〜18:40です。")</f>
        <v>LINEをご利用でない場合は、お電話（050-1730-2768）にてご予約を承っております。受付時間は平日9:45〜13:40・15:15〜19:40、土日祝9:45〜13:40・15:15〜18:40です。</v>
      </c>
      <c r="C1209" s="31" t="str">
        <f>IFERROR(__xludf.DUMMYFUNCTION("""COMPUTED_VALUE"""),"予約")</f>
        <v>予約</v>
      </c>
      <c r="D1209" s="31" t="str">
        <f>IFERROR(__xludf.DUMMYFUNCTION("""COMPUTED_VALUE"""),"LINE,やっていない,電話予約,ライン")</f>
        <v>LINE,やっていない,電話予約,ライン</v>
      </c>
      <c r="E1209" s="31"/>
    </row>
    <row r="1210">
      <c r="A1210" s="31" t="str">
        <f>IFERROR(__xludf.DUMMYFUNCTION("""COMPUTED_VALUE"""),"平日の午前は混んでいますか？/土曜日は混んでいますか？/待ち時間はどのくらいですか？/混んでますか？")</f>
        <v>平日の午前は混んでいますか？/土曜日は混んでいますか？/待ち時間はどのくらいですか？/混んでますか？</v>
      </c>
      <c r="B1210" s="31" t="str">
        <f>IFERROR(__xludf.DUMMYFUNCTION("""COMPUTED_VALUE"""),"大変恐縮ですが、混雑状況は外来の診察状況によって異なりますため、具体的なご案内が難しい状況です。恐れ入りますが、ご理解を頂けますと幸いです。")</f>
        <v>大変恐縮ですが、混雑状況は外来の診察状況によって異なりますため、具体的なご案内が難しい状況です。恐れ入りますが、ご理解を頂けますと幸いです。</v>
      </c>
      <c r="C1210" s="31" t="str">
        <f>IFERROR(__xludf.DUMMYFUNCTION("""COMPUTED_VALUE"""),"受診案内")</f>
        <v>受診案内</v>
      </c>
      <c r="D1210" s="31" t="str">
        <f>IFERROR(__xludf.DUMMYFUNCTION("""COMPUTED_VALUE"""),"混雑,混んでいる,待ち時間,土曜日")</f>
        <v>混雑,混んでいる,待ち時間,土曜日</v>
      </c>
      <c r="E1210" s="31"/>
    </row>
    <row r="1211">
      <c r="A1211" s="31" t="str">
        <f>IFERROR(__xludf.DUMMYFUNCTION("""COMPUTED_VALUE"""),"風邪気味ですが受診できますか？/体調が悪いのですが受診できますか？")</f>
        <v>風邪気味ですが受診できますか？/体調が悪いのですが受診できますか？</v>
      </c>
      <c r="B1211" s="31" t="str">
        <f>IFERROR(__xludf.DUMMYFUNCTION("""COMPUTED_VALUE"""),"当院は婦人科のため、風邪や内科的な症状の診療は行っておりません。内科へのご受診をおすすめいたします。なお、37.5℃以上の発熱がある場合はご受診いただけませんので、熱が下がってからご予約ください。")</f>
        <v>当院は婦人科のため、風邪や内科的な症状の診療は行っておりません。内科へのご受診をおすすめいたします。なお、37.5℃以上の発熱がある場合はご受診いただけませんので、熱が下がってからご予約ください。</v>
      </c>
      <c r="C1211" s="31" t="str">
        <f>IFERROR(__xludf.DUMMYFUNCTION("""COMPUTED_VALUE"""),"受診案内")</f>
        <v>受診案内</v>
      </c>
      <c r="D1211" s="31" t="str">
        <f>IFERROR(__xludf.DUMMYFUNCTION("""COMPUTED_VALUE"""),"風邪,体調不良,発熱")</f>
        <v>風邪,体調不良,発熱</v>
      </c>
      <c r="E1211" s="31"/>
    </row>
    <row r="1212">
      <c r="A1212" s="31" t="str">
        <f>IFERROR(__xludf.DUMMYFUNCTION("""COMPUTED_VALUE"""),"新橋銀座口院について知りたい/新橋院はまだ営業していますか？/新橋の店舗は閉店しましたか？")</f>
        <v>新橋銀座口院について知りたい/新橋院はまだ営業していますか？/新橋の店舗は閉店しましたか？</v>
      </c>
      <c r="B1212" s="31" t="str">
        <f>IFERROR(__xludf.DUMMYFUNCTION("""COMPUTED_VALUE"""),"ルナレディースクリニックは横浜駅前院・川崎駅前院・町田駅前院の3院となります。")</f>
        <v>ルナレディースクリニックは横浜駅前院・川崎駅前院・町田駅前院の3院となります。</v>
      </c>
      <c r="C1212" s="31" t="str">
        <f>IFERROR(__xludf.DUMMYFUNCTION("""COMPUTED_VALUE"""),"クリニック情報")</f>
        <v>クリニック情報</v>
      </c>
      <c r="D1212" s="31" t="str">
        <f>IFERROR(__xludf.DUMMYFUNCTION("""COMPUTED_VALUE"""),"横浜院,新橋,新橋銀座口院")</f>
        <v>横浜院,新橋,新橋銀座口院</v>
      </c>
      <c r="E1212" s="31"/>
    </row>
    <row r="1213">
      <c r="A1213" s="31" t="str">
        <f>IFERROR(__xludf.DUMMYFUNCTION("""COMPUTED_VALUE"""),"子宮体がん検査は入院になりますか？/子宮体がん検査は日帰りですか？")</f>
        <v>子宮体がん検査は入院になりますか？/子宮体がん検査は日帰りですか？</v>
      </c>
      <c r="B1213" s="31" t="str">
        <f>IFERROR(__xludf.DUMMYFUNCTION("""COMPUTED_VALUE"""),"子宮体がん検査は外来で行える検査です。細い器具で子宮体部の細胞を採取する検査で、1〜2分で終了します。予約は「婦人科検診」のメニューからお取りください。→https://cline-app.com/qr-codes/98ad6f149bfa20f4f2a9a2e91aac4187/preview")</f>
        <v>子宮体がん検査は外来で行える検査です。細い器具で子宮体部の細胞を採取する検査で、1〜2分で終了します。予約は「婦人科検診」のメニューからお取りください。→https://cline-app.com/qr-codes/98ad6f149bfa20f4f2a9a2e91aac4187/preview</v>
      </c>
      <c r="C1213" s="31" t="str">
        <f>IFERROR(__xludf.DUMMYFUNCTION("""COMPUTED_VALUE"""),"検査・検診")</f>
        <v>検査・検診</v>
      </c>
      <c r="D1213" s="31" t="str">
        <f>IFERROR(__xludf.DUMMYFUNCTION("""COMPUTED_VALUE"""),"子宮体がん,入院,日帰り,検査")</f>
        <v>子宮体がん,入院,日帰り,検査</v>
      </c>
      <c r="E1213" s="32" t="str">
        <f>IFERROR(__xludf.DUMMYFUNCTION("""COMPUTED_VALUE"""),"https://luna-dr.com/subjects/medical-checkup/")</f>
        <v>https://luna-dr.com/subjects/medical-checkup/</v>
      </c>
    </row>
    <row r="1214">
      <c r="A1214" s="31" t="str">
        <f>IFERROR(__xludf.DUMMYFUNCTION("""COMPUTED_VALUE"""),"低用量ピル処方時に血液検査はありますか？/ピル処方で採血はありますか？")</f>
        <v>低用量ピル処方時に血液検査はありますか？/ピル処方で採血はありますか？</v>
      </c>
      <c r="B1214" s="31" t="str">
        <f>IFERROR(__xludf.DUMMYFUNCTION("""COMPUTED_VALUE"""),"避妊目的の低用量ピル（OC）の場合は問診が中心で、基本的に内診や血液検査はございません。治療目的の保険ピル（LEP）の場合は初回に経膣エコー検査が必要です。ご予約は「ピル処方」のメニューからお取りください。→https://cline-app.com/qr-codes/98ad6f149bfa20f4f2a9a2e91aac4187/preview")</f>
        <v>避妊目的の低用量ピル（OC）の場合は問診が中心で、基本的に内診や血液検査はございません。治療目的の保険ピル（LEP）の場合は初回に経膣エコー検査が必要です。ご予約は「ピル処方」のメニューからお取りください。→https://cline-app.com/qr-codes/98ad6f149bfa20f4f2a9a2e91aac4187/preview</v>
      </c>
      <c r="C1214" s="31" t="str">
        <f>IFERROR(__xludf.DUMMYFUNCTION("""COMPUTED_VALUE"""),"ピル処方")</f>
        <v>ピル処方</v>
      </c>
      <c r="D1214" s="31" t="str">
        <f>IFERROR(__xludf.DUMMYFUNCTION("""COMPUTED_VALUE"""),"ピル,血液検査,採血,内診,エコー")</f>
        <v>ピル,血液検査,採血,内診,エコー</v>
      </c>
      <c r="E1214" s="31"/>
    </row>
    <row r="1215">
      <c r="A1215" s="31" t="str">
        <f>IFERROR(__xludf.DUMMYFUNCTION("""COMPUTED_VALUE"""),"question")</f>
        <v>question</v>
      </c>
      <c r="B1215" s="31" t="str">
        <f>IFERROR(__xludf.DUMMYFUNCTION("""COMPUTED_VALUE"""),"answer")</f>
        <v>answer</v>
      </c>
      <c r="C1215" s="31" t="str">
        <f>IFERROR(__xludf.DUMMYFUNCTION("""COMPUTED_VALUE"""),"category")</f>
        <v>category</v>
      </c>
      <c r="D1215" s="31" t="str">
        <f>IFERROR(__xludf.DUMMYFUNCTION("""COMPUTED_VALUE"""),"keywords")</f>
        <v>keywords</v>
      </c>
      <c r="E1215" s="31" t="str">
        <f>IFERROR(__xludf.DUMMYFUNCTION("""COMPUTED_VALUE"""),"source_url")</f>
        <v>source_url</v>
      </c>
    </row>
    <row r="1216">
      <c r="A1216" s="31" t="str">
        <f>IFERROR(__xludf.DUMMYFUNCTION("""COMPUTED_VALUE"""),"町田駅前院は駅から近いですか？/町田院の交通アクセスを教えてください")</f>
        <v>町田駅前院は駅から近いですか？/町田院の交通アクセスを教えてください</v>
      </c>
      <c r="B1216" s="31" t="str">
        <f>IFERROR(__xludf.DUMMYFUNCTION("""COMPUTED_VALUE"""),"ルナレディースクリニック町田駅前院は、町田駅から徒歩2分のTK町田ビル3階にあります。駅から近く、気軽にご来院いただけます。")</f>
        <v>ルナレディースクリニック町田駅前院は、町田駅から徒歩2分のTK町田ビル3階にあります。駅から近く、気軽にご来院いただけます。</v>
      </c>
      <c r="C1216" s="31" t="str">
        <f>IFERROR(__xludf.DUMMYFUNCTION("""COMPUTED_VALUE"""),"アクセス")</f>
        <v>アクセス</v>
      </c>
      <c r="D1216" s="31" t="str">
        <f>IFERROR(__xludf.DUMMYFUNCTION("""COMPUTED_VALUE"""),"町田駅,徒歩2分,アクセス")</f>
        <v>町田駅,徒歩2分,アクセス</v>
      </c>
      <c r="E1216" s="32" t="str">
        <f>IFERROR(__xludf.DUMMYFUNCTION("""COMPUTED_VALUE"""),"https://luna-dr.com/machida/")</f>
        <v>https://luna-dr.com/machida/</v>
      </c>
    </row>
    <row r="1217">
      <c r="A1217" s="31" t="str">
        <f>IFERROR(__xludf.DUMMYFUNCTION("""COMPUTED_VALUE"""),"土日・祝日は診療していますか？")</f>
        <v>土日・祝日は診療していますか？</v>
      </c>
      <c r="B1217" s="31" t="str">
        <f>IFERROR(__xludf.DUMMYFUNCTION("""COMPUTED_VALUE"""),"ルナレディースクリニック町田駅前院の診療時間は、午前診療が10:00〜14:00、午後診療が15:30〜20:00です。日曜は休診となります。土曜日の午後診療は15:30〜19:00です。")</f>
        <v>ルナレディースクリニック町田駅前院の診療時間は、午前診療が10:00〜14:00、午後診療が15:30〜20:00です。日曜は休診となります。土曜日の午後診療は15:30〜19:00です。</v>
      </c>
      <c r="C1217" s="31" t="str">
        <f>IFERROR(__xludf.DUMMYFUNCTION("""COMPUTED_VALUE"""),"診療時間")</f>
        <v>診療時間</v>
      </c>
      <c r="D1217" s="31" t="str">
        <f>IFERROR(__xludf.DUMMYFUNCTION("""COMPUTED_VALUE"""),"診療時間,町田")</f>
        <v>診療時間,町田</v>
      </c>
      <c r="E1217" s="32" t="str">
        <f>IFERROR(__xludf.DUMMYFUNCTION("""COMPUTED_VALUE"""),"https://luna-dr.com/machida/")</f>
        <v>https://luna-dr.com/machida/</v>
      </c>
    </row>
    <row r="1218">
      <c r="A1218" s="31" t="str">
        <f>IFERROR(__xludf.DUMMYFUNCTION("""COMPUTED_VALUE"""),"遅刻した場合でも診察は受けられますか？/予約時間に遅れた場合はどうなりますか？")</f>
        <v>遅刻した場合でも診察は受けられますか？/予約時間に遅れた場合はどうなりますか？</v>
      </c>
      <c r="B1218" s="31" t="str">
        <f>IFERROR(__xludf.DUMMYFUNCTION("""COMPUTED_VALUE"""),"ルナレディースクリニック町田駅前院では、10分以上遅刻された場合、事前にご連絡をいただいていても予約外来院扱いとなります。")</f>
        <v>ルナレディースクリニック町田駅前院では、10分以上遅刻された場合、事前にご連絡をいただいていても予約外来院扱いとなります。</v>
      </c>
      <c r="C1218" s="31" t="str">
        <f>IFERROR(__xludf.DUMMYFUNCTION("""COMPUTED_VALUE"""),"来院ルール")</f>
        <v>来院ルール</v>
      </c>
      <c r="D1218" s="31" t="str">
        <f>IFERROR(__xludf.DUMMYFUNCTION("""COMPUTED_VALUE"""),"遅刻,予約")</f>
        <v>遅刻,予約</v>
      </c>
      <c r="E1218" s="32" t="str">
        <f>IFERROR(__xludf.DUMMYFUNCTION("""COMPUTED_VALUE"""),"https://luna-dr.com/machida/")</f>
        <v>https://luna-dr.com/machida/</v>
      </c>
    </row>
    <row r="1219">
      <c r="A1219" s="31" t="str">
        <f>IFERROR(__xludf.DUMMYFUNCTION("""COMPUTED_VALUE"""),"予約外来院の最終受付時間を教えてください/予約をしていない場合の最終受付時間を教えてください")</f>
        <v>予約外来院の最終受付時間を教えてください/予約をしていない場合の最終受付時間を教えてください</v>
      </c>
      <c r="B1219" s="31" t="str">
        <f>IFERROR(__xludf.DUMMYFUNCTION("""COMPUTED_VALUE"""),"当院で処方済みのピル処方・アフターピル・月経移動は、午前13:30まで、午後は平日19:30まで、土日祝18:30までが最終受付です。それ以外の相談は、午前は平日13:00まで、土日祝12:00まで、午後は平日18:00まで、土日祝17:00までとなります。
平日18:00以降は大変込み合いますので、予約無しでご来院の際は極力17:00までに受付のご協力をよろしくお願いいたします。
混雑状況により18:00以降はピル処方・中絶相談以外の予約無し診察受付を制限させて頂くことがございますのでご理解の程をよろし"&amp;"くお願いいたします。 ")</f>
        <v>当院で処方済みのピル処方・アフターピル・月経移動は、午前13:30まで、午後は平日19:30まで、土日祝18:30までが最終受付です。それ以外の相談は、午前は平日13:00まで、土日祝12:00まで、午後は平日18:00まで、土日祝17:00までとなります。
平日18:00以降は大変込み合いますので、予約無しでご来院の際は極力17:00までに受付のご協力をよろしくお願いいたします。
混雑状況により18:00以降はピル処方・中絶相談以外の予約無し診察受付を制限させて頂くことがございますのでご理解の程をよろしくお願いいたします。 </v>
      </c>
      <c r="C1219" s="31" t="str">
        <f>IFERROR(__xludf.DUMMYFUNCTION("""COMPUTED_VALUE"""),"受付時間")</f>
        <v>受付時間</v>
      </c>
      <c r="D1219" s="31" t="str">
        <f>IFERROR(__xludf.DUMMYFUNCTION("""COMPUTED_VALUE"""),"最終受付,受付時間")</f>
        <v>最終受付,受付時間</v>
      </c>
      <c r="E1219" s="32" t="str">
        <f>IFERROR(__xludf.DUMMYFUNCTION("""COMPUTED_VALUE"""),"https://luna-dr.com/machida/")</f>
        <v>https://luna-dr.com/machida/</v>
      </c>
    </row>
    <row r="1220">
      <c r="A1220" s="31" t="str">
        <f>IFERROR(__xludf.DUMMYFUNCTION("""COMPUTED_VALUE"""),"女性医師による診察は可能ですか？")</f>
        <v>女性医師による診察は可能ですか？</v>
      </c>
      <c r="B1220" s="31" t="str">
        <f>IFERROR(__xludf.DUMMYFUNCTION("""COMPUTED_VALUE"""),"ルナレディースクリニック町田駅前院では、女性医師による診察が可能です。ご希望の場合は、お電話でのご予約をお願いしています。婦人科の受診が初めての方は不安もあると思いますが、安心して受診していただけるよう丁寧な説明を心がけております。")</f>
        <v>ルナレディースクリニック町田駅前院では、女性医師による診察が可能です。ご希望の場合は、お電話でのご予約をお願いしています。婦人科の受診が初めての方は不安もあると思いますが、安心して受診していただけるよう丁寧な説明を心がけております。</v>
      </c>
      <c r="C1220" s="31" t="str">
        <f>IFERROR(__xludf.DUMMYFUNCTION("""COMPUTED_VALUE"""),"診察体制")</f>
        <v>診察体制</v>
      </c>
      <c r="D1220" s="31" t="str">
        <f>IFERROR(__xludf.DUMMYFUNCTION("""COMPUTED_VALUE"""),"女性医師,医師希望")</f>
        <v>女性医師,医師希望</v>
      </c>
      <c r="E1220" s="32" t="str">
        <f>IFERROR(__xludf.DUMMYFUNCTION("""COMPUTED_VALUE"""),"https://luna-dr.com/machida/")</f>
        <v>https://luna-dr.com/machida/</v>
      </c>
    </row>
    <row r="1221">
      <c r="A1221" s="31" t="str">
        <f>IFERROR(__xludf.DUMMYFUNCTION("""COMPUTED_VALUE"""),"初診でも受診できますか？")</f>
        <v>初診でも受診できますか？</v>
      </c>
      <c r="B1221" s="31" t="str">
        <f>IFERROR(__xludf.DUMMYFUNCTION("""COMPUTED_VALUE"""),"ルナレディースクリニック町田駅前院では、初診の方も受診いただけます。資格確認書をご持参のうえ、受付時間内にご来院ください。
町田駅前院のご予約はこちら（https://cline-app.com/qr-codes/98ad6f149bfa20f4f2a9a2e91aac4187/preview）")</f>
        <v>ルナレディースクリニック町田駅前院では、初診の方も受診いただけます。資格確認書をご持参のうえ、受付時間内にご来院ください。
町田駅前院のご予約はこちら（https://cline-app.com/qr-codes/98ad6f149bfa20f4f2a9a2e91aac4187/preview）</v>
      </c>
      <c r="C1221" s="31" t="str">
        <f>IFERROR(__xludf.DUMMYFUNCTION("""COMPUTED_VALUE"""),"初診")</f>
        <v>初診</v>
      </c>
      <c r="D1221" s="31" t="str">
        <f>IFERROR(__xludf.DUMMYFUNCTION("""COMPUTED_VALUE"""),"初診,持ち物")</f>
        <v>初診,持ち物</v>
      </c>
      <c r="E1221" s="32" t="str">
        <f>IFERROR(__xludf.DUMMYFUNCTION("""COMPUTED_VALUE"""),"https://luna-dr.com/machida/")</f>
        <v>https://luna-dr.com/machida/</v>
      </c>
    </row>
    <row r="1222">
      <c r="A1222" s="31" t="str">
        <f>IFERROR(__xludf.DUMMYFUNCTION("""COMPUTED_VALUE"""),"再診の場合は予約が必要ですか？")</f>
        <v>再診の場合は予約が必要ですか？</v>
      </c>
      <c r="B1222" s="31" t="str">
        <f>IFERROR(__xludf.DUMMYFUNCTION("""COMPUTED_VALUE"""),"ルナレディースクリニック町田駅前院では、再診の方はスムーズなご案内のため、基本的にご予約をお願いしています。")</f>
        <v>ルナレディースクリニック町田駅前院では、再診の方はスムーズなご案内のため、基本的にご予約をお願いしています。</v>
      </c>
      <c r="C1222" s="31" t="str">
        <f>IFERROR(__xludf.DUMMYFUNCTION("""COMPUTED_VALUE"""),"再診")</f>
        <v>再診</v>
      </c>
      <c r="D1222" s="31" t="str">
        <f>IFERROR(__xludf.DUMMYFUNCTION("""COMPUTED_VALUE"""),"再診,予約")</f>
        <v>再診,予約</v>
      </c>
      <c r="E1222" s="32" t="str">
        <f>IFERROR(__xludf.DUMMYFUNCTION("""COMPUTED_VALUE"""),"https://luna-dr.com/machida/")</f>
        <v>https://luna-dr.com/machida/</v>
      </c>
    </row>
    <row r="1223">
      <c r="A1223" s="31" t="str">
        <f>IFERROR(__xludf.DUMMYFUNCTION("""COMPUTED_VALUE"""),"男性の同伴は可能ですか？")</f>
        <v>男性の同伴は可能ですか？</v>
      </c>
      <c r="B1223" s="31" t="str">
        <f>IFERROR(__xludf.DUMMYFUNCTION("""COMPUTED_VALUE"""),"ルナレディースクリニック町田駅前院では、男性同伴でのご来院はお控えいただいています。")</f>
        <v>ルナレディースクリニック町田駅前院では、男性同伴でのご来院はお控えいただいています。</v>
      </c>
      <c r="C1223" s="31" t="str">
        <f>IFERROR(__xludf.DUMMYFUNCTION("""COMPUTED_VALUE"""),"来院ルール")</f>
        <v>来院ルール</v>
      </c>
      <c r="D1223" s="31" t="str">
        <f>IFERROR(__xludf.DUMMYFUNCTION("""COMPUTED_VALUE"""),"男性同伴,注意事項")</f>
        <v>男性同伴,注意事項</v>
      </c>
      <c r="E1223" s="32" t="str">
        <f>IFERROR(__xludf.DUMMYFUNCTION("""COMPUTED_VALUE"""),"https://luna-dr.com/machida/")</f>
        <v>https://luna-dr.com/machida/</v>
      </c>
    </row>
    <row r="1224">
      <c r="A1224" s="31" t="str">
        <f>IFERROR(__xludf.DUMMYFUNCTION("""COMPUTED_VALUE"""),"日本語での会話が難しい場合はどうすればよいですか？")</f>
        <v>日本語での会話が難しい場合はどうすればよいですか？</v>
      </c>
      <c r="B1224" s="31" t="str">
        <f>IFERROR(__xludf.DUMMYFUNCTION("""COMPUTED_VALUE"""),"ルナレディースクリニック町田駅前院では、日本語での会話が難しい方は、女性通訳の方の同伴をお願いしています。")</f>
        <v>ルナレディースクリニック町田駅前院では、日本語での会話が難しい方は、女性通訳の方の同伴をお願いしています。</v>
      </c>
      <c r="C1224" s="31" t="str">
        <f>IFERROR(__xludf.DUMMYFUNCTION("""COMPUTED_VALUE"""),"来院ルール")</f>
        <v>来院ルール</v>
      </c>
      <c r="D1224" s="31" t="str">
        <f>IFERROR(__xludf.DUMMYFUNCTION("""COMPUTED_VALUE"""),"通訳,日本語")</f>
        <v>通訳,日本語</v>
      </c>
      <c r="E1224" s="32" t="str">
        <f>IFERROR(__xludf.DUMMYFUNCTION("""COMPUTED_VALUE"""),"https://luna-dr.com/machida/")</f>
        <v>https://luna-dr.com/machida/</v>
      </c>
    </row>
    <row r="1225">
      <c r="A1225" s="31" t="str">
        <f>IFERROR(__xludf.DUMMYFUNCTION("""COMPUTED_VALUE"""),"町田駅前院ではどんな診療を行っていますか？")</f>
        <v>町田駅前院ではどんな診療を行っていますか？</v>
      </c>
      <c r="B1225" s="31" t="str">
        <f>IFERROR(__xludf.DUMMYFUNCTION("""COMPUTED_VALUE"""),"ルナレディースクリニック町田駅前院では、ピルの処方、低用量ピル、アフターピル、月経移動、ブライダルチェック、生理不順、生理痛、おりもの異常、不正出血、妊娠検査、女性の健診、中絶、性感染症に対応しています。
※乳房に関する診療、更年期障害の治療、不妊治療は行っていません。")</f>
        <v>ルナレディースクリニック町田駅前院では、ピルの処方、低用量ピル、アフターピル、月経移動、ブライダルチェック、生理不順、生理痛、おりもの異常、不正出血、妊娠検査、女性の健診、中絶、性感染症に対応しています。
※乳房に関する診療、更年期障害の治療、不妊治療は行っていません。</v>
      </c>
      <c r="C1225" s="31" t="str">
        <f>IFERROR(__xludf.DUMMYFUNCTION("""COMPUTED_VALUE"""),"診療内容")</f>
        <v>診療内容</v>
      </c>
      <c r="D1225" s="31" t="str">
        <f>IFERROR(__xludf.DUMMYFUNCTION("""COMPUTED_VALUE"""),"町田,診療内容")</f>
        <v>町田,診療内容</v>
      </c>
      <c r="E1225" s="32" t="str">
        <f>IFERROR(__xludf.DUMMYFUNCTION("""COMPUTED_VALUE"""),"https://luna-dr.com/machida/")</f>
        <v>https://luna-dr.com/machida/</v>
      </c>
    </row>
    <row r="1226">
      <c r="A1226" s="31" t="str">
        <f>IFERROR(__xludf.DUMMYFUNCTION("""COMPUTED_VALUE"""),"対応していない診療はありますか？")</f>
        <v>対応していない診療はありますか？</v>
      </c>
      <c r="B1226" s="31" t="str">
        <f>IFERROR(__xludf.DUMMYFUNCTION("""COMPUTED_VALUE"""),"ルナレディースクリニック町田駅前院では、乳房に関する診療、更年期障害の治療、不妊治療は行っていません。")</f>
        <v>ルナレディースクリニック町田駅前院では、乳房に関する診療、更年期障害の治療、不妊治療は行っていません。</v>
      </c>
      <c r="C1226" s="31" t="str">
        <f>IFERROR(__xludf.DUMMYFUNCTION("""COMPUTED_VALUE"""),"診療内容")</f>
        <v>診療内容</v>
      </c>
      <c r="D1226" s="31" t="str">
        <f>IFERROR(__xludf.DUMMYFUNCTION("""COMPUTED_VALUE"""),"対応外,診療範囲")</f>
        <v>対応外,診療範囲</v>
      </c>
      <c r="E1226" s="32" t="str">
        <f>IFERROR(__xludf.DUMMYFUNCTION("""COMPUTED_VALUE"""),"https://luna-dr.com/machida/")</f>
        <v>https://luna-dr.com/machida/</v>
      </c>
    </row>
    <row r="1227">
      <c r="A1227" s="31" t="str">
        <f>IFERROR(__xludf.DUMMYFUNCTION("""COMPUTED_VALUE"""),"町田駅前院の住所を教えてください")</f>
        <v>町田駅前院の住所を教えてください</v>
      </c>
      <c r="B1227" s="31" t="str">
        <f>IFERROR(__xludf.DUMMYFUNCTION("""COMPUTED_VALUE"""),"ルナレディースクリニック町田駅前院の住所は、〒194-0013 東京都町田市原町田6丁目3-20 TK町田ビル3階です。町田駅から徒歩2分の場所にあります。")</f>
        <v>ルナレディースクリニック町田駅前院の住所は、〒194-0013 東京都町田市原町田6丁目3-20 TK町田ビル3階です。町田駅から徒歩2分の場所にあります。</v>
      </c>
      <c r="C1227" s="31" t="str">
        <f>IFERROR(__xludf.DUMMYFUNCTION("""COMPUTED_VALUE"""),"アクセス")</f>
        <v>アクセス</v>
      </c>
      <c r="D1227" s="31" t="str">
        <f>IFERROR(__xludf.DUMMYFUNCTION("""COMPUTED_VALUE"""),"住所,町田,アクセス")</f>
        <v>住所,町田,アクセス</v>
      </c>
      <c r="E1227" s="32" t="str">
        <f>IFERROR(__xludf.DUMMYFUNCTION("""COMPUTED_VALUE"""),"https://luna-dr.com/")</f>
        <v>https://luna-dr.com/</v>
      </c>
    </row>
    <row r="1228">
      <c r="A1228" s="31" t="str">
        <f>IFERROR(__xludf.DUMMYFUNCTION("""COMPUTED_VALUE"""),"町田駅前院の地図はどこで確認できますか？")</f>
        <v>町田駅前院の地図はどこで確認できますか？</v>
      </c>
      <c r="B1228" s="31" t="str">
        <f>IFERROR(__xludf.DUMMYFUNCTION("""COMPUTED_VALUE"""),"ルナレディースクリニック町田駅前院の場所は、Googleマップでご確認いただけます。町田駅から徒歩2分のTK町田ビル3階にあります。")</f>
        <v>ルナレディースクリニック町田駅前院の場所は、Googleマップでご確認いただけます。町田駅から徒歩2分のTK町田ビル3階にあります。</v>
      </c>
      <c r="C1228" s="31" t="str">
        <f>IFERROR(__xludf.DUMMYFUNCTION("""COMPUTED_VALUE"""),"アクセス")</f>
        <v>アクセス</v>
      </c>
      <c r="D1228" s="31" t="str">
        <f>IFERROR(__xludf.DUMMYFUNCTION("""COMPUTED_VALUE"""),"地図,Googleマップ,町田")</f>
        <v>地図,Googleマップ,町田</v>
      </c>
      <c r="E1228" s="32" t="str">
        <f>IFERROR(__xludf.DUMMYFUNCTION("""COMPUTED_VALUE"""),"https://luna-dr.com/")</f>
        <v>https://luna-dr.com/</v>
      </c>
    </row>
    <row r="1229">
      <c r="A1229" s="31" t="str">
        <f>IFERROR(__xludf.DUMMYFUNCTION("""COMPUTED_VALUE"""),"町田駅前院の電話番号を教えてください")</f>
        <v>町田駅前院の電話番号を教えてください</v>
      </c>
      <c r="B1229" s="31" t="str">
        <f>IFERROR(__xludf.DUMMYFUNCTION("""COMPUTED_VALUE"""),"当院の電話番号は050-1730-2768 になります。（電話番号は全院共通です。）")</f>
        <v>当院の電話番号は050-1730-2768 になります。（電話番号は全院共通です。）</v>
      </c>
      <c r="C1229" s="31" t="str">
        <f>IFERROR(__xludf.DUMMYFUNCTION("""COMPUTED_VALUE"""),"お問い合わせ")</f>
        <v>お問い合わせ</v>
      </c>
      <c r="D1229" s="31" t="str">
        <f>IFERROR(__xludf.DUMMYFUNCTION("""COMPUTED_VALUE"""),"電話番号,問い合わせ,町田")</f>
        <v>電話番号,問い合わせ,町田</v>
      </c>
      <c r="E1229" s="32" t="str">
        <f>IFERROR(__xludf.DUMMYFUNCTION("""COMPUTED_VALUE"""),"https://luna-dr.com/")</f>
        <v>https://luna-dr.com/</v>
      </c>
    </row>
    <row r="1230">
      <c r="A1230" s="31" t="str">
        <f>IFERROR(__xludf.DUMMYFUNCTION("""COMPUTED_VALUE"""),"小田急線町田駅から町田院までの行き方を教えてください")</f>
        <v>小田急線町田駅から町田院までの行き方を教えてください</v>
      </c>
      <c r="B1230" s="31" t="str">
        <f>IFERROR(__xludf.DUMMYFUNCTION("""COMPUTED_VALUE"""),"小田急線町田駅西口改札を出て、左斜め方向（JR町田駅方面）へ進みます。ペデストリアンデッキ（2階の歩道橋）を直進すると、左手にDelifranceが入っているビルが見えます。そのビルの3階にルナレディースクリニック町田院があります。
動画でもクリニックへの行き方をご案内しております→https://www.youtube.com/watch?time_continue=4&amp;v=mqWJREBxW2E")</f>
        <v>小田急線町田駅西口改札を出て、左斜め方向（JR町田駅方面）へ進みます。ペデストリアンデッキ（2階の歩道橋）を直進すると、左手にDelifranceが入っているビルが見えます。そのビルの3階にルナレディースクリニック町田院があります。
動画でもクリニックへの行き方をご案内しております→https://www.youtube.com/watch?time_continue=4&amp;v=mqWJREBxW2E</v>
      </c>
      <c r="C1230" s="31" t="str">
        <f>IFERROR(__xludf.DUMMYFUNCTION("""COMPUTED_VALUE"""),"アクセス")</f>
        <v>アクセス</v>
      </c>
      <c r="D1230" s="31" t="str">
        <f>IFERROR(__xludf.DUMMYFUNCTION("""COMPUTED_VALUE"""),"町田院,道案内,小田急町田駅,徒歩")</f>
        <v>町田院,道案内,小田急町田駅,徒歩</v>
      </c>
      <c r="E1230" s="32" t="str">
        <f>IFERROR(__xludf.DUMMYFUNCTION("""COMPUTED_VALUE"""),"https://luna-dr.com/machida/access/")</f>
        <v>https://luna-dr.com/machida/access/</v>
      </c>
    </row>
    <row r="1231">
      <c r="A1231" s="31" t="str">
        <f>IFERROR(__xludf.DUMMYFUNCTION("""COMPUTED_VALUE"""),"JR町田駅から町田院までの行き方を教えてください/町田駅からの行き方を教えてください/町田駅からクリニックまでの道順を教えてください")</f>
        <v>JR町田駅から町田院までの行き方を教えてください/町田駅からの行き方を教えてください/町田駅からクリニックまでの道順を教えてください</v>
      </c>
      <c r="B1231" s="31" t="str">
        <f>IFERROR(__xludf.DUMMYFUNCTION("""COMPUTED_VALUE"""),"JR町田駅中央改札を出て、小田急線方面へ進みます（改札を出て右方向です）。東急ツインズウエストを右手に見ながら左へ曲がり、道なりに進むとDelifranceが入っているビルがあります。そのビルの3階にルナレディースクリニック町田院があります。")</f>
        <v>JR町田駅中央改札を出て、小田急線方面へ進みます（改札を出て右方向です）。東急ツインズウエストを右手に見ながら左へ曲がり、道なりに進むとDelifranceが入っているビルがあります。そのビルの3階にルナレディースクリニック町田院があります。</v>
      </c>
      <c r="C1231" s="31" t="str">
        <f>IFERROR(__xludf.DUMMYFUNCTION("""COMPUTED_VALUE"""),"アクセス")</f>
        <v>アクセス</v>
      </c>
      <c r="D1231" s="31" t="str">
        <f>IFERROR(__xludf.DUMMYFUNCTION("""COMPUTED_VALUE"""),"町田院,道案内,JR町田駅,徒歩")</f>
        <v>町田院,道案内,JR町田駅,徒歩</v>
      </c>
      <c r="E1231" s="32" t="str">
        <f>IFERROR(__xludf.DUMMYFUNCTION("""COMPUTED_VALUE"""),"https://luna-dr.com/machida/access/")</f>
        <v>https://luna-dr.com/machida/access/</v>
      </c>
    </row>
    <row r="1232">
      <c r="A1232" s="31" t="str">
        <f>IFERROR(__xludf.DUMMYFUNCTION("""COMPUTED_VALUE"""),"診療日は何曜日ですか？")</f>
        <v>診療日は何曜日ですか？</v>
      </c>
      <c r="B1232" s="31" t="str">
        <f>IFERROR(__xludf.DUMMYFUNCTION("""COMPUTED_VALUE"""),"当院は月曜日・火曜日・水曜日・木曜日・金曜日・土曜日に診療を行っています。日曜日は終日休診です。午前診療が10:00〜14:00、午後診療が15:30〜20:00です。土曜日の午後診療は15:30〜19:00です。")</f>
        <v>当院は月曜日・火曜日・水曜日・木曜日・金曜日・土曜日に診療を行っています。日曜日は終日休診です。午前診療が10:00〜14:00、午後診療が15:30〜20:00です。土曜日の午後診療は15:30〜19:00です。</v>
      </c>
      <c r="C1232" s="31" t="str">
        <f>IFERROR(__xludf.DUMMYFUNCTION("""COMPUTED_VALUE"""),"診療時間")</f>
        <v>診療時間</v>
      </c>
      <c r="D1232" s="31" t="str">
        <f>IFERROR(__xludf.DUMMYFUNCTION("""COMPUTED_VALUE"""),"診療日,曜日,休診日")</f>
        <v>診療日,曜日,休診日</v>
      </c>
      <c r="E1232" s="32" t="str">
        <f>IFERROR(__xludf.DUMMYFUNCTION("""COMPUTED_VALUE"""),"https://luna-dr.com/machida/consultation-hours/")</f>
        <v>https://luna-dr.com/machida/consultation-hours/</v>
      </c>
    </row>
    <row r="1233">
      <c r="A1233" s="31" t="str">
        <f>IFERROR(__xludf.DUMMYFUNCTION("""COMPUTED_VALUE"""),"休診日はいつですか？")</f>
        <v>休診日はいつですか？</v>
      </c>
      <c r="B1233" s="31" t="str">
        <f>IFERROR(__xludf.DUMMYFUNCTION("""COMPUTED_VALUE"""),"当院の定休日は日曜日です。その他の曜日は診療を行っています。")</f>
        <v>当院の定休日は日曜日です。その他の曜日は診療を行っています。</v>
      </c>
      <c r="C1233" s="31" t="str">
        <f>IFERROR(__xludf.DUMMYFUNCTION("""COMPUTED_VALUE"""),"診療時間")</f>
        <v>診療時間</v>
      </c>
      <c r="D1233" s="31" t="str">
        <f>IFERROR(__xludf.DUMMYFUNCTION("""COMPUTED_VALUE"""),"休診日,定休日,日曜休診")</f>
        <v>休診日,定休日,日曜休診</v>
      </c>
      <c r="E1233" s="32" t="str">
        <f>IFERROR(__xludf.DUMMYFUNCTION("""COMPUTED_VALUE"""),"https://luna-dr.com/machida/consultation-hours/")</f>
        <v>https://luna-dr.com/machida/consultation-hours/</v>
      </c>
    </row>
    <row r="1234">
      <c r="A1234" s="31" t="str">
        <f>IFERROR(__xludf.DUMMYFUNCTION("""COMPUTED_VALUE"""),"祝日は診療していますか？")</f>
        <v>祝日は診療していますか？</v>
      </c>
      <c r="B1234" s="31" t="str">
        <f>IFERROR(__xludf.DUMMYFUNCTION("""COMPUTED_VALUE"""),"祝日は、曜日に準じて診療を行っています。日曜日にあたる祝日は休診となります。")</f>
        <v>祝日は、曜日に準じて診療を行っています。日曜日にあたる祝日は休診となります。</v>
      </c>
      <c r="C1234" s="31" t="str">
        <f>IFERROR(__xludf.DUMMYFUNCTION("""COMPUTED_VALUE"""),"診療時間")</f>
        <v>診療時間</v>
      </c>
      <c r="D1234" s="31" t="str">
        <f>IFERROR(__xludf.DUMMYFUNCTION("""COMPUTED_VALUE"""),"祝日,祝日診療,休日")</f>
        <v>祝日,祝日診療,休日</v>
      </c>
      <c r="E1234" s="32" t="str">
        <f>IFERROR(__xludf.DUMMYFUNCTION("""COMPUTED_VALUE"""),"https://luna-dr.com/machida/consultation-hours/")</f>
        <v>https://luna-dr.com/machida/consultation-hours/</v>
      </c>
    </row>
    <row r="1235">
      <c r="A1235" s="31" t="str">
        <f>IFERROR(__xludf.DUMMYFUNCTION("""COMPUTED_VALUE"""),"統括院長の名前を教えてください。")</f>
        <v>統括院長の名前を教えてください。</v>
      </c>
      <c r="B1235" s="31" t="str">
        <f>IFERROR(__xludf.DUMMYFUNCTION("""COMPUTED_VALUE"""),"ルナレディースクリニックの統括院長は川原 正行 院長です。")</f>
        <v>ルナレディースクリニックの統括院長は川原 正行 院長です。</v>
      </c>
      <c r="C1235" s="31" t="str">
        <f>IFERROR(__xludf.DUMMYFUNCTION("""COMPUTED_VALUE"""),"ドクター紹介")</f>
        <v>ドクター紹介</v>
      </c>
      <c r="D1235" s="31" t="str">
        <f>IFERROR(__xludf.DUMMYFUNCTION("""COMPUTED_VALUE"""),"院長,医師名,ドクター")</f>
        <v>院長,医師名,ドクター</v>
      </c>
      <c r="E1235" s="32" t="str">
        <f>IFERROR(__xludf.DUMMYFUNCTION("""COMPUTED_VALUE"""),"https://luna-dr.com/machida/doctors/")</f>
        <v>https://luna-dr.com/machida/doctors/</v>
      </c>
    </row>
    <row r="1236">
      <c r="A1236" s="31" t="str">
        <f>IFERROR(__xludf.DUMMYFUNCTION("""COMPUTED_VALUE"""),"院長の資格を教えてください。")</f>
        <v>院長の資格を教えてください。</v>
      </c>
      <c r="B1236" s="31" t="str">
        <f>IFERROR(__xludf.DUMMYFUNCTION("""COMPUTED_VALUE"""),"川原正行院長は、日本産婦人科学会専門医および母体保護法指定医の資格を有しています。")</f>
        <v>川原正行院長は、日本産婦人科学会専門医および母体保護法指定医の資格を有しています。</v>
      </c>
      <c r="C1236" s="31" t="str">
        <f>IFERROR(__xludf.DUMMYFUNCTION("""COMPUTED_VALUE"""),"ドクター紹介")</f>
        <v>ドクター紹介</v>
      </c>
      <c r="D1236" s="31" t="str">
        <f>IFERROR(__xludf.DUMMYFUNCTION("""COMPUTED_VALUE"""),"資格,専門医,母体保護法指定医")</f>
        <v>資格,専門医,母体保護法指定医</v>
      </c>
      <c r="E1236" s="32" t="str">
        <f>IFERROR(__xludf.DUMMYFUNCTION("""COMPUTED_VALUE"""),"https://luna-dr.com/machida/doctors/")</f>
        <v>https://luna-dr.com/machida/doctors/</v>
      </c>
    </row>
    <row r="1237">
      <c r="A1237" s="31" t="str">
        <f>IFERROR(__xludf.DUMMYFUNCTION("""COMPUTED_VALUE"""),"院長はどのような学会に所属していますか？")</f>
        <v>院長はどのような学会に所属していますか？</v>
      </c>
      <c r="B1237" s="31" t="str">
        <f>IFERROR(__xludf.DUMMYFUNCTION("""COMPUTED_VALUE"""),"川原正行院長は、日本産科婦人科学会、日本産婦人科医会、日本医師会に所属しています。")</f>
        <v>川原正行院長は、日本産科婦人科学会、日本産婦人科医会、日本医師会に所属しています。</v>
      </c>
      <c r="C1237" s="31" t="str">
        <f>IFERROR(__xludf.DUMMYFUNCTION("""COMPUTED_VALUE"""),"ドクター紹介")</f>
        <v>ドクター紹介</v>
      </c>
      <c r="D1237" s="31" t="str">
        <f>IFERROR(__xludf.DUMMYFUNCTION("""COMPUTED_VALUE"""),"学会,所属学会,産婦人科")</f>
        <v>学会,所属学会,産婦人科</v>
      </c>
      <c r="E1237" s="32" t="str">
        <f>IFERROR(__xludf.DUMMYFUNCTION("""COMPUTED_VALUE"""),"https://luna-dr.com/machida/doctors/")</f>
        <v>https://luna-dr.com/machida/doctors/</v>
      </c>
    </row>
    <row r="1238">
      <c r="A1238" s="31" t="str">
        <f>IFERROR(__xludf.DUMMYFUNCTION("""COMPUTED_VALUE"""),"院長の経歴を教えてください。")</f>
        <v>院長の経歴を教えてください。</v>
      </c>
      <c r="B1238" s="31" t="str">
        <f>IFERROR(__xludf.DUMMYFUNCTION("""COMPUTED_VALUE"""),"川原正行院長は1998年に岡山大学医学部を卒業後、大学病院・国立病院・総合病院で産婦人科診療を経験し、北京International SOS Clinicでの家庭医経験を経て、複数のレディースクリニックで診療に携わってきました。2021年には川崎駅前レディースクリニックを開業しています。日本産婦人科学会専門医および母体保護法指定医として、長年にわたり産婦人科診療に携わってきた医師です。")</f>
        <v>川原正行院長は1998年に岡山大学医学部を卒業後、大学病院・国立病院・総合病院で産婦人科診療を経験し、北京International SOS Clinicでの家庭医経験を経て、複数のレディースクリニックで診療に携わってきました。2021年には川崎駅前レディースクリニックを開業しています。日本産婦人科学会専門医および母体保護法指定医として、長年にわたり産婦人科診療に携わってきた医師です。</v>
      </c>
      <c r="C1238" s="31" t="str">
        <f>IFERROR(__xludf.DUMMYFUNCTION("""COMPUTED_VALUE"""),"ドクター紹介")</f>
        <v>ドクター紹介</v>
      </c>
      <c r="D1238" s="31" t="str">
        <f>IFERROR(__xludf.DUMMYFUNCTION("""COMPUTED_VALUE"""),"経歴,医師経歴,院長経歴")</f>
        <v>経歴,医師経歴,院長経歴</v>
      </c>
      <c r="E1238" s="32" t="str">
        <f>IFERROR(__xludf.DUMMYFUNCTION("""COMPUTED_VALUE"""),"https://luna-dr.com/machida/doctors/")</f>
        <v>https://luna-dr.com/machida/doctors/</v>
      </c>
    </row>
    <row r="1239">
      <c r="A1239" s="31" t="str">
        <f>IFERROR(__xludf.DUMMYFUNCTION("""COMPUTED_VALUE"""),"院長のインタビュー記事はありますか？")</f>
        <v>院長のインタビュー記事はありますか？</v>
      </c>
      <c r="B1239" s="31" t="str">
        <f>IFERROR(__xludf.DUMMYFUNCTION("""COMPUTED_VALUE"""),"川原正行院長のインタビューは「川崎ドクターズ（https://kanagawa-doctors.com/clinicList/66831/interview）」「ドクターズファイル（https://kanagawa-doctors.com/clinicList/66831/interview）」に掲載されています。院長の診療に対する考え方や想いをご覧いただけます。")</f>
        <v>川原正行院長のインタビューは「川崎ドクターズ（https://kanagawa-doctors.com/clinicList/66831/interview）」「ドクターズファイル（https://kanagawa-doctors.com/clinicList/66831/interview）」に掲載されています。院長の診療に対する考え方や想いをご覧いただけます。</v>
      </c>
      <c r="C1239" s="31" t="str">
        <f>IFERROR(__xludf.DUMMYFUNCTION("""COMPUTED_VALUE"""),"ドクター紹介")</f>
        <v>ドクター紹介</v>
      </c>
      <c r="D1239" s="31" t="str">
        <f>IFERROR(__xludf.DUMMYFUNCTION("""COMPUTED_VALUE"""),"インタビュー,医師紹介")</f>
        <v>インタビュー,医師紹介</v>
      </c>
      <c r="E1239" s="32" t="str">
        <f>IFERROR(__xludf.DUMMYFUNCTION("""COMPUTED_VALUE"""),"https://luna-dr.com/machida/doctors/")</f>
        <v>https://luna-dr.com/machida/doctors/</v>
      </c>
    </row>
    <row r="1240">
      <c r="A1240" s="31" t="str">
        <f>IFERROR(__xludf.DUMMYFUNCTION("""COMPUTED_VALUE"""),"低用量ピルの料金はいくらですか？")</f>
        <v>低用量ピルの料金はいくらですか？</v>
      </c>
      <c r="B1240" s="31" t="str">
        <f>IFERROR(__xludf.DUMMYFUNCTION("""COMPUTED_VALUE"""),"低用量ピルは自費診療となり、1シート3,000円（税込）です。")</f>
        <v>低用量ピルは自費診療となり、1シート3,000円（税込）です。</v>
      </c>
      <c r="C1240" s="31" t="str">
        <f>IFERROR(__xludf.DUMMYFUNCTION("""COMPUTED_VALUE"""),"料金・ピル")</f>
        <v>料金・ピル</v>
      </c>
      <c r="D1240" s="31" t="str">
        <f>IFERROR(__xludf.DUMMYFUNCTION("""COMPUTED_VALUE"""),"低用量ピル,料金,自費,")</f>
        <v>低用量ピル,料金,自費,</v>
      </c>
      <c r="E1240" s="32" t="str">
        <f>IFERROR(__xludf.DUMMYFUNCTION("""COMPUTED_VALUE"""),"https://luna-dr.com/machida/price/")</f>
        <v>https://luna-dr.com/machida/price/</v>
      </c>
    </row>
    <row r="1241">
      <c r="A1241" s="31" t="str">
        <f>IFERROR(__xludf.DUMMYFUNCTION("""COMPUTED_VALUE"""),"低用量ピルは保険診療ですか？")</f>
        <v>低用量ピルは保険診療ですか？</v>
      </c>
      <c r="B1241" s="31" t="str">
        <f>IFERROR(__xludf.DUMMYFUNCTION("""COMPUTED_VALUE"""),"低用量ピルは避妊目的の場合、保険適用外の自費診療となります。")</f>
        <v>低用量ピルは避妊目的の場合、保険適用外の自費診療となります。</v>
      </c>
      <c r="C1241" s="31" t="str">
        <f>IFERROR(__xludf.DUMMYFUNCTION("""COMPUTED_VALUE"""),"保険適用・ピル")</f>
        <v>保険適用・ピル</v>
      </c>
      <c r="D1241" s="31" t="str">
        <f>IFERROR(__xludf.DUMMYFUNCTION("""COMPUTED_VALUE"""),"低用量ピル,保険,自費,")</f>
        <v>低用量ピル,保険,自費,</v>
      </c>
      <c r="E1241" s="32" t="str">
        <f>IFERROR(__xludf.DUMMYFUNCTION("""COMPUTED_VALUE"""),"https://luna-dr.com/machida/price/")</f>
        <v>https://luna-dr.com/machida/price/</v>
      </c>
    </row>
    <row r="1242">
      <c r="A1242" s="31" t="str">
        <f>IFERROR(__xludf.DUMMYFUNCTION("""COMPUTED_VALUE"""),"アフターピルの料金はいくらですか？")</f>
        <v>アフターピルの料金はいくらですか？</v>
      </c>
      <c r="B1242" s="31" t="str">
        <f>IFERROR(__xludf.DUMMYFUNCTION("""COMPUTED_VALUE"""),"アフターピルは自費診療となり、15,000円（税込）です。")</f>
        <v>アフターピルは自費診療となり、15,000円（税込）です。</v>
      </c>
      <c r="C1242" s="31" t="str">
        <f>IFERROR(__xludf.DUMMYFUNCTION("""COMPUTED_VALUE"""),"料金・アフターピル")</f>
        <v>料金・アフターピル</v>
      </c>
      <c r="D1242" s="31" t="str">
        <f>IFERROR(__xludf.DUMMYFUNCTION("""COMPUTED_VALUE"""),"アフターピル,料金,")</f>
        <v>アフターピル,料金,</v>
      </c>
      <c r="E1242" s="32" t="str">
        <f>IFERROR(__xludf.DUMMYFUNCTION("""COMPUTED_VALUE"""),"https://luna-dr.com/machida/price/")</f>
        <v>https://luna-dr.com/machida/price/</v>
      </c>
    </row>
    <row r="1243">
      <c r="A1243" s="31" t="str">
        <f>IFERROR(__xludf.DUMMYFUNCTION("""COMPUTED_VALUE"""),"アフターピルは保険診療ですか？")</f>
        <v>アフターピルは保険診療ですか？</v>
      </c>
      <c r="B1243" s="31" t="str">
        <f>IFERROR(__xludf.DUMMYFUNCTION("""COMPUTED_VALUE"""),"アフターピルは健康保険適用外の自費診療です。")</f>
        <v>アフターピルは健康保険適用外の自費診療です。</v>
      </c>
      <c r="C1243" s="31" t="str">
        <f>IFERROR(__xludf.DUMMYFUNCTION("""COMPUTED_VALUE"""),"保険適用・アフターピル")</f>
        <v>保険適用・アフターピル</v>
      </c>
      <c r="D1243" s="31" t="str">
        <f>IFERROR(__xludf.DUMMYFUNCTION("""COMPUTED_VALUE"""),"アフターピル,保険,")</f>
        <v>アフターピル,保険,</v>
      </c>
      <c r="E1243" s="32" t="str">
        <f>IFERROR(__xludf.DUMMYFUNCTION("""COMPUTED_VALUE"""),"https://luna-dr.com/machida/price/")</f>
        <v>https://luna-dr.com/machida/price/</v>
      </c>
    </row>
    <row r="1244">
      <c r="A1244" s="31" t="str">
        <f>IFERROR(__xludf.DUMMYFUNCTION("""COMPUTED_VALUE"""),"月経移動の費用はいくらですか？")</f>
        <v>月経移動の費用はいくらですか？</v>
      </c>
      <c r="B1244" s="31" t="str">
        <f>IFERROR(__xludf.DUMMYFUNCTION("""COMPUTED_VALUE"""),"月経移動は自費診療となり、5,000円（税込）です。")</f>
        <v>月経移動は自費診療となり、5,000円（税込）です。</v>
      </c>
      <c r="C1244" s="31" t="str">
        <f>IFERROR(__xludf.DUMMYFUNCTION("""COMPUTED_VALUE"""),"料金・月経移動")</f>
        <v>料金・月経移動</v>
      </c>
      <c r="D1244" s="31" t="str">
        <f>IFERROR(__xludf.DUMMYFUNCTION("""COMPUTED_VALUE"""),"月経移動,料金,")</f>
        <v>月経移動,料金,</v>
      </c>
      <c r="E1244" s="32" t="str">
        <f>IFERROR(__xludf.DUMMYFUNCTION("""COMPUTED_VALUE"""),"https://luna-dr.com/machida/price/")</f>
        <v>https://luna-dr.com/machida/price/</v>
      </c>
    </row>
    <row r="1245">
      <c r="A1245" s="31" t="str">
        <f>IFERROR(__xludf.DUMMYFUNCTION("""COMPUTED_VALUE"""),"月経移動は保険診療ですか？")</f>
        <v>月経移動は保険診療ですか？</v>
      </c>
      <c r="B1245" s="31" t="str">
        <f>IFERROR(__xludf.DUMMYFUNCTION("""COMPUTED_VALUE"""),"月経移動は健康保険適用外の自費診療です。")</f>
        <v>月経移動は健康保険適用外の自費診療です。</v>
      </c>
      <c r="C1245" s="31" t="str">
        <f>IFERROR(__xludf.DUMMYFUNCTION("""COMPUTED_VALUE"""),"保険適用・月経移動")</f>
        <v>保険適用・月経移動</v>
      </c>
      <c r="D1245" s="31" t="str">
        <f>IFERROR(__xludf.DUMMYFUNCTION("""COMPUTED_VALUE"""),"月経移動,保険,")</f>
        <v>月経移動,保険,</v>
      </c>
      <c r="E1245" s="32" t="str">
        <f>IFERROR(__xludf.DUMMYFUNCTION("""COMPUTED_VALUE"""),"https://luna-dr.com/machida/price/")</f>
        <v>https://luna-dr.com/machida/price/</v>
      </c>
    </row>
    <row r="1246">
      <c r="A1246" s="31" t="str">
        <f>IFERROR(__xludf.DUMMYFUNCTION("""COMPUTED_VALUE"""),"避妊リングの費用はいくらですか？/ミレーナの費用はいくらですか？")</f>
        <v>避妊リングの費用はいくらですか？/ミレーナの費用はいくらですか？</v>
      </c>
      <c r="B1246" s="31" t="str">
        <f>IFERROR(__xludf.DUMMYFUNCTION("""COMPUTED_VALUE"""),"避妊リング（ミレーナ）は自費診療となり、75,500円（税込）です。")</f>
        <v>避妊リング（ミレーナ）は自費診療となり、75,500円（税込）です。</v>
      </c>
      <c r="C1246" s="31" t="str">
        <f>IFERROR(__xludf.DUMMYFUNCTION("""COMPUTED_VALUE"""),"料金・ミレーナ")</f>
        <v>料金・ミレーナ</v>
      </c>
      <c r="D1246" s="31" t="str">
        <f>IFERROR(__xludf.DUMMYFUNCTION("""COMPUTED_VALUE"""),"ミレーナ,避妊リング,料金,")</f>
        <v>ミレーナ,避妊リング,料金,</v>
      </c>
      <c r="E1246" s="32" t="str">
        <f>IFERROR(__xludf.DUMMYFUNCTION("""COMPUTED_VALUE"""),"https://luna-dr.com/machida/price/")</f>
        <v>https://luna-dr.com/machida/price/</v>
      </c>
    </row>
    <row r="1247">
      <c r="A1247" s="31" t="str">
        <f>IFERROR(__xludf.DUMMYFUNCTION("""COMPUTED_VALUE"""),"避妊リングは保険診療ですか？/ミレーナは保険診療ですか？")</f>
        <v>避妊リングは保険診療ですか？/ミレーナは保険診療ですか？</v>
      </c>
      <c r="B1247" s="31" t="str">
        <f>IFERROR(__xludf.DUMMYFUNCTION("""COMPUTED_VALUE"""),"避妊リング（ミレーナ）は健康保険適用外の自費診療です。")</f>
        <v>避妊リング（ミレーナ）は健康保険適用外の自費診療です。</v>
      </c>
      <c r="C1247" s="31" t="str">
        <f>IFERROR(__xludf.DUMMYFUNCTION("""COMPUTED_VALUE"""),"保険適用・ミレーナ")</f>
        <v>保険適用・ミレーナ</v>
      </c>
      <c r="D1247" s="31" t="str">
        <f>IFERROR(__xludf.DUMMYFUNCTION("""COMPUTED_VALUE"""),"ミレーナ,保険,")</f>
        <v>ミレーナ,保険,</v>
      </c>
      <c r="E1247" s="32" t="str">
        <f>IFERROR(__xludf.DUMMYFUNCTION("""COMPUTED_VALUE"""),"https://luna-dr.com/machida/price/")</f>
        <v>https://luna-dr.com/machida/price/</v>
      </c>
    </row>
    <row r="1248">
      <c r="A1248" s="31" t="str">
        <f>IFERROR(__xludf.DUMMYFUNCTION("""COMPUTED_VALUE"""),"人工妊娠中絶手術の費用はいくらですか？")</f>
        <v>人工妊娠中絶手術の費用はいくらですか？</v>
      </c>
      <c r="B1248" s="31" t="str">
        <f>IFERROR(__xludf.DUMMYFUNCTION("""COMPUTED_VALUE"""),"人工妊娠中絶手術は自費診療で、92,400円（税込）〜となります。別途、事前検査費用が発生します")</f>
        <v>人工妊娠中絶手術は自費診療で、92,400円（税込）〜となります。別途、事前検査費用が発生します</v>
      </c>
      <c r="C1248" s="31" t="str">
        <f>IFERROR(__xludf.DUMMYFUNCTION("""COMPUTED_VALUE"""),"料金・中絶")</f>
        <v>料金・中絶</v>
      </c>
      <c r="D1248" s="31" t="str">
        <f>IFERROR(__xludf.DUMMYFUNCTION("""COMPUTED_VALUE"""),"中絶,費用,自費,")</f>
        <v>中絶,費用,自費,</v>
      </c>
      <c r="E1248" s="32" t="str">
        <f>IFERROR(__xludf.DUMMYFUNCTION("""COMPUTED_VALUE"""),"https://luna-dr.com/machida/price/")</f>
        <v>https://luna-dr.com/machida/price/</v>
      </c>
    </row>
    <row r="1249">
      <c r="A1249" s="31" t="str">
        <f>IFERROR(__xludf.DUMMYFUNCTION("""COMPUTED_VALUE"""),"人工妊娠中絶手術は保険診療ですか？/中絶は保険診療ですか？")</f>
        <v>人工妊娠中絶手術は保険診療ですか？/中絶は保険診療ですか？</v>
      </c>
      <c r="B1249" s="31" t="str">
        <f>IFERROR(__xludf.DUMMYFUNCTION("""COMPUTED_VALUE"""),"人工妊娠中絶手術は健康保険適用外の自費診療です。")</f>
        <v>人工妊娠中絶手術は健康保険適用外の自費診療です。</v>
      </c>
      <c r="C1249" s="31" t="str">
        <f>IFERROR(__xludf.DUMMYFUNCTION("""COMPUTED_VALUE"""),"保険適用・人工妊娠中絶手術")</f>
        <v>保険適用・人工妊娠中絶手術</v>
      </c>
      <c r="D1249" s="31" t="str">
        <f>IFERROR(__xludf.DUMMYFUNCTION("""COMPUTED_VALUE"""),"人工妊娠中絶手術,保険,")</f>
        <v>人工妊娠中絶手術,保険,</v>
      </c>
      <c r="E1249" s="32" t="str">
        <f>IFERROR(__xludf.DUMMYFUNCTION("""COMPUTED_VALUE"""),"https://luna-dr.com/machida/price/")</f>
        <v>https://luna-dr.com/machida/price/</v>
      </c>
    </row>
    <row r="1250">
      <c r="A1250" s="31" t="str">
        <f>IFERROR(__xludf.DUMMYFUNCTION("""COMPUTED_VALUE"""),"人工妊娠中絶の事前検査費用はいくらですか？")</f>
        <v>人工妊娠中絶の事前検査費用はいくらですか？</v>
      </c>
      <c r="B1250" s="31" t="str">
        <f>IFERROR(__xludf.DUMMYFUNCTION("""COMPUTED_VALUE"""),"人工妊娠中絶の事前検査は16,500円（税込）です。")</f>
        <v>人工妊娠中絶の事前検査は16,500円（税込）です。</v>
      </c>
      <c r="C1250" s="31" t="str">
        <f>IFERROR(__xludf.DUMMYFUNCTION("""COMPUTED_VALUE"""),"料金・中絶検査")</f>
        <v>料金・中絶検査</v>
      </c>
      <c r="D1250" s="31" t="str">
        <f>IFERROR(__xludf.DUMMYFUNCTION("""COMPUTED_VALUE"""),"中絶,事前検査,")</f>
        <v>中絶,事前検査,</v>
      </c>
      <c r="E1250" s="32" t="str">
        <f>IFERROR(__xludf.DUMMYFUNCTION("""COMPUTED_VALUE"""),"https://luna-dr.com/machida/price/")</f>
        <v>https://luna-dr.com/machida/price/</v>
      </c>
    </row>
    <row r="1251">
      <c r="A1251" s="31" t="str">
        <f>IFERROR(__xludf.DUMMYFUNCTION("""COMPUTED_VALUE"""),"クラミジア検査の費用はいくらですか？")</f>
        <v>クラミジア検査の費用はいくらですか？</v>
      </c>
      <c r="B1251" s="31" t="str">
        <f>IFERROR(__xludf.DUMMYFUNCTION("""COMPUTED_VALUE"""),"クラミジア検査は自費診療となり、5,000円（税込）です。")</f>
        <v>クラミジア検査は自費診療となり、5,000円（税込）です。</v>
      </c>
      <c r="C1251" s="31" t="str">
        <f>IFERROR(__xludf.DUMMYFUNCTION("""COMPUTED_VALUE"""),"料金・性病検査")</f>
        <v>料金・性病検査</v>
      </c>
      <c r="D1251" s="31" t="str">
        <f>IFERROR(__xludf.DUMMYFUNCTION("""COMPUTED_VALUE"""),"クラミジア,検査,料金,")</f>
        <v>クラミジア,検査,料金,</v>
      </c>
      <c r="E1251" s="32" t="str">
        <f>IFERROR(__xludf.DUMMYFUNCTION("""COMPUTED_VALUE"""),"https://luna-dr.com/machida/price/")</f>
        <v>https://luna-dr.com/machida/price/</v>
      </c>
    </row>
    <row r="1252">
      <c r="A1252" s="31" t="str">
        <f>IFERROR(__xludf.DUMMYFUNCTION("""COMPUTED_VALUE"""),"クラミジア検査は保険診療ですか？")</f>
        <v>クラミジア検査は保険診療ですか？</v>
      </c>
      <c r="B1252" s="31" t="str">
        <f>IFERROR(__xludf.DUMMYFUNCTION("""COMPUTED_VALUE"""),"クラミジア検査は自費診療となり、健康保険は適用されません。")</f>
        <v>クラミジア検査は自費診療となり、健康保険は適用されません。</v>
      </c>
      <c r="C1252" s="31" t="str">
        <f>IFERROR(__xludf.DUMMYFUNCTION("""COMPUTED_VALUE"""),"保険適用・性病検査")</f>
        <v>保険適用・性病検査</v>
      </c>
      <c r="D1252" s="31" t="str">
        <f>IFERROR(__xludf.DUMMYFUNCTION("""COMPUTED_VALUE"""),"クラミジア,保険,自費,")</f>
        <v>クラミジア,保険,自費,</v>
      </c>
      <c r="E1252" s="32" t="str">
        <f>IFERROR(__xludf.DUMMYFUNCTION("""COMPUTED_VALUE"""),"https://luna-dr.com/machida/price/")</f>
        <v>https://luna-dr.com/machida/price/</v>
      </c>
    </row>
    <row r="1253">
      <c r="A1253" s="31" t="str">
        <f>IFERROR(__xludf.DUMMYFUNCTION("""COMPUTED_VALUE"""),"淋病検査の費用はいくらですか？")</f>
        <v>淋病検査の費用はいくらですか？</v>
      </c>
      <c r="B1253" s="31" t="str">
        <f>IFERROR(__xludf.DUMMYFUNCTION("""COMPUTED_VALUE"""),"淋病検査は自費診療となり、5,000円（税込）です。")</f>
        <v>淋病検査は自費診療となり、5,000円（税込）です。</v>
      </c>
      <c r="C1253" s="31" t="str">
        <f>IFERROR(__xludf.DUMMYFUNCTION("""COMPUTED_VALUE"""),"料金・性病検査")</f>
        <v>料金・性病検査</v>
      </c>
      <c r="D1253" s="31" t="str">
        <f>IFERROR(__xludf.DUMMYFUNCTION("""COMPUTED_VALUE"""),"淋病,検査,料金,")</f>
        <v>淋病,検査,料金,</v>
      </c>
      <c r="E1253" s="32" t="str">
        <f>IFERROR(__xludf.DUMMYFUNCTION("""COMPUTED_VALUE"""),"https://luna-dr.com/machida/price/")</f>
        <v>https://luna-dr.com/machida/price/</v>
      </c>
    </row>
    <row r="1254">
      <c r="A1254" s="31" t="str">
        <f>IFERROR(__xludf.DUMMYFUNCTION("""COMPUTED_VALUE"""),"淋病検査は保険診療ですか？")</f>
        <v>淋病検査は保険診療ですか？</v>
      </c>
      <c r="B1254" s="31" t="str">
        <f>IFERROR(__xludf.DUMMYFUNCTION("""COMPUTED_VALUE"""),"淋病検査は自費診療となり、健康保険は適用されません。")</f>
        <v>淋病検査は自費診療となり、健康保険は適用されません。</v>
      </c>
      <c r="C1254" s="31" t="str">
        <f>IFERROR(__xludf.DUMMYFUNCTION("""COMPUTED_VALUE"""),"保険適用・性病検査")</f>
        <v>保険適用・性病検査</v>
      </c>
      <c r="D1254" s="31" t="str">
        <f>IFERROR(__xludf.DUMMYFUNCTION("""COMPUTED_VALUE"""),"淋病,保険,自費,")</f>
        <v>淋病,保険,自費,</v>
      </c>
      <c r="E1254" s="32" t="str">
        <f>IFERROR(__xludf.DUMMYFUNCTION("""COMPUTED_VALUE"""),"https://luna-dr.com/machida/price/")</f>
        <v>https://luna-dr.com/machida/price/</v>
      </c>
    </row>
    <row r="1255">
      <c r="A1255" s="31" t="str">
        <f>IFERROR(__xludf.DUMMYFUNCTION("""COMPUTED_VALUE"""),"カンジダ検査の費用はいくらですか？")</f>
        <v>カンジダ検査の費用はいくらですか？</v>
      </c>
      <c r="B1255" s="31" t="str">
        <f>IFERROR(__xludf.DUMMYFUNCTION("""COMPUTED_VALUE"""),"カンジダ検査は自費診療となり、5,000円（税込）です。")</f>
        <v>カンジダ検査は自費診療となり、5,000円（税込）です。</v>
      </c>
      <c r="C1255" s="31" t="str">
        <f>IFERROR(__xludf.DUMMYFUNCTION("""COMPUTED_VALUE"""),"料金・性病検査")</f>
        <v>料金・性病検査</v>
      </c>
      <c r="D1255" s="31" t="str">
        <f>IFERROR(__xludf.DUMMYFUNCTION("""COMPUTED_VALUE"""),"カンジダ,検査,料金,")</f>
        <v>カンジダ,検査,料金,</v>
      </c>
      <c r="E1255" s="32" t="str">
        <f>IFERROR(__xludf.DUMMYFUNCTION("""COMPUTED_VALUE"""),"https://luna-dr.com/machida/price/")</f>
        <v>https://luna-dr.com/machida/price/</v>
      </c>
    </row>
    <row r="1256">
      <c r="A1256" s="31" t="str">
        <f>IFERROR(__xludf.DUMMYFUNCTION("""COMPUTED_VALUE"""),"カンジダ検査は保険診療ですか？")</f>
        <v>カンジダ検査は保険診療ですか？</v>
      </c>
      <c r="B1256" s="31" t="str">
        <f>IFERROR(__xludf.DUMMYFUNCTION("""COMPUTED_VALUE"""),"カンジダ検査は自費診療となり、健康保険は適用されません。")</f>
        <v>カンジダ検査は自費診療となり、健康保険は適用されません。</v>
      </c>
      <c r="C1256" s="31" t="str">
        <f>IFERROR(__xludf.DUMMYFUNCTION("""COMPUTED_VALUE"""),"保険適用・性病検査")</f>
        <v>保険適用・性病検査</v>
      </c>
      <c r="D1256" s="31" t="str">
        <f>IFERROR(__xludf.DUMMYFUNCTION("""COMPUTED_VALUE"""),"カンジダ,保険,自費,")</f>
        <v>カンジダ,保険,自費,</v>
      </c>
      <c r="E1256" s="32" t="str">
        <f>IFERROR(__xludf.DUMMYFUNCTION("""COMPUTED_VALUE"""),"https://luna-dr.com/machida/price/")</f>
        <v>https://luna-dr.com/machida/price/</v>
      </c>
    </row>
    <row r="1257">
      <c r="A1257" s="31" t="str">
        <f>IFERROR(__xludf.DUMMYFUNCTION("""COMPUTED_VALUE"""),"HIV検査の費用はいくらですか？")</f>
        <v>HIV検査の費用はいくらですか？</v>
      </c>
      <c r="B1257" s="31" t="str">
        <f>IFERROR(__xludf.DUMMYFUNCTION("""COMPUTED_VALUE"""),"HIV検査は自費診療となり、5,000円（税込）です。")</f>
        <v>HIV検査は自費診療となり、5,000円（税込）です。</v>
      </c>
      <c r="C1257" s="31" t="str">
        <f>IFERROR(__xludf.DUMMYFUNCTION("""COMPUTED_VALUE"""),"料金・性病検査")</f>
        <v>料金・性病検査</v>
      </c>
      <c r="D1257" s="31" t="str">
        <f>IFERROR(__xludf.DUMMYFUNCTION("""COMPUTED_VALUE"""),"HIV,検査,料金,")</f>
        <v>HIV,検査,料金,</v>
      </c>
      <c r="E1257" s="32" t="str">
        <f>IFERROR(__xludf.DUMMYFUNCTION("""COMPUTED_VALUE"""),"https://luna-dr.com/machida/price/")</f>
        <v>https://luna-dr.com/machida/price/</v>
      </c>
    </row>
    <row r="1258">
      <c r="A1258" s="31" t="str">
        <f>IFERROR(__xludf.DUMMYFUNCTION("""COMPUTED_VALUE"""),"HIV検査は保険診療ですか？")</f>
        <v>HIV検査は保険診療ですか？</v>
      </c>
      <c r="B1258" s="31" t="str">
        <f>IFERROR(__xludf.DUMMYFUNCTION("""COMPUTED_VALUE"""),"HIV検査は自費診療となり、健康保険は適用されません。")</f>
        <v>HIV検査は自費診療となり、健康保険は適用されません。</v>
      </c>
      <c r="C1258" s="31" t="str">
        <f>IFERROR(__xludf.DUMMYFUNCTION("""COMPUTED_VALUE"""),"保険適用・性病検査")</f>
        <v>保険適用・性病検査</v>
      </c>
      <c r="D1258" s="31" t="str">
        <f>IFERROR(__xludf.DUMMYFUNCTION("""COMPUTED_VALUE"""),"HIV,保険,自費,")</f>
        <v>HIV,保険,自費,</v>
      </c>
      <c r="E1258" s="32" t="str">
        <f>IFERROR(__xludf.DUMMYFUNCTION("""COMPUTED_VALUE"""),"https://luna-dr.com/machida/price/")</f>
        <v>https://luna-dr.com/machida/price/</v>
      </c>
    </row>
    <row r="1259">
      <c r="A1259" s="31" t="str">
        <f>IFERROR(__xludf.DUMMYFUNCTION("""COMPUTED_VALUE"""),"B型肝炎検査の費用はいくらですか？")</f>
        <v>B型肝炎検査の費用はいくらですか？</v>
      </c>
      <c r="B1259" s="31" t="str">
        <f>IFERROR(__xludf.DUMMYFUNCTION("""COMPUTED_VALUE"""),"B型肝炎検査は自費診療となり、5,000円（税込）です。")</f>
        <v>B型肝炎検査は自費診療となり、5,000円（税込）です。</v>
      </c>
      <c r="C1259" s="31" t="str">
        <f>IFERROR(__xludf.DUMMYFUNCTION("""COMPUTED_VALUE"""),"料金・性病検査")</f>
        <v>料金・性病検査</v>
      </c>
      <c r="D1259" s="31" t="str">
        <f>IFERROR(__xludf.DUMMYFUNCTION("""COMPUTED_VALUE"""),"B型肝炎,検査,料金,")</f>
        <v>B型肝炎,検査,料金,</v>
      </c>
      <c r="E1259" s="32" t="str">
        <f>IFERROR(__xludf.DUMMYFUNCTION("""COMPUTED_VALUE"""),"https://luna-dr.com/machida/price/")</f>
        <v>https://luna-dr.com/machida/price/</v>
      </c>
    </row>
    <row r="1260">
      <c r="A1260" s="31" t="str">
        <f>IFERROR(__xludf.DUMMYFUNCTION("""COMPUTED_VALUE"""),"B型肝炎検査は保険診療ですか？")</f>
        <v>B型肝炎検査は保険診療ですか？</v>
      </c>
      <c r="B1260" s="31" t="str">
        <f>IFERROR(__xludf.DUMMYFUNCTION("""COMPUTED_VALUE"""),"B型肝炎検査は自費診療となり、健康保険は適用されません。")</f>
        <v>B型肝炎検査は自費診療となり、健康保険は適用されません。</v>
      </c>
      <c r="C1260" s="31" t="str">
        <f>IFERROR(__xludf.DUMMYFUNCTION("""COMPUTED_VALUE"""),"保険適用・性病検査")</f>
        <v>保険適用・性病検査</v>
      </c>
      <c r="D1260" s="31" t="str">
        <f>IFERROR(__xludf.DUMMYFUNCTION("""COMPUTED_VALUE"""),"B型肝炎,保険,自費,")</f>
        <v>B型肝炎,保険,自費,</v>
      </c>
      <c r="E1260" s="32" t="str">
        <f>IFERROR(__xludf.DUMMYFUNCTION("""COMPUTED_VALUE"""),"https://luna-dr.com/machida/price/")</f>
        <v>https://luna-dr.com/machida/price/</v>
      </c>
    </row>
    <row r="1261">
      <c r="A1261" s="31" t="str">
        <f>IFERROR(__xludf.DUMMYFUNCTION("""COMPUTED_VALUE"""),"C型肝炎検査の費用はいくらですか？")</f>
        <v>C型肝炎検査の費用はいくらですか？</v>
      </c>
      <c r="B1261" s="31" t="str">
        <f>IFERROR(__xludf.DUMMYFUNCTION("""COMPUTED_VALUE"""),"C型肝炎検査は自費診療となり、5,000円（税込）です。")</f>
        <v>C型肝炎検査は自費診療となり、5,000円（税込）です。</v>
      </c>
      <c r="C1261" s="31" t="str">
        <f>IFERROR(__xludf.DUMMYFUNCTION("""COMPUTED_VALUE"""),"料金・性病検査")</f>
        <v>料金・性病検査</v>
      </c>
      <c r="D1261" s="31" t="str">
        <f>IFERROR(__xludf.DUMMYFUNCTION("""COMPUTED_VALUE"""),"C型肝炎,検査,料金,")</f>
        <v>C型肝炎,検査,料金,</v>
      </c>
      <c r="E1261" s="32" t="str">
        <f>IFERROR(__xludf.DUMMYFUNCTION("""COMPUTED_VALUE"""),"https://luna-dr.com/machida/price/")</f>
        <v>https://luna-dr.com/machida/price/</v>
      </c>
    </row>
    <row r="1262">
      <c r="A1262" s="31" t="str">
        <f>IFERROR(__xludf.DUMMYFUNCTION("""COMPUTED_VALUE"""),"C型肝炎検査は保険診療ですか？")</f>
        <v>C型肝炎検査は保険診療ですか？</v>
      </c>
      <c r="B1262" s="31" t="str">
        <f>IFERROR(__xludf.DUMMYFUNCTION("""COMPUTED_VALUE"""),"C型肝炎検査は自費診療となり、健康保険は適用されません。")</f>
        <v>C型肝炎検査は自費診療となり、健康保険は適用されません。</v>
      </c>
      <c r="C1262" s="31" t="str">
        <f>IFERROR(__xludf.DUMMYFUNCTION("""COMPUTED_VALUE"""),"保険適用・性病検査")</f>
        <v>保険適用・性病検査</v>
      </c>
      <c r="D1262" s="31" t="str">
        <f>IFERROR(__xludf.DUMMYFUNCTION("""COMPUTED_VALUE"""),"C型肝炎,保険,自費,")</f>
        <v>C型肝炎,保険,自費,</v>
      </c>
      <c r="E1262" s="32" t="str">
        <f>IFERROR(__xludf.DUMMYFUNCTION("""COMPUTED_VALUE"""),"https://luna-dr.com/machida/price/")</f>
        <v>https://luna-dr.com/machida/price/</v>
      </c>
    </row>
    <row r="1263">
      <c r="A1263" s="31" t="str">
        <f>IFERROR(__xludf.DUMMYFUNCTION("""COMPUTED_VALUE"""),"梅毒検査の費用はいくらですか？")</f>
        <v>梅毒検査の費用はいくらですか？</v>
      </c>
      <c r="B1263" s="31" t="str">
        <f>IFERROR(__xludf.DUMMYFUNCTION("""COMPUTED_VALUE"""),"梅毒検査は自費診療となり、5,000円（税込）です。")</f>
        <v>梅毒検査は自費診療となり、5,000円（税込）です。</v>
      </c>
      <c r="C1263" s="31" t="str">
        <f>IFERROR(__xludf.DUMMYFUNCTION("""COMPUTED_VALUE"""),"料金・性病検査")</f>
        <v>料金・性病検査</v>
      </c>
      <c r="D1263" s="31" t="str">
        <f>IFERROR(__xludf.DUMMYFUNCTION("""COMPUTED_VALUE"""),"梅毒,検査,料金,")</f>
        <v>梅毒,検査,料金,</v>
      </c>
      <c r="E1263" s="32" t="str">
        <f>IFERROR(__xludf.DUMMYFUNCTION("""COMPUTED_VALUE"""),"https://luna-dr.com/machida/price/")</f>
        <v>https://luna-dr.com/machida/price/</v>
      </c>
    </row>
    <row r="1264">
      <c r="A1264" s="31" t="str">
        <f>IFERROR(__xludf.DUMMYFUNCTION("""COMPUTED_VALUE"""),"梅毒検査は保険診療ですか？")</f>
        <v>梅毒検査は保険診療ですか？</v>
      </c>
      <c r="B1264" s="31" t="str">
        <f>IFERROR(__xludf.DUMMYFUNCTION("""COMPUTED_VALUE"""),"梅毒検査は自費診療となり、健康保険は適用されません。")</f>
        <v>梅毒検査は自費診療となり、健康保険は適用されません。</v>
      </c>
      <c r="C1264" s="31" t="str">
        <f>IFERROR(__xludf.DUMMYFUNCTION("""COMPUTED_VALUE"""),"保険適用・性病検査")</f>
        <v>保険適用・性病検査</v>
      </c>
      <c r="D1264" s="31" t="str">
        <f>IFERROR(__xludf.DUMMYFUNCTION("""COMPUTED_VALUE"""),"梅毒,保険,自費,")</f>
        <v>梅毒,保険,自費,</v>
      </c>
      <c r="E1264" s="32" t="str">
        <f>IFERROR(__xludf.DUMMYFUNCTION("""COMPUTED_VALUE"""),"https://luna-dr.com/machida/price/")</f>
        <v>https://luna-dr.com/machida/price/</v>
      </c>
    </row>
    <row r="1265">
      <c r="A1265" s="31" t="str">
        <f>IFERROR(__xludf.DUMMYFUNCTION("""COMPUTED_VALUE"""),"トリコモナス検査の費用はいくらですか？")</f>
        <v>トリコモナス検査の費用はいくらですか？</v>
      </c>
      <c r="B1265" s="31" t="str">
        <f>IFERROR(__xludf.DUMMYFUNCTION("""COMPUTED_VALUE"""),"トリコモナス検査は自費診療となり、5,000円（税込）です。")</f>
        <v>トリコモナス検査は自費診療となり、5,000円（税込）です。</v>
      </c>
      <c r="C1265" s="31" t="str">
        <f>IFERROR(__xludf.DUMMYFUNCTION("""COMPUTED_VALUE"""),"料金・性病検査")</f>
        <v>料金・性病検査</v>
      </c>
      <c r="D1265" s="31" t="str">
        <f>IFERROR(__xludf.DUMMYFUNCTION("""COMPUTED_VALUE"""),"トリコモナス,検査,料金,")</f>
        <v>トリコモナス,検査,料金,</v>
      </c>
      <c r="E1265" s="32" t="str">
        <f>IFERROR(__xludf.DUMMYFUNCTION("""COMPUTED_VALUE"""),"https://luna-dr.com/machida/price/")</f>
        <v>https://luna-dr.com/machida/price/</v>
      </c>
    </row>
    <row r="1266">
      <c r="A1266" s="31" t="str">
        <f>IFERROR(__xludf.DUMMYFUNCTION("""COMPUTED_VALUE"""),"トリコモナス検査は保険診療ですか？")</f>
        <v>トリコモナス検査は保険診療ですか？</v>
      </c>
      <c r="B1266" s="31" t="str">
        <f>IFERROR(__xludf.DUMMYFUNCTION("""COMPUTED_VALUE"""),"トリコモナス検査は自費診療となり、健康保険は適用されません。")</f>
        <v>トリコモナス検査は自費診療となり、健康保険は適用されません。</v>
      </c>
      <c r="C1266" s="31" t="str">
        <f>IFERROR(__xludf.DUMMYFUNCTION("""COMPUTED_VALUE"""),"保険適用・性病検査")</f>
        <v>保険適用・性病検査</v>
      </c>
      <c r="D1266" s="31" t="str">
        <f>IFERROR(__xludf.DUMMYFUNCTION("""COMPUTED_VALUE"""),"トリコモナス,保険,自費,")</f>
        <v>トリコモナス,保険,自費,</v>
      </c>
      <c r="E1266" s="32" t="str">
        <f>IFERROR(__xludf.DUMMYFUNCTION("""COMPUTED_VALUE"""),"https://luna-dr.com/machida/price/")</f>
        <v>https://luna-dr.com/machida/price/</v>
      </c>
    </row>
    <row r="1267">
      <c r="A1267" s="31" t="str">
        <f>IFERROR(__xludf.DUMMYFUNCTION("""COMPUTED_VALUE"""),"子宮頸がん検診の料金はいくらですか？")</f>
        <v>子宮頸がん検診の料金はいくらですか？</v>
      </c>
      <c r="B1267" s="31" t="str">
        <f>IFERROR(__xludf.DUMMYFUNCTION("""COMPUTED_VALUE"""),"子宮頸がん検診（自費）は5,000円（税込）です。妊娠中の方は妊娠10週まで当院で経過を診ている場合に限ります。
また、町田市子宮頸がん検診を受診される場合の料金は1,000円（税込）となります。")</f>
        <v>子宮頸がん検診（自費）は5,000円（税込）です。妊娠中の方は妊娠10週まで当院で経過を診ている場合に限ります。
また、町田市子宮頸がん検診を受診される場合の料金は1,000円（税込）となります。</v>
      </c>
      <c r="C1267" s="31" t="str">
        <f>IFERROR(__xludf.DUMMYFUNCTION("""COMPUTED_VALUE"""),"料金・検診")</f>
        <v>料金・検診</v>
      </c>
      <c r="D1267" s="31" t="str">
        <f>IFERROR(__xludf.DUMMYFUNCTION("""COMPUTED_VALUE"""),"子宮頸がん検診,料金,")</f>
        <v>子宮頸がん検診,料金,</v>
      </c>
      <c r="E1267" s="32" t="str">
        <f>IFERROR(__xludf.DUMMYFUNCTION("""COMPUTED_VALUE"""),"https://luna-dr.com/machida/price/")</f>
        <v>https://luna-dr.com/machida/price/</v>
      </c>
    </row>
    <row r="1268">
      <c r="A1268" s="31" t="str">
        <f>IFERROR(__xludf.DUMMYFUNCTION("""COMPUTED_VALUE"""),"子宮頸がん検診は保険診療ですか？")</f>
        <v>子宮頸がん検診は保険診療ですか？</v>
      </c>
      <c r="B1268" s="31" t="str">
        <f>IFERROR(__xludf.DUMMYFUNCTION("""COMPUTED_VALUE"""),"子宮頸がん検診は、原則として健康保険が使えない自費診療です。ただし、お住まいの市区町村が実施している「子宮頸がん検診の公費助成（クーポン）」の対象となる場合は、自己負担が軽減される場合もございます。公費の対象かどうかは、お住まいの地域・年齢・年度ごとの制度によって異なります。横浜市・川崎市・町田市などでは条件を満たす方に公費検診が用意されていますので、対象かどうかはお手数ですが自治体の案内をご確認いただくか、ご来院予定の院へお問い合わせください。")</f>
        <v>子宮頸がん検診は、原則として健康保険が使えない自費診療です。ただし、お住まいの市区町村が実施している「子宮頸がん検診の公費助成（クーポン）」の対象となる場合は、自己負担が軽減される場合もございます。公費の対象かどうかは、お住まいの地域・年齢・年度ごとの制度によって異なります。横浜市・川崎市・町田市などでは条件を満たす方に公費検診が用意されていますので、対象かどうかはお手数ですが自治体の案内をご確認いただくか、ご来院予定の院へお問い合わせください。</v>
      </c>
      <c r="C1268" s="31" t="str">
        <f>IFERROR(__xludf.DUMMYFUNCTION("""COMPUTED_VALUE"""),"料金・保険")</f>
        <v>料金・保険</v>
      </c>
      <c r="D1268" s="31" t="str">
        <f>IFERROR(__xludf.DUMMYFUNCTION("""COMPUTED_VALUE"""),"子宮頸がん検診,保険診療,自費診療,公費,クーポン,横浜市,川崎市,町田市")</f>
        <v>子宮頸がん検診,保険診療,自費診療,公費,クーポン,横浜市,川崎市,町田市</v>
      </c>
      <c r="E1268" s="32" t="str">
        <f>IFERROR(__xludf.DUMMYFUNCTION("""COMPUTED_VALUE"""),"https://luna-dr.com/machida/price/")</f>
        <v>https://luna-dr.com/machida/price/</v>
      </c>
    </row>
    <row r="1269">
      <c r="A1269" s="31" t="str">
        <f>IFERROR(__xludf.DUMMYFUNCTION("""COMPUTED_VALUE"""),"町田市の子宮頸がん検診の料金はいくらですか？")</f>
        <v>町田市の子宮頸がん検診の料金はいくらですか？</v>
      </c>
      <c r="B1269" s="31" t="str">
        <f>IFERROR(__xludf.DUMMYFUNCTION("""COMPUTED_VALUE"""),"子宮頸がん検診（自費）は1,000円（税込）です。妊娠中の方は妊娠10週まで当院で経過を診ている場合に限ります。")</f>
        <v>子宮頸がん検診（自費）は1,000円（税込）です。妊娠中の方は妊娠10週まで当院で経過を診ている場合に限ります。</v>
      </c>
      <c r="C1269" s="31" t="str">
        <f>IFERROR(__xludf.DUMMYFUNCTION("""COMPUTED_VALUE"""),"料金・検診")</f>
        <v>料金・検診</v>
      </c>
      <c r="D1269" s="31" t="str">
        <f>IFERROR(__xludf.DUMMYFUNCTION("""COMPUTED_VALUE"""),"子宮頸がん検診,料金,")</f>
        <v>子宮頸がん検診,料金,</v>
      </c>
      <c r="E1269" s="32" t="str">
        <f>IFERROR(__xludf.DUMMYFUNCTION("""COMPUTED_VALUE"""),"https://luna-dr.com/machida/price/")</f>
        <v>https://luna-dr.com/machida/price/</v>
      </c>
    </row>
    <row r="1270">
      <c r="A1270" s="31" t="str">
        <f>IFERROR(__xludf.DUMMYFUNCTION("""COMPUTED_VALUE"""),"子宮体がん検診の料金はいくらですか？")</f>
        <v>子宮体がん検診の料金はいくらですか？</v>
      </c>
      <c r="B1270" s="31" t="str">
        <f>IFERROR(__xludf.DUMMYFUNCTION("""COMPUTED_VALUE"""),"子宮体がん検診は6,000円（税込）です。")</f>
        <v>子宮体がん検診は6,000円（税込）です。</v>
      </c>
      <c r="C1270" s="31" t="str">
        <f>IFERROR(__xludf.DUMMYFUNCTION("""COMPUTED_VALUE"""),"料金・検診")</f>
        <v>料金・検診</v>
      </c>
      <c r="D1270" s="31" t="str">
        <f>IFERROR(__xludf.DUMMYFUNCTION("""COMPUTED_VALUE"""),"子宮体がん検診,料金,")</f>
        <v>子宮体がん検診,料金,</v>
      </c>
      <c r="E1270" s="32" t="str">
        <f>IFERROR(__xludf.DUMMYFUNCTION("""COMPUTED_VALUE"""),"https://luna-dr.com/machida/price/")</f>
        <v>https://luna-dr.com/machida/price/</v>
      </c>
    </row>
    <row r="1271">
      <c r="A1271" s="31" t="str">
        <f>IFERROR(__xludf.DUMMYFUNCTION("""COMPUTED_VALUE"""),"子宮体がん検査は保険診療ですか？")</f>
        <v>子宮体がん検査は保険診療ですか？</v>
      </c>
      <c r="B1271" s="31" t="str">
        <f>IFERROR(__xludf.DUMMYFUNCTION("""COMPUTED_VALUE"""),"子宮体がん検査は、原則として自費診療です。実際に保険適用や公費対象となるかは、症状やお住まいの自治体、診察時の医師判断によって異なります。対象かどうかはお手数ですが自治体の案内をご確認いただくか、ご来院予定の院へお問い合わせください。")</f>
        <v>子宮体がん検査は、原則として自費診療です。実際に保険適用や公費対象となるかは、症状やお住まいの自治体、診察時の医師判断によって異なります。対象かどうかはお手数ですが自治体の案内をご確認いただくか、ご来院予定の院へお問い合わせください。</v>
      </c>
      <c r="C1271" s="31" t="str">
        <f>IFERROR(__xludf.DUMMYFUNCTION("""COMPUTED_VALUE"""),"料金・保険")</f>
        <v>料金・保険</v>
      </c>
      <c r="D1271" s="31" t="str">
        <f>IFERROR(__xludf.DUMMYFUNCTION("""COMPUTED_VALUE"""),"子宮体がん検査,保険診療,自費診療,公費,川崎院,不正出血")</f>
        <v>子宮体がん検査,保険診療,自費診療,公費,川崎院,不正出血</v>
      </c>
      <c r="E1271" s="32" t="str">
        <f>IFERROR(__xludf.DUMMYFUNCTION("""COMPUTED_VALUE"""),"https://luna-dr.com/machida/price/")</f>
        <v>https://luna-dr.com/machida/price/</v>
      </c>
    </row>
    <row r="1272">
      <c r="A1272" s="31" t="str">
        <f>IFERROR(__xludf.DUMMYFUNCTION("""COMPUTED_VALUE"""),"ホルモン検査の費用はいくらですか？")</f>
        <v>ホルモン検査の費用はいくらですか？</v>
      </c>
      <c r="B1272" s="31" t="str">
        <f>IFERROR(__xludf.DUMMYFUNCTION("""COMPUTED_VALUE"""),"ホルモン検査（自費）は8,000円（税込）です。")</f>
        <v>ホルモン検査（自費）は8,000円（税込）です。</v>
      </c>
      <c r="C1272" s="31" t="str">
        <f>IFERROR(__xludf.DUMMYFUNCTION("""COMPUTED_VALUE"""),"料金・検査")</f>
        <v>料金・検査</v>
      </c>
      <c r="D1272" s="31" t="str">
        <f>IFERROR(__xludf.DUMMYFUNCTION("""COMPUTED_VALUE"""),"ホルモン検査,料金,")</f>
        <v>ホルモン検査,料金,</v>
      </c>
      <c r="E1272" s="32" t="str">
        <f>IFERROR(__xludf.DUMMYFUNCTION("""COMPUTED_VALUE"""),"https://luna-dr.com/machida/price/")</f>
        <v>https://luna-dr.com/machida/price/</v>
      </c>
    </row>
    <row r="1273">
      <c r="A1273" s="31" t="str">
        <f>IFERROR(__xludf.DUMMYFUNCTION("""COMPUTED_VALUE"""),"ホルモン検査は保険診療ですか？")</f>
        <v>ホルモン検査は保険診療ですか？</v>
      </c>
      <c r="B1273" s="31" t="str">
        <f>IFERROR(__xludf.DUMMYFUNCTION("""COMPUTED_VALUE"""),"ホルモン検査は自費診療となり、健康保険は適用されません。")</f>
        <v>ホルモン検査は自費診療となり、健康保険は適用されません。</v>
      </c>
      <c r="C1273" s="31" t="str">
        <f>IFERROR(__xludf.DUMMYFUNCTION("""COMPUTED_VALUE"""),"保険適用・ホルモン検査")</f>
        <v>保険適用・ホルモン検査</v>
      </c>
      <c r="D1273" s="31" t="str">
        <f>IFERROR(__xludf.DUMMYFUNCTION("""COMPUTED_VALUE"""),"ホルモン検査,保険,自費,")</f>
        <v>ホルモン検査,保険,自費,</v>
      </c>
      <c r="E1273" s="32" t="str">
        <f>IFERROR(__xludf.DUMMYFUNCTION("""COMPUTED_VALUE"""),"https://luna-dr.com/machida/price/")</f>
        <v>https://luna-dr.com/machida/price/</v>
      </c>
    </row>
    <row r="1274">
      <c r="A1274" s="31" t="str">
        <f>IFERROR(__xludf.DUMMYFUNCTION("""COMPUTED_VALUE"""),"AMH検査の料金はいくらですか？")</f>
        <v>AMH検査の料金はいくらですか？</v>
      </c>
      <c r="B1274" s="31" t="str">
        <f>IFERROR(__xludf.DUMMYFUNCTION("""COMPUTED_VALUE"""),"AMH検査は10,000円（税込）です。")</f>
        <v>AMH検査は10,000円（税込）です。</v>
      </c>
      <c r="C1274" s="31" t="str">
        <f>IFERROR(__xludf.DUMMYFUNCTION("""COMPUTED_VALUE"""),"料金・検査")</f>
        <v>料金・検査</v>
      </c>
      <c r="D1274" s="31" t="str">
        <f>IFERROR(__xludf.DUMMYFUNCTION("""COMPUTED_VALUE"""),"AMH,卵巣年齢,")</f>
        <v>AMH,卵巣年齢,</v>
      </c>
      <c r="E1274" s="32" t="str">
        <f>IFERROR(__xludf.DUMMYFUNCTION("""COMPUTED_VALUE"""),"https://luna-dr.com/machida/price/")</f>
        <v>https://luna-dr.com/machida/price/</v>
      </c>
    </row>
    <row r="1275">
      <c r="A1275" s="31" t="str">
        <f>IFERROR(__xludf.DUMMYFUNCTION("""COMPUTED_VALUE"""),"AMH検査は保険診療ですか？")</f>
        <v>AMH検査は保険診療ですか？</v>
      </c>
      <c r="B1275" s="31" t="str">
        <f>IFERROR(__xludf.DUMMYFUNCTION("""COMPUTED_VALUE"""),"AMH検査は自費診療となり、健康保険は適用されません。")</f>
        <v>AMH検査は自費診療となり、健康保険は適用されません。</v>
      </c>
      <c r="C1275" s="31" t="str">
        <f>IFERROR(__xludf.DUMMYFUNCTION("""COMPUTED_VALUE"""),"保険適用・AMH")</f>
        <v>保険適用・AMH</v>
      </c>
      <c r="D1275" s="31" t="str">
        <f>IFERROR(__xludf.DUMMYFUNCTION("""COMPUTED_VALUE"""),"AMH検査,保険,自費,")</f>
        <v>AMH検査,保険,自費,</v>
      </c>
      <c r="E1275" s="32" t="str">
        <f>IFERROR(__xludf.DUMMYFUNCTION("""COMPUTED_VALUE"""),"https://luna-dr.com/machida/price/")</f>
        <v>https://luna-dr.com/machida/price/</v>
      </c>
    </row>
    <row r="1276">
      <c r="A1276" s="31" t="str">
        <f>IFERROR(__xludf.DUMMYFUNCTION("""COMPUTED_VALUE"""),"風疹の抗体検査の料金はいくらですか？")</f>
        <v>風疹の抗体検査の料金はいくらですか？</v>
      </c>
      <c r="B1276" s="31" t="str">
        <f>IFERROR(__xludf.DUMMYFUNCTION("""COMPUTED_VALUE"""),"風疹の抗体検査は4,000円（税込）です。")</f>
        <v>風疹の抗体検査は4,000円（税込）です。</v>
      </c>
      <c r="C1276" s="31" t="str">
        <f>IFERROR(__xludf.DUMMYFUNCTION("""COMPUTED_VALUE"""),"料金・検査")</f>
        <v>料金・検査</v>
      </c>
      <c r="D1276" s="31" t="str">
        <f>IFERROR(__xludf.DUMMYFUNCTION("""COMPUTED_VALUE"""),"風疹,抗体検査,")</f>
        <v>風疹,抗体検査,</v>
      </c>
      <c r="E1276" s="32" t="str">
        <f>IFERROR(__xludf.DUMMYFUNCTION("""COMPUTED_VALUE"""),"https://luna-dr.com/machida/price/")</f>
        <v>https://luna-dr.com/machida/price/</v>
      </c>
    </row>
    <row r="1277">
      <c r="A1277" s="31" t="str">
        <f>IFERROR(__xludf.DUMMYFUNCTION("""COMPUTED_VALUE"""),"風疹の抗体検査は保険診療ですか？")</f>
        <v>風疹の抗体検査は保険診療ですか？</v>
      </c>
      <c r="B1277" s="31" t="str">
        <f>IFERROR(__xludf.DUMMYFUNCTION("""COMPUTED_VALUE"""),"風疹の抗体検査は自費診療となり、健康保険は適用されません。")</f>
        <v>風疹の抗体検査は自費診療となり、健康保険は適用されません。</v>
      </c>
      <c r="C1277" s="31" t="str">
        <f>IFERROR(__xludf.DUMMYFUNCTION("""COMPUTED_VALUE"""),"保険適用・風疹の抗体")</f>
        <v>保険適用・風疹の抗体</v>
      </c>
      <c r="D1277" s="31" t="str">
        <f>IFERROR(__xludf.DUMMYFUNCTION("""COMPUTED_VALUE"""),"風疹の抗体検査,保険,自費,")</f>
        <v>風疹の抗体検査,保険,自費,</v>
      </c>
      <c r="E1277" s="32" t="str">
        <f>IFERROR(__xludf.DUMMYFUNCTION("""COMPUTED_VALUE"""),"https://luna-dr.com/machida/price/")</f>
        <v>https://luna-dr.com/machida/price/</v>
      </c>
    </row>
    <row r="1278">
      <c r="A1278" s="31" t="str">
        <f>IFERROR(__xludf.DUMMYFUNCTION("""COMPUTED_VALUE"""),"ブライダルチェックの料金はいくらですか？")</f>
        <v>ブライダルチェックの料金はいくらですか？</v>
      </c>
      <c r="B1278" s="31" t="str">
        <f>IFERROR(__xludf.DUMMYFUNCTION("""COMPUTED_VALUE"""),"ブライダルチェックは15,500円（税込）です。")</f>
        <v>ブライダルチェックは15,500円（税込）です。</v>
      </c>
      <c r="C1278" s="31" t="str">
        <f>IFERROR(__xludf.DUMMYFUNCTION("""COMPUTED_VALUE"""),"料金・ブライダルチェック")</f>
        <v>料金・ブライダルチェック</v>
      </c>
      <c r="D1278" s="31" t="str">
        <f>IFERROR(__xludf.DUMMYFUNCTION("""COMPUTED_VALUE"""),"ブライダルチェック,料金,")</f>
        <v>ブライダルチェック,料金,</v>
      </c>
      <c r="E1278" s="32" t="str">
        <f>IFERROR(__xludf.DUMMYFUNCTION("""COMPUTED_VALUE"""),"https://luna-dr.com/machida/price/")</f>
        <v>https://luna-dr.com/machida/price/</v>
      </c>
    </row>
    <row r="1279">
      <c r="A1279" s="31" t="str">
        <f>IFERROR(__xludf.DUMMYFUNCTION("""COMPUTED_VALUE"""),"ブライダルチェックは保険診療ですか？")</f>
        <v>ブライダルチェックは保険診療ですか？</v>
      </c>
      <c r="B1279" s="31" t="str">
        <f>IFERROR(__xludf.DUMMYFUNCTION("""COMPUTED_VALUE"""),"ブライダルチェックは自費診療となり、健康保険は適用されません。")</f>
        <v>ブライダルチェックは自費診療となり、健康保険は適用されません。</v>
      </c>
      <c r="C1279" s="31" t="str">
        <f>IFERROR(__xludf.DUMMYFUNCTION("""COMPUTED_VALUE"""),"保険適用・ブライダルチェック")</f>
        <v>保険適用・ブライダルチェック</v>
      </c>
      <c r="D1279" s="31" t="str">
        <f>IFERROR(__xludf.DUMMYFUNCTION("""COMPUTED_VALUE"""),"ブライダルチェック,保険,自費,")</f>
        <v>ブライダルチェック,保険,自費,</v>
      </c>
      <c r="E1279" s="32" t="str">
        <f>IFERROR(__xludf.DUMMYFUNCTION("""COMPUTED_VALUE"""),"https://luna-dr.com/machida/price/")</f>
        <v>https://luna-dr.com/machida/price/</v>
      </c>
    </row>
    <row r="1280">
      <c r="A1280" s="31" t="str">
        <f>IFERROR(__xludf.DUMMYFUNCTION("""COMPUTED_VALUE"""),"かゆみやおりものの異常がある場合、いくらくらいかかりますか？")</f>
        <v>かゆみやおりものの異常がある場合、いくらくらいかかりますか？</v>
      </c>
      <c r="B1280" s="31" t="str">
        <f>IFERROR(__xludf.DUMMYFUNCTION("""COMPUTED_VALUE"""),"かゆみ・おりもの異常の診察は保険診療となり、内容により費用が異なります。目安として、雑菌・真菌の検査は約1,200円、雑菌・真菌の治療は約400円、性病検査は約1,500円です。保険診療は医師の診察内容により変更となるため、ご来院前にお電話やチャットで正確な料金のご案内はできませんのでご了承ください。また、別途初診料・再診料がかかります。")</f>
        <v>かゆみ・おりもの異常の診察は保険診療となり、内容により費用が異なります。目安として、雑菌・真菌の検査は約1,200円、雑菌・真菌の治療は約400円、性病検査は約1,500円です。保険診療は医師の診察内容により変更となるため、ご来院前にお電話やチャットで正確な料金のご案内はできませんのでご了承ください。また、別途初診料・再診料がかかります。</v>
      </c>
      <c r="C1280" s="31" t="str">
        <f>IFERROR(__xludf.DUMMYFUNCTION("""COMPUTED_VALUE"""),"保険診療・かゆみおりもの")</f>
        <v>保険診療・かゆみおりもの</v>
      </c>
      <c r="D1280" s="31" t="str">
        <f>IFERROR(__xludf.DUMMYFUNCTION("""COMPUTED_VALUE"""),"かゆみ,おりもの,保険診療,料金,")</f>
        <v>かゆみ,おりもの,保険診療,料金,</v>
      </c>
      <c r="E1280" s="32" t="str">
        <f>IFERROR(__xludf.DUMMYFUNCTION("""COMPUTED_VALUE"""),"https://luna-dr.com/machida/price/")</f>
        <v>https://luna-dr.com/machida/price/</v>
      </c>
    </row>
    <row r="1281">
      <c r="A1281" s="31" t="str">
        <f>IFERROR(__xludf.DUMMYFUNCTION("""COMPUTED_VALUE"""),"生理不順の相談では、どのくらいの費用がかかりますか？")</f>
        <v>生理不順の相談では、どのくらいの費用がかかりますか？</v>
      </c>
      <c r="B1281" s="31" t="str">
        <f>IFERROR(__xludf.DUMMYFUNCTION("""COMPUTED_VALUE"""),"生理不順の診察は保険診療となり、診察内容に応じて費用が決まります。目安として、生理を起こす薬の処方は約400円、ホルモン検査は約3,000円、卵巣の超音波検査は約1,600円です。保険診療は医師判断により内容が変わるため、ご来院前にお電話やチャットで正確な料金のご案内はできませんのでご了承ください。別途、初診料・再診料がかかります。")</f>
        <v>生理不順の診察は保険診療となり、診察内容に応じて費用が決まります。目安として、生理を起こす薬の処方は約400円、ホルモン検査は約3,000円、卵巣の超音波検査は約1,600円です。保険診療は医師判断により内容が変わるため、ご来院前にお電話やチャットで正確な料金のご案内はできませんのでご了承ください。別途、初診料・再診料がかかります。</v>
      </c>
      <c r="C1281" s="31" t="str">
        <f>IFERROR(__xludf.DUMMYFUNCTION("""COMPUTED_VALUE"""),"保険診療・生理不順")</f>
        <v>保険診療・生理不順</v>
      </c>
      <c r="D1281" s="31" t="str">
        <f>IFERROR(__xludf.DUMMYFUNCTION("""COMPUTED_VALUE"""),"生理不順,保険,料金,検査,")</f>
        <v>生理不順,保険,料金,検査,</v>
      </c>
      <c r="E1281" s="32" t="str">
        <f>IFERROR(__xludf.DUMMYFUNCTION("""COMPUTED_VALUE"""),"https://luna-dr.com/machida/price/")</f>
        <v>https://luna-dr.com/machida/price/</v>
      </c>
    </row>
    <row r="1282">
      <c r="A1282" s="31" t="str">
        <f>IFERROR(__xludf.DUMMYFUNCTION("""COMPUTED_VALUE"""),"生理痛で受診した場合、費用の目安はどれくらいですか？")</f>
        <v>生理痛で受診した場合、費用の目安はどれくらいですか？</v>
      </c>
      <c r="B1282" s="31" t="str">
        <f>IFERROR(__xludf.DUMMYFUNCTION("""COMPUTED_VALUE"""),"生理痛の診察は保険診療となります。目安として、子宮の超音波検査は約1,600円、痛み止めの処方は約400円、保険適用のピル処方は約2,700円です。診察内容により費用は変動するため、ご来院前にお電話やチャットで正確な料金のご案内はできませんのでご了承ください。別途、初診料・再診料がかかります。")</f>
        <v>生理痛の診察は保険診療となります。目安として、子宮の超音波検査は約1,600円、痛み止めの処方は約400円、保険適用のピル処方は約2,700円です。診察内容により費用は変動するため、ご来院前にお電話やチャットで正確な料金のご案内はできませんのでご了承ください。別途、初診料・再診料がかかります。</v>
      </c>
      <c r="C1282" s="31" t="str">
        <f>IFERROR(__xludf.DUMMYFUNCTION("""COMPUTED_VALUE"""),"保険診療・生理痛")</f>
        <v>保険診療・生理痛</v>
      </c>
      <c r="D1282" s="31" t="str">
        <f>IFERROR(__xludf.DUMMYFUNCTION("""COMPUTED_VALUE"""),"生理痛,保険診療,料金,ピル,")</f>
        <v>生理痛,保険診療,料金,ピル,</v>
      </c>
      <c r="E1282" s="32" t="str">
        <f>IFERROR(__xludf.DUMMYFUNCTION("""COMPUTED_VALUE"""),"https://luna-dr.com/machida/price/")</f>
        <v>https://luna-dr.com/machida/price/</v>
      </c>
    </row>
    <row r="1283">
      <c r="A1283" s="31" t="str">
        <f>IFERROR(__xludf.DUMMYFUNCTION("""COMPUTED_VALUE"""),"生理以外の出血がある場合、検査費用はいくらですか？/不正出血検査費用はいくらですか？")</f>
        <v>生理以外の出血がある場合、検査費用はいくらですか？/不正出血検査費用はいくらですか？</v>
      </c>
      <c r="B1283" s="31" t="str">
        <f>IFERROR(__xludf.DUMMYFUNCTION("""COMPUTED_VALUE"""),"生理以外の出血がある場合は保険診療での対応となります。目安として、子宮頸がん検査は約1,100円、子宮体がん検査は約2,100円、子宮の超音波検査は約1,600円、ホルモン検査は約3,000円です。診察内容により費用は変動しますので、ご来院前にお電話やチャットで正確な料金のご案内はできませんのでご了承ください。別途初診料・再診料がかかります。")</f>
        <v>生理以外の出血がある場合は保険診療での対応となります。目安として、子宮頸がん検査は約1,100円、子宮体がん検査は約2,100円、子宮の超音波検査は約1,600円、ホルモン検査は約3,000円です。診察内容により費用は変動しますので、ご来院前にお電話やチャットで正確な料金のご案内はできませんのでご了承ください。別途初診料・再診料がかかります。</v>
      </c>
      <c r="C1283" s="31" t="str">
        <f>IFERROR(__xludf.DUMMYFUNCTION("""COMPUTED_VALUE"""),"保険診療・不正出血")</f>
        <v>保険診療・不正出血</v>
      </c>
      <c r="D1283" s="31" t="str">
        <f>IFERROR(__xludf.DUMMYFUNCTION("""COMPUTED_VALUE"""),"不正出血,保険,子宮体がん,検査,")</f>
        <v>不正出血,保険,子宮体がん,検査,</v>
      </c>
      <c r="E1283" s="32" t="str">
        <f>IFERROR(__xludf.DUMMYFUNCTION("""COMPUTED_VALUE"""),"https://luna-dr.com/machida/price/")</f>
        <v>https://luna-dr.com/machida/price/</v>
      </c>
    </row>
    <row r="1284">
      <c r="A1284" s="31" t="str">
        <f>IFERROR(__xludf.DUMMYFUNCTION("""COMPUTED_VALUE"""),"腹痛で受診した場合の費用目安を教えてください。")</f>
        <v>腹痛で受診した場合の費用目安を教えてください。</v>
      </c>
      <c r="B1284" s="31" t="str">
        <f>IFERROR(__xludf.DUMMYFUNCTION("""COMPUTED_VALUE"""),"腹痛の診察は保険診療となります。目安として、超音波検査は約1,600円、性病検査は約1,500円です。医師の診察内容により検査項目が変わるため、料金も変動します。ご来院前にお電話やチャットで正確な料金のご案内はできませんのでご了承ください。別途初診料・再診料がかかります。")</f>
        <v>腹痛の診察は保険診療となります。目安として、超音波検査は約1,600円、性病検査は約1,500円です。医師の診察内容により検査項目が変わるため、料金も変動します。ご来院前にお電話やチャットで正確な料金のご案内はできませんのでご了承ください。別途初診料・再診料がかかります。</v>
      </c>
      <c r="C1284" s="31" t="str">
        <f>IFERROR(__xludf.DUMMYFUNCTION("""COMPUTED_VALUE"""),"保険診療・腹痛")</f>
        <v>保険診療・腹痛</v>
      </c>
      <c r="D1284" s="31" t="str">
        <f>IFERROR(__xludf.DUMMYFUNCTION("""COMPUTED_VALUE"""),"腹痛,保険診療,超音波,料金,")</f>
        <v>腹痛,保険診療,超音波,料金,</v>
      </c>
      <c r="E1284" s="32" t="str">
        <f>IFERROR(__xludf.DUMMYFUNCTION("""COMPUTED_VALUE"""),"https://luna-dr.com/machida/price/")</f>
        <v>https://luna-dr.com/machida/price/</v>
      </c>
    </row>
    <row r="1285">
      <c r="A1285" s="31" t="str">
        <f>IFERROR(__xludf.DUMMYFUNCTION("""COMPUTED_VALUE"""),"性病検査を保険で受けた場合、いくらくらいですか？/性病検査はいくらくらいですか？")</f>
        <v>性病検査を保険で受けた場合、いくらくらいですか？/性病検査はいくらくらいですか？</v>
      </c>
      <c r="B1285" s="31" t="str">
        <f>IFERROR(__xludf.DUMMYFUNCTION("""COMPUTED_VALUE"""),"症状があり医師が必要と判断した場合、性病検査は保険診療で行われます。目安の料金は約1,500円です。診察内容によって検査項目が変わるため、費用は前後する可能性があります。ご来院前にお電話やチャットで正確な料金のご案内はできませんのでご了承ください。別途、初診料・再診料がかかります。")</f>
        <v>症状があり医師が必要と判断した場合、性病検査は保険診療で行われます。目安の料金は約1,500円です。診察内容によって検査項目が変わるため、費用は前後する可能性があります。ご来院前にお電話やチャットで正確な料金のご案内はできませんのでご了承ください。別途、初診料・再診料がかかります。</v>
      </c>
      <c r="C1285" s="31" t="str">
        <f>IFERROR(__xludf.DUMMYFUNCTION("""COMPUTED_VALUE"""),"保険診療・性病検査")</f>
        <v>保険診療・性病検査</v>
      </c>
      <c r="D1285" s="31" t="str">
        <f>IFERROR(__xludf.DUMMYFUNCTION("""COMPUTED_VALUE"""),"性病検査,保険,料金,")</f>
        <v>性病検査,保険,料金,</v>
      </c>
      <c r="E1285" s="32" t="str">
        <f>IFERROR(__xludf.DUMMYFUNCTION("""COMPUTED_VALUE"""),"https://luna-dr.com/machida/price/")</f>
        <v>https://luna-dr.com/machida/price/</v>
      </c>
    </row>
    <row r="1286">
      <c r="A1286" s="31" t="str">
        <f>IFERROR(__xludf.DUMMYFUNCTION("""COMPUTED_VALUE"""),"ポリープ切除は保険診療ですか？/ポリープ切除の費用はいくらですか？/ポリープの費用はいくらですか？")</f>
        <v>ポリープ切除は保険診療ですか？/ポリープ切除の費用はいくらですか？/ポリープの費用はいくらですか？</v>
      </c>
      <c r="B1286" s="31" t="str">
        <f>IFERROR(__xludf.DUMMYFUNCTION("""COMPUTED_VALUE"""),"ポリープ切除は保険診療で行われます。目安の費用は約6,700円です。ただし、診察内容や処置内容により費用が変動する場合があります。保険診療のため、ご来院前にお電話やチャットで正確な料金のご案内はできませんのでご了承ください。別途、初診料・再診料がかかります。")</f>
        <v>ポリープ切除は保険診療で行われます。目安の費用は約6,700円です。ただし、診察内容や処置内容により費用が変動する場合があります。保険診療のため、ご来院前にお電話やチャットで正確な料金のご案内はできませんのでご了承ください。別途、初診料・再診料がかかります。</v>
      </c>
      <c r="C1286" s="31" t="str">
        <f>IFERROR(__xludf.DUMMYFUNCTION("""COMPUTED_VALUE"""),"保険診療・処置")</f>
        <v>保険診療・処置</v>
      </c>
      <c r="D1286" s="31" t="str">
        <f>IFERROR(__xludf.DUMMYFUNCTION("""COMPUTED_VALUE"""),"ポリープ切除,保険診療,料金,")</f>
        <v>ポリープ切除,保険診療,料金,</v>
      </c>
      <c r="E1286" s="32" t="str">
        <f>IFERROR(__xludf.DUMMYFUNCTION("""COMPUTED_VALUE"""),"https://luna-dr.com/machida/price/")</f>
        <v>https://luna-dr.com/machida/price/</v>
      </c>
    </row>
    <row r="1287">
      <c r="A1287" s="31" t="str">
        <f>IFERROR(__xludf.DUMMYFUNCTION("""COMPUTED_VALUE"""),"膀胱炎の診察費用はどのくらいですか？")</f>
        <v>膀胱炎の診察費用はどのくらいですか？</v>
      </c>
      <c r="B1287" s="31" t="str">
        <f>IFERROR(__xludf.DUMMYFUNCTION("""COMPUTED_VALUE"""),"膀胱炎の診察は保険診療となり、尿検査と抗生剤処方を行った場合の目安料金は約600円です。診察内容によって費用が変わることがありますので、ご来院前にお電話やチャットで正確な料金のご案内はできませんのでご了承ください。別途、初診料・再診料がかかります。")</f>
        <v>膀胱炎の診察は保険診療となり、尿検査と抗生剤処方を行った場合の目安料金は約600円です。診察内容によって費用が変わることがありますので、ご来院前にお電話やチャットで正確な料金のご案内はできませんのでご了承ください。別途、初診料・再診料がかかります。</v>
      </c>
      <c r="C1287" s="31" t="str">
        <f>IFERROR(__xludf.DUMMYFUNCTION("""COMPUTED_VALUE"""),"保険診療・膀胱炎")</f>
        <v>保険診療・膀胱炎</v>
      </c>
      <c r="D1287" s="31" t="str">
        <f>IFERROR(__xludf.DUMMYFUNCTION("""COMPUTED_VALUE"""),"膀胱炎,保険,尿検査,料金,")</f>
        <v>膀胱炎,保険,尿検査,料金,</v>
      </c>
      <c r="E1287" s="32" t="str">
        <f>IFERROR(__xludf.DUMMYFUNCTION("""COMPUTED_VALUE"""),"https://luna-dr.com/machida/price/")</f>
        <v>https://luna-dr.com/machida/price/</v>
      </c>
    </row>
    <row r="1288">
      <c r="A1288" s="31" t="str">
        <f>IFERROR(__xludf.DUMMYFUNCTION("""COMPUTED_VALUE"""),"雑菌・真菌の検査はいくらですか？")</f>
        <v>雑菌・真菌の検査はいくらですか？</v>
      </c>
      <c r="B1288" s="31" t="str">
        <f>IFERROR(__xludf.DUMMYFUNCTION("""COMPUTED_VALUE"""),"雑菌・真菌の検査は、保険診療の場合の目安料金は約1,200円（税込）です。診察内容により検査内容が変わるため、料金は前後することがあります。別途、初診料・再診料がかかります。")</f>
        <v>雑菌・真菌の検査は、保険診療の場合の目安料金は約1,200円（税込）です。診察内容により検査内容が変わるため、料金は前後することがあります。別途、初診料・再診料がかかります。</v>
      </c>
      <c r="C1288" s="31" t="str">
        <f>IFERROR(__xludf.DUMMYFUNCTION("""COMPUTED_VALUE"""),"検査・料金")</f>
        <v>検査・料金</v>
      </c>
      <c r="D1288" s="31" t="str">
        <f>IFERROR(__xludf.DUMMYFUNCTION("""COMPUTED_VALUE"""),"雑菌検査,真菌検査,おりもの,かゆみ,料金,")</f>
        <v>雑菌検査,真菌検査,おりもの,かゆみ,料金,</v>
      </c>
      <c r="E1288" s="32" t="str">
        <f>IFERROR(__xludf.DUMMYFUNCTION("""COMPUTED_VALUE"""),"https://luna-dr.com/machida/price/")</f>
        <v>https://luna-dr.com/machida/price/</v>
      </c>
    </row>
    <row r="1289">
      <c r="A1289" s="31" t="str">
        <f>IFERROR(__xludf.DUMMYFUNCTION("""COMPUTED_VALUE"""),"雑菌・真菌の治療はいくらですか？")</f>
        <v>雑菌・真菌の治療はいくらですか？</v>
      </c>
      <c r="B1289" s="31" t="str">
        <f>IFERROR(__xludf.DUMMYFUNCTION("""COMPUTED_VALUE"""),"雑菌・真菌の治療は、保険診療の場合の目安料金は約400円（税込）です。処方内容や症状により費用が変動することがあります。別途、初診料・再診料がかかります。")</f>
        <v>雑菌・真菌の治療は、保険診療の場合の目安料金は約400円（税込）です。処方内容や症状により費用が変動することがあります。別途、初診料・再診料がかかります。</v>
      </c>
      <c r="C1289" s="31" t="str">
        <f>IFERROR(__xludf.DUMMYFUNCTION("""COMPUTED_VALUE"""),"治療・料金")</f>
        <v>治療・料金</v>
      </c>
      <c r="D1289" s="31" t="str">
        <f>IFERROR(__xludf.DUMMYFUNCTION("""COMPUTED_VALUE"""),"真菌治療,雑菌治療,膣炎,料金,")</f>
        <v>真菌治療,雑菌治療,膣炎,料金,</v>
      </c>
      <c r="E1289" s="32" t="str">
        <f>IFERROR(__xludf.DUMMYFUNCTION("""COMPUTED_VALUE"""),"https://luna-dr.com/machida/price/")</f>
        <v>https://luna-dr.com/machida/price/</v>
      </c>
    </row>
    <row r="1290">
      <c r="A1290" s="31" t="str">
        <f>IFERROR(__xludf.DUMMYFUNCTION("""COMPUTED_VALUE"""),"性病検査はいくらですか？")</f>
        <v>性病検査はいくらですか？</v>
      </c>
      <c r="B1290" s="31" t="str">
        <f>IFERROR(__xludf.DUMMYFUNCTION("""COMPUTED_VALUE"""),"性病検査は、保険診療の場合の目安料金は約1,500円（税込）です。検査項目や症状によって内容が異なるため、料金は診察後に確定します。別途、初診料・再診料がかかります。")</f>
        <v>性病検査は、保険診療の場合の目安料金は約1,500円（税込）です。検査項目や症状によって内容が異なるため、料金は診察後に確定します。別途、初診料・再診料がかかります。</v>
      </c>
      <c r="C1290" s="31" t="str">
        <f>IFERROR(__xludf.DUMMYFUNCTION("""COMPUTED_VALUE"""),"検査・料金")</f>
        <v>検査・料金</v>
      </c>
      <c r="D1290" s="31" t="str">
        <f>IFERROR(__xludf.DUMMYFUNCTION("""COMPUTED_VALUE"""),"性病検査,STD,保険診療,料金,")</f>
        <v>性病検査,STD,保険診療,料金,</v>
      </c>
      <c r="E1290" s="32" t="str">
        <f>IFERROR(__xludf.DUMMYFUNCTION("""COMPUTED_VALUE"""),"https://luna-dr.com/machida/price/")</f>
        <v>https://luna-dr.com/machida/price/</v>
      </c>
    </row>
    <row r="1291">
      <c r="A1291" s="31" t="str">
        <f>IFERROR(__xludf.DUMMYFUNCTION("""COMPUTED_VALUE"""),"生理を起こす薬の処方はいくらですか？")</f>
        <v>生理を起こす薬の処方はいくらですか？</v>
      </c>
      <c r="B1291" s="31" t="str">
        <f>IFERROR(__xludf.DUMMYFUNCTION("""COMPUTED_VALUE"""),"生理を起こす薬の処方は、保険診療の場合の目安料金は約400円（税込）です。診察内容により処方が変更となる場合があります。別途、初診料・再診料がかかります。")</f>
        <v>生理を起こす薬の処方は、保険診療の場合の目安料金は約400円（税込）です。診察内容により処方が変更となる場合があります。別途、初診料・再診料がかかります。</v>
      </c>
      <c r="C1291" s="31" t="str">
        <f>IFERROR(__xludf.DUMMYFUNCTION("""COMPUTED_VALUE"""),"治療・料金")</f>
        <v>治療・料金</v>
      </c>
      <c r="D1291" s="31" t="str">
        <f>IFERROR(__xludf.DUMMYFUNCTION("""COMPUTED_VALUE"""),"生理不順,薬,ホルモン,料金,")</f>
        <v>生理不順,薬,ホルモン,料金,</v>
      </c>
      <c r="E1291" s="32" t="str">
        <f>IFERROR(__xludf.DUMMYFUNCTION("""COMPUTED_VALUE"""),"https://luna-dr.com/machida/price/")</f>
        <v>https://luna-dr.com/machida/price/</v>
      </c>
    </row>
    <row r="1292">
      <c r="A1292" s="31" t="str">
        <f>IFERROR(__xludf.DUMMYFUNCTION("""COMPUTED_VALUE"""),"ホルモン検査はいくらですか？")</f>
        <v>ホルモン検査はいくらですか？</v>
      </c>
      <c r="B1292" s="31" t="str">
        <f>IFERROR(__xludf.DUMMYFUNCTION("""COMPUTED_VALUE"""),"ホルモン検査は、保険診療の場合の目安料金は約3,000円（税込）です。検査項目は診察内容により決まるため、事前に正確な金額のご案内はできません。別途、初診料・再診料がかかります。")</f>
        <v>ホルモン検査は、保険診療の場合の目安料金は約3,000円（税込）です。検査項目は診察内容により決まるため、事前に正確な金額のご案内はできません。別途、初診料・再診料がかかります。</v>
      </c>
      <c r="C1292" s="31" t="str">
        <f>IFERROR(__xludf.DUMMYFUNCTION("""COMPUTED_VALUE"""),"検査・料金")</f>
        <v>検査・料金</v>
      </c>
      <c r="D1292" s="31" t="str">
        <f>IFERROR(__xludf.DUMMYFUNCTION("""COMPUTED_VALUE"""),"ホルモン検査,血液検査,生理不順,料金,")</f>
        <v>ホルモン検査,血液検査,生理不順,料金,</v>
      </c>
      <c r="E1292" s="32" t="str">
        <f>IFERROR(__xludf.DUMMYFUNCTION("""COMPUTED_VALUE"""),"https://luna-dr.com/machida/price/")</f>
        <v>https://luna-dr.com/machida/price/</v>
      </c>
    </row>
    <row r="1293">
      <c r="A1293" s="31" t="str">
        <f>IFERROR(__xludf.DUMMYFUNCTION("""COMPUTED_VALUE"""),"卵巣の超音波検査はいくらですか？")</f>
        <v>卵巣の超音波検査はいくらですか？</v>
      </c>
      <c r="B1293" s="31" t="str">
        <f>IFERROR(__xludf.DUMMYFUNCTION("""COMPUTED_VALUE"""),"卵巣の超音波検査は、保険診療の場合の目安料金は約1,600円（税込）です。症状や診察内容によって検査範囲が変わることがあります。別途、初診料・再診料がかかります。")</f>
        <v>卵巣の超音波検査は、保険診療の場合の目安料金は約1,600円（税込）です。症状や診察内容によって検査範囲が変わることがあります。別途、初診料・再診料がかかります。</v>
      </c>
      <c r="C1293" s="31" t="str">
        <f>IFERROR(__xludf.DUMMYFUNCTION("""COMPUTED_VALUE"""),"検査・料金")</f>
        <v>検査・料金</v>
      </c>
      <c r="D1293" s="31" t="str">
        <f>IFERROR(__xludf.DUMMYFUNCTION("""COMPUTED_VALUE"""),"卵巣,超音波検査,エコー,料金,")</f>
        <v>卵巣,超音波検査,エコー,料金,</v>
      </c>
      <c r="E1293" s="32" t="str">
        <f>IFERROR(__xludf.DUMMYFUNCTION("""COMPUTED_VALUE"""),"https://luna-dr.com/machida/price/")</f>
        <v>https://luna-dr.com/machida/price/</v>
      </c>
    </row>
    <row r="1294">
      <c r="A1294" s="31" t="str">
        <f>IFERROR(__xludf.DUMMYFUNCTION("""COMPUTED_VALUE"""),"子宮の超音波検査はいくらですか？")</f>
        <v>子宮の超音波検査はいくらですか？</v>
      </c>
      <c r="B1294" s="31" t="str">
        <f>IFERROR(__xludf.DUMMYFUNCTION("""COMPUTED_VALUE"""),"子宮の超音波検査は、保険診療の場合の目安料金は約1,600円（税込）です。診察内容により検査方法が変わる場合があります。別途、初診料・再診料がかかります。")</f>
        <v>子宮の超音波検査は、保険診療の場合の目安料金は約1,600円（税込）です。診察内容により検査方法が変わる場合があります。別途、初診料・再診料がかかります。</v>
      </c>
      <c r="C1294" s="31" t="str">
        <f>IFERROR(__xludf.DUMMYFUNCTION("""COMPUTED_VALUE"""),"検査・料金")</f>
        <v>検査・料金</v>
      </c>
      <c r="D1294" s="31" t="str">
        <f>IFERROR(__xludf.DUMMYFUNCTION("""COMPUTED_VALUE"""),"子宮,超音波検査,エコー,料金,")</f>
        <v>子宮,超音波検査,エコー,料金,</v>
      </c>
      <c r="E1294" s="32" t="str">
        <f>IFERROR(__xludf.DUMMYFUNCTION("""COMPUTED_VALUE"""),"https://luna-dr.com/machida/price/")</f>
        <v>https://luna-dr.com/machida/price/</v>
      </c>
    </row>
    <row r="1295">
      <c r="A1295" s="31" t="str">
        <f>IFERROR(__xludf.DUMMYFUNCTION("""COMPUTED_VALUE"""),"痛み止めの処方はいくらですか？")</f>
        <v>痛み止めの処方はいくらですか？</v>
      </c>
      <c r="B1295" s="31" t="str">
        <f>IFERROR(__xludf.DUMMYFUNCTION("""COMPUTED_VALUE"""),"痛み止めの処方は、保険診療の場合の目安料金は約400円（税込）です。処方内容により金額が前後する場合があります。別途、初診料・再診料がかかります。")</f>
        <v>痛み止めの処方は、保険診療の場合の目安料金は約400円（税込）です。処方内容により金額が前後する場合があります。別途、初診料・再診料がかかります。</v>
      </c>
      <c r="C1295" s="31" t="str">
        <f>IFERROR(__xludf.DUMMYFUNCTION("""COMPUTED_VALUE"""),"治療・料金")</f>
        <v>治療・料金</v>
      </c>
      <c r="D1295" s="31" t="str">
        <f>IFERROR(__xludf.DUMMYFUNCTION("""COMPUTED_VALUE"""),"生理痛,鎮痛剤,処方,料金,")</f>
        <v>生理痛,鎮痛剤,処方,料金,</v>
      </c>
      <c r="E1295" s="32" t="str">
        <f>IFERROR(__xludf.DUMMYFUNCTION("""COMPUTED_VALUE"""),"https://luna-dr.com/machida/price/")</f>
        <v>https://luna-dr.com/machida/price/</v>
      </c>
    </row>
    <row r="1296">
      <c r="A1296" s="31" t="str">
        <f>IFERROR(__xludf.DUMMYFUNCTION("""COMPUTED_VALUE"""),"保険適用ピルはいくらですか？")</f>
        <v>保険適用ピルはいくらですか？</v>
      </c>
      <c r="B1296" s="31" t="str">
        <f>IFERROR(__xludf.DUMMYFUNCTION("""COMPUTED_VALUE"""),"保険適用のピル処方は、保険診療の場合の目安料金は約2,700円（税込）です。適応可否は医師の診察により判断されます。別途、初診料・再診料がかかります。")</f>
        <v>保険適用のピル処方は、保険診療の場合の目安料金は約2,700円（税込）です。適応可否は医師の診察により判断されます。別途、初診料・再診料がかかります。</v>
      </c>
      <c r="C1296" s="31" t="str">
        <f>IFERROR(__xludf.DUMMYFUNCTION("""COMPUTED_VALUE"""),"治療・料金")</f>
        <v>治療・料金</v>
      </c>
      <c r="D1296" s="31" t="str">
        <f>IFERROR(__xludf.DUMMYFUNCTION("""COMPUTED_VALUE"""),"ピル,保険診療,生理痛,料金,")</f>
        <v>ピル,保険診療,生理痛,料金,</v>
      </c>
      <c r="E1296" s="32" t="str">
        <f>IFERROR(__xludf.DUMMYFUNCTION("""COMPUTED_VALUE"""),"https://luna-dr.com/machida/price/")</f>
        <v>https://luna-dr.com/machida/price/</v>
      </c>
    </row>
    <row r="1297">
      <c r="A1297" s="31" t="str">
        <f>IFERROR(__xludf.DUMMYFUNCTION("""COMPUTED_VALUE"""),"子宮頸がん検査はいくらですか？")</f>
        <v>子宮頸がん検査はいくらですか？</v>
      </c>
      <c r="B1297" s="31" t="str">
        <f>IFERROR(__xludf.DUMMYFUNCTION("""COMPUTED_VALUE"""),"子宮頸がん検査は、保険診療の場合の目安料金は約1,100円（税込）です。症状や検診目的により内容が異なる場合があります。別途、初診料・再診料がかかります。")</f>
        <v>子宮頸がん検査は、保険診療の場合の目安料金は約1,100円（税込）です。症状や検診目的により内容が異なる場合があります。別途、初診料・再診料がかかります。</v>
      </c>
      <c r="C1297" s="31" t="str">
        <f>IFERROR(__xludf.DUMMYFUNCTION("""COMPUTED_VALUE"""),"検査・料金")</f>
        <v>検査・料金</v>
      </c>
      <c r="D1297" s="31" t="str">
        <f>IFERROR(__xludf.DUMMYFUNCTION("""COMPUTED_VALUE"""),"子宮頸がん検査,がん検診,料金,")</f>
        <v>子宮頸がん検査,がん検診,料金,</v>
      </c>
      <c r="E1297" s="32" t="str">
        <f>IFERROR(__xludf.DUMMYFUNCTION("""COMPUTED_VALUE"""),"https://luna-dr.com/machida/price/")</f>
        <v>https://luna-dr.com/machida/price/</v>
      </c>
    </row>
    <row r="1298">
      <c r="A1298" s="31" t="str">
        <f>IFERROR(__xludf.DUMMYFUNCTION("""COMPUTED_VALUE"""),"子宮体がん検査はいくらですか？")</f>
        <v>子宮体がん検査はいくらですか？</v>
      </c>
      <c r="B1298" s="31" t="str">
        <f>IFERROR(__xludf.DUMMYFUNCTION("""COMPUTED_VALUE"""),"子宮体がん検査は、保険診療の場合の目安料金は約2,100円（税込）です。症状がある場合に実施される検査です。別途、初診料・再診料がかかります。")</f>
        <v>子宮体がん検査は、保険診療の場合の目安料金は約2,100円（税込）です。症状がある場合に実施される検査です。別途、初診料・再診料がかかります。</v>
      </c>
      <c r="C1298" s="31" t="str">
        <f>IFERROR(__xludf.DUMMYFUNCTION("""COMPUTED_VALUE"""),"検査・料金")</f>
        <v>検査・料金</v>
      </c>
      <c r="D1298" s="31" t="str">
        <f>IFERROR(__xludf.DUMMYFUNCTION("""COMPUTED_VALUE"""),"子宮体がん検査,不正出血,料金,")</f>
        <v>子宮体がん検査,不正出血,料金,</v>
      </c>
      <c r="E1298" s="32" t="str">
        <f>IFERROR(__xludf.DUMMYFUNCTION("""COMPUTED_VALUE"""),"https://luna-dr.com/machida/price/")</f>
        <v>https://luna-dr.com/machida/price/</v>
      </c>
    </row>
    <row r="1299">
      <c r="A1299" s="31" t="str">
        <f>IFERROR(__xludf.DUMMYFUNCTION("""COMPUTED_VALUE"""),"子宮の超音波検査はいくらですか？")</f>
        <v>子宮の超音波検査はいくらですか？</v>
      </c>
      <c r="B1299" s="31" t="str">
        <f>IFERROR(__xludf.DUMMYFUNCTION("""COMPUTED_VALUE"""),"子宮の超音波検査は、保険診療の場合、目安として約1,600円（税込）です。診察内容や検査内容により金額が前後することがあり、別途、初診料・再診料がかかります。")</f>
        <v>子宮の超音波検査は、保険診療の場合、目安として約1,600円（税込）です。診察内容や検査内容により金額が前後することがあり、別途、初診料・再診料がかかります。</v>
      </c>
      <c r="C1299" s="31" t="str">
        <f>IFERROR(__xludf.DUMMYFUNCTION("""COMPUTED_VALUE"""),"料金・検査")</f>
        <v>料金・検査</v>
      </c>
      <c r="D1299" s="31" t="str">
        <f>IFERROR(__xludf.DUMMYFUNCTION("""COMPUTED_VALUE"""),"子宮超音波検査,エコー,料金,保険診療,")</f>
        <v>子宮超音波検査,エコー,料金,保険診療,</v>
      </c>
      <c r="E1299" s="32" t="str">
        <f>IFERROR(__xludf.DUMMYFUNCTION("""COMPUTED_VALUE"""),"https://luna-dr.com/machida/price/")</f>
        <v>https://luna-dr.com/machida/price/</v>
      </c>
    </row>
    <row r="1300">
      <c r="A1300" s="31" t="str">
        <f>IFERROR(__xludf.DUMMYFUNCTION("""COMPUTED_VALUE"""),"ホルモン検査はいくらですか？")</f>
        <v>ホルモン検査はいくらですか？</v>
      </c>
      <c r="B1300" s="31" t="str">
        <f>IFERROR(__xludf.DUMMYFUNCTION("""COMPUTED_VALUE"""),"ホルモン検査は、保険診療の場合、目安として約3,000円（税込）です。診察内容や検査項目によって金額が変わることがあり、別途、初診料・再診料がかかります。")</f>
        <v>ホルモン検査は、保険診療の場合、目安として約3,000円（税込）です。診察内容や検査項目によって金額が変わることがあり、別途、初診料・再診料がかかります。</v>
      </c>
      <c r="C1300" s="31" t="str">
        <f>IFERROR(__xludf.DUMMYFUNCTION("""COMPUTED_VALUE"""),"料金・検査")</f>
        <v>料金・検査</v>
      </c>
      <c r="D1300" s="31" t="str">
        <f>IFERROR(__xludf.DUMMYFUNCTION("""COMPUTED_VALUE"""),"ホルモン検査,血液検査,料金,保険診療,")</f>
        <v>ホルモン検査,血液検査,料金,保険診療,</v>
      </c>
      <c r="E1300" s="32" t="str">
        <f>IFERROR(__xludf.DUMMYFUNCTION("""COMPUTED_VALUE"""),"https://luna-dr.com/machida/price/")</f>
        <v>https://luna-dr.com/machida/price/</v>
      </c>
    </row>
    <row r="1301">
      <c r="A1301" s="31" t="str">
        <f>IFERROR(__xludf.DUMMYFUNCTION("""COMPUTED_VALUE"""),"腹痛の際の超音波検査はいくらですか？")</f>
        <v>腹痛の際の超音波検査はいくらですか？</v>
      </c>
      <c r="B1301" s="31" t="str">
        <f>IFERROR(__xludf.DUMMYFUNCTION("""COMPUTED_VALUE"""),"腹痛の症状で行う超音波検査は、保険診療の場合、目安として約1,600円（税込）です。診察内容により検査が追加される場合があり、別途、初診料・再診料がかかります。")</f>
        <v>腹痛の症状で行う超音波検査は、保険診療の場合、目安として約1,600円（税込）です。診察内容により検査が追加される場合があり、別途、初診料・再診料がかかります。</v>
      </c>
      <c r="C1301" s="31" t="str">
        <f>IFERROR(__xludf.DUMMYFUNCTION("""COMPUTED_VALUE"""),"料金・症状別")</f>
        <v>料金・症状別</v>
      </c>
      <c r="D1301" s="31" t="str">
        <f>IFERROR(__xludf.DUMMYFUNCTION("""COMPUTED_VALUE"""),"腹痛,超音波検査,エコー,料金,保険診療,")</f>
        <v>腹痛,超音波検査,エコー,料金,保険診療,</v>
      </c>
      <c r="E1301" s="32" t="str">
        <f>IFERROR(__xludf.DUMMYFUNCTION("""COMPUTED_VALUE"""),"https://luna-dr.com/machida/price/")</f>
        <v>https://luna-dr.com/machida/price/</v>
      </c>
    </row>
    <row r="1302">
      <c r="A1302" s="31" t="str">
        <f>IFERROR(__xludf.DUMMYFUNCTION("""COMPUTED_VALUE"""),"腹痛で行う性病検査はいくらですか？")</f>
        <v>腹痛で行う性病検査はいくらですか？</v>
      </c>
      <c r="B1302" s="31" t="str">
        <f>IFERROR(__xludf.DUMMYFUNCTION("""COMPUTED_VALUE"""),"腹痛の症状により行う性病検査は、保険診療の場合、目安として約1,500円（税込）です。診察内容によって検査内容や金額が変わることがあり、別途、初診料・再診料がかかります。")</f>
        <v>腹痛の症状により行う性病検査は、保険診療の場合、目安として約1,500円（税込）です。診察内容によって検査内容や金額が変わることがあり、別途、初診料・再診料がかかります。</v>
      </c>
      <c r="C1302" s="31" t="str">
        <f>IFERROR(__xludf.DUMMYFUNCTION("""COMPUTED_VALUE"""),"料金・症状別")</f>
        <v>料金・症状別</v>
      </c>
      <c r="D1302" s="31" t="str">
        <f>IFERROR(__xludf.DUMMYFUNCTION("""COMPUTED_VALUE"""),"腹痛,性病検査,STD,料金,保険診療,")</f>
        <v>腹痛,性病検査,STD,料金,保険診療,</v>
      </c>
      <c r="E1302" s="32" t="str">
        <f>IFERROR(__xludf.DUMMYFUNCTION("""COMPUTED_VALUE"""),"https://luna-dr.com/machida/price/")</f>
        <v>https://luna-dr.com/machida/price/</v>
      </c>
    </row>
    <row r="1303">
      <c r="A1303" s="31" t="str">
        <f>IFERROR(__xludf.DUMMYFUNCTION("""COMPUTED_VALUE"""),"保険の性病検査はいくらですか？")</f>
        <v>保険の性病検査はいくらですか？</v>
      </c>
      <c r="B1303" s="31" t="str">
        <f>IFERROR(__xludf.DUMMYFUNCTION("""COMPUTED_VALUE"""),"性病検査は、症状があり医師が必要と判断した場合、保険診療で目安として約1,500円（税込）です。診察内容により検査項目が変更となる場合があります。別途、初診料・再診料がかかります。")</f>
        <v>性病検査は、症状があり医師が必要と判断した場合、保険診療で目安として約1,500円（税込）です。診察内容により検査項目が変更となる場合があります。別途、初診料・再診料がかかります。</v>
      </c>
      <c r="C1303" s="31" t="str">
        <f>IFERROR(__xludf.DUMMYFUNCTION("""COMPUTED_VALUE"""),"料金・検査")</f>
        <v>料金・検査</v>
      </c>
      <c r="D1303" s="31" t="str">
        <f>IFERROR(__xludf.DUMMYFUNCTION("""COMPUTED_VALUE"""),"性病検査,STD,料金,保険診療,")</f>
        <v>性病検査,STD,料金,保険診療,</v>
      </c>
      <c r="E1303" s="32" t="str">
        <f>IFERROR(__xludf.DUMMYFUNCTION("""COMPUTED_VALUE"""),"https://luna-dr.com/machida/price/")</f>
        <v>https://luna-dr.com/machida/price/</v>
      </c>
    </row>
    <row r="1304">
      <c r="A1304" s="31" t="str">
        <f>IFERROR(__xludf.DUMMYFUNCTION("""COMPUTED_VALUE"""),"ポリープ切除はいくらですか？")</f>
        <v>ポリープ切除はいくらですか？</v>
      </c>
      <c r="B1304" s="31" t="str">
        <f>IFERROR(__xludf.DUMMYFUNCTION("""COMPUTED_VALUE"""),"ポリープ切除は、保険診療の場合の目安料金は約6,700円（税込）です。ポリープの大きさや部位により費用が変動する場合があります。別途、初診料・再診料がかかります。")</f>
        <v>ポリープ切除は、保険診療の場合の目安料金は約6,700円（税込）です。ポリープの大きさや部位により費用が変動する場合があります。別途、初診料・再診料がかかります。</v>
      </c>
      <c r="C1304" s="31" t="str">
        <f>IFERROR(__xludf.DUMMYFUNCTION("""COMPUTED_VALUE"""),"処置・料金")</f>
        <v>処置・料金</v>
      </c>
      <c r="D1304" s="31" t="str">
        <f>IFERROR(__xludf.DUMMYFUNCTION("""COMPUTED_VALUE"""),"ポリープ切除,子宮ポリープ,料金,")</f>
        <v>ポリープ切除,子宮ポリープ,料金,</v>
      </c>
      <c r="E1304" s="32" t="str">
        <f>IFERROR(__xludf.DUMMYFUNCTION("""COMPUTED_VALUE"""),"https://luna-dr.com/machida/price/")</f>
        <v>https://luna-dr.com/machida/price/</v>
      </c>
    </row>
    <row r="1305">
      <c r="A1305" s="31" t="str">
        <f>IFERROR(__xludf.DUMMYFUNCTION("""COMPUTED_VALUE"""),"膀胱炎の検査と治療はいくらですか？")</f>
        <v>膀胱炎の検査と治療はいくらですか？</v>
      </c>
      <c r="B1305" s="31" t="str">
        <f>IFERROR(__xludf.DUMMYFUNCTION("""COMPUTED_VALUE"""),"膀胱炎の尿検査と抗生剤処方は、保険診療の場合の目安料金は約600円（税込）です。症状や治療内容により変動することがあります。別途、初診料・再診料がかかります。")</f>
        <v>膀胱炎の尿検査と抗生剤処方は、保険診療の場合の目安料金は約600円（税込）です。症状や治療内容により変動することがあります。別途、初診料・再診料がかかります。</v>
      </c>
      <c r="C1305" s="31" t="str">
        <f>IFERROR(__xludf.DUMMYFUNCTION("""COMPUTED_VALUE"""),"検査・治療・料金")</f>
        <v>検査・治療・料金</v>
      </c>
      <c r="D1305" s="31" t="str">
        <f>IFERROR(__xludf.DUMMYFUNCTION("""COMPUTED_VALUE"""),"膀胱炎,尿検査,抗生剤,料金,")</f>
        <v>膀胱炎,尿検査,抗生剤,料金,</v>
      </c>
      <c r="E1305" s="32" t="str">
        <f>IFERROR(__xludf.DUMMYFUNCTION("""COMPUTED_VALUE"""),"https://luna-dr.com/machida/price/")</f>
        <v>https://luna-dr.com/machida/price/</v>
      </c>
    </row>
    <row r="1306">
      <c r="A1306" s="31" t="str">
        <f>IFERROR(__xludf.DUMMYFUNCTION("""COMPUTED_VALUE"""),"検査結果はどこで確認できますか？")</f>
        <v>検査結果はどこで確認できますか？</v>
      </c>
      <c r="B1306" s="31" t="str">
        <f>IFERROR(__xludf.DUMMYFUNCTION("""COMPUTED_VALUE"""),"検査結果は、当院の検査結果確認サイトからご確認いただけます。こちらのURLにアクセスしてください。https://result.luna-dr.com/clinic_login 患者番号は、会計時にお渡ししている領収書に記載のある10桁の番号となります。")</f>
        <v>検査結果は、当院の検査結果確認サイトからご確認いただけます。こちらのURLにアクセスしてください。https://result.luna-dr.com/clinic_login 患者番号は、会計時にお渡ししている領収書に記載のある10桁の番号となります。</v>
      </c>
      <c r="C1306" s="31" t="str">
        <f>IFERROR(__xludf.DUMMYFUNCTION("""COMPUTED_VALUE"""),"検査結果・確認方法")</f>
        <v>検査結果・確認方法</v>
      </c>
      <c r="D1306" s="31" t="str">
        <f>IFERROR(__xludf.DUMMYFUNCTION("""COMPUTED_VALUE"""),"検査結果,結果確認,確認方法,")</f>
        <v>検査結果,結果確認,確認方法,</v>
      </c>
      <c r="E1306" s="32" t="str">
        <f>IFERROR(__xludf.DUMMYFUNCTION("""COMPUTED_VALUE"""),"https://luna-dr.com/machida/about_result/")</f>
        <v>https://luna-dr.com/machida/about_result/</v>
      </c>
    </row>
    <row r="1307">
      <c r="A1307" s="31" t="str">
        <f>IFERROR(__xludf.DUMMYFUNCTION("""COMPUTED_VALUE"""),"検査結果の確認方法を教えてください/検査結果をWebで確認したい/検査結果のWeb確認方法")</f>
        <v>検査結果の確認方法を教えてください/検査結果をWebで確認したい/検査結果のWeb確認方法</v>
      </c>
      <c r="B1307" s="31" t="str">
        <f>IFERROR(__xludf.DUMMYFUNCTION("""COMPUTED_VALUE"""),"検査結果確認サイト（https://result.luna-dr.com/clinic_login）にアクセスし、患者番号と生年月日を入力して「結果を見る」ボタンをクリックしてください。患者番号は、会計時にお渡ししている領収書に記載のある10桁の番号となります。")</f>
        <v>検査結果確認サイト（https://result.luna-dr.com/clinic_login）にアクセスし、患者番号と生年月日を入力して「結果を見る」ボタンをクリックしてください。患者番号は、会計時にお渡ししている領収書に記載のある10桁の番号となります。</v>
      </c>
      <c r="C1307" s="31" t="str">
        <f>IFERROR(__xludf.DUMMYFUNCTION("""COMPUTED_VALUE"""),"検査結果・確認方法")</f>
        <v>検査結果・確認方法</v>
      </c>
      <c r="D1307" s="31" t="str">
        <f>IFERROR(__xludf.DUMMYFUNCTION("""COMPUTED_VALUE"""),"検査結果,診察券番号,生年月日,Web,確認方法,サイト")</f>
        <v>検査結果,診察券番号,生年月日,Web,確認方法,サイト</v>
      </c>
      <c r="E1307" s="32" t="str">
        <f>IFERROR(__xludf.DUMMYFUNCTION("""COMPUTED_VALUE"""),"https://luna-dr.com/machida/about_result/")</f>
        <v>https://luna-dr.com/machida/about_result/</v>
      </c>
    </row>
    <row r="1308">
      <c r="A1308" s="31" t="str">
        <f>IFERROR(__xludf.DUMMYFUNCTION("""COMPUTED_VALUE"""),"検査結果はいつ頃わかりますか？")</f>
        <v>検査結果はいつ頃わかりますか？</v>
      </c>
      <c r="B1308" s="31" t="str">
        <f>IFERROR(__xludf.DUMMYFUNCTION("""COMPUTED_VALUE"""),"検査項目によって結果が判明するまでの時間は異なります。結果が出た検査項目から順次システムに登録され、ご確認いただけるようになります。")</f>
        <v>検査項目によって結果が判明するまでの時間は異なります。結果が出た検査項目から順次システムに登録され、ご確認いただけるようになります。</v>
      </c>
      <c r="C1308" s="31" t="str">
        <f>IFERROR(__xludf.DUMMYFUNCTION("""COMPUTED_VALUE"""),"検査結果・確認方法")</f>
        <v>検査結果・確認方法</v>
      </c>
      <c r="D1308" s="31" t="str">
        <f>IFERROR(__xludf.DUMMYFUNCTION("""COMPUTED_VALUE"""),"検査結果,結果判明,検査項目,")</f>
        <v>検査結果,結果判明,検査項目,</v>
      </c>
      <c r="E1308" s="32" t="str">
        <f>IFERROR(__xludf.DUMMYFUNCTION("""COMPUTED_VALUE"""),"https://luna-dr.com/machida/about_result/")</f>
        <v>https://luna-dr.com/machida/about_result/</v>
      </c>
    </row>
    <row r="1309">
      <c r="A1309" s="31" t="str">
        <f>IFERROR(__xludf.DUMMYFUNCTION("""COMPUTED_VALUE"""),"検査結果が表示されません。どうすればいいですか？")</f>
        <v>検査結果が表示されません。どうすればいいですか？</v>
      </c>
      <c r="B1309" s="31" t="str">
        <f>IFERROR(__xludf.DUMMYFUNCTION("""COMPUTED_VALUE"""),"結果が表示されない場合は、まだ結果が確定していない可能性があります。しばらく時間をおいて再度ご確認ください。それでも確認できない場合は、お手数ですがクリニックまでお電話（050-1730-2768）またはメールにてお問い合わせください。")</f>
        <v>結果が表示されない場合は、まだ結果が確定していない可能性があります。しばらく時間をおいて再度ご確認ください。それでも確認できない場合は、お手数ですがクリニックまでお電話（050-1730-2768）またはメールにてお問い合わせください。</v>
      </c>
      <c r="C1309" s="31" t="str">
        <f>IFERROR(__xludf.DUMMYFUNCTION("""COMPUTED_VALUE"""),"検査結果・確認方法")</f>
        <v>検査結果・確認方法</v>
      </c>
      <c r="D1309" s="31" t="str">
        <f>IFERROR(__xludf.DUMMYFUNCTION("""COMPUTED_VALUE"""),"検査結果,表示されない,問い合わせ,")</f>
        <v>検査結果,表示されない,問い合わせ,</v>
      </c>
      <c r="E1309" s="32" t="str">
        <f>IFERROR(__xludf.DUMMYFUNCTION("""COMPUTED_VALUE"""),"https://luna-dr.com/machida/about_result/")</f>
        <v>https://luna-dr.com/machida/about_result/</v>
      </c>
    </row>
    <row r="1310">
      <c r="A1310" s="31" t="str">
        <f>IFERROR(__xludf.DUMMYFUNCTION("""COMPUTED_VALUE"""),"他の院でも受診できますか？")</f>
        <v>他の院でも受診できますか？</v>
      </c>
      <c r="B1310" s="31" t="str">
        <f>IFERROR(__xludf.DUMMYFUNCTION("""COMPUTED_VALUE"""),"ルナレディースクリニックでは、当院の別の院（横浜駅前院・川崎駅前院・町田駅前院）でのご受診も可能です。ただし、保険診療の場合は別途初診料が発生する可能性がございます。
また、当院より紹介状を発行しMRI検査を受けられた方につきましては、検査結果のご説明は紹介元のクリニックのみで行っております。あらかじめご了承くださいますようお願い申し上げます。")</f>
        <v>ルナレディースクリニックでは、当院の別の院（横浜駅前院・川崎駅前院・町田駅前院）でのご受診も可能です。ただし、保険診療の場合は別途初診料が発生する可能性がございます。
また、当院より紹介状を発行しMRI検査を受けられた方につきましては、検査結果のご説明は紹介元のクリニックのみで行っております。あらかじめご了承くださいますようお願い申し上げます。</v>
      </c>
      <c r="C1310" s="31" t="str">
        <f>IFERROR(__xludf.DUMMYFUNCTION("""COMPUTED_VALUE"""),"受診案内・院変更")</f>
        <v>受診案内・院変更</v>
      </c>
      <c r="D1310" s="31" t="str">
        <f>IFERROR(__xludf.DUMMYFUNCTION("""COMPUTED_VALUE"""),"院変更,横浜駅前院,川崎駅前院,町田駅前院,初診料,保険診療,MRI,紹介状,検査結果")</f>
        <v>院変更,横浜駅前院,川崎駅前院,町田駅前院,初診料,保険診療,MRI,紹介状,検査結果</v>
      </c>
      <c r="E1310" s="31"/>
    </row>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 r:id="rId25" ref="E26"/>
    <hyperlink r:id="rId26" ref="E27"/>
    <hyperlink r:id="rId27" ref="E28"/>
    <hyperlink r:id="rId28" ref="E29"/>
    <hyperlink r:id="rId29" ref="E30"/>
    <hyperlink r:id="rId30" ref="E31"/>
    <hyperlink r:id="rId31" ref="E32"/>
    <hyperlink r:id="rId32" ref="E33"/>
    <hyperlink r:id="rId33" ref="E34"/>
    <hyperlink r:id="rId34" ref="E37"/>
    <hyperlink r:id="rId35" ref="E38"/>
    <hyperlink r:id="rId36" ref="E39"/>
    <hyperlink r:id="rId37" ref="E40"/>
    <hyperlink r:id="rId38" ref="E41"/>
    <hyperlink r:id="rId39" ref="E42"/>
    <hyperlink r:id="rId40" ref="E43"/>
    <hyperlink r:id="rId41" ref="E44"/>
    <hyperlink r:id="rId42" ref="E45"/>
    <hyperlink r:id="rId43" ref="E46"/>
    <hyperlink r:id="rId44" ref="E47"/>
    <hyperlink r:id="rId45" ref="E49"/>
    <hyperlink r:id="rId46" ref="E50"/>
    <hyperlink r:id="rId47" ref="E51"/>
    <hyperlink r:id="rId48" ref="E53"/>
    <hyperlink r:id="rId49" ref="E54"/>
    <hyperlink r:id="rId50" ref="E55"/>
    <hyperlink r:id="rId51" ref="E56"/>
    <hyperlink r:id="rId52" ref="E57"/>
    <hyperlink r:id="rId53" ref="E58"/>
    <hyperlink r:id="rId54" ref="E59"/>
    <hyperlink r:id="rId55" ref="E60"/>
    <hyperlink r:id="rId56" ref="E61"/>
    <hyperlink r:id="rId57" ref="E62"/>
    <hyperlink r:id="rId58" ref="E63"/>
    <hyperlink r:id="rId59" ref="E64"/>
    <hyperlink r:id="rId60" ref="E65"/>
    <hyperlink r:id="rId61" ref="E66"/>
    <hyperlink r:id="rId62" ref="E67"/>
    <hyperlink r:id="rId63" ref="E68"/>
    <hyperlink r:id="rId64" ref="E69"/>
    <hyperlink r:id="rId65" ref="E70"/>
    <hyperlink r:id="rId66" ref="E71"/>
    <hyperlink r:id="rId67" ref="E72"/>
    <hyperlink r:id="rId68" ref="E73"/>
    <hyperlink r:id="rId69" ref="E74"/>
    <hyperlink r:id="rId70" ref="E75"/>
    <hyperlink r:id="rId71" ref="E76"/>
    <hyperlink r:id="rId72" ref="E77"/>
    <hyperlink r:id="rId73" ref="E78"/>
    <hyperlink r:id="rId74" ref="E79"/>
    <hyperlink r:id="rId75" ref="E80"/>
    <hyperlink r:id="rId76" ref="E81"/>
    <hyperlink r:id="rId77" ref="E82"/>
    <hyperlink r:id="rId78" ref="E83"/>
    <hyperlink r:id="rId79" ref="E84"/>
    <hyperlink r:id="rId80" ref="E85"/>
    <hyperlink r:id="rId81" ref="E86"/>
    <hyperlink r:id="rId82" ref="E87"/>
    <hyperlink r:id="rId83" ref="E88"/>
    <hyperlink r:id="rId84" ref="E89"/>
    <hyperlink r:id="rId85" ref="E90"/>
    <hyperlink r:id="rId86" ref="E91"/>
    <hyperlink r:id="rId87" ref="E92"/>
    <hyperlink r:id="rId88" ref="E93"/>
    <hyperlink r:id="rId89" ref="E94"/>
    <hyperlink r:id="rId90" ref="E95"/>
    <hyperlink r:id="rId91" ref="E96"/>
    <hyperlink r:id="rId92" ref="E97"/>
    <hyperlink r:id="rId93" ref="E98"/>
    <hyperlink r:id="rId94" ref="E99"/>
    <hyperlink r:id="rId95" ref="E100"/>
    <hyperlink r:id="rId96" ref="E101"/>
    <hyperlink r:id="rId97" ref="E102"/>
    <hyperlink r:id="rId98" ref="E103"/>
    <hyperlink r:id="rId99" ref="E104"/>
    <hyperlink r:id="rId100" ref="E105"/>
    <hyperlink r:id="rId101" ref="E106"/>
    <hyperlink r:id="rId102" ref="E107"/>
    <hyperlink r:id="rId103" ref="E108"/>
    <hyperlink r:id="rId104" ref="E109"/>
    <hyperlink r:id="rId105" ref="E110"/>
    <hyperlink r:id="rId106" ref="E111"/>
    <hyperlink r:id="rId107" ref="E112"/>
    <hyperlink r:id="rId108" ref="E113"/>
    <hyperlink r:id="rId109" ref="E114"/>
    <hyperlink r:id="rId110" ref="E115"/>
    <hyperlink r:id="rId111" ref="E116"/>
    <hyperlink r:id="rId112" ref="E117"/>
    <hyperlink r:id="rId113" ref="E118"/>
    <hyperlink r:id="rId114" ref="E119"/>
    <hyperlink r:id="rId115" ref="E120"/>
    <hyperlink r:id="rId116" ref="E121"/>
    <hyperlink r:id="rId117" ref="E122"/>
    <hyperlink r:id="rId118" ref="E123"/>
    <hyperlink r:id="rId119" ref="E124"/>
    <hyperlink r:id="rId120" ref="E125"/>
    <hyperlink r:id="rId121" ref="E126"/>
    <hyperlink r:id="rId122" ref="E127"/>
    <hyperlink r:id="rId123" ref="E128"/>
    <hyperlink r:id="rId124" ref="E129"/>
    <hyperlink r:id="rId125" ref="E130"/>
    <hyperlink r:id="rId126" ref="E131"/>
    <hyperlink r:id="rId127" ref="E132"/>
    <hyperlink r:id="rId128" ref="E133"/>
    <hyperlink r:id="rId129" ref="E134"/>
    <hyperlink r:id="rId130" ref="E135"/>
    <hyperlink r:id="rId131" ref="E136"/>
    <hyperlink r:id="rId132" ref="E137"/>
    <hyperlink r:id="rId133" ref="E138"/>
    <hyperlink r:id="rId134" ref="E139"/>
    <hyperlink r:id="rId135" ref="E140"/>
    <hyperlink r:id="rId136" ref="E141"/>
    <hyperlink r:id="rId137" ref="E142"/>
    <hyperlink r:id="rId138" ref="E143"/>
    <hyperlink r:id="rId139" ref="E144"/>
    <hyperlink r:id="rId140" ref="E145"/>
    <hyperlink r:id="rId141" ref="E146"/>
    <hyperlink r:id="rId142" ref="E147"/>
    <hyperlink r:id="rId143" ref="E148"/>
    <hyperlink r:id="rId144" ref="E149"/>
    <hyperlink r:id="rId145" ref="E150"/>
    <hyperlink r:id="rId146" ref="E151"/>
    <hyperlink r:id="rId147" ref="E152"/>
    <hyperlink r:id="rId148" ref="E153"/>
    <hyperlink r:id="rId149" ref="E154"/>
    <hyperlink r:id="rId150" ref="E155"/>
    <hyperlink r:id="rId151" ref="E156"/>
    <hyperlink r:id="rId152" ref="E157"/>
    <hyperlink r:id="rId153" ref="E158"/>
    <hyperlink r:id="rId154" ref="E159"/>
    <hyperlink r:id="rId155" ref="E160"/>
    <hyperlink r:id="rId156" ref="E161"/>
    <hyperlink r:id="rId157" ref="E162"/>
    <hyperlink r:id="rId158" ref="E163"/>
    <hyperlink r:id="rId159" ref="E164"/>
    <hyperlink r:id="rId160" ref="E165"/>
    <hyperlink r:id="rId161" ref="E166"/>
    <hyperlink r:id="rId162" ref="E167"/>
    <hyperlink r:id="rId163" ref="E168"/>
    <hyperlink r:id="rId164" ref="E169"/>
    <hyperlink r:id="rId165" ref="E170"/>
    <hyperlink r:id="rId166" ref="E171"/>
    <hyperlink r:id="rId167" ref="E172"/>
    <hyperlink r:id="rId168" ref="E173"/>
    <hyperlink r:id="rId169" ref="E174"/>
    <hyperlink r:id="rId170" ref="E175"/>
    <hyperlink r:id="rId171" ref="E176"/>
    <hyperlink r:id="rId172" ref="E177"/>
    <hyperlink r:id="rId173" ref="E178"/>
    <hyperlink r:id="rId174" ref="E179"/>
    <hyperlink r:id="rId175" ref="E180"/>
    <hyperlink r:id="rId176" ref="E181"/>
    <hyperlink r:id="rId177" ref="E182"/>
    <hyperlink r:id="rId178" ref="E183"/>
    <hyperlink r:id="rId179" ref="E184"/>
    <hyperlink r:id="rId180" ref="E185"/>
    <hyperlink r:id="rId181" ref="E186"/>
    <hyperlink r:id="rId182" ref="E187"/>
    <hyperlink r:id="rId183" ref="E188"/>
    <hyperlink r:id="rId184" ref="E189"/>
    <hyperlink r:id="rId185" ref="E190"/>
    <hyperlink r:id="rId186" ref="E191"/>
    <hyperlink r:id="rId187" ref="E192"/>
    <hyperlink r:id="rId188" ref="E193"/>
    <hyperlink r:id="rId189" ref="E194"/>
    <hyperlink r:id="rId190" ref="E195"/>
    <hyperlink r:id="rId191" ref="E196"/>
    <hyperlink r:id="rId192" ref="E197"/>
    <hyperlink r:id="rId193" ref="E198"/>
    <hyperlink r:id="rId194" ref="E199"/>
    <hyperlink r:id="rId195" ref="E200"/>
    <hyperlink r:id="rId196" ref="E201"/>
    <hyperlink r:id="rId197" ref="E202"/>
    <hyperlink r:id="rId198" ref="E203"/>
    <hyperlink r:id="rId199" ref="E204"/>
    <hyperlink r:id="rId200" ref="E205"/>
    <hyperlink r:id="rId201" ref="E206"/>
    <hyperlink r:id="rId202" ref="E207"/>
    <hyperlink r:id="rId203" ref="E208"/>
    <hyperlink r:id="rId204" ref="E209"/>
    <hyperlink r:id="rId205" ref="E210"/>
    <hyperlink r:id="rId206" ref="E211"/>
    <hyperlink r:id="rId207" ref="E212"/>
    <hyperlink r:id="rId208" ref="E213"/>
    <hyperlink r:id="rId209" ref="E214"/>
    <hyperlink r:id="rId210" ref="E215"/>
    <hyperlink r:id="rId211" ref="E216"/>
    <hyperlink r:id="rId212" ref="E217"/>
    <hyperlink r:id="rId213" ref="E218"/>
    <hyperlink r:id="rId214" ref="E219"/>
    <hyperlink r:id="rId215" ref="E220"/>
    <hyperlink r:id="rId216" ref="E221"/>
    <hyperlink r:id="rId217" ref="E222"/>
    <hyperlink r:id="rId218" ref="E223"/>
    <hyperlink r:id="rId219" ref="E224"/>
    <hyperlink r:id="rId220" ref="E225"/>
    <hyperlink r:id="rId221" ref="E226"/>
    <hyperlink r:id="rId222" ref="E227"/>
    <hyperlink r:id="rId223" ref="E228"/>
    <hyperlink r:id="rId224" ref="E229"/>
    <hyperlink r:id="rId225" ref="E230"/>
    <hyperlink r:id="rId226" ref="E231"/>
    <hyperlink r:id="rId227" ref="E232"/>
    <hyperlink r:id="rId228" ref="E233"/>
    <hyperlink r:id="rId229" ref="E234"/>
    <hyperlink r:id="rId230" ref="E235"/>
    <hyperlink r:id="rId231" ref="E236"/>
    <hyperlink r:id="rId232" ref="E237"/>
    <hyperlink r:id="rId233" ref="E238"/>
    <hyperlink r:id="rId234" ref="E239"/>
    <hyperlink r:id="rId235" ref="E240"/>
    <hyperlink r:id="rId236" ref="E241"/>
    <hyperlink r:id="rId237" ref="E242"/>
    <hyperlink r:id="rId238" ref="E243"/>
    <hyperlink r:id="rId239" ref="E244"/>
    <hyperlink r:id="rId240" ref="E245"/>
    <hyperlink r:id="rId241" ref="E246"/>
    <hyperlink r:id="rId242" ref="E247"/>
    <hyperlink r:id="rId243" ref="E248"/>
    <hyperlink r:id="rId244" ref="E249"/>
    <hyperlink r:id="rId245" ref="E250"/>
    <hyperlink r:id="rId246" ref="E251"/>
    <hyperlink r:id="rId247" ref="E252"/>
    <hyperlink r:id="rId248" ref="E253"/>
    <hyperlink r:id="rId249" ref="E254"/>
    <hyperlink r:id="rId250" ref="E255"/>
    <hyperlink r:id="rId251" ref="E256"/>
    <hyperlink r:id="rId252" ref="E257"/>
    <hyperlink r:id="rId253" ref="E258"/>
    <hyperlink r:id="rId254" ref="E259"/>
    <hyperlink r:id="rId255" ref="E260"/>
    <hyperlink r:id="rId256" ref="E261"/>
    <hyperlink r:id="rId257" ref="E262"/>
    <hyperlink r:id="rId258" ref="E263"/>
    <hyperlink r:id="rId259" ref="E264"/>
    <hyperlink r:id="rId260" ref="E265"/>
    <hyperlink r:id="rId261" ref="E266"/>
    <hyperlink r:id="rId262" ref="E267"/>
    <hyperlink r:id="rId263" ref="E268"/>
    <hyperlink r:id="rId264" ref="E269"/>
    <hyperlink r:id="rId265" ref="E270"/>
    <hyperlink r:id="rId266" ref="E271"/>
    <hyperlink r:id="rId267" ref="E272"/>
    <hyperlink r:id="rId268" ref="E273"/>
    <hyperlink r:id="rId269" ref="E274"/>
    <hyperlink r:id="rId270" ref="E275"/>
    <hyperlink r:id="rId271" ref="E276"/>
    <hyperlink r:id="rId272" ref="E277"/>
    <hyperlink r:id="rId273" ref="E278"/>
    <hyperlink r:id="rId274" ref="E279"/>
    <hyperlink r:id="rId275" ref="E280"/>
    <hyperlink r:id="rId276" ref="E281"/>
    <hyperlink r:id="rId277" ref="E282"/>
    <hyperlink r:id="rId278" ref="E283"/>
    <hyperlink r:id="rId279" ref="E284"/>
    <hyperlink r:id="rId280" ref="E285"/>
    <hyperlink r:id="rId281" ref="E286"/>
    <hyperlink r:id="rId282" ref="E287"/>
    <hyperlink r:id="rId283" ref="E288"/>
    <hyperlink r:id="rId284" ref="E289"/>
    <hyperlink r:id="rId285" ref="E290"/>
    <hyperlink r:id="rId286" ref="E291"/>
    <hyperlink r:id="rId287" ref="E292"/>
    <hyperlink r:id="rId288" ref="E293"/>
    <hyperlink r:id="rId289" ref="E294"/>
    <hyperlink r:id="rId290" ref="E295"/>
    <hyperlink r:id="rId291" ref="E296"/>
    <hyperlink r:id="rId292" ref="E297"/>
    <hyperlink r:id="rId293" ref="E298"/>
    <hyperlink r:id="rId294" ref="E299"/>
    <hyperlink r:id="rId295" ref="E300"/>
    <hyperlink r:id="rId296" ref="E301"/>
    <hyperlink r:id="rId297" ref="E302"/>
    <hyperlink r:id="rId298" ref="E303"/>
    <hyperlink r:id="rId299" ref="E304"/>
    <hyperlink r:id="rId300" ref="E305"/>
    <hyperlink r:id="rId301" ref="E306"/>
    <hyperlink r:id="rId302" ref="E307"/>
    <hyperlink r:id="rId303" ref="E308"/>
    <hyperlink r:id="rId304" ref="E309"/>
    <hyperlink r:id="rId305" ref="E310"/>
    <hyperlink r:id="rId306" ref="E311"/>
    <hyperlink r:id="rId307" ref="E312"/>
    <hyperlink r:id="rId308" ref="E313"/>
    <hyperlink r:id="rId309" ref="E314"/>
    <hyperlink r:id="rId310" ref="E315"/>
    <hyperlink r:id="rId311" ref="E316"/>
    <hyperlink r:id="rId312" ref="E317"/>
    <hyperlink r:id="rId313" ref="E318"/>
    <hyperlink r:id="rId314" ref="E319"/>
    <hyperlink r:id="rId315" ref="E320"/>
    <hyperlink r:id="rId316" ref="E321"/>
    <hyperlink r:id="rId317" ref="E322"/>
    <hyperlink r:id="rId318" ref="E323"/>
    <hyperlink r:id="rId319" ref="E324"/>
    <hyperlink r:id="rId320" ref="E325"/>
    <hyperlink r:id="rId321" ref="E326"/>
    <hyperlink r:id="rId322" ref="E327"/>
    <hyperlink r:id="rId323" ref="E328"/>
    <hyperlink r:id="rId324" ref="E329"/>
    <hyperlink r:id="rId325" ref="E330"/>
    <hyperlink r:id="rId326" ref="E331"/>
    <hyperlink r:id="rId327" ref="E332"/>
    <hyperlink r:id="rId328" ref="E333"/>
    <hyperlink r:id="rId329" ref="E334"/>
    <hyperlink r:id="rId330" ref="E335"/>
    <hyperlink r:id="rId331" ref="E336"/>
    <hyperlink r:id="rId332" ref="E337"/>
    <hyperlink r:id="rId333" ref="E338"/>
    <hyperlink r:id="rId334" ref="E339"/>
    <hyperlink r:id="rId335" ref="E340"/>
    <hyperlink r:id="rId336" ref="E341"/>
    <hyperlink r:id="rId337" ref="E342"/>
    <hyperlink r:id="rId338" ref="E343"/>
    <hyperlink r:id="rId339" ref="E344"/>
    <hyperlink r:id="rId340" ref="E345"/>
    <hyperlink r:id="rId341" ref="E346"/>
    <hyperlink r:id="rId342" ref="E347"/>
    <hyperlink r:id="rId343" ref="E348"/>
    <hyperlink r:id="rId344" ref="E349"/>
    <hyperlink r:id="rId345" ref="E350"/>
    <hyperlink r:id="rId346" ref="E351"/>
    <hyperlink r:id="rId347" ref="E352"/>
    <hyperlink r:id="rId348" ref="E353"/>
    <hyperlink r:id="rId349" ref="E354"/>
    <hyperlink r:id="rId350" ref="E355"/>
    <hyperlink r:id="rId351" ref="E356"/>
    <hyperlink r:id="rId352" ref="E357"/>
    <hyperlink r:id="rId353" ref="E358"/>
    <hyperlink r:id="rId354" ref="E359"/>
    <hyperlink r:id="rId355" ref="E360"/>
    <hyperlink r:id="rId356" ref="E361"/>
    <hyperlink r:id="rId357" ref="E362"/>
    <hyperlink r:id="rId358" ref="E363"/>
    <hyperlink r:id="rId359" ref="E364"/>
    <hyperlink r:id="rId360" ref="E365"/>
    <hyperlink r:id="rId361" ref="E366"/>
    <hyperlink r:id="rId362" ref="E367"/>
    <hyperlink r:id="rId363" ref="E368"/>
    <hyperlink r:id="rId364" ref="E369"/>
    <hyperlink r:id="rId365" ref="E370"/>
    <hyperlink r:id="rId366" ref="E371"/>
    <hyperlink r:id="rId367" ref="E372"/>
    <hyperlink r:id="rId368" ref="E373"/>
    <hyperlink r:id="rId369" ref="E374"/>
    <hyperlink r:id="rId370" ref="E375"/>
    <hyperlink r:id="rId371" ref="E376"/>
    <hyperlink r:id="rId372" ref="E377"/>
    <hyperlink r:id="rId373" ref="E378"/>
    <hyperlink r:id="rId374" ref="E379"/>
    <hyperlink r:id="rId375" ref="E380"/>
    <hyperlink r:id="rId376" ref="E381"/>
    <hyperlink r:id="rId377" ref="E382"/>
    <hyperlink r:id="rId378" ref="E383"/>
    <hyperlink r:id="rId379" ref="E384"/>
    <hyperlink r:id="rId380" ref="E385"/>
    <hyperlink r:id="rId381" ref="E386"/>
    <hyperlink r:id="rId382" ref="E387"/>
    <hyperlink r:id="rId383" ref="E388"/>
    <hyperlink r:id="rId384" ref="E389"/>
    <hyperlink r:id="rId385" ref="E390"/>
    <hyperlink r:id="rId386" ref="E391"/>
    <hyperlink r:id="rId387" ref="E392"/>
    <hyperlink r:id="rId388" ref="E393"/>
    <hyperlink r:id="rId389" ref="E394"/>
    <hyperlink r:id="rId390" ref="E395"/>
    <hyperlink r:id="rId391" ref="E396"/>
    <hyperlink r:id="rId392" ref="E397"/>
    <hyperlink r:id="rId393" ref="E398"/>
    <hyperlink r:id="rId394" ref="E399"/>
    <hyperlink r:id="rId395" ref="E400"/>
    <hyperlink r:id="rId396" ref="E401"/>
    <hyperlink r:id="rId397" ref="E402"/>
    <hyperlink r:id="rId398" ref="E403"/>
    <hyperlink r:id="rId399" ref="E404"/>
    <hyperlink r:id="rId400" ref="E405"/>
    <hyperlink r:id="rId401" ref="E406"/>
    <hyperlink r:id="rId402" ref="E407"/>
    <hyperlink r:id="rId403" ref="E408"/>
    <hyperlink r:id="rId404" ref="E409"/>
    <hyperlink r:id="rId405" ref="E410"/>
    <hyperlink r:id="rId406" ref="E411"/>
    <hyperlink r:id="rId407" ref="E412"/>
    <hyperlink r:id="rId408" ref="E413"/>
    <hyperlink r:id="rId409" ref="E414"/>
    <hyperlink r:id="rId410" ref="E415"/>
    <hyperlink r:id="rId411" ref="E416"/>
    <hyperlink r:id="rId412" ref="E417"/>
    <hyperlink r:id="rId413" ref="E418"/>
    <hyperlink r:id="rId414" ref="E419"/>
    <hyperlink r:id="rId415" ref="E420"/>
    <hyperlink r:id="rId416" ref="E421"/>
    <hyperlink r:id="rId417" ref="E422"/>
    <hyperlink r:id="rId418" ref="E423"/>
    <hyperlink r:id="rId419" ref="E424"/>
    <hyperlink r:id="rId420" ref="E425"/>
    <hyperlink r:id="rId421" ref="E426"/>
    <hyperlink r:id="rId422" ref="E427"/>
    <hyperlink r:id="rId423" ref="E428"/>
    <hyperlink r:id="rId424" ref="E429"/>
    <hyperlink r:id="rId425" ref="E430"/>
    <hyperlink r:id="rId426" ref="E431"/>
    <hyperlink r:id="rId427" ref="E432"/>
    <hyperlink r:id="rId428" ref="E433"/>
    <hyperlink r:id="rId429" ref="E434"/>
    <hyperlink r:id="rId430" ref="E435"/>
    <hyperlink r:id="rId431" ref="E436"/>
    <hyperlink r:id="rId432" ref="E437"/>
    <hyperlink r:id="rId433" ref="E438"/>
    <hyperlink r:id="rId434" ref="E439"/>
    <hyperlink r:id="rId435" ref="E440"/>
    <hyperlink r:id="rId436" ref="E441"/>
    <hyperlink r:id="rId437" ref="E442"/>
    <hyperlink r:id="rId438" ref="E443"/>
    <hyperlink r:id="rId439" ref="E444"/>
    <hyperlink r:id="rId440" ref="E445"/>
    <hyperlink r:id="rId441" ref="E446"/>
    <hyperlink r:id="rId442" ref="E447"/>
    <hyperlink r:id="rId443" ref="E448"/>
    <hyperlink r:id="rId444" ref="E449"/>
    <hyperlink r:id="rId445" ref="E450"/>
    <hyperlink r:id="rId446" ref="E451"/>
    <hyperlink r:id="rId447" ref="E452"/>
    <hyperlink r:id="rId448" ref="E453"/>
    <hyperlink r:id="rId449" ref="E454"/>
    <hyperlink r:id="rId450" ref="E455"/>
    <hyperlink r:id="rId451" ref="E456"/>
    <hyperlink r:id="rId452" ref="E457"/>
    <hyperlink r:id="rId453" ref="E458"/>
    <hyperlink r:id="rId454" ref="E459"/>
    <hyperlink r:id="rId455" ref="E460"/>
    <hyperlink r:id="rId456" ref="E461"/>
    <hyperlink r:id="rId457" ref="E462"/>
    <hyperlink r:id="rId458" ref="E463"/>
    <hyperlink r:id="rId459" ref="E464"/>
    <hyperlink r:id="rId460" ref="E465"/>
    <hyperlink r:id="rId461" ref="E466"/>
    <hyperlink r:id="rId462" ref="E467"/>
    <hyperlink r:id="rId463" ref="E468"/>
    <hyperlink r:id="rId464" ref="E469"/>
    <hyperlink r:id="rId465" ref="E470"/>
    <hyperlink r:id="rId466" ref="E471"/>
    <hyperlink r:id="rId467" ref="E472"/>
    <hyperlink r:id="rId468" ref="E473"/>
    <hyperlink r:id="rId469" ref="E474"/>
    <hyperlink r:id="rId470" ref="E475"/>
    <hyperlink r:id="rId471" ref="E476"/>
    <hyperlink r:id="rId472" ref="E477"/>
    <hyperlink r:id="rId473" ref="E478"/>
    <hyperlink r:id="rId474" ref="E479"/>
    <hyperlink r:id="rId475" ref="E480"/>
    <hyperlink r:id="rId476" ref="E481"/>
    <hyperlink r:id="rId477" ref="E482"/>
    <hyperlink r:id="rId478" ref="E483"/>
    <hyperlink r:id="rId479" ref="E484"/>
    <hyperlink r:id="rId480" ref="E485"/>
    <hyperlink r:id="rId481" ref="E486"/>
    <hyperlink r:id="rId482" ref="E487"/>
    <hyperlink r:id="rId483" ref="E488"/>
    <hyperlink r:id="rId484" ref="E489"/>
    <hyperlink r:id="rId485" ref="E490"/>
    <hyperlink r:id="rId486" ref="E491"/>
    <hyperlink r:id="rId487" ref="E492"/>
    <hyperlink r:id="rId488" ref="E493"/>
    <hyperlink r:id="rId489" ref="E494"/>
    <hyperlink r:id="rId490" ref="E495"/>
    <hyperlink r:id="rId491" ref="E496"/>
    <hyperlink r:id="rId492" ref="E497"/>
    <hyperlink r:id="rId493" ref="E498"/>
    <hyperlink r:id="rId494" ref="E499"/>
    <hyperlink r:id="rId495" ref="E500"/>
    <hyperlink r:id="rId496" ref="E501"/>
    <hyperlink r:id="rId497" ref="E502"/>
    <hyperlink r:id="rId498" ref="E503"/>
    <hyperlink r:id="rId499" ref="E504"/>
    <hyperlink r:id="rId500" ref="E505"/>
    <hyperlink r:id="rId501" ref="E506"/>
    <hyperlink r:id="rId502" ref="E507"/>
    <hyperlink r:id="rId503" ref="E508"/>
    <hyperlink r:id="rId504" ref="E509"/>
    <hyperlink r:id="rId505" ref="E510"/>
    <hyperlink r:id="rId506" ref="E511"/>
    <hyperlink r:id="rId507" ref="E512"/>
    <hyperlink r:id="rId508" ref="E513"/>
    <hyperlink r:id="rId509" ref="E514"/>
    <hyperlink r:id="rId510" ref="E515"/>
    <hyperlink r:id="rId511" ref="E516"/>
    <hyperlink r:id="rId512" ref="E517"/>
    <hyperlink r:id="rId513" ref="E518"/>
    <hyperlink r:id="rId514" ref="E519"/>
    <hyperlink r:id="rId515" ref="E520"/>
    <hyperlink r:id="rId516" ref="E521"/>
    <hyperlink r:id="rId517" ref="E522"/>
    <hyperlink r:id="rId518" ref="E523"/>
    <hyperlink r:id="rId519" ref="E524"/>
    <hyperlink r:id="rId520" ref="E525"/>
    <hyperlink r:id="rId521" ref="E526"/>
    <hyperlink r:id="rId522" ref="E527"/>
    <hyperlink r:id="rId523" ref="E528"/>
    <hyperlink r:id="rId524" ref="E529"/>
    <hyperlink r:id="rId525" ref="E530"/>
    <hyperlink r:id="rId526" ref="E531"/>
    <hyperlink r:id="rId527" ref="E532"/>
    <hyperlink r:id="rId528" ref="E533"/>
    <hyperlink r:id="rId529" ref="E534"/>
    <hyperlink r:id="rId530" ref="E535"/>
    <hyperlink r:id="rId531" ref="E536"/>
    <hyperlink r:id="rId532" ref="E537"/>
    <hyperlink r:id="rId533" ref="E538"/>
    <hyperlink r:id="rId534" ref="E539"/>
    <hyperlink r:id="rId535" ref="E540"/>
    <hyperlink r:id="rId536" ref="E541"/>
    <hyperlink r:id="rId537" ref="E542"/>
    <hyperlink r:id="rId538" ref="E543"/>
    <hyperlink r:id="rId539" ref="E544"/>
    <hyperlink r:id="rId540" ref="E545"/>
    <hyperlink r:id="rId541" ref="E546"/>
    <hyperlink r:id="rId542" ref="E547"/>
    <hyperlink r:id="rId543" ref="E548"/>
    <hyperlink r:id="rId544" ref="E549"/>
    <hyperlink r:id="rId545" ref="E550"/>
    <hyperlink r:id="rId546" ref="E551"/>
    <hyperlink r:id="rId547" ref="E552"/>
    <hyperlink r:id="rId548" ref="E553"/>
    <hyperlink r:id="rId549" ref="E554"/>
    <hyperlink r:id="rId550" ref="E555"/>
    <hyperlink r:id="rId551" ref="E556"/>
    <hyperlink r:id="rId552" ref="E557"/>
    <hyperlink r:id="rId553" ref="E558"/>
    <hyperlink r:id="rId554" ref="E559"/>
    <hyperlink r:id="rId555" ref="E560"/>
    <hyperlink r:id="rId556" ref="E561"/>
    <hyperlink r:id="rId557" ref="E562"/>
    <hyperlink r:id="rId558" ref="E563"/>
    <hyperlink r:id="rId559" ref="E564"/>
    <hyperlink r:id="rId560" ref="E565"/>
    <hyperlink r:id="rId561" ref="E566"/>
    <hyperlink r:id="rId562" ref="E567"/>
    <hyperlink r:id="rId563" ref="E568"/>
    <hyperlink r:id="rId564" ref="E569"/>
    <hyperlink r:id="rId565" ref="E570"/>
    <hyperlink r:id="rId566" ref="E571"/>
    <hyperlink r:id="rId567" ref="E572"/>
    <hyperlink r:id="rId568" ref="E573"/>
    <hyperlink r:id="rId569" ref="E574"/>
    <hyperlink r:id="rId570" ref="E575"/>
    <hyperlink r:id="rId571" ref="E576"/>
    <hyperlink r:id="rId572" ref="E577"/>
    <hyperlink r:id="rId573" ref="E578"/>
    <hyperlink r:id="rId574" ref="E579"/>
    <hyperlink r:id="rId575" ref="E580"/>
    <hyperlink r:id="rId576" ref="E581"/>
    <hyperlink r:id="rId577" ref="E582"/>
    <hyperlink r:id="rId578" ref="E583"/>
    <hyperlink r:id="rId579" ref="E584"/>
    <hyperlink r:id="rId580" ref="E585"/>
    <hyperlink r:id="rId581" ref="E586"/>
    <hyperlink r:id="rId582" ref="E587"/>
    <hyperlink r:id="rId583" ref="E588"/>
    <hyperlink r:id="rId584" ref="E589"/>
    <hyperlink r:id="rId585" ref="E590"/>
    <hyperlink r:id="rId586" ref="E591"/>
    <hyperlink r:id="rId587" ref="E592"/>
    <hyperlink r:id="rId588" ref="E593"/>
    <hyperlink r:id="rId589" ref="E594"/>
    <hyperlink r:id="rId590" ref="E595"/>
    <hyperlink r:id="rId591" ref="E596"/>
    <hyperlink r:id="rId592" ref="E597"/>
    <hyperlink r:id="rId593" ref="E598"/>
    <hyperlink r:id="rId594" ref="E599"/>
    <hyperlink r:id="rId595" ref="E600"/>
    <hyperlink r:id="rId596" ref="E601"/>
    <hyperlink r:id="rId597" ref="E602"/>
    <hyperlink r:id="rId598" ref="E603"/>
    <hyperlink r:id="rId599" ref="E604"/>
    <hyperlink r:id="rId600" ref="E605"/>
    <hyperlink r:id="rId601" ref="E606"/>
    <hyperlink r:id="rId602" ref="E607"/>
    <hyperlink r:id="rId603" ref="E608"/>
    <hyperlink r:id="rId604" ref="E609"/>
    <hyperlink r:id="rId605" ref="E610"/>
    <hyperlink r:id="rId606" ref="E611"/>
    <hyperlink r:id="rId607" ref="E612"/>
    <hyperlink r:id="rId608" ref="E613"/>
    <hyperlink r:id="rId609" ref="E614"/>
    <hyperlink r:id="rId610" ref="E615"/>
    <hyperlink r:id="rId611" ref="E616"/>
    <hyperlink r:id="rId612" ref="E617"/>
    <hyperlink r:id="rId613" ref="E618"/>
    <hyperlink r:id="rId614" ref="E619"/>
    <hyperlink r:id="rId615" ref="E620"/>
    <hyperlink r:id="rId616" ref="E621"/>
    <hyperlink r:id="rId617" ref="E622"/>
    <hyperlink r:id="rId618" ref="E623"/>
    <hyperlink r:id="rId619" ref="E624"/>
    <hyperlink r:id="rId620" ref="E625"/>
    <hyperlink r:id="rId621" ref="E626"/>
    <hyperlink r:id="rId622" ref="E627"/>
    <hyperlink r:id="rId623" ref="E628"/>
    <hyperlink r:id="rId624" ref="E629"/>
    <hyperlink r:id="rId625" ref="E630"/>
    <hyperlink r:id="rId626" ref="E631"/>
    <hyperlink r:id="rId627" ref="E632"/>
    <hyperlink r:id="rId628" ref="E633"/>
    <hyperlink r:id="rId629" ref="E634"/>
    <hyperlink r:id="rId630" ref="E635"/>
    <hyperlink r:id="rId631" ref="E636"/>
    <hyperlink r:id="rId632" ref="E637"/>
    <hyperlink r:id="rId633" ref="E638"/>
    <hyperlink r:id="rId634" ref="E639"/>
    <hyperlink r:id="rId635" ref="E640"/>
    <hyperlink r:id="rId636" ref="E641"/>
    <hyperlink r:id="rId637" ref="E642"/>
    <hyperlink r:id="rId638" ref="E643"/>
    <hyperlink r:id="rId639" ref="E644"/>
    <hyperlink r:id="rId640" ref="E645"/>
    <hyperlink r:id="rId641" ref="E646"/>
    <hyperlink r:id="rId642" ref="E647"/>
    <hyperlink r:id="rId643" ref="E648"/>
    <hyperlink r:id="rId644" ref="E649"/>
    <hyperlink r:id="rId645" ref="E650"/>
    <hyperlink r:id="rId646" ref="E651"/>
    <hyperlink r:id="rId647" ref="E652"/>
    <hyperlink r:id="rId648" ref="E653"/>
    <hyperlink r:id="rId649" ref="E654"/>
    <hyperlink r:id="rId650" ref="E655"/>
    <hyperlink r:id="rId651" ref="E656"/>
    <hyperlink r:id="rId652" ref="E657"/>
    <hyperlink r:id="rId653" ref="E658"/>
    <hyperlink r:id="rId654" ref="E659"/>
    <hyperlink r:id="rId655" ref="E660"/>
    <hyperlink r:id="rId656" ref="E661"/>
    <hyperlink r:id="rId657" ref="E662"/>
    <hyperlink r:id="rId658" ref="E663"/>
    <hyperlink r:id="rId659" ref="E664"/>
    <hyperlink r:id="rId660" ref="E665"/>
    <hyperlink r:id="rId661" ref="E666"/>
    <hyperlink r:id="rId662" ref="E667"/>
    <hyperlink r:id="rId663" ref="E668"/>
    <hyperlink r:id="rId664" ref="E669"/>
    <hyperlink r:id="rId665" ref="E670"/>
    <hyperlink r:id="rId666" ref="E671"/>
    <hyperlink r:id="rId667" ref="E672"/>
    <hyperlink r:id="rId668" ref="E673"/>
    <hyperlink r:id="rId669" ref="E674"/>
    <hyperlink r:id="rId670" ref="E675"/>
    <hyperlink r:id="rId671" ref="E676"/>
    <hyperlink r:id="rId672" ref="E677"/>
    <hyperlink r:id="rId673" ref="E678"/>
    <hyperlink r:id="rId674" ref="E679"/>
    <hyperlink r:id="rId675" ref="E680"/>
    <hyperlink r:id="rId676" ref="E681"/>
    <hyperlink r:id="rId677" ref="E682"/>
    <hyperlink r:id="rId678" ref="E683"/>
    <hyperlink r:id="rId679" ref="E684"/>
    <hyperlink r:id="rId680" ref="E685"/>
    <hyperlink r:id="rId681" ref="E686"/>
    <hyperlink r:id="rId682" ref="E688"/>
    <hyperlink r:id="rId683" ref="E689"/>
    <hyperlink r:id="rId684" ref="E690"/>
    <hyperlink r:id="rId685" ref="E691"/>
    <hyperlink r:id="rId686" ref="E692"/>
    <hyperlink r:id="rId687" ref="E693"/>
    <hyperlink r:id="rId688" ref="E694"/>
    <hyperlink r:id="rId689" ref="E695"/>
    <hyperlink r:id="rId690" ref="E696"/>
    <hyperlink r:id="rId691" ref="E697"/>
    <hyperlink r:id="rId692" ref="E698"/>
    <hyperlink r:id="rId693" ref="E699"/>
    <hyperlink r:id="rId694" ref="E700"/>
    <hyperlink r:id="rId695" ref="E701"/>
    <hyperlink r:id="rId696" ref="E702"/>
    <hyperlink r:id="rId697" ref="E703"/>
    <hyperlink r:id="rId698" ref="E704"/>
    <hyperlink r:id="rId699" ref="E705"/>
    <hyperlink r:id="rId700" ref="E706"/>
    <hyperlink r:id="rId701" ref="E707"/>
    <hyperlink r:id="rId702" ref="E708"/>
    <hyperlink r:id="rId703" ref="E709"/>
    <hyperlink r:id="rId704" ref="E710"/>
    <hyperlink r:id="rId705" ref="E711"/>
    <hyperlink r:id="rId706" ref="E712"/>
    <hyperlink r:id="rId707" ref="E713"/>
    <hyperlink r:id="rId708" ref="E714"/>
    <hyperlink r:id="rId709" ref="E715"/>
    <hyperlink r:id="rId710" ref="E716"/>
    <hyperlink r:id="rId711" ref="E717"/>
    <hyperlink r:id="rId712" ref="E718"/>
    <hyperlink r:id="rId713" ref="E719"/>
    <hyperlink r:id="rId714" ref="E720"/>
    <hyperlink r:id="rId715" ref="E721"/>
    <hyperlink r:id="rId716" ref="E722"/>
    <hyperlink r:id="rId717" ref="E723"/>
    <hyperlink r:id="rId718" ref="E724"/>
    <hyperlink r:id="rId719" ref="E725"/>
    <hyperlink r:id="rId720" ref="E726"/>
    <hyperlink r:id="rId721" ref="E727"/>
    <hyperlink r:id="rId722" ref="E728"/>
    <hyperlink r:id="rId723" ref="E729"/>
    <hyperlink r:id="rId724" ref="E730"/>
    <hyperlink r:id="rId725" ref="E731"/>
    <hyperlink r:id="rId726" ref="E732"/>
    <hyperlink r:id="rId727" ref="E733"/>
    <hyperlink r:id="rId728" ref="E734"/>
    <hyperlink r:id="rId729" ref="E735"/>
    <hyperlink r:id="rId730" ref="E736"/>
    <hyperlink r:id="rId731" ref="E737"/>
    <hyperlink r:id="rId732" ref="E738"/>
    <hyperlink r:id="rId733" ref="E739"/>
    <hyperlink r:id="rId734" ref="E740"/>
    <hyperlink r:id="rId735" ref="E741"/>
    <hyperlink r:id="rId736" ref="E742"/>
    <hyperlink r:id="rId737" ref="E743"/>
    <hyperlink r:id="rId738" ref="E744"/>
    <hyperlink r:id="rId739" ref="E745"/>
    <hyperlink r:id="rId740" ref="E746"/>
    <hyperlink r:id="rId741" ref="E747"/>
    <hyperlink r:id="rId742" ref="E748"/>
    <hyperlink r:id="rId743" ref="E749"/>
    <hyperlink r:id="rId744" ref="E750"/>
    <hyperlink r:id="rId745" ref="E751"/>
    <hyperlink r:id="rId746" ref="E752"/>
    <hyperlink r:id="rId747" ref="E753"/>
    <hyperlink r:id="rId748" ref="E754"/>
    <hyperlink r:id="rId749" ref="E755"/>
    <hyperlink r:id="rId750" ref="E756"/>
    <hyperlink r:id="rId751" ref="E757"/>
    <hyperlink r:id="rId752" ref="E758"/>
    <hyperlink r:id="rId753" ref="E759"/>
    <hyperlink r:id="rId754" ref="E760"/>
    <hyperlink r:id="rId755" ref="E761"/>
    <hyperlink r:id="rId756" ref="E762"/>
    <hyperlink r:id="rId757" ref="E763"/>
    <hyperlink r:id="rId758" ref="E764"/>
    <hyperlink r:id="rId759" ref="E765"/>
    <hyperlink r:id="rId760" ref="E766"/>
    <hyperlink r:id="rId761" ref="E767"/>
    <hyperlink r:id="rId762" ref="E768"/>
    <hyperlink r:id="rId763" ref="E769"/>
    <hyperlink r:id="rId764" ref="E770"/>
    <hyperlink r:id="rId765" ref="E771"/>
    <hyperlink r:id="rId766" ref="E772"/>
    <hyperlink r:id="rId767" ref="E773"/>
    <hyperlink r:id="rId768" ref="E774"/>
    <hyperlink r:id="rId769" ref="E775"/>
    <hyperlink r:id="rId770" ref="E776"/>
    <hyperlink r:id="rId771" ref="E777"/>
    <hyperlink r:id="rId772" ref="E778"/>
    <hyperlink r:id="rId773" ref="E779"/>
    <hyperlink r:id="rId774" ref="E780"/>
    <hyperlink r:id="rId775" ref="E781"/>
    <hyperlink r:id="rId776" ref="E822"/>
    <hyperlink r:id="rId777" ref="E959"/>
    <hyperlink r:id="rId778" ref="E960"/>
    <hyperlink r:id="rId779" ref="E961"/>
    <hyperlink r:id="rId780" ref="E962"/>
    <hyperlink r:id="rId781" ref="E963"/>
    <hyperlink r:id="rId782" ref="E964"/>
    <hyperlink r:id="rId783" ref="E965"/>
    <hyperlink r:id="rId784" ref="E966"/>
    <hyperlink r:id="rId785" ref="E970"/>
    <hyperlink r:id="rId786" ref="E971"/>
    <hyperlink r:id="rId787" ref="E972"/>
    <hyperlink r:id="rId788" ref="E973"/>
    <hyperlink r:id="rId789" ref="E1006"/>
    <hyperlink r:id="rId790" ref="E1011"/>
    <hyperlink r:id="rId791" ref="E1012"/>
    <hyperlink r:id="rId792" ref="E1017"/>
    <hyperlink r:id="rId793" ref="E1049"/>
    <hyperlink r:id="rId794" ref="E1069"/>
    <hyperlink r:id="rId795" ref="E1070"/>
    <hyperlink r:id="rId796" ref="E1071"/>
    <hyperlink r:id="rId797" ref="E1072"/>
    <hyperlink r:id="rId798" ref="E1073"/>
    <hyperlink r:id="rId799" ref="E1074"/>
    <hyperlink r:id="rId800" ref="E1100"/>
    <hyperlink r:id="rId801" ref="E1110"/>
    <hyperlink r:id="rId802" ref="E1163"/>
    <hyperlink r:id="rId803" ref="E1164"/>
    <hyperlink r:id="rId804" ref="E1213"/>
    <hyperlink r:id="rId805" ref="E1216"/>
    <hyperlink r:id="rId806" ref="E1217"/>
    <hyperlink r:id="rId807" ref="E1218"/>
    <hyperlink r:id="rId808" ref="E1219"/>
    <hyperlink r:id="rId809" ref="E1220"/>
    <hyperlink r:id="rId810" ref="E1221"/>
    <hyperlink r:id="rId811" ref="E1222"/>
    <hyperlink r:id="rId812" ref="E1223"/>
    <hyperlink r:id="rId813" ref="E1224"/>
    <hyperlink r:id="rId814" ref="E1225"/>
    <hyperlink r:id="rId815" ref="E1226"/>
    <hyperlink r:id="rId816" ref="E1227"/>
    <hyperlink r:id="rId817" ref="E1228"/>
    <hyperlink r:id="rId818" ref="E1229"/>
    <hyperlink r:id="rId819" ref="E1230"/>
    <hyperlink r:id="rId820" ref="E1231"/>
    <hyperlink r:id="rId821" ref="E1232"/>
    <hyperlink r:id="rId822" ref="E1233"/>
    <hyperlink r:id="rId823" ref="E1234"/>
    <hyperlink r:id="rId824" ref="E1235"/>
    <hyperlink r:id="rId825" ref="E1236"/>
    <hyperlink r:id="rId826" ref="E1237"/>
    <hyperlink r:id="rId827" ref="E1238"/>
    <hyperlink r:id="rId828" ref="E1239"/>
    <hyperlink r:id="rId829" ref="E1240"/>
    <hyperlink r:id="rId830" ref="E1241"/>
    <hyperlink r:id="rId831" ref="E1242"/>
    <hyperlink r:id="rId832" ref="E1243"/>
    <hyperlink r:id="rId833" ref="E1244"/>
    <hyperlink r:id="rId834" ref="E1245"/>
    <hyperlink r:id="rId835" ref="E1246"/>
    <hyperlink r:id="rId836" ref="E1247"/>
    <hyperlink r:id="rId837" ref="E1248"/>
    <hyperlink r:id="rId838" ref="E1249"/>
    <hyperlink r:id="rId839" ref="E1250"/>
    <hyperlink r:id="rId840" ref="E1251"/>
    <hyperlink r:id="rId841" ref="E1252"/>
    <hyperlink r:id="rId842" ref="E1253"/>
    <hyperlink r:id="rId843" ref="E1254"/>
    <hyperlink r:id="rId844" ref="E1255"/>
    <hyperlink r:id="rId845" ref="E1256"/>
    <hyperlink r:id="rId846" ref="E1257"/>
    <hyperlink r:id="rId847" ref="E1258"/>
    <hyperlink r:id="rId848" ref="E1259"/>
    <hyperlink r:id="rId849" ref="E1260"/>
    <hyperlink r:id="rId850" ref="E1261"/>
    <hyperlink r:id="rId851" ref="E1262"/>
    <hyperlink r:id="rId852" ref="E1263"/>
    <hyperlink r:id="rId853" ref="E1264"/>
    <hyperlink r:id="rId854" ref="E1265"/>
    <hyperlink r:id="rId855" ref="E1266"/>
    <hyperlink r:id="rId856" ref="E1267"/>
    <hyperlink r:id="rId857" ref="E1268"/>
    <hyperlink r:id="rId858" ref="E1269"/>
    <hyperlink r:id="rId859" ref="E1270"/>
    <hyperlink r:id="rId860" ref="E1271"/>
    <hyperlink r:id="rId861" ref="E1272"/>
    <hyperlink r:id="rId862" ref="E1273"/>
    <hyperlink r:id="rId863" ref="E1274"/>
    <hyperlink r:id="rId864" ref="E1275"/>
    <hyperlink r:id="rId865" ref="E1276"/>
    <hyperlink r:id="rId866" ref="E1277"/>
    <hyperlink r:id="rId867" ref="E1278"/>
    <hyperlink r:id="rId868" ref="E1279"/>
    <hyperlink r:id="rId869" ref="E1280"/>
    <hyperlink r:id="rId870" ref="E1281"/>
    <hyperlink r:id="rId871" ref="E1282"/>
    <hyperlink r:id="rId872" ref="E1283"/>
    <hyperlink r:id="rId873" ref="E1284"/>
    <hyperlink r:id="rId874" ref="E1285"/>
    <hyperlink r:id="rId875" ref="E1286"/>
    <hyperlink r:id="rId876" ref="E1287"/>
    <hyperlink r:id="rId877" ref="E1288"/>
    <hyperlink r:id="rId878" ref="E1289"/>
    <hyperlink r:id="rId879" ref="E1290"/>
    <hyperlink r:id="rId880" ref="E1291"/>
    <hyperlink r:id="rId881" ref="E1292"/>
    <hyperlink r:id="rId882" ref="E1293"/>
    <hyperlink r:id="rId883" ref="E1294"/>
    <hyperlink r:id="rId884" ref="E1295"/>
    <hyperlink r:id="rId885" ref="E1296"/>
    <hyperlink r:id="rId886" ref="E1297"/>
    <hyperlink r:id="rId887" ref="E1298"/>
    <hyperlink r:id="rId888" ref="E1299"/>
    <hyperlink r:id="rId889" ref="E1300"/>
    <hyperlink r:id="rId890" ref="E1301"/>
    <hyperlink r:id="rId891" ref="E1302"/>
    <hyperlink r:id="rId892" ref="E1303"/>
    <hyperlink r:id="rId893" ref="E1304"/>
    <hyperlink r:id="rId894" ref="E1305"/>
    <hyperlink r:id="rId895" ref="E1306"/>
    <hyperlink r:id="rId896" ref="E1307"/>
    <hyperlink r:id="rId897" ref="E1308"/>
    <hyperlink r:id="rId898" ref="E1309"/>
  </hyperlinks>
  <drawing r:id="rId899"/>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1" t="str">
        <f>IFERROR(__xludf.DUMMYFUNCTION("QUERY(
  {
    'faq（共通）'!A:E;
    'faq（川崎駅前）'!A:E
  },
  ""where Col1 is not null"",
  0
)
"),"question")</f>
        <v>question</v>
      </c>
      <c r="B1" s="31" t="str">
        <f>IFERROR(__xludf.DUMMYFUNCTION("""COMPUTED_VALUE"""),"answer")</f>
        <v>answer</v>
      </c>
      <c r="C1" s="31" t="str">
        <f>IFERROR(__xludf.DUMMYFUNCTION("""COMPUTED_VALUE"""),"category")</f>
        <v>category</v>
      </c>
      <c r="D1" s="31" t="str">
        <f>IFERROR(__xludf.DUMMYFUNCTION("""COMPUTED_VALUE"""),"keywords")</f>
        <v>keywords</v>
      </c>
      <c r="E1" s="31" t="str">
        <f>IFERROR(__xludf.DUMMYFUNCTION("""COMPUTED_VALUE"""),"source_url")</f>
        <v>source_url</v>
      </c>
    </row>
    <row r="2">
      <c r="A2" s="31" t="str">
        <f>IFERROR(__xludf.DUMMYFUNCTION("""COMPUTED_VALUE"""),"どんな想いで運営しているクリニックですか？")</f>
        <v>どんな想いで運営しているクリニックですか？</v>
      </c>
      <c r="B2" s="31" t="str">
        <f>IFERROR(__xludf.DUMMYFUNCTION("""COMPUTED_VALUE"""),"ルナレディースクリニックでは、忙しい毎日の中でもご自身のカラダと向き合いたい女性が、もっと身近に、もっと気軽に通えるクリニックを目指しています。ひとりひとりの悩みや気持ちに寄り添いながら、ご利用いただける環境づくりを大切にしています。")</f>
        <v>ルナレディースクリニックでは、忙しい毎日の中でもご自身のカラダと向き合いたい女性が、もっと身近に、もっと気軽に通えるクリニックを目指しています。ひとりひとりの悩みや気持ちに寄り添いながら、ご利用いただける環境づくりを大切にしています。</v>
      </c>
      <c r="C2" s="31" t="str">
        <f>IFERROR(__xludf.DUMMYFUNCTION("""COMPUTED_VALUE"""),"クリニックについて")</f>
        <v>クリニックについて</v>
      </c>
      <c r="D2" s="31" t="str">
        <f>IFERROR(__xludf.DUMMYFUNCTION("""COMPUTED_VALUE"""),"コンセプト,想い,特徴")</f>
        <v>コンセプト,想い,特徴</v>
      </c>
      <c r="E2" s="32" t="str">
        <f>IFERROR(__xludf.DUMMYFUNCTION("""COMPUTED_VALUE"""),"https://luna-dr.com/")</f>
        <v>https://luna-dr.com/</v>
      </c>
    </row>
    <row r="3">
      <c r="A3" s="31" t="str">
        <f>IFERROR(__xludf.DUMMYFUNCTION("""COMPUTED_VALUE"""),"仕事やプライベートが忙しくても通えますか？")</f>
        <v>仕事やプライベートが忙しくても通えますか？</v>
      </c>
      <c r="B3" s="31" t="str">
        <f>IFERROR(__xludf.DUMMYFUNCTION("""COMPUTED_VALUE"""),"ルナレディースクリニックでは、ライフスタイルに合わせて通っていただけるよう、オンライン診療やLINE予約などを取り入れています。忙しい方でもご利用しやすい体制を整えています。")</f>
        <v>ルナレディースクリニックでは、ライフスタイルに合わせて通っていただけるよう、オンライン診療やLINE予約などを取り入れています。忙しい方でもご利用しやすい体制を整えています。</v>
      </c>
      <c r="C3" s="31" t="str">
        <f>IFERROR(__xludf.DUMMYFUNCTION("""COMPUTED_VALUE"""),"クリニックについて")</f>
        <v>クリニックについて</v>
      </c>
      <c r="D3" s="31" t="str">
        <f>IFERROR(__xludf.DUMMYFUNCTION("""COMPUTED_VALUE"""),"通いやすさ,忙しい,オンライン診療")</f>
        <v>通いやすさ,忙しい,オンライン診療</v>
      </c>
      <c r="E3" s="32" t="str">
        <f>IFERROR(__xludf.DUMMYFUNCTION("""COMPUTED_VALUE"""),"https://luna-dr.com/")</f>
        <v>https://luna-dr.com/</v>
      </c>
    </row>
    <row r="4">
      <c r="A4" s="31" t="str">
        <f>IFERROR(__xludf.DUMMYFUNCTION("""COMPUTED_VALUE"""),"プライバシーへの配慮はされていますか？")</f>
        <v>プライバシーへの配慮はされていますか？</v>
      </c>
      <c r="B4" s="31" t="str">
        <f>IFERROR(__xludf.DUMMYFUNCTION("""COMPUTED_VALUE"""),"ルナレディースクリニックでは、患者さまが安心してご相談いただけるよう、プライバシーに配慮した院内環境を整えています。")</f>
        <v>ルナレディースクリニックでは、患者さまが安心してご相談いただけるよう、プライバシーに配慮した院内環境を整えています。</v>
      </c>
      <c r="C4" s="31" t="str">
        <f>IFERROR(__xludf.DUMMYFUNCTION("""COMPUTED_VALUE"""),"クリニックについて")</f>
        <v>クリニックについて</v>
      </c>
      <c r="D4" s="31" t="str">
        <f>IFERROR(__xludf.DUMMYFUNCTION("""COMPUTED_VALUE"""),"プライバシー,院内環境")</f>
        <v>プライバシー,院内環境</v>
      </c>
      <c r="E4" s="32" t="str">
        <f>IFERROR(__xludf.DUMMYFUNCTION("""COMPUTED_VALUE"""),"https://luna-dr.com/")</f>
        <v>https://luna-dr.com/</v>
      </c>
    </row>
    <row r="5">
      <c r="A5" s="31" t="str">
        <f>IFERROR(__xludf.DUMMYFUNCTION("""COMPUTED_VALUE"""),"オンライン診療には対応していますか？")</f>
        <v>オンライン診療には対応していますか？</v>
      </c>
      <c r="B5" s="31" t="str">
        <f>IFERROR(__xludf.DUMMYFUNCTION("""COMPUTED_VALUE"""),"ルナレディースクリニックでは、スマートフォンを使って自宅から受診できるオンライン診療を行っています。来院が難しい場合でもご相談いただけます。")</f>
        <v>ルナレディースクリニックでは、スマートフォンを使って自宅から受診できるオンライン診療を行っています。来院が難しい場合でもご相談いただけます。</v>
      </c>
      <c r="C5" s="31" t="str">
        <f>IFERROR(__xludf.DUMMYFUNCTION("""COMPUTED_VALUE"""),"オンライン診療")</f>
        <v>オンライン診療</v>
      </c>
      <c r="D5" s="31" t="str">
        <f>IFERROR(__xludf.DUMMYFUNCTION("""COMPUTED_VALUE"""),"オンライン診療,スマホ診療")</f>
        <v>オンライン診療,スマホ診療</v>
      </c>
      <c r="E5" s="32" t="str">
        <f>IFERROR(__xludf.DUMMYFUNCTION("""COMPUTED_VALUE"""),"https://luna-dr.com/")</f>
        <v>https://luna-dr.com/</v>
      </c>
    </row>
    <row r="6">
      <c r="A6" s="31" t="str">
        <f>IFERROR(__xludf.DUMMYFUNCTION("""COMPUTED_VALUE"""),"オンライン診療では待ち時間はありますか？")</f>
        <v>オンライン診療では待ち時間はありますか？</v>
      </c>
      <c r="B6" s="31" t="str">
        <f>IFERROR(__xludf.DUMMYFUNCTION("""COMPUTED_VALUE"""),"ルナレディースクリニックでは、事前にWEB問診を行っていただくことで、待ち時間の短縮を目指しています。")</f>
        <v>ルナレディースクリニックでは、事前にWEB問診を行っていただくことで、待ち時間の短縮を目指しています。</v>
      </c>
      <c r="C6" s="31" t="str">
        <f>IFERROR(__xludf.DUMMYFUNCTION("""COMPUTED_VALUE"""),"オンライン診療")</f>
        <v>オンライン診療</v>
      </c>
      <c r="D6" s="31" t="str">
        <f>IFERROR(__xludf.DUMMYFUNCTION("""COMPUTED_VALUE"""),"待ち時間,WEB問診")</f>
        <v>待ち時間,WEB問診</v>
      </c>
      <c r="E6" s="32" t="str">
        <f>IFERROR(__xludf.DUMMYFUNCTION("""COMPUTED_VALUE"""),"https://luna-dr.com/")</f>
        <v>https://luna-dr.com/</v>
      </c>
    </row>
    <row r="7">
      <c r="A7" s="31" t="str">
        <f>IFERROR(__xludf.DUMMYFUNCTION("""COMPUTED_VALUE"""),"予約はどこからできますか？/予約はどのようにできますか？")</f>
        <v>予約はどこからできますか？/予約はどのようにできますか？</v>
      </c>
      <c r="B7" s="31" t="str">
        <f>IFERROR(__xludf.DUMMYFUNCTION("""COMPUTED_VALUE"""),"ルナレディースクリニックでは、LINE予約を受け付けています。LINEはこちら→https://cline-app.com/qr-codes/98ad6f149bfa20f4f2a9a2e91aac4187/preview")</f>
        <v>ルナレディースクリニックでは、LINE予約を受け付けています。LINEはこちら→https://cline-app.com/qr-codes/98ad6f149bfa20f4f2a9a2e91aac4187/preview</v>
      </c>
      <c r="C7" s="31" t="str">
        <f>IFERROR(__xludf.DUMMYFUNCTION("""COMPUTED_VALUE"""),"予約・導線")</f>
        <v>予約・導線</v>
      </c>
      <c r="D7" s="31" t="str">
        <f>IFERROR(__xludf.DUMMYFUNCTION("""COMPUTED_VALUE"""),"予約,LINE予約,全院共通")</f>
        <v>予約,LINE予約,全院共通</v>
      </c>
      <c r="E7" s="32" t="str">
        <f>IFERROR(__xludf.DUMMYFUNCTION("""COMPUTED_VALUE"""),"https://luna-dr.com/")</f>
        <v>https://luna-dr.com/</v>
      </c>
    </row>
    <row r="8">
      <c r="A8" s="31" t="str">
        <f>IFERROR(__xludf.DUMMYFUNCTION("""COMPUTED_VALUE"""),"町田駅前院の予約方法を教えてください")</f>
        <v>町田駅前院の予約方法を教えてください</v>
      </c>
      <c r="B8" s="31" t="str">
        <f>IFERROR(__xludf.DUMMYFUNCTION("""COMPUTED_VALUE"""),"ルナレディースクリニック町田駅前院では、LINEから24時間いつでもご予約いただけます。LINEはこちら→https://cline-app.com/qr-codes/98ad6f149bfa20f4f2a9a2e91aac4187/preview")</f>
        <v>ルナレディースクリニック町田駅前院では、LINEから24時間いつでもご予約いただけます。LINEはこちら→https://cline-app.com/qr-codes/98ad6f149bfa20f4f2a9a2e91aac4187/preview</v>
      </c>
      <c r="C8" s="31" t="str">
        <f>IFERROR(__xludf.DUMMYFUNCTION("""COMPUTED_VALUE"""),"予約・導線")</f>
        <v>予約・導線</v>
      </c>
      <c r="D8" s="31" t="str">
        <f>IFERROR(__xludf.DUMMYFUNCTION("""COMPUTED_VALUE"""),"町田,予約,LINE予約")</f>
        <v>町田,予約,LINE予約</v>
      </c>
      <c r="E8" s="32" t="str">
        <f>IFERROR(__xludf.DUMMYFUNCTION("""COMPUTED_VALUE"""),"https://cline-app.com/qr-codes/98ad6f149bfa20f4f2a9a2e91aac4187/preview")</f>
        <v>https://cline-app.com/qr-codes/98ad6f149bfa20f4f2a9a2e91aac4187/preview</v>
      </c>
    </row>
    <row r="9">
      <c r="A9" s="31" t="str">
        <f>IFERROR(__xludf.DUMMYFUNCTION("""COMPUTED_VALUE"""),"横浜駅前院の予約方法を教えてください")</f>
        <v>横浜駅前院の予約方法を教えてください</v>
      </c>
      <c r="B9" s="31" t="str">
        <f>IFERROR(__xludf.DUMMYFUNCTION("""COMPUTED_VALUE"""),"ルナレディースクリニック横浜駅前院では、LINEを利用した予約を受け付けています。LINEはこちら→https://cline-app.com/qr-codes/98ad6f149bfa20f4f2a9a2e91aac4187/preview")</f>
        <v>ルナレディースクリニック横浜駅前院では、LINEを利用した予約を受け付けています。LINEはこちら→https://cline-app.com/qr-codes/98ad6f149bfa20f4f2a9a2e91aac4187/preview</v>
      </c>
      <c r="C9" s="31" t="str">
        <f>IFERROR(__xludf.DUMMYFUNCTION("""COMPUTED_VALUE"""),"予約・導線")</f>
        <v>予約・導線</v>
      </c>
      <c r="D9" s="31" t="str">
        <f>IFERROR(__xludf.DUMMYFUNCTION("""COMPUTED_VALUE"""),"横浜,予約,LINE予約")</f>
        <v>横浜,予約,LINE予約</v>
      </c>
      <c r="E9" s="32" t="str">
        <f>IFERROR(__xludf.DUMMYFUNCTION("""COMPUTED_VALUE"""),"https://cline-app.com/qr-codes/98ad6f149bfa20f4f2a9a2e91aac4187/preview")</f>
        <v>https://cline-app.com/qr-codes/98ad6f149bfa20f4f2a9a2e91aac4187/preview</v>
      </c>
    </row>
    <row r="10">
      <c r="A10" s="31" t="str">
        <f>IFERROR(__xludf.DUMMYFUNCTION("""COMPUTED_VALUE"""),"川崎駅前院の予約方法を教えてください")</f>
        <v>川崎駅前院の予約方法を教えてください</v>
      </c>
      <c r="B10" s="31" t="str">
        <f>IFERROR(__xludf.DUMMYFUNCTION("""COMPUTED_VALUE"""),"ルナレディースクリニック川崎駅前院では、LINEから簡単にご予約いただけます。LINEはこちら→https://cline-app.com/qr-codes/98ad6f149bfa20f4f2a9a2e91aac4187/preview")</f>
        <v>ルナレディースクリニック川崎駅前院では、LINEから簡単にご予約いただけます。LINEはこちら→https://cline-app.com/qr-codes/98ad6f149bfa20f4f2a9a2e91aac4187/preview</v>
      </c>
      <c r="C10" s="31" t="str">
        <f>IFERROR(__xludf.DUMMYFUNCTION("""COMPUTED_VALUE"""),"予約・導線")</f>
        <v>予約・導線</v>
      </c>
      <c r="D10" s="31" t="str">
        <f>IFERROR(__xludf.DUMMYFUNCTION("""COMPUTED_VALUE"""),"川崎,予約,LINE予約")</f>
        <v>川崎,予約,LINE予約</v>
      </c>
      <c r="E10" s="32" t="str">
        <f>IFERROR(__xludf.DUMMYFUNCTION("""COMPUTED_VALUE"""),"https://cline-app.com/qr-codes/98ad6f149bfa20f4f2a9a2e91aac4187/preview")</f>
        <v>https://cline-app.com/qr-codes/98ad6f149bfa20f4f2a9a2e91aac4187/preview</v>
      </c>
    </row>
    <row r="11">
      <c r="A11" s="31" t="str">
        <f>IFERROR(__xludf.DUMMYFUNCTION("""COMPUTED_VALUE"""),"どの院を予約すればよいか迷っています")</f>
        <v>どの院を予約すればよいか迷っています</v>
      </c>
      <c r="B11" s="31" t="str">
        <f>IFERROR(__xludf.DUMMYFUNCTION("""COMPUTED_VALUE"""),"ルナレディースクリニックでは、町田駅前院・横浜駅前院・川崎駅前院がございます。ご自宅・職場から通いやすい院をご選択ください。診療内容によってはご自宅でも受けられるオンライン診療をご提供しております。")</f>
        <v>ルナレディースクリニックでは、町田駅前院・横浜駅前院・川崎駅前院がございます。ご自宅・職場から通いやすい院をご選択ください。診療内容によってはご自宅でも受けられるオンライン診療をご提供しております。</v>
      </c>
      <c r="C11" s="31" t="str">
        <f>IFERROR(__xludf.DUMMYFUNCTION("""COMPUTED_VALUE"""),"予約・導線")</f>
        <v>予約・導線</v>
      </c>
      <c r="D11" s="31" t="str">
        <f>IFERROR(__xludf.DUMMYFUNCTION("""COMPUTED_VALUE"""),"院選択,どこで予約")</f>
        <v>院選択,どこで予約</v>
      </c>
      <c r="E11" s="32" t="str">
        <f>IFERROR(__xludf.DUMMYFUNCTION("""COMPUTED_VALUE"""),"https://luna-dr.com/")</f>
        <v>https://luna-dr.com/</v>
      </c>
    </row>
    <row r="12">
      <c r="A12" s="31" t="str">
        <f>IFERROR(__xludf.DUMMYFUNCTION("""COMPUTED_VALUE"""),"クリニックは駅から近いですか？")</f>
        <v>クリニックは駅から近いですか？</v>
      </c>
      <c r="B12" s="31" t="str">
        <f>IFERROR(__xludf.DUMMYFUNCTION("""COMPUTED_VALUE"""),"ルナレディースクリニックは、すべての院が最寄り駅から徒歩5分以内の場所にあります。通いやすい立地です。")</f>
        <v>ルナレディースクリニックは、すべての院が最寄り駅から徒歩5分以内の場所にあります。通いやすい立地です。</v>
      </c>
      <c r="C12" s="31" t="str">
        <f>IFERROR(__xludf.DUMMYFUNCTION("""COMPUTED_VALUE"""),"アクセス")</f>
        <v>アクセス</v>
      </c>
      <c r="D12" s="31" t="str">
        <f>IFERROR(__xludf.DUMMYFUNCTION("""COMPUTED_VALUE"""),"駅チカ,徒歩5分以内")</f>
        <v>駅チカ,徒歩5分以内</v>
      </c>
      <c r="E12" s="32" t="str">
        <f>IFERROR(__xludf.DUMMYFUNCTION("""COMPUTED_VALUE"""),"https://luna-dr.com/")</f>
        <v>https://luna-dr.com/</v>
      </c>
    </row>
    <row r="13">
      <c r="A13" s="31" t="str">
        <f>IFERROR(__xludf.DUMMYFUNCTION("""COMPUTED_VALUE"""),"どんな診療を行っていますか？/受け付けてる診察内容を教えてください")</f>
        <v>どんな診療を行っていますか？/受け付けてる診察内容を教えてください</v>
      </c>
      <c r="B13" s="31" t="str">
        <f>IFERROR(__xludf.DUMMYFUNCTION("""COMPUTED_VALUE"""),"ルナレディースクリニックでは、ピルの処方、低用量ピル、月経移動、ブライダルチェック、生理不順、生理痛、おりもの検査、不正出血、妊娠検査、女性の検診・検査、中絶、アフターピル、IUS（子宮内システム）、HPVワクチン（子宮頸がんワクチン）、性感染症に対応しています。
※乳房に関する診療、更年期障害の治療、不妊治療は行っていません。")</f>
        <v>ルナレディースクリニックでは、ピルの処方、低用量ピル、月経移動、ブライダルチェック、生理不順、生理痛、おりもの検査、不正出血、妊娠検査、女性の検診・検査、中絶、アフターピル、IUS（子宮内システム）、HPVワクチン（子宮頸がんワクチン）、性感染症に対応しています。
※乳房に関する診療、更年期障害の治療、不妊治療は行っていません。</v>
      </c>
      <c r="C13" s="31" t="str">
        <f>IFERROR(__xludf.DUMMYFUNCTION("""COMPUTED_VALUE"""),"診療内容")</f>
        <v>診療内容</v>
      </c>
      <c r="D13" s="31" t="str">
        <f>IFERROR(__xludf.DUMMYFUNCTION("""COMPUTED_VALUE"""),"診療内容,対応している治療,婦人科")</f>
        <v>診療内容,対応している治療,婦人科</v>
      </c>
      <c r="E13" s="32" t="str">
        <f>IFERROR(__xludf.DUMMYFUNCTION("""COMPUTED_VALUE"""),"https://luna-dr.com/")</f>
        <v>https://luna-dr.com/</v>
      </c>
    </row>
    <row r="14">
      <c r="A14" s="31" t="str">
        <f>IFERROR(__xludf.DUMMYFUNCTION("""COMPUTED_VALUE"""),"生理に関する相談はできますか？")</f>
        <v>生理に関する相談はできますか？</v>
      </c>
      <c r="B14" s="31" t="str">
        <f>IFERROR(__xludf.DUMMYFUNCTION("""COMPUTED_VALUE"""),"ルナレディースクリニックでは、生理不順や生理痛、月経移動など、生理に関するお悩みのご相談を受け付けています。")</f>
        <v>ルナレディースクリニックでは、生理不順や生理痛、月経移動など、生理に関するお悩みのご相談を受け付けています。</v>
      </c>
      <c r="C14" s="31" t="str">
        <f>IFERROR(__xludf.DUMMYFUNCTION("""COMPUTED_VALUE"""),"診療内容")</f>
        <v>診療内容</v>
      </c>
      <c r="D14" s="31" t="str">
        <f>IFERROR(__xludf.DUMMYFUNCTION("""COMPUTED_VALUE"""),"生理,月経,生理痛")</f>
        <v>生理,月経,生理痛</v>
      </c>
      <c r="E14" s="32" t="str">
        <f>IFERROR(__xludf.DUMMYFUNCTION("""COMPUTED_VALUE"""),"https://luna-dr.com/subjects/menstrual-pain/")</f>
        <v>https://luna-dr.com/subjects/menstrual-pain/</v>
      </c>
    </row>
    <row r="15">
      <c r="A15" s="31" t="str">
        <f>IFERROR(__xludf.DUMMYFUNCTION("""COMPUTED_VALUE"""),"生理不順の相談はできますか？")</f>
        <v>生理不順の相談はできますか？</v>
      </c>
      <c r="B15" s="31" t="str">
        <f>IFERROR(__xludf.DUMMYFUNCTION("""COMPUTED_VALUE"""),"ルナレディースクリニックでは、生理不順に関するご相談を行っています。")</f>
        <v>ルナレディースクリニックでは、生理不順に関するご相談を行っています。</v>
      </c>
      <c r="C15" s="31" t="str">
        <f>IFERROR(__xludf.DUMMYFUNCTION("""COMPUTED_VALUE"""),"診療内容")</f>
        <v>診療内容</v>
      </c>
      <c r="D15" s="31" t="str">
        <f>IFERROR(__xludf.DUMMYFUNCTION("""COMPUTED_VALUE"""),"生理不順,月経")</f>
        <v>生理不順,月経</v>
      </c>
      <c r="E15" s="32" t="str">
        <f>IFERROR(__xludf.DUMMYFUNCTION("""COMPUTED_VALUE"""),"https://luna-dr.com/subjects/menstrual-irregularity/")</f>
        <v>https://luna-dr.com/subjects/menstrual-irregularity/</v>
      </c>
    </row>
    <row r="16">
      <c r="A16" s="31" t="str">
        <f>IFERROR(__xludf.DUMMYFUNCTION("""COMPUTED_VALUE"""),"生理痛について相談できますか？")</f>
        <v>生理痛について相談できますか？</v>
      </c>
      <c r="B16" s="31" t="str">
        <f>IFERROR(__xludf.DUMMYFUNCTION("""COMPUTED_VALUE"""),"ルナレディースクリニックでは、生理痛に関するご相談を受け付けています。")</f>
        <v>ルナレディースクリニックでは、生理痛に関するご相談を受け付けています。</v>
      </c>
      <c r="C16" s="31" t="str">
        <f>IFERROR(__xludf.DUMMYFUNCTION("""COMPUTED_VALUE"""),"診療内容")</f>
        <v>診療内容</v>
      </c>
      <c r="D16" s="31" t="str">
        <f>IFERROR(__xludf.DUMMYFUNCTION("""COMPUTED_VALUE"""),"生理痛,月経")</f>
        <v>生理痛,月経</v>
      </c>
      <c r="E16" s="32" t="str">
        <f>IFERROR(__xludf.DUMMYFUNCTION("""COMPUTED_VALUE"""),"https://luna-dr.com/subjects/menstrual-pain/")</f>
        <v>https://luna-dr.com/subjects/menstrual-pain/</v>
      </c>
    </row>
    <row r="17">
      <c r="A17" s="31" t="str">
        <f>IFERROR(__xludf.DUMMYFUNCTION("""COMPUTED_VALUE"""),"中絶の相談はできますか？")</f>
        <v>中絶の相談はできますか？</v>
      </c>
      <c r="B17" s="31" t="str">
        <f>IFERROR(__xludf.DUMMYFUNCTION("""COMPUTED_VALUE"""),"ルナレディースクリニックでは、中絶に関するご相談を行っています。")</f>
        <v>ルナレディースクリニックでは、中絶に関するご相談を行っています。</v>
      </c>
      <c r="C17" s="31" t="str">
        <f>IFERROR(__xludf.DUMMYFUNCTION("""COMPUTED_VALUE"""),"診療内容")</f>
        <v>診療内容</v>
      </c>
      <c r="D17" s="31" t="str">
        <f>IFERROR(__xludf.DUMMYFUNCTION("""COMPUTED_VALUE"""),"中絶,妊娠")</f>
        <v>中絶,妊娠</v>
      </c>
      <c r="E17" s="32" t="str">
        <f>IFERROR(__xludf.DUMMYFUNCTION("""COMPUTED_VALUE"""),"https://luna-dr.com/subjects/abortion_page/")</f>
        <v>https://luna-dr.com/subjects/abortion_page/</v>
      </c>
    </row>
    <row r="18">
      <c r="A18" s="31" t="str">
        <f>IFERROR(__xludf.DUMMYFUNCTION("""COMPUTED_VALUE"""),"ピルや避妊の相談はできますか？")</f>
        <v>ピルや避妊の相談はできますか？</v>
      </c>
      <c r="B18" s="31" t="str">
        <f>IFERROR(__xludf.DUMMYFUNCTION("""COMPUTED_VALUE"""),"ルナレディースクリニックでは、低用量ピルやアフターピル、IUSなど、ピルや避妊に関するご相談を行っています。")</f>
        <v>ルナレディースクリニックでは、低用量ピルやアフターピル、IUSなど、ピルや避妊に関するご相談を行っています。</v>
      </c>
      <c r="C18" s="31" t="str">
        <f>IFERROR(__xludf.DUMMYFUNCTION("""COMPUTED_VALUE"""),"診療内容")</f>
        <v>診療内容</v>
      </c>
      <c r="D18" s="31" t="str">
        <f>IFERROR(__xludf.DUMMYFUNCTION("""COMPUTED_VALUE"""),"ピル,避妊,低用量ピル")</f>
        <v>ピル,避妊,低用量ピル</v>
      </c>
      <c r="E18" s="32" t="str">
        <f>IFERROR(__xludf.DUMMYFUNCTION("""COMPUTED_VALUE"""),"https://luna-dr.com/subjects/pill-prescription/")</f>
        <v>https://luna-dr.com/subjects/pill-prescription/</v>
      </c>
    </row>
    <row r="19">
      <c r="A19" s="31" t="str">
        <f>IFERROR(__xludf.DUMMYFUNCTION("""COMPUTED_VALUE"""),"アフターピルの相談はできますか？")</f>
        <v>アフターピルの相談はできますか？</v>
      </c>
      <c r="B19" s="31" t="str">
        <f>IFERROR(__xludf.DUMMYFUNCTION("""COMPUTED_VALUE"""),"ルナレディースクリニックでは、アフターピルについてのご相談と処方を行っています。")</f>
        <v>ルナレディースクリニックでは、アフターピルについてのご相談と処方を行っています。</v>
      </c>
      <c r="C19" s="31" t="str">
        <f>IFERROR(__xludf.DUMMYFUNCTION("""COMPUTED_VALUE"""),"診療内容")</f>
        <v>診療内容</v>
      </c>
      <c r="D19" s="31" t="str">
        <f>IFERROR(__xludf.DUMMYFUNCTION("""COMPUTED_VALUE"""),"アフターピル,緊急避妊")</f>
        <v>アフターピル,緊急避妊</v>
      </c>
      <c r="E19" s="32" t="str">
        <f>IFERROR(__xludf.DUMMYFUNCTION("""COMPUTED_VALUE"""),"https://luna-dr.com/subjects/after-pill_page/")</f>
        <v>https://luna-dr.com/subjects/after-pill_page/</v>
      </c>
    </row>
    <row r="20">
      <c r="A20" s="31" t="str">
        <f>IFERROR(__xludf.DUMMYFUNCTION("""COMPUTED_VALUE"""),"低用量ピルの相談はできますか？")</f>
        <v>低用量ピルの相談はできますか？</v>
      </c>
      <c r="B20" s="31" t="str">
        <f>IFERROR(__xludf.DUMMYFUNCTION("""COMPUTED_VALUE"""),"ルナレディースクリニックでは、低用量ピルについてのご相談と処方を行っています。")</f>
        <v>ルナレディースクリニックでは、低用量ピルについてのご相談と処方を行っています。</v>
      </c>
      <c r="C20" s="31" t="str">
        <f>IFERROR(__xludf.DUMMYFUNCTION("""COMPUTED_VALUE"""),"診療内容")</f>
        <v>診療内容</v>
      </c>
      <c r="D20" s="31" t="str">
        <f>IFERROR(__xludf.DUMMYFUNCTION("""COMPUTED_VALUE"""),"低用量ピル,ピル")</f>
        <v>低用量ピル,ピル</v>
      </c>
      <c r="E20" s="32" t="str">
        <f>IFERROR(__xludf.DUMMYFUNCTION("""COMPUTED_VALUE"""),"https://luna-dr.com/subjects/low-dose-contraceptive/")</f>
        <v>https://luna-dr.com/subjects/low-dose-contraceptive/</v>
      </c>
    </row>
    <row r="21">
      <c r="A21" s="31" t="str">
        <f>IFERROR(__xludf.DUMMYFUNCTION("""COMPUTED_VALUE"""),"ピルの処方は行っていますか？")</f>
        <v>ピルの処方は行っていますか？</v>
      </c>
      <c r="B21" s="31" t="str">
        <f>IFERROR(__xludf.DUMMYFUNCTION("""COMPUTED_VALUE"""),"ルナレディースクリニックでは、ピルの処方に対応しています。ご相談内容に応じて診察を行っています。")</f>
        <v>ルナレディースクリニックでは、ピルの処方に対応しています。ご相談内容に応じて診察を行っています。</v>
      </c>
      <c r="C21" s="31" t="str">
        <f>IFERROR(__xludf.DUMMYFUNCTION("""COMPUTED_VALUE"""),"診療内容")</f>
        <v>診療内容</v>
      </c>
      <c r="D21" s="31" t="str">
        <f>IFERROR(__xludf.DUMMYFUNCTION("""COMPUTED_VALUE"""),"ピル,処方")</f>
        <v>ピル,処方</v>
      </c>
      <c r="E21" s="32" t="str">
        <f>IFERROR(__xludf.DUMMYFUNCTION("""COMPUTED_VALUE"""),"https://luna-dr.com/subjects/pill-prescription/")</f>
        <v>https://luna-dr.com/subjects/pill-prescription/</v>
      </c>
    </row>
    <row r="22">
      <c r="A22" s="31" t="str">
        <f>IFERROR(__xludf.DUMMYFUNCTION("""COMPUTED_VALUE"""),"月経移動の相談はできますか？")</f>
        <v>月経移動の相談はできますか？</v>
      </c>
      <c r="B22" s="31" t="str">
        <f>IFERROR(__xludf.DUMMYFUNCTION("""COMPUTED_VALUE"""),"ルナレディースクリニックでは、月経移動に関するご相談を受け付けています。")</f>
        <v>ルナレディースクリニックでは、月経移動に関するご相談を受け付けています。</v>
      </c>
      <c r="C22" s="31" t="str">
        <f>IFERROR(__xludf.DUMMYFUNCTION("""COMPUTED_VALUE"""),"診療内容")</f>
        <v>診療内容</v>
      </c>
      <c r="D22" s="31" t="str">
        <f>IFERROR(__xludf.DUMMYFUNCTION("""COMPUTED_VALUE"""),"月経移動,生理調整")</f>
        <v>月経移動,生理調整</v>
      </c>
      <c r="E22" s="32" t="str">
        <f>IFERROR(__xludf.DUMMYFUNCTION("""COMPUTED_VALUE"""),"https://luna-dr.com/subjects/menstrual-manipulation/")</f>
        <v>https://luna-dr.com/subjects/menstrual-manipulation/</v>
      </c>
    </row>
    <row r="23">
      <c r="A23" s="31" t="str">
        <f>IFERROR(__xludf.DUMMYFUNCTION("""COMPUTED_VALUE"""),"おりものの検査はできますか？/おりもの検査の診察もしてますか？/おりものが気になるので検査したい/おりものの検査は来院が必要ですか？")</f>
        <v>おりものの検査はできますか？/おりもの検査の診察もしてますか？/おりものが気になるので検査したい/おりものの検査は来院が必要ですか？</v>
      </c>
      <c r="B23" s="31" t="str">
        <f>IFERROR(__xludf.DUMMYFUNCTION("""COMPUTED_VALUE"""),"ルナレディースクリニックでは、おりもの検査を行っています。来院での検査のほか、ご自宅で検査できる郵送検査キット「FemCHECK（フェムチェック）」もご利用いただけます。症状について直接医師に相談したい方は来院での受診をおすすめしております。")</f>
        <v>ルナレディースクリニックでは、おりもの検査を行っています。来院での検査のほか、ご自宅で検査できる郵送検査キット「FemCHECK（フェムチェック）」もご利用いただけます。症状について直接医師に相談したい方は来院での受診をおすすめしております。</v>
      </c>
      <c r="C23" s="31" t="str">
        <f>IFERROR(__xludf.DUMMYFUNCTION("""COMPUTED_VALUE"""),"診療内容")</f>
        <v>診療内容</v>
      </c>
      <c r="D23" s="31" t="str">
        <f>IFERROR(__xludf.DUMMYFUNCTION("""COMPUTED_VALUE"""),"おりもの検査,症状,FemCHECK,来院,郵送検査")</f>
        <v>おりもの検査,症状,FemCHECK,来院,郵送検査</v>
      </c>
      <c r="E23" s="32" t="str">
        <f>IFERROR(__xludf.DUMMYFUNCTION("""COMPUTED_VALUE"""),"https://luna-dr.com/subjects/abnormal-vaginal-discharge/")</f>
        <v>https://luna-dr.com/subjects/abnormal-vaginal-discharge/</v>
      </c>
    </row>
    <row r="24">
      <c r="A24" s="31" t="str">
        <f>IFERROR(__xludf.DUMMYFUNCTION("""COMPUTED_VALUE"""),"ブライダルチェックは受けられますか？")</f>
        <v>ブライダルチェックは受けられますか？</v>
      </c>
      <c r="B24" s="31" t="str">
        <f>IFERROR(__xludf.DUMMYFUNCTION("""COMPUTED_VALUE"""),"ルナレディースクリニックでは、ブライダルチェックに対応しています。「そろそろ赤ちゃんを考えたい」「結婚の前に、自分の体に問題がないか知っておきたい」将来、妊娠・出産を考えている場合、ご自身の体の状態を把握しておくことはとても大切です。ルナレディースクリニックでは、ブライダルチェックを「結婚前だけの検査」とは考えていません。結婚の有無にかかわらず、将来妊娠を望むすべての女性に受けていただきたい、ご自身の体を守るための大切な検査です。ぜひご受診をご検討ください。※当院では、不妊治療や妊活に関する専門的なご相談"&amp;"・治療は行っておりません。※当院では男性の院内への入室はできないため、パートナー様と一緒にご来院して検査を受けていただくことはできません。男性の方には、ご自宅で検査ができる郵送検査キット「FemCHECK（フェムチェック）」をご用意しております。詳細はこちらをご確認ください。https://luna-dr.com/femcheck/?utm_source=lunamedia&amp;utm_medium=banner&amp;utm_campaign=femcheck_article_hpseo")</f>
        <v>ルナレディースクリニックでは、ブライダルチェックに対応しています。「そろそろ赤ちゃんを考えたい」「結婚の前に、自分の体に問題がないか知っておきたい」将来、妊娠・出産を考えている場合、ご自身の体の状態を把握しておくことはとても大切です。ルナレディースクリニックでは、ブライダルチェックを「結婚前だけの検査」とは考えていません。結婚の有無にかかわらず、将来妊娠を望むすべての女性に受けていただきたい、ご自身の体を守るための大切な検査です。ぜひご受診をご検討ください。※当院では、不妊治療や妊活に関する専門的なご相談・治療は行っておりません。※当院では男性の院内への入室はできないため、パートナー様と一緒にご来院して検査を受けていただくことはできません。男性の方には、ご自宅で検査ができる郵送検査キット「FemCHECK（フェムチェック）」をご用意しております。詳細はこちらをご確認ください。https://luna-dr.com/femcheck/?utm_source=lunamedia&amp;utm_medium=banner&amp;utm_campaign=femcheck_article_hpseo</v>
      </c>
      <c r="C24" s="31" t="str">
        <f>IFERROR(__xludf.DUMMYFUNCTION("""COMPUTED_VALUE"""),"診療内容")</f>
        <v>診療内容</v>
      </c>
      <c r="D24" s="31" t="str">
        <f>IFERROR(__xludf.DUMMYFUNCTION("""COMPUTED_VALUE"""),"ブライダルチェック,検査")</f>
        <v>ブライダルチェック,検査</v>
      </c>
      <c r="E24" s="32" t="str">
        <f>IFERROR(__xludf.DUMMYFUNCTION("""COMPUTED_VALUE"""),"https://luna-dr.com/subjects/bridal-check/")</f>
        <v>https://luna-dr.com/subjects/bridal-check/</v>
      </c>
    </row>
    <row r="25">
      <c r="A25" s="31" t="str">
        <f>IFERROR(__xludf.DUMMYFUNCTION("""COMPUTED_VALUE"""),"性感染症の検査はできますか？")</f>
        <v>性感染症の検査はできますか？</v>
      </c>
      <c r="B25" s="31" t="str">
        <f>IFERROR(__xludf.DUMMYFUNCTION("""COMPUTED_VALUE"""),"ルナレディースクリニックでは、性感染症に関する検査のご相談を受け付けています。")</f>
        <v>ルナレディースクリニックでは、性感染症に関する検査のご相談を受け付けています。</v>
      </c>
      <c r="C25" s="31" t="str">
        <f>IFERROR(__xludf.DUMMYFUNCTION("""COMPUTED_VALUE"""),"診療内容")</f>
        <v>診療内容</v>
      </c>
      <c r="D25" s="31" t="str">
        <f>IFERROR(__xludf.DUMMYFUNCTION("""COMPUTED_VALUE"""),"性感染症,検査")</f>
        <v>性感染症,検査</v>
      </c>
      <c r="E25" s="32" t="str">
        <f>IFERROR(__xludf.DUMMYFUNCTION("""COMPUTED_VALUE"""),"https://luna-dr.com/subjects/std/")</f>
        <v>https://luna-dr.com/subjects/std/</v>
      </c>
    </row>
    <row r="26">
      <c r="A26" s="31" t="str">
        <f>IFERROR(__xludf.DUMMYFUNCTION("""COMPUTED_VALUE"""),"妊娠検査や中絶の相談はできますか？")</f>
        <v>妊娠検査や中絶の相談はできますか？</v>
      </c>
      <c r="B26" s="31" t="str">
        <f>IFERROR(__xludf.DUMMYFUNCTION("""COMPUTED_VALUE"""),"ルナレディースクリニックでは、妊娠検査や中絶に関するご相談を行っています。")</f>
        <v>ルナレディースクリニックでは、妊娠検査や中絶に関するご相談を行っています。</v>
      </c>
      <c r="C26" s="31" t="str">
        <f>IFERROR(__xludf.DUMMYFUNCTION("""COMPUTED_VALUE"""),"診療内容")</f>
        <v>診療内容</v>
      </c>
      <c r="D26" s="31" t="str">
        <f>IFERROR(__xludf.DUMMYFUNCTION("""COMPUTED_VALUE"""),"妊娠検査,中絶")</f>
        <v>妊娠検査,中絶</v>
      </c>
      <c r="E26" s="32" t="str">
        <f>IFERROR(__xludf.DUMMYFUNCTION("""COMPUTED_VALUE"""),"https://luna-dr.com/subjects/pregnancy-test/,https://luna-dr.com/subjects/abortion_page/")</f>
        <v>https://luna-dr.com/subjects/pregnancy-test/,https://luna-dr.com/subjects/abortion_page/</v>
      </c>
    </row>
    <row r="27">
      <c r="A27" s="31" t="str">
        <f>IFERROR(__xludf.DUMMYFUNCTION("""COMPUTED_VALUE"""),"妊娠検査は行っていますか？")</f>
        <v>妊娠検査は行っていますか？</v>
      </c>
      <c r="B27" s="31" t="str">
        <f>IFERROR(__xludf.DUMMYFUNCTION("""COMPUTED_VALUE"""),"ルナレディースクリニックでは、妊娠検査に対応しています。")</f>
        <v>ルナレディースクリニックでは、妊娠検査に対応しています。</v>
      </c>
      <c r="C27" s="31" t="str">
        <f>IFERROR(__xludf.DUMMYFUNCTION("""COMPUTED_VALUE"""),"診療内容")</f>
        <v>診療内容</v>
      </c>
      <c r="D27" s="31" t="str">
        <f>IFERROR(__xludf.DUMMYFUNCTION("""COMPUTED_VALUE"""),"妊娠検査,妊娠")</f>
        <v>妊娠検査,妊娠</v>
      </c>
      <c r="E27" s="32" t="str">
        <f>IFERROR(__xludf.DUMMYFUNCTION("""COMPUTED_VALUE"""),"https://luna-dr.com/subjects/pregnancy-test/")</f>
        <v>https://luna-dr.com/subjects/pregnancy-test/</v>
      </c>
    </row>
    <row r="28">
      <c r="A28" s="31" t="str">
        <f>IFERROR(__xludf.DUMMYFUNCTION("""COMPUTED_VALUE"""),"不正出血の相談は可能ですか？")</f>
        <v>不正出血の相談は可能ですか？</v>
      </c>
      <c r="B28" s="31" t="str">
        <f>IFERROR(__xludf.DUMMYFUNCTION("""COMPUTED_VALUE"""),"ルナレディースクリニックでは、不正出血に関するご相談を受け付けています。")</f>
        <v>ルナレディースクリニックでは、不正出血に関するご相談を受け付けています。</v>
      </c>
      <c r="C28" s="31" t="str">
        <f>IFERROR(__xludf.DUMMYFUNCTION("""COMPUTED_VALUE"""),"診療内容")</f>
        <v>診療内容</v>
      </c>
      <c r="D28" s="31" t="str">
        <f>IFERROR(__xludf.DUMMYFUNCTION("""COMPUTED_VALUE"""),"不正出血,症状")</f>
        <v>不正出血,症状</v>
      </c>
      <c r="E28" s="32" t="str">
        <f>IFERROR(__xludf.DUMMYFUNCTION("""COMPUTED_VALUE"""),"https://luna-dr.com/subjects/irregular-genital-bleeding/")</f>
        <v>https://luna-dr.com/subjects/irregular-genital-bleeding/</v>
      </c>
    </row>
    <row r="29">
      <c r="A29" s="31" t="str">
        <f>IFERROR(__xludf.DUMMYFUNCTION("""COMPUTED_VALUE"""),"女性の検診・検査は受けられますか？")</f>
        <v>女性の検診・検査は受けられますか？</v>
      </c>
      <c r="B29" s="31" t="str">
        <f>IFERROR(__xludf.DUMMYFUNCTION("""COMPUTED_VALUE"""),"ルナレディースクリニックでは、女性の検診・検査に対応しています。")</f>
        <v>ルナレディースクリニックでは、女性の検診・検査に対応しています。</v>
      </c>
      <c r="C29" s="31" t="str">
        <f>IFERROR(__xludf.DUMMYFUNCTION("""COMPUTED_VALUE"""),"診療内容")</f>
        <v>診療内容</v>
      </c>
      <c r="D29" s="31" t="str">
        <f>IFERROR(__xludf.DUMMYFUNCTION("""COMPUTED_VALUE"""),"女性の検診,検査")</f>
        <v>女性の検診,検査</v>
      </c>
      <c r="E29" s="32" t="str">
        <f>IFERROR(__xludf.DUMMYFUNCTION("""COMPUTED_VALUE"""),"https://luna-dr.com/subjects/medical-checkup/")</f>
        <v>https://luna-dr.com/subjects/medical-checkup/</v>
      </c>
    </row>
    <row r="30">
      <c r="A30" s="31" t="str">
        <f>IFERROR(__xludf.DUMMYFUNCTION("""COMPUTED_VALUE"""),"IUSに対応していますか？/子宮内システムに対応していますか？/ミレーナはできますか？/ミレーナは対応していますか？")</f>
        <v>IUSに対応していますか？/子宮内システムに対応していますか？/ミレーナはできますか？/ミレーナは対応していますか？</v>
      </c>
      <c r="B30" s="31" t="str">
        <f>IFERROR(__xludf.DUMMYFUNCTION("""COMPUTED_VALUE"""),"ルナレディースクリニックでは、ミレーナ（IUS：子宮内システム）に関するご相談を受け付けています。")</f>
        <v>ルナレディースクリニックでは、ミレーナ（IUS：子宮内システム）に関するご相談を受け付けています。</v>
      </c>
      <c r="C30" s="31" t="str">
        <f>IFERROR(__xludf.DUMMYFUNCTION("""COMPUTED_VALUE"""),"診療内容")</f>
        <v>診療内容</v>
      </c>
      <c r="D30" s="31" t="str">
        <f>IFERROR(__xludf.DUMMYFUNCTION("""COMPUTED_VALUE"""),"IUS,子宮内システム,ミレーナ")</f>
        <v>IUS,子宮内システム,ミレーナ</v>
      </c>
      <c r="E30" s="32" t="str">
        <f>IFERROR(__xludf.DUMMYFUNCTION("""COMPUTED_VALUE"""),"https://luna-dr.com/subjects/ius-treatment/")</f>
        <v>https://luna-dr.com/subjects/ius-treatment/</v>
      </c>
    </row>
    <row r="31">
      <c r="A31" s="31" t="str">
        <f>IFERROR(__xludf.DUMMYFUNCTION("""COMPUTED_VALUE"""),"HPVワクチンは受けられますか？/子宮頸がんワクチンは受けられますか？")</f>
        <v>HPVワクチンは受けられますか？/子宮頸がんワクチンは受けられますか？</v>
      </c>
      <c r="B31" s="31" t="str">
        <f>IFERROR(__xludf.DUMMYFUNCTION("""COMPUTED_VALUE"""),"ルナレディースクリニックでは、HPVワクチン（子宮頸がんワクチン）に対応しています。")</f>
        <v>ルナレディースクリニックでは、HPVワクチン（子宮頸がんワクチン）に対応しています。</v>
      </c>
      <c r="C31" s="31" t="str">
        <f>IFERROR(__xludf.DUMMYFUNCTION("""COMPUTED_VALUE"""),"診療内容")</f>
        <v>診療内容</v>
      </c>
      <c r="D31" s="31" t="str">
        <f>IFERROR(__xludf.DUMMYFUNCTION("""COMPUTED_VALUE"""),"HPVワクチン,ワクチン,子宮頸がん")</f>
        <v>HPVワクチン,ワクチン,子宮頸がん</v>
      </c>
      <c r="E31" s="32" t="str">
        <f>IFERROR(__xludf.DUMMYFUNCTION("""COMPUTED_VALUE"""),"https://luna-dr.com/subjects/hpv-vaccine/")</f>
        <v>https://luna-dr.com/subjects/hpv-vaccine/</v>
      </c>
    </row>
    <row r="32">
      <c r="A32" s="31" t="str">
        <f>IFERROR(__xludf.DUMMYFUNCTION("""COMPUTED_VALUE"""),"クリニックは駅から近いですか？")</f>
        <v>クリニックは駅から近いですか？</v>
      </c>
      <c r="B32" s="31" t="str">
        <f>IFERROR(__xludf.DUMMYFUNCTION("""COMPUTED_VALUE"""),"ルナレディースクリニックは、町田駅前院は町田駅から徒歩2分、横浜駅前院は横浜駅から徒歩2分、川崎駅前院は川崎駅から徒歩30秒の場所にあります。いずれの院も駅から近く、通いやすい立地です。")</f>
        <v>ルナレディースクリニックは、町田駅前院は町田駅から徒歩2分、横浜駅前院は横浜駅から徒歩2分、川崎駅前院は川崎駅から徒歩30秒の場所にあります。いずれの院も駅から近く、通いやすい立地です。</v>
      </c>
      <c r="C32" s="31" t="str">
        <f>IFERROR(__xludf.DUMMYFUNCTION("""COMPUTED_VALUE"""),"アクセス")</f>
        <v>アクセス</v>
      </c>
      <c r="D32" s="31" t="str">
        <f>IFERROR(__xludf.DUMMYFUNCTION("""COMPUTED_VALUE"""),"駅チカ,アクセス,徒歩")</f>
        <v>駅チカ,アクセス,徒歩</v>
      </c>
      <c r="E32" s="32" t="str">
        <f>IFERROR(__xludf.DUMMYFUNCTION("""COMPUTED_VALUE"""),"https://luna-dr.com/")</f>
        <v>https://luna-dr.com/</v>
      </c>
    </row>
    <row r="33">
      <c r="A33" s="31" t="str">
        <f>IFERROR(__xludf.DUMMYFUNCTION("""COMPUTED_VALUE"""),"受けられない診療内容はありますか？/対応していない診療内容はありますか？")</f>
        <v>受けられない診療内容はありますか？/対応していない診療内容はありますか？</v>
      </c>
      <c r="B33" s="31" t="str">
        <f>IFERROR(__xludf.DUMMYFUNCTION("""COMPUTED_VALUE"""),"ルナレディースクリニックでは、乳房に関する診療、更年期障害の治療、不妊治療は行っていません。")</f>
        <v>ルナレディースクリニックでは、乳房に関する診療、更年期障害の治療、不妊治療は行っていません。</v>
      </c>
      <c r="C33" s="31" t="str">
        <f>IFERROR(__xludf.DUMMYFUNCTION("""COMPUTED_VALUE"""),"診療内容")</f>
        <v>診療内容</v>
      </c>
      <c r="D33" s="31" t="str">
        <f>IFERROR(__xludf.DUMMYFUNCTION("""COMPUTED_VALUE"""),"対応外,診療範囲")</f>
        <v>対応外,診療範囲</v>
      </c>
      <c r="E33" s="32" t="str">
        <f>IFERROR(__xludf.DUMMYFUNCTION("""COMPUTED_VALUE"""),"https://luna-dr.com/")</f>
        <v>https://luna-dr.com/</v>
      </c>
    </row>
    <row r="34">
      <c r="A34" s="31" t="str">
        <f>IFERROR(__xludf.DUMMYFUNCTION("""COMPUTED_VALUE"""),"更年期障害の治療は行っていますか？/更年期はみれますか？")</f>
        <v>更年期障害の治療は行っていますか？/更年期はみれますか？</v>
      </c>
      <c r="B34" s="31" t="str">
        <f>IFERROR(__xludf.DUMMYFUNCTION("""COMPUTED_VALUE"""),"大変恐縮ですが、当院では、更年期障害の治療は行っていません。お近くの婦人科へご相談ください。")</f>
        <v>大変恐縮ですが、当院では、更年期障害の治療は行っていません。お近くの婦人科へご相談ください。</v>
      </c>
      <c r="C34" s="31" t="str">
        <f>IFERROR(__xludf.DUMMYFUNCTION("""COMPUTED_VALUE"""),"受診案内")</f>
        <v>受診案内</v>
      </c>
      <c r="D34" s="31" t="str">
        <f>IFERROR(__xludf.DUMMYFUNCTION("""COMPUTED_VALUE"""),"更年期,更年期障害,更年期症状,ホルモン療法,のぼせ,ほてり,診療可否")</f>
        <v>更年期,更年期障害,更年期症状,ホルモン療法,のぼせ,ほてり,診療可否</v>
      </c>
      <c r="E34" s="32" t="str">
        <f>IFERROR(__xludf.DUMMYFUNCTION("""COMPUTED_VALUE"""),"https://luna-dr.com/")</f>
        <v>https://luna-dr.com/</v>
      </c>
    </row>
    <row r="35">
      <c r="A35" s="31" t="str">
        <f>IFERROR(__xludf.DUMMYFUNCTION("""COMPUTED_VALUE"""),"乳房の検査はできますか？/胸の検査はできますか？/乳腺炎は診てもらえますか？/乳腺炎の診察はできますか？/乳腺炎について相談したい/乳腺炎の治療/乳腺炎の症状がある場合の受診方法を教えてください/マンモグラフィ検査はありますか？/マンモグラフィはできますか？/乳がん検診は受けられますか？/乳腺エコーはできますか？/胸にしこりがあるのですが/胸が痛いのですが受診できますか？/乳がん検査はできますか？/授乳中のトラブルは診てもらえますか？")</f>
        <v>乳房の検査はできますか？/胸の検査はできますか？/乳腺炎は診てもらえますか？/乳腺炎の診察はできますか？/乳腺炎について相談したい/乳腺炎の治療/乳腺炎の症状がある場合の受診方法を教えてください/マンモグラフィ検査はありますか？/マンモグラフィはできますか？/乳がん検診は受けられますか？/乳腺エコーはできますか？/胸にしこりがあるのですが/胸が痛いのですが受診できますか？/乳がん検査はできますか？/授乳中のトラブルは診てもらえますか？</v>
      </c>
      <c r="B35" s="31" t="str">
        <f>IFERROR(__xludf.DUMMYFUNCTION("""COMPUTED_VALUE"""),"当院では乳腺炎・マンモグラフィ・乳腺エコー・乳がん検診を含む乳房に関する診療・検査は行っておりません。胸のしこりや痛み、授乳中のトラブルについても対応しておりませんので、乳腺外科へのご受診をお願いいたします。")</f>
        <v>当院では乳腺炎・マンモグラフィ・乳腺エコー・乳がん検診を含む乳房に関する診療・検査は行っておりません。胸のしこりや痛み、授乳中のトラブルについても対応しておりませんので、乳腺外科へのご受診をお願いいたします。</v>
      </c>
      <c r="C35" s="31" t="str">
        <f>IFERROR(__xludf.DUMMYFUNCTION("""COMPUTED_VALUE"""),"受診案内")</f>
        <v>受診案内</v>
      </c>
      <c r="D35" s="31" t="str">
        <f>IFERROR(__xludf.DUMMYFUNCTION("""COMPUTED_VALUE"""),"乳房,胸,乳がん検査,乳腺,マンモグラフィ,マンモ,エコー,超音波,乳腺エコー,しこり,痛み,検診,健診,診療可否,乳腺炎")</f>
        <v>乳房,胸,乳がん検査,乳腺,マンモグラフィ,マンモ,エコー,超音波,乳腺エコー,しこり,痛み,検診,健診,診療可否,乳腺炎</v>
      </c>
      <c r="E35" s="31"/>
    </row>
    <row r="36">
      <c r="A36" s="31" t="str">
        <f>IFERROR(__xludf.DUMMYFUNCTION("""COMPUTED_VALUE"""),"不妊治療はできますか？")</f>
        <v>不妊治療はできますか？</v>
      </c>
      <c r="B36" s="31" t="str">
        <f>IFERROR(__xludf.DUMMYFUNCTION("""COMPUTED_VALUE"""),"大変恐縮ですが、当院では、不妊治療は行っていません。お近くの婦人科へご相談ください。")</f>
        <v>大変恐縮ですが、当院では、不妊治療は行っていません。お近くの婦人科へご相談ください。</v>
      </c>
      <c r="C36" s="31" t="str">
        <f>IFERROR(__xludf.DUMMYFUNCTION("""COMPUTED_VALUE"""),"受診案内")</f>
        <v>受診案内</v>
      </c>
      <c r="D36" s="31" t="str">
        <f>IFERROR(__xludf.DUMMYFUNCTION("""COMPUTED_VALUE"""),"不妊,不妊治療,妊活,タイミング法,排卵誘発,人工授精,AIH,体外受精,IVF,顕微授精,ICSI,卵巣機能,診療可否")</f>
        <v>不妊,不妊治療,妊活,タイミング法,排卵誘発,人工授精,AIH,体外受精,IVF,顕微授精,ICSI,卵巣機能,診療可否</v>
      </c>
      <c r="E36" s="31"/>
    </row>
    <row r="37">
      <c r="A37" s="31" t="str">
        <f>IFERROR(__xludf.DUMMYFUNCTION("""COMPUTED_VALUE"""),"診断書や紹介状などの書類は発行できますか？/紹介状の宛名変更をしたい/診断書を紛失したので再発行したい")</f>
        <v>診断書や紹介状などの書類は発行できますか？/紹介状の宛名変更をしたい/診断書を紛失したので再発行したい</v>
      </c>
      <c r="B37" s="31" t="str">
        <f>IFERROR(__xludf.DUMMYFUNCTION("""COMPUTED_VALUE"""),"ルナレディースクリニックでは、内容によっては診断書や紹介状（診療情報提供書）を発行できない場合があります。発行をご希望の場合は診察時に医師へご相談ください。外来の混雑状況により当日中の発行が難しい場合もありますので、平日17:00までのご予約・ご来院をおすすめしています。")</f>
        <v>ルナレディースクリニックでは、内容によっては診断書や紹介状（診療情報提供書）を発行できない場合があります。発行をご希望の場合は診察時に医師へご相談ください。外来の混雑状況により当日中の発行が難しい場合もありますので、平日17:00までのご予約・ご来院をおすすめしています。</v>
      </c>
      <c r="C37" s="31" t="str">
        <f>IFERROR(__xludf.DUMMYFUNCTION("""COMPUTED_VALUE"""),"書類発行")</f>
        <v>書類発行</v>
      </c>
      <c r="D37" s="31" t="str">
        <f>IFERROR(__xludf.DUMMYFUNCTION("""COMPUTED_VALUE"""),"診断書,紹介状,書類発行")</f>
        <v>診断書,紹介状,書類発行</v>
      </c>
      <c r="E37" s="32" t="str">
        <f>IFERROR(__xludf.DUMMYFUNCTION("""COMPUTED_VALUE"""),"https://luna-dr.com/question/")</f>
        <v>https://luna-dr.com/question/</v>
      </c>
    </row>
    <row r="38">
      <c r="A38" s="31" t="str">
        <f>IFERROR(__xludf.DUMMYFUNCTION("""COMPUTED_VALUE"""),"妊婦でも診察は受けられますか？")</f>
        <v>妊婦でも診察は受けられますか？</v>
      </c>
      <c r="B38" s="31" t="str">
        <f>IFERROR(__xludf.DUMMYFUNCTION("""COMPUTED_VALUE"""),"ルナレディースクリニックでは、妊娠12週までの方の診察を行っています。ただし、すでに他の医療機関で妊娠経過を診てもらっている場合は、原則としてかかりつけ医での受診をお願いしています。")</f>
        <v>ルナレディースクリニックでは、妊娠12週までの方の診察を行っています。ただし、すでに他の医療機関で妊娠経過を診てもらっている場合は、原則としてかかりつけ医での受診をお願いしています。</v>
      </c>
      <c r="C38" s="31" t="str">
        <f>IFERROR(__xludf.DUMMYFUNCTION("""COMPUTED_VALUE"""),"妊娠中の受診")</f>
        <v>妊娠中の受診</v>
      </c>
      <c r="D38" s="31" t="str">
        <f>IFERROR(__xludf.DUMMYFUNCTION("""COMPUTED_VALUE"""),"妊婦,妊娠初期")</f>
        <v>妊婦,妊娠初期</v>
      </c>
      <c r="E38" s="32" t="str">
        <f>IFERROR(__xludf.DUMMYFUNCTION("""COMPUTED_VALUE"""),"https://luna-dr.com/question/")</f>
        <v>https://luna-dr.com/question/</v>
      </c>
    </row>
    <row r="39">
      <c r="A39" s="31" t="str">
        <f>IFERROR(__xludf.DUMMYFUNCTION("""COMPUTED_VALUE"""),"連休中でも検査結果は通常通り反映されますか？")</f>
        <v>連休中でも検査結果は通常通り反映されますか？</v>
      </c>
      <c r="B39" s="31" t="str">
        <f>IFERROR(__xludf.DUMMYFUNCTION("""COMPUTED_VALUE"""),"ルナレディースクリニックでは、ゴールデンウィークや年末年始などの連休期間中は、検査結果の反映が通常より遅れる場合があります。あらかじめご了承ください。")</f>
        <v>ルナレディースクリニックでは、ゴールデンウィークや年末年始などの連休期間中は、検査結果の反映が通常より遅れる場合があります。あらかじめご了承ください。</v>
      </c>
      <c r="C39" s="31" t="str">
        <f>IFERROR(__xludf.DUMMYFUNCTION("""COMPUTED_VALUE"""),"検査")</f>
        <v>検査</v>
      </c>
      <c r="D39" s="31" t="str">
        <f>IFERROR(__xludf.DUMMYFUNCTION("""COMPUTED_VALUE"""),"検査結果,連休")</f>
        <v>検査結果,連休</v>
      </c>
      <c r="E39" s="32" t="str">
        <f>IFERROR(__xludf.DUMMYFUNCTION("""COMPUTED_VALUE"""),"https://luna-dr.com/question/")</f>
        <v>https://luna-dr.com/question/</v>
      </c>
    </row>
    <row r="40">
      <c r="A40" s="31" t="str">
        <f>IFERROR(__xludf.DUMMYFUNCTION("""COMPUTED_VALUE"""),"市区町村のHPVワクチンと保険診療は同じ日に受けられますか？/市区町村の子宮頸がんワクチンと保険診療は同じ日に受けられますか？")</f>
        <v>市区町村のHPVワクチンと保険診療は同じ日に受けられますか？/市区町村の子宮頸がんワクチンと保険診療は同じ日に受けられますか？</v>
      </c>
      <c r="B40" s="31" t="str">
        <f>IFERROR(__xludf.DUMMYFUNCTION("""COMPUTED_VALUE"""),"ルナレディースクリニックでは、市区町村のHPVワクチンと保険診療を同一日に行うことはできません。保険診療は別日に受診をお願いしています。")</f>
        <v>ルナレディースクリニックでは、市区町村のHPVワクチンと保険診療を同一日に行うことはできません。保険診療は別日に受診をお願いしています。</v>
      </c>
      <c r="C40" s="31" t="str">
        <f>IFERROR(__xludf.DUMMYFUNCTION("""COMPUTED_VALUE"""),"ワクチン・健診")</f>
        <v>ワクチン・健診</v>
      </c>
      <c r="D40" s="31" t="str">
        <f>IFERROR(__xludf.DUMMYFUNCTION("""COMPUTED_VALUE"""),"HPVワクチン,保険診療,子宮頸がん")</f>
        <v>HPVワクチン,保険診療,子宮頸がん</v>
      </c>
      <c r="E40" s="32" t="str">
        <f>IFERROR(__xludf.DUMMYFUNCTION("""COMPUTED_VALUE"""),"https://luna-dr.com/question/")</f>
        <v>https://luna-dr.com/question/</v>
      </c>
    </row>
    <row r="41">
      <c r="A41" s="31" t="str">
        <f>IFERROR(__xludf.DUMMYFUNCTION("""COMPUTED_VALUE"""),"市区町村の子宮頸がん検診と保険診療は同じ日に受けられますか？")</f>
        <v>市区町村の子宮頸がん検診と保険診療は同じ日に受けられますか？</v>
      </c>
      <c r="B41" s="31" t="str">
        <f>IFERROR(__xludf.DUMMYFUNCTION("""COMPUTED_VALUE"""),"ルナレディースクリニックでは、市区町村の子宮頸がん検診と保険診療を同一日に行うことはできません。保険診療は別日に受診をお願いしています。")</f>
        <v>ルナレディースクリニックでは、市区町村の子宮頸がん検診と保険診療を同一日に行うことはできません。保険診療は別日に受診をお願いしています。</v>
      </c>
      <c r="C41" s="31" t="str">
        <f>IFERROR(__xludf.DUMMYFUNCTION("""COMPUTED_VALUE"""),"ワクチン・健診")</f>
        <v>ワクチン・健診</v>
      </c>
      <c r="D41" s="31" t="str">
        <f>IFERROR(__xludf.DUMMYFUNCTION("""COMPUTED_VALUE"""),"子宮頸がん検診,保険診療")</f>
        <v>子宮頸がん検診,保険診療</v>
      </c>
      <c r="E41" s="32" t="str">
        <f>IFERROR(__xludf.DUMMYFUNCTION("""COMPUTED_VALUE"""),"https://luna-dr.com/question/")</f>
        <v>https://luna-dr.com/question/</v>
      </c>
    </row>
    <row r="42">
      <c r="A42" s="31" t="str">
        <f>IFERROR(__xludf.DUMMYFUNCTION("""COMPUTED_VALUE"""),"生理中でも診察は受けられますか？")</f>
        <v>生理中でも診察は受けられますか？</v>
      </c>
      <c r="B42" s="31" t="str">
        <f>IFERROR(__xludf.DUMMYFUNCTION("""COMPUTED_VALUE"""),"ルナレディースクリニックでは、出血量が多い場合に正確な検査ができないことがあり、診察時に検査をお断りする場合があります。できるだけ生理中の受診は避けてください。")</f>
        <v>ルナレディースクリニックでは、出血量が多い場合に正確な検査ができないことがあり、診察時に検査をお断りする場合があります。できるだけ生理中の受診は避けてください。</v>
      </c>
      <c r="C42" s="31" t="str">
        <f>IFERROR(__xludf.DUMMYFUNCTION("""COMPUTED_VALUE"""),"受診について")</f>
        <v>受診について</v>
      </c>
      <c r="D42" s="31" t="str">
        <f>IFERROR(__xludf.DUMMYFUNCTION("""COMPUTED_VALUE"""),"生理中,受診")</f>
        <v>生理中,受診</v>
      </c>
      <c r="E42" s="32" t="str">
        <f>IFERROR(__xludf.DUMMYFUNCTION("""COMPUTED_VALUE"""),"https://luna-dr.com/question/")</f>
        <v>https://luna-dr.com/question/</v>
      </c>
    </row>
    <row r="43">
      <c r="A43" s="31" t="str">
        <f>IFERROR(__xludf.DUMMYFUNCTION("""COMPUTED_VALUE"""),"生理中でも子宮頸がん検診はできますか？")</f>
        <v>生理中でも子宮頸がん検診はできますか？</v>
      </c>
      <c r="B43" s="31" t="str">
        <f>IFERROR(__xludf.DUMMYFUNCTION("""COMPUTED_VALUE"""),"ルナレディースクリニックでは、子宮頸がん検診は生理中には行っていません。より正確な結果のため、生理期間を避けての受診をお願いしています。")</f>
        <v>ルナレディースクリニックでは、子宮頸がん検診は生理中には行っていません。より正確な結果のため、生理期間を避けての受診をお願いしています。</v>
      </c>
      <c r="C43" s="31" t="str">
        <f>IFERROR(__xludf.DUMMYFUNCTION("""COMPUTED_VALUE"""),"検査")</f>
        <v>検査</v>
      </c>
      <c r="D43" s="31" t="str">
        <f>IFERROR(__xludf.DUMMYFUNCTION("""COMPUTED_VALUE"""),"子宮頸がん検診,生理中")</f>
        <v>子宮頸がん検診,生理中</v>
      </c>
      <c r="E43" s="32" t="str">
        <f>IFERROR(__xludf.DUMMYFUNCTION("""COMPUTED_VALUE"""),"https://luna-dr.com/question/")</f>
        <v>https://luna-dr.com/question/</v>
      </c>
    </row>
    <row r="44">
      <c r="A44" s="31" t="str">
        <f>IFERROR(__xludf.DUMMYFUNCTION("""COMPUTED_VALUE"""),"予約時間に遅れても診察は受けられますか？/遅刻しても診察は受けられますか？/電車の遅延で遅れそう/予約時間より遅れそう/遅刻しそうなのですがどうすればいいですか？/遅刻の連絡方法/遅刻しそうの場合どこに連絡すればいい？/遅刻の連絡先はどこですか？")</f>
        <v>予約時間に遅れても診察は受けられますか？/遅刻しても診察は受けられますか？/電車の遅延で遅れそう/予約時間より遅れそう/遅刻しそうなのですがどうすればいいですか？/遅刻の連絡方法/遅刻しそうの場合どこに連絡すればいい？/遅刻の連絡先はどこですか？</v>
      </c>
      <c r="B44" s="31" t="str">
        <f>IFERROR(__xludf.DUMMYFUNCTION("""COMPUTED_VALUE"""),"予約されている方であれば、10分以内の遅れであれば診察が可能です。
ただし、10分以上遅刻された場合は、事前にご連絡をいただいていても予約外来院扱いとなります。
なお、診療内容によって最終受付時間が異なる場合がございますので、あらかじめご了承ください。")</f>
        <v>予約されている方であれば、10分以内の遅れであれば診察が可能です。
ただし、10分以上遅刻された場合は、事前にご連絡をいただいていても予約外来院扱いとなります。
なお、診療内容によって最終受付時間が異なる場合がございますので、あらかじめご了承ください。</v>
      </c>
      <c r="C44" s="31" t="str">
        <f>IFERROR(__xludf.DUMMYFUNCTION("""COMPUTED_VALUE"""),"予約・来院")</f>
        <v>予約・来院</v>
      </c>
      <c r="D44" s="31" t="str">
        <f>IFERROR(__xludf.DUMMYFUNCTION("""COMPUTED_VALUE"""),"遅刻,予約,遅刻連絡")</f>
        <v>遅刻,予約,遅刻連絡</v>
      </c>
      <c r="E44" s="32" t="str">
        <f>IFERROR(__xludf.DUMMYFUNCTION("""COMPUTED_VALUE"""),"https://luna-dr.com/question/")</f>
        <v>https://luna-dr.com/question/</v>
      </c>
    </row>
    <row r="45">
      <c r="A45" s="31" t="str">
        <f>IFERROR(__xludf.DUMMYFUNCTION("""COMPUTED_VALUE"""),"淋菌の点滴抗生剤治療は受けられますか？")</f>
        <v>淋菌の点滴抗生剤治療は受けられますか？</v>
      </c>
      <c r="B45" s="31" t="str">
        <f>IFERROR(__xludf.DUMMYFUNCTION("""COMPUTED_VALUE"""),"ルナレディースクリニックでは、淋菌陽性などの点滴治療について、診療時間内の決められた受付時間までにご来院いただく必要があります。")</f>
        <v>ルナレディースクリニックでは、淋菌陽性などの点滴治療について、診療時間内の決められた受付時間までにご来院いただく必要があります。</v>
      </c>
      <c r="C45" s="31" t="str">
        <f>IFERROR(__xludf.DUMMYFUNCTION("""COMPUTED_VALUE"""),"診療内容")</f>
        <v>診療内容</v>
      </c>
      <c r="D45" s="31" t="str">
        <f>IFERROR(__xludf.DUMMYFUNCTION("""COMPUTED_VALUE"""),"淋菌,点滴治療")</f>
        <v>淋菌,点滴治療</v>
      </c>
      <c r="E45" s="32" t="str">
        <f>IFERROR(__xludf.DUMMYFUNCTION("""COMPUTED_VALUE"""),"https://luna-dr.com/question/")</f>
        <v>https://luna-dr.com/question/</v>
      </c>
    </row>
    <row r="46">
      <c r="A46" s="31" t="str">
        <f>IFERROR(__xludf.DUMMYFUNCTION("""COMPUTED_VALUE"""),"医師の指名はできますか？/女性医師を指名したい/女性の先生に診てもらえますか？/女性の医師はいますか？/女医さんはいますか？/女性の先生を希望したい/女性医師に担当してほしい/女性医師希望だがwebから予約できますか？/女性医師希望だがwebから予約できますか？")</f>
        <v>医師の指名はできますか？/女性医師を指名したい/女性の先生に診てもらえますか？/女性の医師はいますか？/女医さんはいますか？/女性の先生を希望したい/女性医師に担当してほしい/女性医師希望だがwebから予約できますか？/女性医師希望だがwebから予約できますか？</v>
      </c>
      <c r="B46" s="31" t="str">
        <f>IFERROR(__xludf.DUMMYFUNCTION("""COMPUTED_VALUE"""),"ルナレディースクリニックでは、外来の混雑緩和のため、特定の医師の指名はお受けしていません。女性医師をご希望の場合はお電話でご予約・お問い合わせください。お電話は 050-1730-2768 までご連絡ください。電話受付時間は、平日9:45〜13:40・15:15〜19:40、土日祝9:45〜13:40・15:15〜18:40です。")</f>
        <v>ルナレディースクリニックでは、外来の混雑緩和のため、特定の医師の指名はお受けしていません。女性医師をご希望の場合はお電話でご予約・お問い合わせください。お電話は 050-1730-2768 までご連絡ください。電話受付時間は、平日9:45〜13:40・15:15〜19:40、土日祝9:45〜13:40・15:15〜18:40です。</v>
      </c>
      <c r="C46" s="31" t="str">
        <f>IFERROR(__xludf.DUMMYFUNCTION("""COMPUTED_VALUE"""),"診察体制")</f>
        <v>診察体制</v>
      </c>
      <c r="D46" s="31" t="str">
        <f>IFERROR(__xludf.DUMMYFUNCTION("""COMPUTED_VALUE"""),"医師指名,女性医師,女医,電話予約")</f>
        <v>医師指名,女性医師,女医,電話予約</v>
      </c>
      <c r="E46" s="32" t="str">
        <f>IFERROR(__xludf.DUMMYFUNCTION("""COMPUTED_VALUE"""),"https://luna-dr.com/question/")</f>
        <v>https://luna-dr.com/question/</v>
      </c>
    </row>
    <row r="47">
      <c r="A47" s="31" t="str">
        <f>IFERROR(__xludf.DUMMYFUNCTION("""COMPUTED_VALUE"""),"日本語以外での診察は可能ですか？")</f>
        <v>日本語以外での診察は可能ですか？</v>
      </c>
      <c r="B47" s="31" t="str">
        <f>IFERROR(__xludf.DUMMYFUNCTION("""COMPUTED_VALUE"""),"当院では、日本語のみでの診察を行っています。日本語での会話が難しい場合は、女性通訳の同伴をお願いしています。なお、中絶のご相談および診察はご本人様が日本語で医師と直接会話できることを前提としており、カウンセリングおよび診察の際にご同伴いただけるのはご家族のみとなります。ご友人の同伴はご遠慮いただいております。")</f>
        <v>当院では、日本語のみでの診察を行っています。日本語での会話が難しい場合は、女性通訳の同伴をお願いしています。なお、中絶のご相談および診察はご本人様が日本語で医師と直接会話できることを前提としており、カウンセリングおよび診察の際にご同伴いただけるのはご家族のみとなります。ご友人の同伴はご遠慮いただいております。</v>
      </c>
      <c r="C47" s="31" t="str">
        <f>IFERROR(__xludf.DUMMYFUNCTION("""COMPUTED_VALUE"""),"診察体制")</f>
        <v>診察体制</v>
      </c>
      <c r="D47" s="31" t="str">
        <f>IFERROR(__xludf.DUMMYFUNCTION("""COMPUTED_VALUE"""),"外国語対応,日本語")</f>
        <v>外国語対応,日本語</v>
      </c>
      <c r="E47" s="32" t="str">
        <f>IFERROR(__xludf.DUMMYFUNCTION("""COMPUTED_VALUE"""),"https://luna-dr.com/question/")</f>
        <v>https://luna-dr.com/question/</v>
      </c>
    </row>
    <row r="48">
      <c r="A48" s="31" t="str">
        <f>IFERROR(__xludf.DUMMYFUNCTION("""COMPUTED_VALUE"""),"中絶を希望していますが日本語が話せません。受診できますか？")</f>
        <v>中絶を希望していますが日本語が話せません。受診できますか？</v>
      </c>
      <c r="B48" s="31" t="str">
        <f>IFERROR(__xludf.DUMMYFUNCTION("""COMPUTED_VALUE"""),"当院では、中絶のご相談・診察はご本人様が日本語で医師と直接会話できることを前提としております。そのため、お一人で医師との会話が難しい場合はお断りする可能性がございます。また、カウンセリングおよび診察の際にご同伴いただけるのはご家族のみとなり、ご友人の同伴はご遠慮いただいております。あらかじめご了承ください。")</f>
        <v>当院では、中絶のご相談・診察はご本人様が日本語で医師と直接会話できることを前提としております。そのため、お一人で医師との会話が難しい場合はお断りする可能性がございます。また、カウンセリングおよび診察の際にご同伴いただけるのはご家族のみとなり、ご友人の同伴はご遠慮いただいております。あらかじめご了承ください。</v>
      </c>
      <c r="C48" s="31" t="str">
        <f>IFERROR(__xludf.DUMMYFUNCTION("""COMPUTED_VALUE"""),"中絶・受診案内")</f>
        <v>中絶・受診案内</v>
      </c>
      <c r="D48" s="31" t="str">
        <f>IFERROR(__xludf.DUMMYFUNCTION("""COMPUTED_VALUE"""),"中絶,日本語対応,通訳,同伴,家族のみ,友人不可,受診条件")</f>
        <v>中絶,日本語対応,通訳,同伴,家族のみ,友人不可,受診条件</v>
      </c>
      <c r="E48" s="31"/>
    </row>
    <row r="49">
      <c r="A49" s="31" t="str">
        <f>IFERROR(__xludf.DUMMYFUNCTION("""COMPUTED_VALUE"""),"妊娠何週まで子宮頸がん検診を受けられますか？")</f>
        <v>妊娠何週まで子宮頸がん検診を受けられますか？</v>
      </c>
      <c r="B49" s="31" t="str">
        <f>IFERROR(__xludf.DUMMYFUNCTION("""COMPUTED_VALUE"""),"ルナレディースクリニックでは、当院で妊娠経過を診ている妊娠10週までの方を対象に子宮頸がん検診を行っています。")</f>
        <v>ルナレディースクリニックでは、当院で妊娠経過を診ている妊娠10週までの方を対象に子宮頸がん検診を行っています。</v>
      </c>
      <c r="C49" s="31" t="str">
        <f>IFERROR(__xludf.DUMMYFUNCTION("""COMPUTED_VALUE"""),"妊娠中の検査")</f>
        <v>妊娠中の検査</v>
      </c>
      <c r="D49" s="31" t="str">
        <f>IFERROR(__xludf.DUMMYFUNCTION("""COMPUTED_VALUE"""),"妊娠,子宮頸がん検診")</f>
        <v>妊娠,子宮頸がん検診</v>
      </c>
      <c r="E49" s="32" t="str">
        <f>IFERROR(__xludf.DUMMYFUNCTION("""COMPUTED_VALUE"""),"https://luna-dr.com/question/")</f>
        <v>https://luna-dr.com/question/</v>
      </c>
    </row>
    <row r="50">
      <c r="A50" s="31" t="str">
        <f>IFERROR(__xludf.DUMMYFUNCTION("""COMPUTED_VALUE"""),"妊娠何週まで受診できますか？")</f>
        <v>妊娠何週まで受診できますか？</v>
      </c>
      <c r="B50" s="31" t="str">
        <f>IFERROR(__xludf.DUMMYFUNCTION("""COMPUTED_VALUE"""),"ルナレディースクリニックでは、超音波検査は経腟走査のみのため、妊娠12週までの診察対応としています。")</f>
        <v>ルナレディースクリニックでは、超音波検査は経腟走査のみのため、妊娠12週までの診察対応としています。</v>
      </c>
      <c r="C50" s="31" t="str">
        <f>IFERROR(__xludf.DUMMYFUNCTION("""COMPUTED_VALUE"""),"妊娠中の受診")</f>
        <v>妊娠中の受診</v>
      </c>
      <c r="D50" s="31" t="str">
        <f>IFERROR(__xludf.DUMMYFUNCTION("""COMPUTED_VALUE"""),"妊娠週数,受診")</f>
        <v>妊娠週数,受診</v>
      </c>
      <c r="E50" s="32" t="str">
        <f>IFERROR(__xludf.DUMMYFUNCTION("""COMPUTED_VALUE"""),"https://luna-dr.com/question/")</f>
        <v>https://luna-dr.com/question/</v>
      </c>
    </row>
    <row r="51">
      <c r="A51" s="31" t="str">
        <f>IFERROR(__xludf.DUMMYFUNCTION("""COMPUTED_VALUE"""),"他院で妊婦健診を受けていますが受診できますか？")</f>
        <v>他院で妊婦健診を受けていますが受診できますか？</v>
      </c>
      <c r="B51" s="31" t="str">
        <f>IFERROR(__xludf.DUMMYFUNCTION("""COMPUTED_VALUE"""),"ルナレディースクリニックでは、妊娠中の方は妊婦健診を受けているかかりつけの産婦人科での受診をお願いしています。")</f>
        <v>ルナレディースクリニックでは、妊娠中の方は妊婦健診を受けているかかりつけの産婦人科での受診をお願いしています。</v>
      </c>
      <c r="C51" s="31" t="str">
        <f>IFERROR(__xludf.DUMMYFUNCTION("""COMPUTED_VALUE"""),"妊娠中の受診")</f>
        <v>妊娠中の受診</v>
      </c>
      <c r="D51" s="31" t="str">
        <f>IFERROR(__xludf.DUMMYFUNCTION("""COMPUTED_VALUE"""),"他院通院,妊婦健診")</f>
        <v>他院通院,妊婦健診</v>
      </c>
      <c r="E51" s="32" t="str">
        <f>IFERROR(__xludf.DUMMYFUNCTION("""COMPUTED_VALUE"""),"https://luna-dr.com/question/")</f>
        <v>https://luna-dr.com/question/</v>
      </c>
    </row>
    <row r="52">
      <c r="A52" s="31" t="str">
        <f>IFERROR(__xludf.DUMMYFUNCTION("""COMPUTED_VALUE"""),"診察券番号が分かりません/診察券はありますか？/診察カードを忘れた/診察券を忘れた")</f>
        <v>診察券番号が分かりません/診察券はありますか？/診察カードを忘れた/診察券を忘れた</v>
      </c>
      <c r="B52" s="31" t="str">
        <f>IFERROR(__xludf.DUMMYFUNCTION("""COMPUTED_VALUE"""),"ルナレディースクリニックでは診察券の発行を行っていません。LINEや領収書などからご確認いただけます。領収書もお手元にない場合は、お電話（050-1730-2768）または問い合わせフォームよりお問い合わせください。問い合わせフォームはこちら（https://share.hsforms.com/1mH5zNVXTSSSolb2TyIvhuw4rffl）。LINEでの診察券番号の確認方法については、こちらのページをご参照ください。→https://luna-dr.notion.site/f0a26ab231"&amp;"534d8fa9cb069193c411a4")</f>
        <v>ルナレディースクリニックでは診察券の発行を行っていません。LINEや領収書などからご確認いただけます。領収書もお手元にない場合は、お電話（050-1730-2768）または問い合わせフォームよりお問い合わせください。問い合わせフォームはこちら（https://share.hsforms.com/1mH5zNVXTSSSolb2TyIvhuw4rffl）。LINEでの診察券番号の確認方法については、こちらのページをご参照ください。→https://luna-dr.notion.site/f0a26ab231534d8fa9cb069193c411a4</v>
      </c>
      <c r="C52" s="31" t="str">
        <f>IFERROR(__xludf.DUMMYFUNCTION("""COMPUTED_VALUE"""),"受診について")</f>
        <v>受診について</v>
      </c>
      <c r="D52" s="31" t="str">
        <f>IFERROR(__xludf.DUMMYFUNCTION("""COMPUTED_VALUE"""),"診察券,番号")</f>
        <v>診察券,番号</v>
      </c>
      <c r="E52" s="31"/>
    </row>
    <row r="53">
      <c r="A53" s="31" t="str">
        <f>IFERROR(__xludf.DUMMYFUNCTION("""COMPUTED_VALUE"""),"女性医師はいますか？")</f>
        <v>女性医師はいますか？</v>
      </c>
      <c r="B53" s="31" t="str">
        <f>IFERROR(__xludf.DUMMYFUNCTION("""COMPUTED_VALUE"""),"ルナレディースクリニックでは女性医師が在籍しています。曜日によって不在の場合がありますので、ご希望の方はお電話ください。お電話は 050-1730-2768 までご連絡ください。電話受付時間は、平日9:45〜13:40・15:15〜19:40、土日祝9:45〜13:40・15:15〜18:40です。")</f>
        <v>ルナレディースクリニックでは女性医師が在籍しています。曜日によって不在の場合がありますので、ご希望の方はお電話ください。お電話は 050-1730-2768 までご連絡ください。電話受付時間は、平日9:45〜13:40・15:15〜19:40、土日祝9:45〜13:40・15:15〜18:40です。</v>
      </c>
      <c r="C53" s="31" t="str">
        <f>IFERROR(__xludf.DUMMYFUNCTION("""COMPUTED_VALUE"""),"診察体制")</f>
        <v>診察体制</v>
      </c>
      <c r="D53" s="31" t="str">
        <f>IFERROR(__xludf.DUMMYFUNCTION("""COMPUTED_VALUE"""),"女性医師,医師")</f>
        <v>女性医師,医師</v>
      </c>
      <c r="E53" s="32" t="str">
        <f>IFERROR(__xludf.DUMMYFUNCTION("""COMPUTED_VALUE"""),"https://luna-dr.com/question/")</f>
        <v>https://luna-dr.com/question/</v>
      </c>
    </row>
    <row r="54">
      <c r="A54" s="31" t="str">
        <f>IFERROR(__xludf.DUMMYFUNCTION("""COMPUTED_VALUE"""),"何歳から診察を受けられますか？/小学生が受診できますか？/中学生でも受診できますか？/年齢制限はありますか？/未成年でも検査は受けられますか？/未成年の検査/検査可能な年齢は？/子供でも受診できますか？/15歳未満は受診できますか？/10代でも診てもらえますか？/年齢制限は何歳ですか？")</f>
        <v>何歳から診察を受けられますか？/小学生が受診できますか？/中学生でも受診できますか？/年齢制限はありますか？/未成年でも検査は受けられますか？/未成年の検査/検査可能な年齢は？/子供でも受診できますか？/15歳未満は受診できますか？/10代でも診てもらえますか？/年齢制限は何歳ですか？</v>
      </c>
      <c r="B54" s="31" t="str">
        <f>IFERROR(__xludf.DUMMYFUNCTION("""COMPUTED_VALUE"""),"当院は15歳以上の方からご受診いただけます。18歳未満の患者さまは保護者の方の同伴が必須となります。")</f>
        <v>当院は15歳以上の方からご受診いただけます。18歳未満の患者さまは保護者の方の同伴が必須となります。</v>
      </c>
      <c r="C54" s="31" t="str">
        <f>IFERROR(__xludf.DUMMYFUNCTION("""COMPUTED_VALUE"""),"受診案内")</f>
        <v>受診案内</v>
      </c>
      <c r="D54" s="31" t="str">
        <f>IFERROR(__xludf.DUMMYFUNCTION("""COMPUTED_VALUE"""),"年齢制限,未成年,15歳,18歳未満,小学生,中学生,高校生,保護者,同伴")</f>
        <v>年齢制限,未成年,15歳,18歳未満,小学生,中学生,高校生,保護者,同伴</v>
      </c>
      <c r="E54" s="32" t="str">
        <f>IFERROR(__xludf.DUMMYFUNCTION("""COMPUTED_VALUE"""),"https://luna-dr.com/question/")</f>
        <v>https://luna-dr.com/question/</v>
      </c>
    </row>
    <row r="55">
      <c r="A55" s="31" t="str">
        <f>IFERROR(__xludf.DUMMYFUNCTION("""COMPUTED_VALUE"""),"オンライン診療ではどんな相談ができますか？")</f>
        <v>オンライン診療ではどんな相談ができますか？</v>
      </c>
      <c r="B55" s="31" t="str">
        <f>IFERROR(__xludf.DUMMYFUNCTION("""COMPUTED_VALUE"""),"ルナレディースクリニックのオンライン診療では、「おりものが少し変かも」「この症状で病院に行く必要があるか不安」など、気になる婦人科のお悩みについて、実際の診察前に無料でご相談いただけます。オンライン診療はLINEからご利用いただけます。こちらのオンライン診療ページ（https://liff-gateway.lineml.jp/landing?follow=%40590gpxrd&amp;lp=fX73yx&amp;liff_id=1657094566-LmjNPPbV）からご利用ください。")</f>
        <v>ルナレディースクリニックのオンライン診療では、「おりものが少し変かも」「この症状で病院に行く必要があるか不安」など、気になる婦人科のお悩みについて、実際の診察前に無料でご相談いただけます。オンライン診療はLINEからご利用いただけます。こちらのオンライン診療ページ（https://liff-gateway.lineml.jp/landing?follow=%40590gpxrd&amp;lp=fX73yx&amp;liff_id=1657094566-LmjNPPbV）からご利用ください。</v>
      </c>
      <c r="C55" s="31" t="str">
        <f>IFERROR(__xludf.DUMMYFUNCTION("""COMPUTED_VALUE"""),"オンライン診療")</f>
        <v>オンライン診療</v>
      </c>
      <c r="D55" s="31" t="str">
        <f>IFERROR(__xludf.DUMMYFUNCTION("""COMPUTED_VALUE"""),"オンライン診療,無料相談,婦人科相談")</f>
        <v>オンライン診療,無料相談,婦人科相談</v>
      </c>
      <c r="E55" s="32" t="str">
        <f>IFERROR(__xludf.DUMMYFUNCTION("""COMPUTED_VALUE"""),"https://luna-dr.com/telemedicine/")</f>
        <v>https://luna-dr.com/telemedicine/</v>
      </c>
    </row>
    <row r="56">
      <c r="A56" s="31" t="str">
        <f>IFERROR(__xludf.DUMMYFUNCTION("""COMPUTED_VALUE"""),"オンライン診療の特徴を教えてください")</f>
        <v>オンライン診療の特徴を教えてください</v>
      </c>
      <c r="B56" s="31" t="str">
        <f>IFERROR(__xludf.DUMMYFUNCTION("""COMPUTED_VALUE"""),"ルナレディースクリニックのオンライン診療では、問診から診察、決済、お薬の処方まで、すべてLINEで完結します。実際の診察前に「おりものが少し変かも」「この症状で受診が必要か不安」といった婦人科のお悩みを、無料で気軽にご相談いただけます。専用アプリは不要で、LINEのチャットを使って相談員や医師とやりとりができ、初診の方もオンライン診療が可能です。処方されたお薬はご自宅まで配送されるため、外出の必要はありません。")</f>
        <v>ルナレディースクリニックのオンライン診療では、問診から診察、決済、お薬の処方まで、すべてLINEで完結します。実際の診察前に「おりものが少し変かも」「この症状で受診が必要か不安」といった婦人科のお悩みを、無料で気軽にご相談いただけます。専用アプリは不要で、LINEのチャットを使って相談員や医師とやりとりができ、初診の方もオンライン診療が可能です。処方されたお薬はご自宅まで配送されるため、外出の必要はありません。</v>
      </c>
      <c r="C56" s="31" t="str">
        <f>IFERROR(__xludf.DUMMYFUNCTION("""COMPUTED_VALUE"""),"オンライン診療")</f>
        <v>オンライン診療</v>
      </c>
      <c r="D56" s="31" t="str">
        <f>IFERROR(__xludf.DUMMYFUNCTION("""COMPUTED_VALUE"""),"オンライン診療,特徴,無料相談,LINE診療")</f>
        <v>オンライン診療,特徴,無料相談,LINE診療</v>
      </c>
      <c r="E56" s="32" t="str">
        <f>IFERROR(__xludf.DUMMYFUNCTION("""COMPUTED_VALUE"""),"https://luna-dr.com/telemedicine/")</f>
        <v>https://luna-dr.com/telemedicine/</v>
      </c>
    </row>
    <row r="57">
      <c r="A57" s="31" t="str">
        <f>IFERROR(__xludf.DUMMYFUNCTION("""COMPUTED_VALUE"""),"オンライン診療は初診から利用できますか？")</f>
        <v>オンライン診療は初診から利用できますか？</v>
      </c>
      <c r="B57" s="31" t="str">
        <f>IFERROR(__xludf.DUMMYFUNCTION("""COMPUTED_VALUE"""),"ルナレディースクリニックのオンライン診療では、再診だけでなく初診の方もオンラインで診療を受けていただけます。LINEから診察予約が可能です。")</f>
        <v>ルナレディースクリニックのオンライン診療では、再診だけでなく初診の方もオンラインで診療を受けていただけます。LINEから診察予約が可能です。</v>
      </c>
      <c r="C57" s="31" t="str">
        <f>IFERROR(__xludf.DUMMYFUNCTION("""COMPUTED_VALUE"""),"オンライン診療")</f>
        <v>オンライン診療</v>
      </c>
      <c r="D57" s="31" t="str">
        <f>IFERROR(__xludf.DUMMYFUNCTION("""COMPUTED_VALUE"""),"初診,オンライン診療")</f>
        <v>初診,オンライン診療</v>
      </c>
      <c r="E57" s="32" t="str">
        <f>IFERROR(__xludf.DUMMYFUNCTION("""COMPUTED_VALUE"""),"https://luna-dr.com/telemedicine/")</f>
        <v>https://luna-dr.com/telemedicine/</v>
      </c>
    </row>
    <row r="58">
      <c r="A58" s="31" t="str">
        <f>IFERROR(__xludf.DUMMYFUNCTION("""COMPUTED_VALUE"""),"オンライン診療はどのように受けられますか？")</f>
        <v>オンライン診療はどのように受けられますか？</v>
      </c>
      <c r="B58" s="31" t="str">
        <f>IFERROR(__xludf.DUMMYFUNCTION("""COMPUTED_VALUE"""),"ルナレディースクリニックのオンライン診療は、LINEのお友だち登録後、診察予約・WEB問診・医師の診察・決済・お薬の処方まで、すべてスマートフォンで完結します。こちらのオンライン診療ページ（https://liff-gateway.lineml.jp/landing?follow=%40590gpxrd&amp;lp=fX73yx&amp;liff_id=1657094566-LmjNPPbV）からご利用ください。")</f>
        <v>ルナレディースクリニックのオンライン診療は、LINEのお友だち登録後、診察予約・WEB問診・医師の診察・決済・お薬の処方まで、すべてスマートフォンで完結します。こちらのオンライン診療ページ（https://liff-gateway.lineml.jp/landing?follow=%40590gpxrd&amp;lp=fX73yx&amp;liff_id=1657094566-LmjNPPbV）からご利用ください。</v>
      </c>
      <c r="C58" s="31" t="str">
        <f>IFERROR(__xludf.DUMMYFUNCTION("""COMPUTED_VALUE"""),"オンライン診療")</f>
        <v>オンライン診療</v>
      </c>
      <c r="D58" s="31" t="str">
        <f>IFERROR(__xludf.DUMMYFUNCTION("""COMPUTED_VALUE"""),"LINE診療,スマホ診療")</f>
        <v>LINE診療,スマホ診療</v>
      </c>
      <c r="E58" s="32" t="str">
        <f>IFERROR(__xludf.DUMMYFUNCTION("""COMPUTED_VALUE"""),"https://luna-dr.com/telemedicine/")</f>
        <v>https://luna-dr.com/telemedicine/</v>
      </c>
    </row>
    <row r="59">
      <c r="A59" s="31" t="str">
        <f>IFERROR(__xludf.DUMMYFUNCTION("""COMPUTED_VALUE"""),"オンライン診療で対応している診療内容を教えてください")</f>
        <v>オンライン診療で対応している診療内容を教えてください</v>
      </c>
      <c r="B59" s="31" t="str">
        <f>IFERROR(__xludf.DUMMYFUNCTION("""COMPUTED_VALUE"""),"ルナレディースクリニックのオンライン診療では、ピルの処方、低用量ピル、アフターピル、月経移動、おりもの異常に対応しています。")</f>
        <v>ルナレディースクリニックのオンライン診療では、ピルの処方、低用量ピル、アフターピル、月経移動、おりもの異常に対応しています。</v>
      </c>
      <c r="C59" s="31" t="str">
        <f>IFERROR(__xludf.DUMMYFUNCTION("""COMPUTED_VALUE"""),"オンライン診療")</f>
        <v>オンライン診療</v>
      </c>
      <c r="D59" s="31" t="str">
        <f>IFERROR(__xludf.DUMMYFUNCTION("""COMPUTED_VALUE"""),"ピル,月経移動,おりもの")</f>
        <v>ピル,月経移動,おりもの</v>
      </c>
      <c r="E59" s="32" t="str">
        <f>IFERROR(__xludf.DUMMYFUNCTION("""COMPUTED_VALUE"""),"https://luna-dr.com/telemedicine/")</f>
        <v>https://luna-dr.com/telemedicine/</v>
      </c>
    </row>
    <row r="60">
      <c r="A60" s="31" t="str">
        <f>IFERROR(__xludf.DUMMYFUNCTION("""COMPUTED_VALUE"""),"オンライン診療の流れを教えてください")</f>
        <v>オンライン診療の流れを教えてください</v>
      </c>
      <c r="B60" s="31" t="str">
        <f>IFERROR(__xludf.DUMMYFUNCTION("""COMPUTED_VALUE"""),"ルナレディースクリニックのオンライン診療は、LINEのお友だち登録後、診察予約、WEB問診への回答、スタッフとのやりとり、医師による電話またはチャット診療、決済、お薬の発送という流れで進みます。")</f>
        <v>ルナレディースクリニックのオンライン診療は、LINEのお友だち登録後、診察予約、WEB問診への回答、スタッフとのやりとり、医師による電話またはチャット診療、決済、お薬の発送という流れで進みます。</v>
      </c>
      <c r="C60" s="31" t="str">
        <f>IFERROR(__xludf.DUMMYFUNCTION("""COMPUTED_VALUE"""),"オンライン診療")</f>
        <v>オンライン診療</v>
      </c>
      <c r="D60" s="31" t="str">
        <f>IFERROR(__xludf.DUMMYFUNCTION("""COMPUTED_VALUE"""),"診療の流れ,オンライン")</f>
        <v>診療の流れ,オンライン</v>
      </c>
      <c r="E60" s="32" t="str">
        <f>IFERROR(__xludf.DUMMYFUNCTION("""COMPUTED_VALUE"""),"https://luna-dr.com/telemedicine/")</f>
        <v>https://luna-dr.com/telemedicine/</v>
      </c>
    </row>
    <row r="61">
      <c r="A61" s="31" t="str">
        <f>IFERROR(__xludf.DUMMYFUNCTION("""COMPUTED_VALUE"""),"オンライン診療で処方された薬はどこで受け取れますか？")</f>
        <v>オンライン診療で処方された薬はどこで受け取れますか？</v>
      </c>
      <c r="B61" s="31" t="str">
        <f>IFERROR(__xludf.DUMMYFUNCTION("""COMPUTED_VALUE"""),"ルナレディースクリニックのオンライン診療で処方されたお薬は、ご自宅まで郵送でお届けしています。外出の必要はありません。")</f>
        <v>ルナレディースクリニックのオンライン診療で処方されたお薬は、ご自宅まで郵送でお届けしています。外出の必要はありません。</v>
      </c>
      <c r="C61" s="31" t="str">
        <f>IFERROR(__xludf.DUMMYFUNCTION("""COMPUTED_VALUE"""),"オンライン診療")</f>
        <v>オンライン診療</v>
      </c>
      <c r="D61" s="31" t="str">
        <f>IFERROR(__xludf.DUMMYFUNCTION("""COMPUTED_VALUE"""),"薬の受け取り,配送")</f>
        <v>薬の受け取り,配送</v>
      </c>
      <c r="E61" s="32" t="str">
        <f>IFERROR(__xludf.DUMMYFUNCTION("""COMPUTED_VALUE"""),"https://luna-dr.com/telemedicine/")</f>
        <v>https://luna-dr.com/telemedicine/</v>
      </c>
    </row>
    <row r="62">
      <c r="A62" s="31" t="str">
        <f>IFERROR(__xludf.DUMMYFUNCTION("""COMPUTED_VALUE"""),"オンライン診療の支払い方法を教えてください")</f>
        <v>オンライン診療の支払い方法を教えてください</v>
      </c>
      <c r="B62" s="31" t="str">
        <f>IFERROR(__xludf.DUMMYFUNCTION("""COMPUTED_VALUE"""),"ルナレディースクリニックのオンライン診療では、原則クレジットカード払いをお願いしております。対応ブランドは、VISA、Master、JCB、Diners、AmericanExpressです。
診察後にお支払い用のURLをご案内していますので、ご対応をいただきます。
※クレジットカード以外をご希望の場合は、振込または代引き（別途手数料あり）への変更も可能です。詳しくはカウンセラーへお問い合わせください。")</f>
        <v>ルナレディースクリニックのオンライン診療では、原則クレジットカード払いをお願いしております。対応ブランドは、VISA、Master、JCB、Diners、AmericanExpressです。
診察後にお支払い用のURLをご案内していますので、ご対応をいただきます。
※クレジットカード以外をご希望の場合は、振込または代引き（別途手数料あり）への変更も可能です。詳しくはカウンセラーへお問い合わせください。</v>
      </c>
      <c r="C62" s="31" t="str">
        <f>IFERROR(__xludf.DUMMYFUNCTION("""COMPUTED_VALUE"""),"オンライン診療")</f>
        <v>オンライン診療</v>
      </c>
      <c r="D62" s="31" t="str">
        <f>IFERROR(__xludf.DUMMYFUNCTION("""COMPUTED_VALUE"""),"支払い方法,クレジットカード")</f>
        <v>支払い方法,クレジットカード</v>
      </c>
      <c r="E62" s="32" t="str">
        <f>IFERROR(__xludf.DUMMYFUNCTION("""COMPUTED_VALUE"""),"https://luna-dr.com/telemedicine/")</f>
        <v>https://luna-dr.com/telemedicine/</v>
      </c>
    </row>
    <row r="63">
      <c r="A63" s="31" t="str">
        <f>IFERROR(__xludf.DUMMYFUNCTION("""COMPUTED_VALUE"""),"オンライン診療の対象年齢について教えてください")</f>
        <v>オンライン診療の対象年齢について教えてください</v>
      </c>
      <c r="B63" s="31" t="str">
        <f>IFERROR(__xludf.DUMMYFUNCTION("""COMPUTED_VALUE"""),"ルナレディースクリニックのオンライン診療は、全メニュー18歳以上の方が対象です。低用量ピルは18歳以上40歳未満の方が対象となり、低用量ピルの定期配送は45歳までご継続いただけます。")</f>
        <v>ルナレディースクリニックのオンライン診療は、全メニュー18歳以上の方が対象です。低用量ピルは18歳以上40歳未満の方が対象となり、低用量ピルの定期配送は45歳までご継続いただけます。</v>
      </c>
      <c r="C63" s="31" t="str">
        <f>IFERROR(__xludf.DUMMYFUNCTION("""COMPUTED_VALUE"""),"オンライン診療")</f>
        <v>オンライン診療</v>
      </c>
      <c r="D63" s="31" t="str">
        <f>IFERROR(__xludf.DUMMYFUNCTION("""COMPUTED_VALUE"""),"対象年齢,年齢制限,オンライン診療")</f>
        <v>対象年齢,年齢制限,オンライン診療</v>
      </c>
      <c r="E63" s="32" t="str">
        <f>IFERROR(__xludf.DUMMYFUNCTION("""COMPUTED_VALUE"""),"https://luna-dr.com/telemedicine/")</f>
        <v>https://luna-dr.com/telemedicine/</v>
      </c>
    </row>
    <row r="64">
      <c r="A64" s="31" t="str">
        <f>IFERROR(__xludf.DUMMYFUNCTION("""COMPUTED_VALUE"""),"オンライン診療の料金について教えてください")</f>
        <v>オンライン診療の料金について教えてください</v>
      </c>
      <c r="B64" s="31" t="str">
        <f>IFERROR(__xludf.DUMMYFUNCTION("""COMPUTED_VALUE"""),"ルナレディースクリニックのオンライン診療では、医師診察代は3,000円です。別途、お薬代と送料500円～1,000円がかかります。低用量ピルについては、医師診察代が無料となるキャンペーンを行っています。")</f>
        <v>ルナレディースクリニックのオンライン診療では、医師診察代は3,000円です。別途、お薬代と送料500円～1,000円がかかります。低用量ピルについては、医師診察代が無料となるキャンペーンを行っています。</v>
      </c>
      <c r="C64" s="31" t="str">
        <f>IFERROR(__xludf.DUMMYFUNCTION("""COMPUTED_VALUE"""),"オンライン診療")</f>
        <v>オンライン診療</v>
      </c>
      <c r="D64" s="31" t="str">
        <f>IFERROR(__xludf.DUMMYFUNCTION("""COMPUTED_VALUE"""),"料金,診察代,オンライン診療")</f>
        <v>料金,診察代,オンライン診療</v>
      </c>
      <c r="E64" s="32" t="str">
        <f>IFERROR(__xludf.DUMMYFUNCTION("""COMPUTED_VALUE"""),"https://luna-dr.com/telemedicine/")</f>
        <v>https://luna-dr.com/telemedicine/</v>
      </c>
    </row>
    <row r="65">
      <c r="A65" s="31" t="str">
        <f>IFERROR(__xludf.DUMMYFUNCTION("""COMPUTED_VALUE"""),"オンライン診療は保険が使えますか？/オンライン診療で保険が適用されますか？")</f>
        <v>オンライン診療は保険が使えますか？/オンライン診療で保険が適用されますか？</v>
      </c>
      <c r="B65" s="31" t="str">
        <f>IFERROR(__xludf.DUMMYFUNCTION("""COMPUTED_VALUE"""),"ルナレディースクリニックのオンライン診療は、現在すべて自費診療で行っています。")</f>
        <v>ルナレディースクリニックのオンライン診療は、現在すべて自費診療で行っています。</v>
      </c>
      <c r="C65" s="31" t="str">
        <f>IFERROR(__xludf.DUMMYFUNCTION("""COMPUTED_VALUE"""),"オンライン診療")</f>
        <v>オンライン診療</v>
      </c>
      <c r="D65" s="31" t="str">
        <f>IFERROR(__xludf.DUMMYFUNCTION("""COMPUTED_VALUE"""),"自費診療,保険")</f>
        <v>自費診療,保険</v>
      </c>
      <c r="E65" s="32" t="str">
        <f>IFERROR(__xludf.DUMMYFUNCTION("""COMPUTED_VALUE"""),"https://luna-dr.com/telemedicine/")</f>
        <v>https://luna-dr.com/telemedicine/</v>
      </c>
    </row>
    <row r="66">
      <c r="A66" s="31" t="str">
        <f>IFERROR(__xludf.DUMMYFUNCTION("""COMPUTED_VALUE"""),"オンライン診療の申し込みはどこからできますか？")</f>
        <v>オンライン診療の申し込みはどこからできますか？</v>
      </c>
      <c r="B66" s="31" t="str">
        <f>IFERROR(__xludf.DUMMYFUNCTION("""COMPUTED_VALUE"""),"ルナレディースクリニックのオンライン診療は、専用のLINE公式アカウントからお申し込みいただけます。こちらのオンライン診療ページ（https://liff-gateway.lineml.jp/landing?follow=%40590gpxrd&amp;lp=fX73yx&amp;liff_id=1657094566-LmjNPPbV）からご利用ください。")</f>
        <v>ルナレディースクリニックのオンライン診療は、専用のLINE公式アカウントからお申し込みいただけます。こちらのオンライン診療ページ（https://liff-gateway.lineml.jp/landing?follow=%40590gpxrd&amp;lp=fX73yx&amp;liff_id=1657094566-LmjNPPbV）からご利用ください。</v>
      </c>
      <c r="C66" s="31" t="str">
        <f>IFERROR(__xludf.DUMMYFUNCTION("""COMPUTED_VALUE"""),"オンライン診療")</f>
        <v>オンライン診療</v>
      </c>
      <c r="D66" s="31" t="str">
        <f>IFERROR(__xludf.DUMMYFUNCTION("""COMPUTED_VALUE"""),"オンライン診療URL,LINE")</f>
        <v>オンライン診療URL,LINE</v>
      </c>
      <c r="E66" s="32" t="str">
        <f>IFERROR(__xludf.DUMMYFUNCTION("""COMPUTED_VALUE"""),"https://luna-dr.com/telemedicine/")</f>
        <v>https://luna-dr.com/telemedicine/</v>
      </c>
    </row>
    <row r="67">
      <c r="A67" s="31" t="str">
        <f>IFERROR(__xludf.DUMMYFUNCTION("""COMPUTED_VALUE"""),"オンライン診療で処方された薬はどこで受け取れますか？")</f>
        <v>オンライン診療で処方された薬はどこで受け取れますか？</v>
      </c>
      <c r="B67" s="31" t="str">
        <f>IFERROR(__xludf.DUMMYFUNCTION("""COMPUTED_VALUE"""),"ルナレディースクリニックのオンライン診療で処方されたお薬は、ご自宅まで郵送でお届けしています。外出の必要はありません。")</f>
        <v>ルナレディースクリニックのオンライン診療で処方されたお薬は、ご自宅まで郵送でお届けしています。外出の必要はありません。</v>
      </c>
      <c r="C67" s="31" t="str">
        <f>IFERROR(__xludf.DUMMYFUNCTION("""COMPUTED_VALUE"""),"オンライン診療")</f>
        <v>オンライン診療</v>
      </c>
      <c r="D67" s="31" t="str">
        <f>IFERROR(__xludf.DUMMYFUNCTION("""COMPUTED_VALUE"""),"薬の受け取り,郵送,オンライン診療")</f>
        <v>薬の受け取り,郵送,オンライン診療</v>
      </c>
      <c r="E67" s="32" t="str">
        <f>IFERROR(__xludf.DUMMYFUNCTION("""COMPUTED_VALUE"""),"https://luna-dr.com/telemedicine/")</f>
        <v>https://luna-dr.com/telemedicine/</v>
      </c>
    </row>
    <row r="68">
      <c r="A68" s="31" t="str">
        <f>IFERROR(__xludf.DUMMYFUNCTION("""COMPUTED_VALUE"""),"オンライン診療の薬はどれくらいで届きますか？/ピルの定期配送は何日で届く？/ピルの定期便は注文して何日で届きますか？")</f>
        <v>オンライン診療の薬はどれくらいで届きますか？/ピルの定期配送は何日で届く？/ピルの定期便は注文して何日で届きますか？</v>
      </c>
      <c r="B68" s="31" t="str">
        <f>IFERROR(__xludf.DUMMYFUNCTION("""COMPUTED_VALUE"""),"ルナレディースクリニックのオンライン診療では、診察当日または翌営業日に神奈川県川崎市よりお薬を発送しています。到着までの時間は、お住まいの地域によって異なります。")</f>
        <v>ルナレディースクリニックのオンライン診療では、診察当日または翌営業日に神奈川県川崎市よりお薬を発送しています。到着までの時間は、お住まいの地域によって異なります。</v>
      </c>
      <c r="C68" s="31" t="str">
        <f>IFERROR(__xludf.DUMMYFUNCTION("""COMPUTED_VALUE"""),"オンライン診療")</f>
        <v>オンライン診療</v>
      </c>
      <c r="D68" s="31" t="str">
        <f>IFERROR(__xludf.DUMMYFUNCTION("""COMPUTED_VALUE"""),"薬の到着,配送日数,オンライン診療")</f>
        <v>薬の到着,配送日数,オンライン診療</v>
      </c>
      <c r="E68" s="32" t="str">
        <f>IFERROR(__xludf.DUMMYFUNCTION("""COMPUTED_VALUE"""),"https://luna-dr.com/telemedicine/")</f>
        <v>https://luna-dr.com/telemedicine/</v>
      </c>
    </row>
    <row r="69">
      <c r="A69" s="31" t="str">
        <f>IFERROR(__xludf.DUMMYFUNCTION("""COMPUTED_VALUE"""),"支払い方法/支払い方法には何が使えますか？/支払い方法を教えてください/どんな支払い方法がありますか？/お会計方法は？/お支払いはどうすればいいですか？")</f>
        <v>支払い方法/支払い方法には何が使えますか？/支払い方法を教えてください/どんな支払い方法がありますか？/お会計方法は？/お支払いはどうすればいいですか？</v>
      </c>
      <c r="B69" s="31" t="str">
        <f>IFERROR(__xludf.DUMMYFUNCTION("""COMPUTED_VALUE"""),"ルナレディースクリニックでは、現金のほか、クレジットカード（VISA、Mastercard、JCB、American Express、Diners Club、Discover）、交通系電子マネー（Suica、PASMO、Kitaca、TOICA、manaca、ICOCA、SUGOCA、nimoca、はやかけん）、電子マネー（QUICPay、iD、WAON）、QRコード決済（Alipay、WeChat Pay、PayPay、d払い、mPay）をご利用いただけます。")</f>
        <v>ルナレディースクリニックでは、現金のほか、クレジットカード（VISA、Mastercard、JCB、American Express、Diners Club、Discover）、交通系電子マネー（Suica、PASMO、Kitaca、TOICA、manaca、ICOCA、SUGOCA、nimoca、はやかけん）、電子マネー（QUICPay、iD、WAON）、QRコード決済（Alipay、WeChat Pay、PayPay、d払い、mPay）をご利用いただけます。</v>
      </c>
      <c r="C69" s="31" t="str">
        <f>IFERROR(__xludf.DUMMYFUNCTION("""COMPUTED_VALUE"""),"料金・支払い")</f>
        <v>料金・支払い</v>
      </c>
      <c r="D69" s="31" t="str">
        <f>IFERROR(__xludf.DUMMYFUNCTION("""COMPUTED_VALUE"""),"支払い方法,クレジットカード,電子マネー,QR決済")</f>
        <v>支払い方法,クレジットカード,電子マネー,QR決済</v>
      </c>
      <c r="E69" s="32" t="str">
        <f>IFERROR(__xludf.DUMMYFUNCTION("""COMPUTED_VALUE"""),"https://luna-dr.com/")</f>
        <v>https://luna-dr.com/</v>
      </c>
    </row>
    <row r="70">
      <c r="A70" s="31" t="str">
        <f>IFERROR(__xludf.DUMMYFUNCTION("""COMPUTED_VALUE"""),"クレジットカードは使えますか？")</f>
        <v>クレジットカードは使えますか？</v>
      </c>
      <c r="B70" s="31" t="str">
        <f>IFERROR(__xludf.DUMMYFUNCTION("""COMPUTED_VALUE"""),"ルナレディースクリニックでは、VISA、Mastercard、JCB、American Express、Diners Club、Discoverのクレジットカードをご利用いただけます。")</f>
        <v>ルナレディースクリニックでは、VISA、Mastercard、JCB、American Express、Diners Club、Discoverのクレジットカードをご利用いただけます。</v>
      </c>
      <c r="C70" s="31" t="str">
        <f>IFERROR(__xludf.DUMMYFUNCTION("""COMPUTED_VALUE"""),"料金・支払い")</f>
        <v>料金・支払い</v>
      </c>
      <c r="D70" s="31" t="str">
        <f>IFERROR(__xludf.DUMMYFUNCTION("""COMPUTED_VALUE"""),"クレジットカード,支払い方法,カード決済")</f>
        <v>クレジットカード,支払い方法,カード決済</v>
      </c>
      <c r="E70" s="32" t="str">
        <f>IFERROR(__xludf.DUMMYFUNCTION("""COMPUTED_VALUE"""),"https://luna-dr.com/")</f>
        <v>https://luna-dr.com/</v>
      </c>
    </row>
    <row r="71">
      <c r="A71" s="31" t="str">
        <f>IFERROR(__xludf.DUMMYFUNCTION("""COMPUTED_VALUE"""),"現金は使えますか？")</f>
        <v>現金は使えますか？</v>
      </c>
      <c r="B71" s="31" t="str">
        <f>IFERROR(__xludf.DUMMYFUNCTION("""COMPUTED_VALUE"""),"ルナレディースクリニックでは、現金でのお支払いが可能です。")</f>
        <v>ルナレディースクリニックでは、現金でのお支払いが可能です。</v>
      </c>
      <c r="C71" s="31" t="str">
        <f>IFERROR(__xludf.DUMMYFUNCTION("""COMPUTED_VALUE"""),"料金・支払い")</f>
        <v>料金・支払い</v>
      </c>
      <c r="D71" s="31" t="str">
        <f>IFERROR(__xludf.DUMMYFUNCTION("""COMPUTED_VALUE"""),"現金,支払い方法")</f>
        <v>現金,支払い方法</v>
      </c>
      <c r="E71" s="32" t="str">
        <f>IFERROR(__xludf.DUMMYFUNCTION("""COMPUTED_VALUE"""),"https://luna-dr.com/")</f>
        <v>https://luna-dr.com/</v>
      </c>
    </row>
    <row r="72">
      <c r="A72" s="31" t="str">
        <f>IFERROR(__xludf.DUMMYFUNCTION("""COMPUTED_VALUE"""),"交通系ICカードは使えますか？")</f>
        <v>交通系ICカードは使えますか？</v>
      </c>
      <c r="B72" s="31" t="str">
        <f>IFERROR(__xludf.DUMMYFUNCTION("""COMPUTED_VALUE"""),"ルナレディースクリニックでは、Suica、PASMO、Kitaca、TOICA、manaca、ICOCA、SUGOCA、nimoca、はやかけんの交通系電子マネーをご利用いただけます。")</f>
        <v>ルナレディースクリニックでは、Suica、PASMO、Kitaca、TOICA、manaca、ICOCA、SUGOCA、nimoca、はやかけんの交通系電子マネーをご利用いただけます。</v>
      </c>
      <c r="C72" s="31" t="str">
        <f>IFERROR(__xludf.DUMMYFUNCTION("""COMPUTED_VALUE"""),"料金・支払い")</f>
        <v>料金・支払い</v>
      </c>
      <c r="D72" s="31" t="str">
        <f>IFERROR(__xludf.DUMMYFUNCTION("""COMPUTED_VALUE"""),"交通系IC,電子マネー,支払い方法")</f>
        <v>交通系IC,電子マネー,支払い方法</v>
      </c>
      <c r="E72" s="32" t="str">
        <f>IFERROR(__xludf.DUMMYFUNCTION("""COMPUTED_VALUE"""),"https://luna-dr.com/")</f>
        <v>https://luna-dr.com/</v>
      </c>
    </row>
    <row r="73">
      <c r="A73" s="31" t="str">
        <f>IFERROR(__xludf.DUMMYFUNCTION("""COMPUTED_VALUE"""),"電子マネーは使えますか？")</f>
        <v>電子マネーは使えますか？</v>
      </c>
      <c r="B73" s="31" t="str">
        <f>IFERROR(__xludf.DUMMYFUNCTION("""COMPUTED_VALUE"""),"ルナレディースクリニックでは、QUICPay、iD、WAONの電子マネーをご利用いただけます。")</f>
        <v>ルナレディースクリニックでは、QUICPay、iD、WAONの電子マネーをご利用いただけます。</v>
      </c>
      <c r="C73" s="31" t="str">
        <f>IFERROR(__xludf.DUMMYFUNCTION("""COMPUTED_VALUE"""),"料金・支払い")</f>
        <v>料金・支払い</v>
      </c>
      <c r="D73" s="31" t="str">
        <f>IFERROR(__xludf.DUMMYFUNCTION("""COMPUTED_VALUE"""),"電子マネー,QUICPay,iD,WAON")</f>
        <v>電子マネー,QUICPay,iD,WAON</v>
      </c>
      <c r="E73" s="32" t="str">
        <f>IFERROR(__xludf.DUMMYFUNCTION("""COMPUTED_VALUE"""),"https://luna-dr.com/")</f>
        <v>https://luna-dr.com/</v>
      </c>
    </row>
    <row r="74">
      <c r="A74" s="31" t="str">
        <f>IFERROR(__xludf.DUMMYFUNCTION("""COMPUTED_VALUE"""),"PayPayは使えますか？")</f>
        <v>PayPayは使えますか？</v>
      </c>
      <c r="B74" s="31" t="str">
        <f>IFERROR(__xludf.DUMMYFUNCTION("""COMPUTED_VALUE"""),"ルナレディースクリニックでは、PayPayでのお支払いが可能です。")</f>
        <v>ルナレディースクリニックでは、PayPayでのお支払いが可能です。</v>
      </c>
      <c r="C74" s="31" t="str">
        <f>IFERROR(__xludf.DUMMYFUNCTION("""COMPUTED_VALUE"""),"料金・支払い")</f>
        <v>料金・支払い</v>
      </c>
      <c r="D74" s="31" t="str">
        <f>IFERROR(__xludf.DUMMYFUNCTION("""COMPUTED_VALUE"""),"PayPay,QR決済")</f>
        <v>PayPay,QR決済</v>
      </c>
      <c r="E74" s="32" t="str">
        <f>IFERROR(__xludf.DUMMYFUNCTION("""COMPUTED_VALUE"""),"https://luna-dr.com/")</f>
        <v>https://luna-dr.com/</v>
      </c>
    </row>
    <row r="75">
      <c r="A75" s="31" t="str">
        <f>IFERROR(__xludf.DUMMYFUNCTION("""COMPUTED_VALUE"""),"QRコード決済は使えますか？")</f>
        <v>QRコード決済は使えますか？</v>
      </c>
      <c r="B75" s="31" t="str">
        <f>IFERROR(__xludf.DUMMYFUNCTION("""COMPUTED_VALUE"""),"ルナレディースクリニックでは、Alipay、WeChat Pay、PayPay、d払い、mPayのQRコード決済をご利用いただけます。")</f>
        <v>ルナレディースクリニックでは、Alipay、WeChat Pay、PayPay、d払い、mPayのQRコード決済をご利用いただけます。</v>
      </c>
      <c r="C75" s="31" t="str">
        <f>IFERROR(__xludf.DUMMYFUNCTION("""COMPUTED_VALUE"""),"料金・支払い")</f>
        <v>料金・支払い</v>
      </c>
      <c r="D75" s="31" t="str">
        <f>IFERROR(__xludf.DUMMYFUNCTION("""COMPUTED_VALUE"""),"QR決済,スマホ決済")</f>
        <v>QR決済,スマホ決済</v>
      </c>
      <c r="E75" s="32" t="str">
        <f>IFERROR(__xludf.DUMMYFUNCTION("""COMPUTED_VALUE"""),"https://luna-dr.com/")</f>
        <v>https://luna-dr.com/</v>
      </c>
    </row>
    <row r="76">
      <c r="A76" s="31" t="str">
        <f>IFERROR(__xludf.DUMMYFUNCTION("""COMPUTED_VALUE"""),"海外発行のクレジットカードは使えますか？")</f>
        <v>海外発行のクレジットカードは使えますか？</v>
      </c>
      <c r="B76" s="31" t="str">
        <f>IFERROR(__xludf.DUMMYFUNCTION("""COMPUTED_VALUE"""),"ルナレディースクリニックでは、VISA、Mastercard、American Express、Diners Club、Discoverに対応しており、海外発行のカードもご利用いただけます。")</f>
        <v>ルナレディースクリニックでは、VISA、Mastercard、American Express、Diners Club、Discoverに対応しており、海外発行のカードもご利用いただけます。</v>
      </c>
      <c r="C76" s="31" t="str">
        <f>IFERROR(__xludf.DUMMYFUNCTION("""COMPUTED_VALUE"""),"料金・支払い")</f>
        <v>料金・支払い</v>
      </c>
      <c r="D76" s="31" t="str">
        <f>IFERROR(__xludf.DUMMYFUNCTION("""COMPUTED_VALUE"""),"海外カード,クレジットカード")</f>
        <v>海外カード,クレジットカード</v>
      </c>
      <c r="E76" s="32" t="str">
        <f>IFERROR(__xludf.DUMMYFUNCTION("""COMPUTED_VALUE"""),"https://luna-dr.com/")</f>
        <v>https://luna-dr.com/</v>
      </c>
    </row>
    <row r="77">
      <c r="A77" s="31" t="str">
        <f>IFERROR(__xludf.DUMMYFUNCTION("""COMPUTED_VALUE"""),"ルナレディースクリニックが選ばれている理由は何ですか？")</f>
        <v>ルナレディースクリニックが選ばれている理由は何ですか？</v>
      </c>
      <c r="B77" s="31" t="str">
        <f>IFERROR(__xludf.DUMMYFUNCTION("""COMPUTED_VALUE"""),"ルナレディースクリニックでは、女性が安心して気軽に相談でき、無理なく通い続けられるクリニックを目指しています。そのため、通いやすい立地、予約のしやすさ、プライバシーへの配慮、来院とオンラインを選べる診療体制を整えています。")</f>
        <v>ルナレディースクリニックでは、女性が安心して気軽に相談でき、無理なく通い続けられるクリニックを目指しています。そのため、通いやすい立地、予約のしやすさ、プライバシーへの配慮、来院とオンラインを選べる診療体制を整えています。</v>
      </c>
      <c r="C77" s="31" t="str">
        <f>IFERROR(__xludf.DUMMYFUNCTION("""COMPUTED_VALUE"""),"クリニックについて")</f>
        <v>クリニックについて</v>
      </c>
      <c r="D77" s="31" t="str">
        <f>IFERROR(__xludf.DUMMYFUNCTION("""COMPUTED_VALUE"""),"選ばれる理由,特徴")</f>
        <v>選ばれる理由,特徴</v>
      </c>
      <c r="E77" s="32" t="str">
        <f>IFERROR(__xludf.DUMMYFUNCTION("""COMPUTED_VALUE"""),"https://luna-dr.com/")</f>
        <v>https://luna-dr.com/</v>
      </c>
    </row>
    <row r="78">
      <c r="A78" s="31" t="str">
        <f>IFERROR(__xludf.DUMMYFUNCTION("""COMPUTED_VALUE"""),"どの院も駅から近く通いやすいですか？")</f>
        <v>どの院も駅から近く通いやすいですか？</v>
      </c>
      <c r="B78" s="31" t="str">
        <f>IFERROR(__xludf.DUMMYFUNCTION("""COMPUTED_VALUE"""),"ルナレディースクリニックは、横浜・川崎・町田のすべての院が駅直結の立地にあります。雨の日でも濡れる心配が少なく、お仕事やお買い物のついでにも立ち寄りやすい環境です。")</f>
        <v>ルナレディースクリニックは、横浜・川崎・町田のすべての院が駅直結の立地にあります。雨の日でも濡れる心配が少なく、お仕事やお買い物のついでにも立ち寄りやすい環境です。</v>
      </c>
      <c r="C78" s="31" t="str">
        <f>IFERROR(__xludf.DUMMYFUNCTION("""COMPUTED_VALUE"""),"アクセス")</f>
        <v>アクセス</v>
      </c>
      <c r="D78" s="31" t="str">
        <f>IFERROR(__xludf.DUMMYFUNCTION("""COMPUTED_VALUE"""),"駅直結,通いやすさ")</f>
        <v>駅直結,通いやすさ</v>
      </c>
      <c r="E78" s="32" t="str">
        <f>IFERROR(__xludf.DUMMYFUNCTION("""COMPUTED_VALUE"""),"https://luna-dr.com/")</f>
        <v>https://luna-dr.com/</v>
      </c>
    </row>
    <row r="79">
      <c r="A79" s="31" t="str">
        <f>IFERROR(__xludf.DUMMYFUNCTION("""COMPUTED_VALUE"""),"夜間や土日祝も診療していますか？")</f>
        <v>夜間や土日祝も診療していますか？</v>
      </c>
      <c r="B79" s="31" t="str">
        <f>IFERROR(__xludf.DUMMYFUNCTION("""COMPUTED_VALUE"""),"ルナレディースクリニックでは、平日は夜20時まで、土日祝は19時まで診療を行っています。診療内容により、最終の受付可能なお時間が異なることがありますので、夜間での受診をお考えの際は、事前にご予約の上、来院をお願いします。")</f>
        <v>ルナレディースクリニックでは、平日は夜20時まで、土日祝は19時まで診療を行っています。診療内容により、最終の受付可能なお時間が異なることがありますので、夜間での受診をお考えの際は、事前にご予約の上、来院をお願いします。</v>
      </c>
      <c r="C79" s="31" t="str">
        <f>IFERROR(__xludf.DUMMYFUNCTION("""COMPUTED_VALUE"""),"診療時間")</f>
        <v>診療時間</v>
      </c>
      <c r="D79" s="31" t="str">
        <f>IFERROR(__xludf.DUMMYFUNCTION("""COMPUTED_VALUE"""),"夜間診療,土日祝診療")</f>
        <v>夜間診療,土日祝診療</v>
      </c>
      <c r="E79" s="32" t="str">
        <f>IFERROR(__xludf.DUMMYFUNCTION("""COMPUTED_VALUE"""),"https://luna-dr.com/")</f>
        <v>https://luna-dr.com/</v>
      </c>
    </row>
    <row r="80">
      <c r="A80" s="31" t="str">
        <f>IFERROR(__xludf.DUMMYFUNCTION("""COMPUTED_VALUE"""),"予約はいつでもできますか？")</f>
        <v>予約はいつでもできますか？</v>
      </c>
      <c r="B80" s="31" t="str">
        <f>IFERROR(__xludf.DUMMYFUNCTION("""COMPUTED_VALUE"""),"ルナレディースクリニックでは、公式LINEから24時間いつでもご予約いただけます。深夜や早朝、移動中など、ご自身のタイミングで簡単に予約が可能です。")</f>
        <v>ルナレディースクリニックでは、公式LINEから24時間いつでもご予約いただけます。深夜や早朝、移動中など、ご自身のタイミングで簡単に予約が可能です。</v>
      </c>
      <c r="C80" s="31" t="str">
        <f>IFERROR(__xludf.DUMMYFUNCTION("""COMPUTED_VALUE"""),"予約")</f>
        <v>予約</v>
      </c>
      <c r="D80" s="31" t="str">
        <f>IFERROR(__xludf.DUMMYFUNCTION("""COMPUTED_VALUE"""),"LINE予約,24時間予約")</f>
        <v>LINE予約,24時間予約</v>
      </c>
      <c r="E80" s="32" t="str">
        <f>IFERROR(__xludf.DUMMYFUNCTION("""COMPUTED_VALUE"""),"https://luna-dr.com/")</f>
        <v>https://luna-dr.com/</v>
      </c>
    </row>
    <row r="81">
      <c r="A81" s="31" t="str">
        <f>IFERROR(__xludf.DUMMYFUNCTION("""COMPUTED_VALUE"""),"WEB問診を利用するメリットは何ですか？")</f>
        <v>WEB問診を利用するメリットは何ですか？</v>
      </c>
      <c r="B81" s="31" t="str">
        <f>IFERROR(__xludf.DUMMYFUNCTION("""COMPUTED_VALUE"""),"ルナレディースクリニックでは、来院前にWEB問診へご回答いただくことで、デリケートな内容を落ち着いた環境で入力できます。プライバシーに配慮できるほか、院内での待ち時間短縮にもつながります。")</f>
        <v>ルナレディースクリニックでは、来院前にWEB問診へご回答いただくことで、デリケートな内容を落ち着いた環境で入力できます。プライバシーに配慮できるほか、院内での待ち時間短縮にもつながります。</v>
      </c>
      <c r="C81" s="31" t="str">
        <f>IFERROR(__xludf.DUMMYFUNCTION("""COMPUTED_VALUE"""),"受診について")</f>
        <v>受診について</v>
      </c>
      <c r="D81" s="31" t="str">
        <f>IFERROR(__xludf.DUMMYFUNCTION("""COMPUTED_VALUE"""),"WEB問診,プライバシー")</f>
        <v>WEB問診,プライバシー</v>
      </c>
      <c r="E81" s="32" t="str">
        <f>IFERROR(__xludf.DUMMYFUNCTION("""COMPUTED_VALUE"""),"https://luna-dr.com/")</f>
        <v>https://luna-dr.com/</v>
      </c>
    </row>
    <row r="82">
      <c r="A82" s="31" t="str">
        <f>IFERROR(__xludf.DUMMYFUNCTION("""COMPUTED_VALUE"""),"来院診療とオンライン診療は選べますか？")</f>
        <v>来院診療とオンライン診療は選べますか？</v>
      </c>
      <c r="B82" s="31" t="str">
        <f>IFERROR(__xludf.DUMMYFUNCTION("""COMPUTED_VALUE"""),"ルナレディースクリニックでは、医師と直接相談できる来院診療を基本としつつ、ご自宅から受診できるオンライン診療にも対応しています。ライフスタイルに合わせて診療方法を選べます。")</f>
        <v>ルナレディースクリニックでは、医師と直接相談できる来院診療を基本としつつ、ご自宅から受診できるオンライン診療にも対応しています。ライフスタイルに合わせて診療方法を選べます。</v>
      </c>
      <c r="C82" s="31" t="str">
        <f>IFERROR(__xludf.DUMMYFUNCTION("""COMPUTED_VALUE"""),"診療体制")</f>
        <v>診療体制</v>
      </c>
      <c r="D82" s="31" t="str">
        <f>IFERROR(__xludf.DUMMYFUNCTION("""COMPUTED_VALUE"""),"来院診療,オンライン診療")</f>
        <v>来院診療,オンライン診療</v>
      </c>
      <c r="E82" s="32" t="str">
        <f>IFERROR(__xludf.DUMMYFUNCTION("""COMPUTED_VALUE"""),"https://luna-dr.com/")</f>
        <v>https://luna-dr.com/</v>
      </c>
    </row>
    <row r="83">
      <c r="A83" s="31" t="str">
        <f>IFERROR(__xludf.DUMMYFUNCTION("""COMPUTED_VALUE"""),"月経移動とは何ですか？/初診でも月経移動ピルは処方してもらえますか？/初めてでも月経移動できますか？")</f>
        <v>月経移動とは何ですか？/初診でも月経移動ピルは処方してもらえますか？/初めてでも月経移動できますか？</v>
      </c>
      <c r="B83" s="31" t="str">
        <f>IFERROR(__xludf.DUMMYFUNCTION("""COMPUTED_VALUE"""),"月経移動とは、ホルモン剤の一種であるピルを服用することで、生理が始まるタイミングを意図的に「早める」または「遅らせる」医療技術です。
ルナレディースクリニックでは、ピルを服用することで生理が始まるタイミングを「早める」または「遅らせる」月経移動を行っています。海外旅行や結婚式、試験など大切な予定に合わせてご相談いただけます。")</f>
        <v>月経移動とは、ホルモン剤の一種であるピルを服用することで、生理が始まるタイミングを意図的に「早める」または「遅らせる」医療技術です。
ルナレディースクリニックでは、ピルを服用することで生理が始まるタイミングを「早める」または「遅らせる」月経移動を行っています。海外旅行や結婚式、試験など大切な予定に合わせてご相談いただけます。</v>
      </c>
      <c r="C83" s="31" t="str">
        <f>IFERROR(__xludf.DUMMYFUNCTION("""COMPUTED_VALUE"""),"月経移動")</f>
        <v>月経移動</v>
      </c>
      <c r="D83" s="31" t="str">
        <f>IFERROR(__xludf.DUMMYFUNCTION("""COMPUTED_VALUE"""),"月経移動,生理調整,ピル")</f>
        <v>月経移動,生理調整,ピル</v>
      </c>
      <c r="E83" s="32" t="str">
        <f>IFERROR(__xludf.DUMMYFUNCTION("""COMPUTED_VALUE"""),"https://luna-dr.com/subjects/menstrual-manipulation/")</f>
        <v>https://luna-dr.com/subjects/menstrual-manipulation/</v>
      </c>
    </row>
    <row r="84">
      <c r="A84" s="31" t="str">
        <f>IFERROR(__xludf.DUMMYFUNCTION("""COMPUTED_VALUE"""),"どんな予定があるときに月経移動を利用できますか？")</f>
        <v>どんな予定があるときに月経移動を利用できますか？</v>
      </c>
      <c r="B84" s="31" t="str">
        <f>IFERROR(__xludf.DUMMYFUNCTION("""COMPUTED_VALUE"""),"月経移動は、海外旅行、結婚式、温泉旅行、スポーツ大会、試験など、さまざまな予定に合わせた月経移動のご相談を受け付けています。患者様一人ひとりのご予定やライフスタイルに合わせて、最適な月経移動プランをご提案します。")</f>
        <v>月経移動は、海外旅行、結婚式、温泉旅行、スポーツ大会、試験など、さまざまな予定に合わせた月経移動のご相談を受け付けています。患者様一人ひとりのご予定やライフスタイルに合わせて、最適な月経移動プランをご提案します。</v>
      </c>
      <c r="C84" s="31" t="str">
        <f>IFERROR(__xludf.DUMMYFUNCTION("""COMPUTED_VALUE"""),"月経移動")</f>
        <v>月経移動</v>
      </c>
      <c r="D84" s="31" t="str">
        <f>IFERROR(__xludf.DUMMYFUNCTION("""COMPUTED_VALUE"""),"旅行,試験,イベント,月経移動")</f>
        <v>旅行,試験,イベント,月経移動</v>
      </c>
      <c r="E84" s="32" t="str">
        <f>IFERROR(__xludf.DUMMYFUNCTION("""COMPUTED_VALUE"""),"https://luna-dr.com/subjects/menstrual-manipulation/")</f>
        <v>https://luna-dr.com/subjects/menstrual-manipulation/</v>
      </c>
    </row>
    <row r="85">
      <c r="A85" s="31" t="str">
        <f>IFERROR(__xludf.DUMMYFUNCTION("""COMPUTED_VALUE"""),"月経移動は生理と大事な予定が重なりそうなときは相談できますか？")</f>
        <v>月経移動は生理と大事な予定が重なりそうなときは相談できますか？</v>
      </c>
      <c r="B85" s="31" t="str">
        <f>IFERROR(__xludf.DUMMYFUNCTION("""COMPUTED_VALUE"""),"大切なご予定に合わせて生理日を調整したい場合の月経移動についてご相談いただけます。患者様一人ひとりのご予定やライフスタイルに合わせて、最適な月経移動プランをご提案します。")</f>
        <v>大切なご予定に合わせて生理日を調整したい場合の月経移動についてご相談いただけます。患者様一人ひとりのご予定やライフスタイルに合わせて、最適な月経移動プランをご提案します。</v>
      </c>
      <c r="C85" s="31" t="str">
        <f>IFERROR(__xludf.DUMMYFUNCTION("""COMPUTED_VALUE"""),"月経移動")</f>
        <v>月経移動</v>
      </c>
      <c r="D85" s="31" t="str">
        <f>IFERROR(__xludf.DUMMYFUNCTION("""COMPUTED_VALUE"""),"生理,予定,相談,月経移動")</f>
        <v>生理,予定,相談,月経移動</v>
      </c>
      <c r="E85" s="32" t="str">
        <f>IFERROR(__xludf.DUMMYFUNCTION("""COMPUTED_VALUE"""),"https://luna-dr.com/subjects/menstrual-manipulation/")</f>
        <v>https://luna-dr.com/subjects/menstrual-manipulation/</v>
      </c>
    </row>
    <row r="86">
      <c r="A86" s="31" t="str">
        <f>IFERROR(__xludf.DUMMYFUNCTION("""COMPUTED_VALUE"""),"月経移動はどのように行いますか？")</f>
        <v>月経移動はどのように行いますか？</v>
      </c>
      <c r="B86" s="31" t="str">
        <f>IFERROR(__xludf.DUMMYFUNCTION("""COMPUTED_VALUE"""),"ルナレディースクリニックでは、ピルを使用して生理日を早める、または遅らせる方法で月経移動を行います。ご予定や生理周期に合わせて医師がご提案します。")</f>
        <v>ルナレディースクリニックでは、ピルを使用して生理日を早める、または遅らせる方法で月経移動を行います。ご予定や生理周期に合わせて医師がご提案します。</v>
      </c>
      <c r="C86" s="31" t="str">
        <f>IFERROR(__xludf.DUMMYFUNCTION("""COMPUTED_VALUE"""),"月経移動")</f>
        <v>月経移動</v>
      </c>
      <c r="D86" s="31" t="str">
        <f>IFERROR(__xludf.DUMMYFUNCTION("""COMPUTED_VALUE"""),"方法,ピル,月経移動")</f>
        <v>方法,ピル,月経移動</v>
      </c>
      <c r="E86" s="32" t="str">
        <f>IFERROR(__xludf.DUMMYFUNCTION("""COMPUTED_VALUE"""),"https://luna-dr.com/subjects/menstrual-manipulation/")</f>
        <v>https://luna-dr.com/subjects/menstrual-manipulation/</v>
      </c>
    </row>
    <row r="87">
      <c r="A87" s="31" t="str">
        <f>IFERROR(__xludf.DUMMYFUNCTION("""COMPUTED_VALUE"""),"月経移動の費用はいくらですか？")</f>
        <v>月経移動の費用はいくらですか？</v>
      </c>
      <c r="B87" s="31" t="str">
        <f>IFERROR(__xludf.DUMMYFUNCTION("""COMPUTED_VALUE"""),"ルナレディースクリニックでは、月経移動（ピル処方・診察料込み）を5,000円（税込）で行っています。")</f>
        <v>ルナレディースクリニックでは、月経移動（ピル処方・診察料込み）を5,000円（税込）で行っています。</v>
      </c>
      <c r="C87" s="31" t="str">
        <f>IFERROR(__xludf.DUMMYFUNCTION("""COMPUTED_VALUE"""),"月経移動")</f>
        <v>月経移動</v>
      </c>
      <c r="D87" s="31" t="str">
        <f>IFERROR(__xludf.DUMMYFUNCTION("""COMPUTED_VALUE"""),"料金,費用,月経移動")</f>
        <v>料金,費用,月経移動</v>
      </c>
      <c r="E87" s="32" t="str">
        <f>IFERROR(__xludf.DUMMYFUNCTION("""COMPUTED_VALUE"""),"https://luna-dr.com/subjects/menstrual-manipulation/")</f>
        <v>https://luna-dr.com/subjects/menstrual-manipulation/</v>
      </c>
    </row>
    <row r="88">
      <c r="A88" s="31" t="str">
        <f>IFERROR(__xludf.DUMMYFUNCTION("""COMPUTED_VALUE"""),"月経移動にはどんな方法がありますか？")</f>
        <v>月経移動にはどんな方法がありますか？</v>
      </c>
      <c r="B88" s="31" t="str">
        <f>IFERROR(__xludf.DUMMYFUNCTION("""COMPUTED_VALUE"""),"月経移動には、生理を「遅らせる」方法と「早める」方法があります。どちらの方法を選ぶかは、生理予定日とご予定までの日数によって異なります。")</f>
        <v>月経移動には、生理を「遅らせる」方法と「早める」方法があります。どちらの方法を選ぶかは、生理予定日とご予定までの日数によって異なります。</v>
      </c>
      <c r="C88" s="31" t="str">
        <f>IFERROR(__xludf.DUMMYFUNCTION("""COMPUTED_VALUE"""),"月経移動")</f>
        <v>月経移動</v>
      </c>
      <c r="D88" s="31" t="str">
        <f>IFERROR(__xludf.DUMMYFUNCTION("""COMPUTED_VALUE"""),"方法,早める,遅らせる,月経移動")</f>
        <v>方法,早める,遅らせる,月経移動</v>
      </c>
      <c r="E88" s="32" t="str">
        <f>IFERROR(__xludf.DUMMYFUNCTION("""COMPUTED_VALUE"""),"https://luna-dr.com/subjects/menstrual-manipulation/")</f>
        <v>https://luna-dr.com/subjects/menstrual-manipulation/</v>
      </c>
    </row>
    <row r="89">
      <c r="A89" s="31" t="str">
        <f>IFERROR(__xludf.DUMMYFUNCTION("""COMPUTED_VALUE"""),"生理を遅らせる月経移動はどのような方法ですか？")</f>
        <v>生理を遅らせる月経移動はどのような方法ですか？</v>
      </c>
      <c r="B89" s="31" t="str">
        <f>IFERROR(__xludf.DUMMYFUNCTION("""COMPUTED_VALUE"""),"生理を遅らせる方法は、生理予定日の5日前からピルを服用し、生理を避けたいイベントの最終日まで毎日1錠飲み続ける方法です。内服終了後2～3日程度で生理が来る場合があります。")</f>
        <v>生理を遅らせる方法は、生理予定日の5日前からピルを服用し、生理を避けたいイベントの最終日まで毎日1錠飲み続ける方法です。内服終了後2～3日程度で生理が来る場合があります。</v>
      </c>
      <c r="C89" s="31" t="str">
        <f>IFERROR(__xludf.DUMMYFUNCTION("""COMPUTED_VALUE"""),"月経移動")</f>
        <v>月経移動</v>
      </c>
      <c r="D89" s="31" t="str">
        <f>IFERROR(__xludf.DUMMYFUNCTION("""COMPUTED_VALUE"""),"生理を遅らせる,服用方法,月経移動")</f>
        <v>生理を遅らせる,服用方法,月経移動</v>
      </c>
      <c r="E89" s="32" t="str">
        <f>IFERROR(__xludf.DUMMYFUNCTION("""COMPUTED_VALUE"""),"https://luna-dr.com/subjects/menstrual-manipulation/")</f>
        <v>https://luna-dr.com/subjects/menstrual-manipulation/</v>
      </c>
    </row>
    <row r="90">
      <c r="A90" s="31" t="str">
        <f>IFERROR(__xludf.DUMMYFUNCTION("""COMPUTED_VALUE"""),"生理を早める月経移動はどのような方法ですか？")</f>
        <v>生理を早める月経移動はどのような方法ですか？</v>
      </c>
      <c r="B90" s="31" t="str">
        <f>IFERROR(__xludf.DUMMYFUNCTION("""COMPUTED_VALUE"""),"生理を早める方法は、移動させたい生理の一つ前の生理開始5日目からピルを服用し、内服終了後2～3日程度で生理が来るよう調整する方法です。")</f>
        <v>生理を早める方法は、移動させたい生理の一つ前の生理開始5日目からピルを服用し、内服終了後2～3日程度で生理が来るよう調整する方法です。</v>
      </c>
      <c r="C90" s="31" t="str">
        <f>IFERROR(__xludf.DUMMYFUNCTION("""COMPUTED_VALUE"""),"月経移動")</f>
        <v>月経移動</v>
      </c>
      <c r="D90" s="31" t="str">
        <f>IFERROR(__xludf.DUMMYFUNCTION("""COMPUTED_VALUE"""),"生理を早める,服用方法,月経移動")</f>
        <v>生理を早める,服用方法,月経移動</v>
      </c>
      <c r="E90" s="32" t="str">
        <f>IFERROR(__xludf.DUMMYFUNCTION("""COMPUTED_VALUE"""),"https://luna-dr.com/subjects/menstrual-manipulation/")</f>
        <v>https://luna-dr.com/subjects/menstrual-manipulation/</v>
      </c>
    </row>
    <row r="91">
      <c r="A91" s="31" t="str">
        <f>IFERROR(__xludf.DUMMYFUNCTION("""COMPUTED_VALUE"""),"生理を早めるか遅らせるか迷っています")</f>
        <v>生理を早めるか遅らせるか迷っています</v>
      </c>
      <c r="B91" s="31" t="str">
        <f>IFERROR(__xludf.DUMMYFUNCTION("""COMPUTED_VALUE"""),"生理を早めるか遅らせるかは、ご予定までの期間によって異なります。ルナレディースクリニックでは、診察時に医師が状況を確認し、適した方法をご提案します。")</f>
        <v>生理を早めるか遅らせるかは、ご予定までの期間によって異なります。ルナレディースクリニックでは、診察時に医師が状況を確認し、適した方法をご提案します。</v>
      </c>
      <c r="C91" s="31" t="str">
        <f>IFERROR(__xludf.DUMMYFUNCTION("""COMPUTED_VALUE"""),"月経移動")</f>
        <v>月経移動</v>
      </c>
      <c r="D91" s="31" t="str">
        <f>IFERROR(__xludf.DUMMYFUNCTION("""COMPUTED_VALUE"""),"方法選択,相談,月経移動")</f>
        <v>方法選択,相談,月経移動</v>
      </c>
      <c r="E91" s="32" t="str">
        <f>IFERROR(__xludf.DUMMYFUNCTION("""COMPUTED_VALUE"""),"https://luna-dr.com/subjects/menstrual-manipulation/")</f>
        <v>https://luna-dr.com/subjects/menstrual-manipulation/</v>
      </c>
    </row>
    <row r="92">
      <c r="A92" s="31" t="str">
        <f>IFERROR(__xludf.DUMMYFUNCTION("""COMPUTED_VALUE"""),"月経移動の相談はいつまでにすればよいですか？")</f>
        <v>月経移動の相談はいつまでにすればよいですか？</v>
      </c>
      <c r="B92" s="31" t="str">
        <f>IFERROR(__xludf.DUMMYFUNCTION("""COMPUTED_VALUE"""),"生理を遅らせたい場合は生理予定日の1週間前まで、生理を早めたい場合はずらしたい生理の一つ前の生理期間中にご相談ください。")</f>
        <v>生理を遅らせたい場合は生理予定日の1週間前まで、生理を早めたい場合はずらしたい生理の一つ前の生理期間中にご相談ください。</v>
      </c>
      <c r="C92" s="31" t="str">
        <f>IFERROR(__xludf.DUMMYFUNCTION("""COMPUTED_VALUE"""),"月経移動")</f>
        <v>月経移動</v>
      </c>
      <c r="D92" s="31" t="str">
        <f>IFERROR(__xludf.DUMMYFUNCTION("""COMPUTED_VALUE"""),"相談時期,タイミング,月経移動")</f>
        <v>相談時期,タイミング,月経移動</v>
      </c>
      <c r="E92" s="32" t="str">
        <f>IFERROR(__xludf.DUMMYFUNCTION("""COMPUTED_VALUE"""),"https://luna-dr.com/subjects/menstrual-manipulation/")</f>
        <v>https://luna-dr.com/subjects/menstrual-manipulation/</v>
      </c>
    </row>
    <row r="93">
      <c r="A93" s="31" t="str">
        <f>IFERROR(__xludf.DUMMYFUNCTION("""COMPUTED_VALUE"""),"ピルはいつから飲めばいいですか？")</f>
        <v>ピルはいつから飲めばいいですか？</v>
      </c>
      <c r="B93" s="31" t="str">
        <f>IFERROR(__xludf.DUMMYFUNCTION("""COMPUTED_VALUE"""),"ピルを飲み始める時期は、生理を「早める」か「遅らせる」かによって異なります。生理を遅らせる場合は生理予定日の5日前から、生理を早める場合はずらしたい生理の一つ前の生理開始5日目から服用を開始します。どちらの方法が合っているかは、ご予定と生理周期を確認したうえで診察時にご案内します。")</f>
        <v>ピルを飲み始める時期は、生理を「早める」か「遅らせる」かによって異なります。生理を遅らせる場合は生理予定日の5日前から、生理を早める場合はずらしたい生理の一つ前の生理開始5日目から服用を開始します。どちらの方法が合っているかは、ご予定と生理周期を確認したうえで診察時にご案内します。</v>
      </c>
      <c r="C93" s="31" t="str">
        <f>IFERROR(__xludf.DUMMYFUNCTION("""COMPUTED_VALUE"""),"月経移動")</f>
        <v>月経移動</v>
      </c>
      <c r="D93" s="31" t="str">
        <f>IFERROR(__xludf.DUMMYFUNCTION("""COMPUTED_VALUE"""),"服用開始,いつから,選び方,月経移動")</f>
        <v>服用開始,いつから,選び方,月経移動</v>
      </c>
      <c r="E93" s="32" t="str">
        <f>IFERROR(__xludf.DUMMYFUNCTION("""COMPUTED_VALUE"""),"https://luna-dr.com/subjects/menstrual-manipulation/")</f>
        <v>https://luna-dr.com/subjects/menstrual-manipulation/</v>
      </c>
    </row>
    <row r="94">
      <c r="A94" s="31" t="str">
        <f>IFERROR(__xludf.DUMMYFUNCTION("""COMPUTED_VALUE"""),"ピルはいつまで飲み続ける必要がありますか？")</f>
        <v>ピルはいつまで飲み続ける必要がありますか？</v>
      </c>
      <c r="B94" s="31" t="str">
        <f>IFERROR(__xludf.DUMMYFUNCTION("""COMPUTED_VALUE"""),"ピルを飲み続ける期間は、生理を遅らせる場合と早める場合で異なります。生理を遅らせる場合は、生理を避けたいイベントの最終日まで毎日服用します。生理を早める場合は、医師から案内された期間、毎日服用します。服用期間については診察時にご説明します。")</f>
        <v>ピルを飲み続ける期間は、生理を遅らせる場合と早める場合で異なります。生理を遅らせる場合は、生理を避けたいイベントの最終日まで毎日服用します。生理を早める場合は、医師から案内された期間、毎日服用します。服用期間については診察時にご説明します。</v>
      </c>
      <c r="C94" s="31" t="str">
        <f>IFERROR(__xludf.DUMMYFUNCTION("""COMPUTED_VALUE"""),"月経移動")</f>
        <v>月経移動</v>
      </c>
      <c r="D94" s="31" t="str">
        <f>IFERROR(__xludf.DUMMYFUNCTION("""COMPUTED_VALUE"""),"服用期間,いつまで,月経移動")</f>
        <v>服用期間,いつまで,月経移動</v>
      </c>
      <c r="E94" s="32" t="str">
        <f>IFERROR(__xludf.DUMMYFUNCTION("""COMPUTED_VALUE"""),"https://luna-dr.com/subjects/menstrual-manipulation/")</f>
        <v>https://luna-dr.com/subjects/menstrual-manipulation/</v>
      </c>
    </row>
    <row r="95">
      <c r="A95" s="31" t="str">
        <f>IFERROR(__xludf.DUMMYFUNCTION("""COMPUTED_VALUE"""),"ピルを飲んだあとは、いつ生理が来ますか？")</f>
        <v>ピルを飲んだあとは、いつ生理が来ますか？</v>
      </c>
      <c r="B95" s="31" t="str">
        <f>IFERROR(__xludf.DUMMYFUNCTION("""COMPUTED_VALUE"""),"生理を早める場合・遅らせる場合のいずれも、ピルの服用を終了してから2～3日程度で生理が来ることがあります。生理が来るまでの日数には個人差があるため、詳しくは診察時にご説明します。")</f>
        <v>生理を早める場合・遅らせる場合のいずれも、ピルの服用を終了してから2～3日程度で生理が来ることがあります。生理が来るまでの日数には個人差があるため、詳しくは診察時にご説明します。</v>
      </c>
      <c r="C95" s="31" t="str">
        <f>IFERROR(__xludf.DUMMYFUNCTION("""COMPUTED_VALUE"""),"月経移動")</f>
        <v>月経移動</v>
      </c>
      <c r="D95" s="31" t="str">
        <f>IFERROR(__xludf.DUMMYFUNCTION("""COMPUTED_VALUE"""),"生理が来る時期,いつ来る,月経移動")</f>
        <v>生理が来る時期,いつ来る,月経移動</v>
      </c>
      <c r="E95" s="32" t="str">
        <f>IFERROR(__xludf.DUMMYFUNCTION("""COMPUTED_VALUE"""),"https://luna-dr.com/subjects/menstrual-manipulation/")</f>
        <v>https://luna-dr.com/subjects/menstrual-manipulation/</v>
      </c>
    </row>
    <row r="96">
      <c r="A96" s="31" t="str">
        <f>IFERROR(__xludf.DUMMYFUNCTION("""COMPUTED_VALUE"""),"月経移動の診察・処方の流れを教えてください")</f>
        <v>月経移動の診察・処方の流れを教えてください</v>
      </c>
      <c r="B96" s="31" t="str">
        <f>IFERROR(__xludf.DUMMYFUNCTION("""COMPUTED_VALUE"""),"ルナレディースクリニックでは、月経移動の診察・処方を来院診療またはオンライン診療から選べます。来院診療の場合は、公式LINEから予約後、WEB問診に回答し、診察で生理周期や生理を避けたい期間を確認します。診察後は必要日数分のお薬をその場でお渡しし、お会計となります。オンライン診療の場合は、公式LINEから予約し、WEB問診に回答後、予約時間に医師が電話またはチャットで診察を行います。診察後は決済リンクで支払いを行い、確認後にお薬を発送します。いずれの場合も、服用中に不安があればLINEで相談できます。")</f>
        <v>ルナレディースクリニックでは、月経移動の診察・処方を来院診療またはオンライン診療から選べます。来院診療の場合は、公式LINEから予約後、WEB問診に回答し、診察で生理周期や生理を避けたい期間を確認します。診察後は必要日数分のお薬をその場でお渡しし、お会計となります。オンライン診療の場合は、公式LINEから予約し、WEB問診に回答後、予約時間に医師が電話またはチャットで診察を行います。診察後は決済リンクで支払いを行い、確認後にお薬を発送します。いずれの場合も、服用中に不安があればLINEで相談できます。</v>
      </c>
      <c r="C96" s="31" t="str">
        <f>IFERROR(__xludf.DUMMYFUNCTION("""COMPUTED_VALUE"""),"月経移動")</f>
        <v>月経移動</v>
      </c>
      <c r="D96" s="31" t="str">
        <f>IFERROR(__xludf.DUMMYFUNCTION("""COMPUTED_VALUE"""),"診察の流れ,来院診療,オンライン診療,月経移動")</f>
        <v>診察の流れ,来院診療,オンライン診療,月経移動</v>
      </c>
      <c r="E96" s="32" t="str">
        <f>IFERROR(__xludf.DUMMYFUNCTION("""COMPUTED_VALUE"""),"https://luna-dr.com/subjects/menstrual-manipulation/")</f>
        <v>https://luna-dr.com/subjects/menstrual-manipulation/</v>
      </c>
    </row>
    <row r="97">
      <c r="A97" s="31" t="str">
        <f>IFERROR(__xludf.DUMMYFUNCTION("""COMPUTED_VALUE"""),"月経移動はどうやって相談できますか？/月経移動は来院とオンライン、どちらで相談できますか？")</f>
        <v>月経移動はどうやって相談できますか？/月経移動は来院とオンライン、どちらで相談できますか？</v>
      </c>
      <c r="B97" s="31" t="str">
        <f>IFERROR(__xludf.DUMMYFUNCTION("""COMPUTED_VALUE"""),"ルナレディースクリニックでは、来院診療とオンライン診療のどちらでも月経移動のご相談と処方を行っています。")</f>
        <v>ルナレディースクリニックでは、来院診療とオンライン診療のどちらでも月経移動のご相談と処方を行っています。</v>
      </c>
      <c r="C97" s="31" t="str">
        <f>IFERROR(__xludf.DUMMYFUNCTION("""COMPUTED_VALUE"""),"月経移動")</f>
        <v>月経移動</v>
      </c>
      <c r="D97" s="31" t="str">
        <f>IFERROR(__xludf.DUMMYFUNCTION("""COMPUTED_VALUE"""),"来院,オンライン診療,月経移動")</f>
        <v>来院,オンライン診療,月経移動</v>
      </c>
      <c r="E97" s="32" t="str">
        <f>IFERROR(__xludf.DUMMYFUNCTION("""COMPUTED_VALUE"""),"https://luna-dr.com/subjects/menstrual-manipulation/")</f>
        <v>https://luna-dr.com/subjects/menstrual-manipulation/</v>
      </c>
    </row>
    <row r="98">
      <c r="A98" s="31" t="str">
        <f>IFERROR(__xludf.DUMMYFUNCTION("""COMPUTED_VALUE"""),"月経移動は来院で相談できますか？")</f>
        <v>月経移動は来院で相談できますか？</v>
      </c>
      <c r="B98" s="31" t="str">
        <f>IFERROR(__xludf.DUMMYFUNCTION("""COMPUTED_VALUE"""),"クリニックにご来院いただき、医師に直接相談しながら月経移動の処方を受けることができます。診察時に不安な点をその場で相談したい方に向いています。")</f>
        <v>クリニックにご来院いただき、医師に直接相談しながら月経移動の処方を受けることができます。診察時に不安な点をその場で相談したい方に向いています。</v>
      </c>
      <c r="C98" s="31" t="str">
        <f>IFERROR(__xludf.DUMMYFUNCTION("""COMPUTED_VALUE"""),"月経移動")</f>
        <v>月経移動</v>
      </c>
      <c r="D98" s="31" t="str">
        <f>IFERROR(__xludf.DUMMYFUNCTION("""COMPUTED_VALUE"""),"来院診療,相談,月経移動")</f>
        <v>来院診療,相談,月経移動</v>
      </c>
      <c r="E98" s="32" t="str">
        <f>IFERROR(__xludf.DUMMYFUNCTION("""COMPUTED_VALUE"""),"https://luna-dr.com/subjects/menstrual-manipulation/")</f>
        <v>https://luna-dr.com/subjects/menstrual-manipulation/</v>
      </c>
    </row>
    <row r="99">
      <c r="A99" s="31" t="str">
        <f>IFERROR(__xludf.DUMMYFUNCTION("""COMPUTED_VALUE"""),"来院で月経移動を相談する場合、最初に何をすればよいですか？")</f>
        <v>来院で月経移動を相談する場合、最初に何をすればよいですか？</v>
      </c>
      <c r="B99" s="31" t="str">
        <f>IFERROR(__xludf.DUMMYFUNCTION("""COMPUTED_VALUE"""),"ルナレディースクリニックでは、来院で月経移動を相談する場合、公式LINEからのご予約とWEB問診のご回答をお願いしています。事前にWEB問診へご回答いただくことで、受付から診察までスムーズにご案内できます。")</f>
        <v>ルナレディースクリニックでは、来院で月経移動を相談する場合、公式LINEからのご予約とWEB問診のご回答をお願いしています。事前にWEB問診へご回答いただくことで、受付から診察までスムーズにご案内できます。</v>
      </c>
      <c r="C99" s="31" t="str">
        <f>IFERROR(__xludf.DUMMYFUNCTION("""COMPUTED_VALUE"""),"月経移動")</f>
        <v>月経移動</v>
      </c>
      <c r="D99" s="31" t="str">
        <f>IFERROR(__xludf.DUMMYFUNCTION("""COMPUTED_VALUE"""),"来院予約,WEB問診,月経移動")</f>
        <v>来院予約,WEB問診,月経移動</v>
      </c>
      <c r="E99" s="32" t="str">
        <f>IFERROR(__xludf.DUMMYFUNCTION("""COMPUTED_VALUE"""),"https://luna-dr.com/subjects/menstrual-manipulation/")</f>
        <v>https://luna-dr.com/subjects/menstrual-manipulation/</v>
      </c>
    </row>
    <row r="100">
      <c r="A100" s="31" t="str">
        <f>IFERROR(__xludf.DUMMYFUNCTION("""COMPUTED_VALUE"""),"来院前のWEB問診では何を入力しますか？")</f>
        <v>来院前のWEB問診では何を入力しますか？</v>
      </c>
      <c r="B100" s="31" t="str">
        <f>IFERROR(__xludf.DUMMYFUNCTION("""COMPUTED_VALUE"""),"ルナレディースクリニックのWEB問診では、現在の体調や生理周期、月経移動についてのご希望などをご入力いただきます。来院前に落ち着いた環境で入力できるため、デリケートな内容も相談しやすくなります。")</f>
        <v>ルナレディースクリニックのWEB問診では、現在の体調や生理周期、月経移動についてのご希望などをご入力いただきます。来院前に落ち着いた環境で入力できるため、デリケートな内容も相談しやすくなります。</v>
      </c>
      <c r="C100" s="31" t="str">
        <f>IFERROR(__xludf.DUMMYFUNCTION("""COMPUTED_VALUE"""),"月経移動")</f>
        <v>月経移動</v>
      </c>
      <c r="D100" s="31" t="str">
        <f>IFERROR(__xludf.DUMMYFUNCTION("""COMPUTED_VALUE"""),"WEB問診,事前準備,月経移動")</f>
        <v>WEB問診,事前準備,月経移動</v>
      </c>
      <c r="E100" s="32" t="str">
        <f>IFERROR(__xludf.DUMMYFUNCTION("""COMPUTED_VALUE"""),"https://luna-dr.com/subjects/menstrual-manipulation/")</f>
        <v>https://luna-dr.com/subjects/menstrual-manipulation/</v>
      </c>
    </row>
    <row r="101">
      <c r="A101" s="31" t="str">
        <f>IFERROR(__xludf.DUMMYFUNCTION("""COMPUTED_VALUE"""),"来院診療では医師にどんなことを聞かれますか？")</f>
        <v>来院診療では医師にどんなことを聞かれますか？</v>
      </c>
      <c r="B101" s="31" t="str">
        <f>IFERROR(__xludf.DUMMYFUNCTION("""COMPUTED_VALUE"""),"ルナレディースクリニックでは、診察時に現在の生理周期や「いつからいつまで生理を避けたいか」について確認します。その内容をもとに、月経移動の方法についてご説明します。")</f>
        <v>ルナレディースクリニックでは、診察時に現在の生理周期や「いつからいつまで生理を避けたいか」について確認します。その内容をもとに、月経移動の方法についてご説明します。</v>
      </c>
      <c r="C101" s="31" t="str">
        <f>IFERROR(__xludf.DUMMYFUNCTION("""COMPUTED_VALUE"""),"月経移動")</f>
        <v>月経移動</v>
      </c>
      <c r="D101" s="31" t="str">
        <f>IFERROR(__xludf.DUMMYFUNCTION("""COMPUTED_VALUE"""),"診察内容,相談,月経移動")</f>
        <v>診察内容,相談,月経移動</v>
      </c>
      <c r="E101" s="32" t="str">
        <f>IFERROR(__xludf.DUMMYFUNCTION("""COMPUTED_VALUE"""),"https://luna-dr.com/subjects/menstrual-manipulation/")</f>
        <v>https://luna-dr.com/subjects/menstrual-manipulation/</v>
      </c>
    </row>
    <row r="102">
      <c r="A102" s="31" t="str">
        <f>IFERROR(__xludf.DUMMYFUNCTION("""COMPUTED_VALUE"""),"来院診療ではどんな説明を受けられますか？")</f>
        <v>来院診療ではどんな説明を受けられますか？</v>
      </c>
      <c r="B102" s="31" t="str">
        <f>IFERROR(__xludf.DUMMYFUNCTION("""COMPUTED_VALUE"""),"ルナレディースクリニックでは、診察時に生理を早めるか遅らせるかの考え方や、ピルの服用方法、副作用について医師から説明を行います。")</f>
        <v>ルナレディースクリニックでは、診察時に生理を早めるか遅らせるかの考え方や、ピルの服用方法、副作用について医師から説明を行います。</v>
      </c>
      <c r="C102" s="31" t="str">
        <f>IFERROR(__xludf.DUMMYFUNCTION("""COMPUTED_VALUE"""),"月経移動")</f>
        <v>月経移動</v>
      </c>
      <c r="D102" s="31" t="str">
        <f>IFERROR(__xludf.DUMMYFUNCTION("""COMPUTED_VALUE"""),"服用方法,説明,月経移動")</f>
        <v>服用方法,説明,月経移動</v>
      </c>
      <c r="E102" s="32" t="str">
        <f>IFERROR(__xludf.DUMMYFUNCTION("""COMPUTED_VALUE"""),"https://luna-dr.com/subjects/menstrual-manipulation/")</f>
        <v>https://luna-dr.com/subjects/menstrual-manipulation/</v>
      </c>
    </row>
    <row r="103">
      <c r="A103" s="31" t="str">
        <f>IFERROR(__xludf.DUMMYFUNCTION("""COMPUTED_VALUE"""),"来院での診察後はどうなりますか？")</f>
        <v>来院での診察後はどうなりますか？</v>
      </c>
      <c r="B103" s="31" t="str">
        <f>IFERROR(__xludf.DUMMYFUNCTION("""COMPUTED_VALUE"""),"ルナレディースクリニックでは、来院診療の場合、診察後に月経移動に必要な日数分のお薬をその場でお渡しし、お会計となります。")</f>
        <v>ルナレディースクリニックでは、来院診療の場合、診察後に月経移動に必要な日数分のお薬をその場でお渡しし、お会計となります。</v>
      </c>
      <c r="C103" s="31" t="str">
        <f>IFERROR(__xludf.DUMMYFUNCTION("""COMPUTED_VALUE"""),"月経移動")</f>
        <v>月経移動</v>
      </c>
      <c r="D103" s="31" t="str">
        <f>IFERROR(__xludf.DUMMYFUNCTION("""COMPUTED_VALUE"""),"処方,会計,月経移動")</f>
        <v>処方,会計,月経移動</v>
      </c>
      <c r="E103" s="32" t="str">
        <f>IFERROR(__xludf.DUMMYFUNCTION("""COMPUTED_VALUE"""),"https://luna-dr.com/subjects/menstrual-manipulation/")</f>
        <v>https://luna-dr.com/subjects/menstrual-manipulation/</v>
      </c>
    </row>
    <row r="104">
      <c r="A104" s="31" t="str">
        <f>IFERROR(__xludf.DUMMYFUNCTION("""COMPUTED_VALUE"""),"来院で月経移動を相談する場合の流れを教えてください")</f>
        <v>来院で月経移動を相談する場合の流れを教えてください</v>
      </c>
      <c r="B104" s="31" t="str">
        <f>IFERROR(__xludf.DUMMYFUNCTION("""COMPUTED_VALUE"""),"公式LINEから予約後、WEB問診にご回答いただき、医師が生理周期やご予定を確認します。診察後に必要日数分のお薬をお渡しし、お会計となります。")</f>
        <v>公式LINEから予約後、WEB問診にご回答いただき、医師が生理周期やご予定を確認します。診察後に必要日数分のお薬をお渡しし、お会計となります。</v>
      </c>
      <c r="C104" s="31" t="str">
        <f>IFERROR(__xludf.DUMMYFUNCTION("""COMPUTED_VALUE"""),"月経移動")</f>
        <v>月経移動</v>
      </c>
      <c r="D104" s="31" t="str">
        <f>IFERROR(__xludf.DUMMYFUNCTION("""COMPUTED_VALUE"""),"来院診療,流れ,月経移動")</f>
        <v>来院診療,流れ,月経移動</v>
      </c>
      <c r="E104" s="32" t="str">
        <f>IFERROR(__xludf.DUMMYFUNCTION("""COMPUTED_VALUE"""),"https://luna-dr.com/subjects/menstrual-manipulation/")</f>
        <v>https://luna-dr.com/subjects/menstrual-manipulation/</v>
      </c>
    </row>
    <row r="105">
      <c r="A105" s="31" t="str">
        <f>IFERROR(__xludf.DUMMYFUNCTION("""COMPUTED_VALUE"""),"月経移動はオンライン診療でも相談できますか？")</f>
        <v>月経移動はオンライン診療でも相談できますか？</v>
      </c>
      <c r="B105" s="31" t="str">
        <f>IFERROR(__xludf.DUMMYFUNCTION("""COMPUTED_VALUE"""),"月経移動はオンライン診療でのご相談と処方が可能です。ご自宅などからスマートフォンで受診できます。")</f>
        <v>月経移動はオンライン診療でのご相談と処方が可能です。ご自宅などからスマートフォンで受診できます。</v>
      </c>
      <c r="C105" s="31" t="str">
        <f>IFERROR(__xludf.DUMMYFUNCTION("""COMPUTED_VALUE"""),"月経移動")</f>
        <v>月経移動</v>
      </c>
      <c r="D105" s="31" t="str">
        <f>IFERROR(__xludf.DUMMYFUNCTION("""COMPUTED_VALUE"""),"オンライン診療,初診,月経移動")</f>
        <v>オンライン診療,初診,月経移動</v>
      </c>
      <c r="E105" s="32" t="str">
        <f>IFERROR(__xludf.DUMMYFUNCTION("""COMPUTED_VALUE"""),"https://luna-dr.com/subjects/menstrual-manipulation/")</f>
        <v>https://luna-dr.com/subjects/menstrual-manipulation/</v>
      </c>
    </row>
    <row r="106">
      <c r="A106" s="31" t="str">
        <f>IFERROR(__xludf.DUMMYFUNCTION("""COMPUTED_VALUE"""),"オンライン診療で月経移動を相談する場合、最初に何をしますか？")</f>
        <v>オンライン診療で月経移動を相談する場合、最初に何をしますか？</v>
      </c>
      <c r="B106" s="31" t="str">
        <f>IFERROR(__xludf.DUMMYFUNCTION("""COMPUTED_VALUE"""),"ルナレディースクリニックでは、公式LINEから「オンライン診療」を選択し、ご希望の日時を予約していただきます。スマートフォン一つで予約が完了します。")</f>
        <v>ルナレディースクリニックでは、公式LINEから「オンライン診療」を選択し、ご希望の日時を予約していただきます。スマートフォン一つで予約が完了します。</v>
      </c>
      <c r="C106" s="31" t="str">
        <f>IFERROR(__xludf.DUMMYFUNCTION("""COMPUTED_VALUE"""),"月経移動")</f>
        <v>月経移動</v>
      </c>
      <c r="D106" s="31" t="str">
        <f>IFERROR(__xludf.DUMMYFUNCTION("""COMPUTED_VALUE"""),"オンライン予約,LINE,月経移動")</f>
        <v>オンライン予約,LINE,月経移動</v>
      </c>
      <c r="E106" s="32" t="str">
        <f>IFERROR(__xludf.DUMMYFUNCTION("""COMPUTED_VALUE"""),"https://luna-dr.com/subjects/menstrual-manipulation/")</f>
        <v>https://luna-dr.com/subjects/menstrual-manipulation/</v>
      </c>
    </row>
    <row r="107">
      <c r="A107" s="31" t="str">
        <f>IFERROR(__xludf.DUMMYFUNCTION("""COMPUTED_VALUE"""),"オンライン診療で月経移動を相談する流れを教えてください")</f>
        <v>オンライン診療で月経移動を相談する流れを教えてください</v>
      </c>
      <c r="B107" s="31" t="str">
        <f>IFERROR(__xludf.DUMMYFUNCTION("""COMPUTED_VALUE"""),"公式LINEから予約し、WEB問診後に電話またはチャットで医師が診察します。診察後は決済確認後にお薬を発送します。")</f>
        <v>公式LINEから予約し、WEB問診後に電話またはチャットで医師が診察します。診察後は決済確認後にお薬を発送します。</v>
      </c>
      <c r="C107" s="31" t="str">
        <f>IFERROR(__xludf.DUMMYFUNCTION("""COMPUTED_VALUE"""),"月経移動")</f>
        <v>月経移動</v>
      </c>
      <c r="D107" s="31" t="str">
        <f>IFERROR(__xludf.DUMMYFUNCTION("""COMPUTED_VALUE"""),"オンライン診療,流れ,月経移動")</f>
        <v>オンライン診療,流れ,月経移動</v>
      </c>
      <c r="E107" s="32" t="str">
        <f>IFERROR(__xludf.DUMMYFUNCTION("""COMPUTED_VALUE"""),"https://luna-dr.com/subjects/menstrual-manipulation/")</f>
        <v>https://luna-dr.com/subjects/menstrual-manipulation/</v>
      </c>
    </row>
    <row r="108">
      <c r="A108" s="31" t="str">
        <f>IFERROR(__xludf.DUMMYFUNCTION("""COMPUTED_VALUE"""),"オンライン診療のWEB問診では何を入力しますか？")</f>
        <v>オンライン診療のWEB問診では何を入力しますか？</v>
      </c>
      <c r="B108" s="31" t="str">
        <f>IFERROR(__xludf.DUMMYFUNCTION("""COMPUTED_VALUE"""),"ルナレディースクリニックでは、オンライン診療の予約後に届くWEB問診フォームに、お悩みや健康状態、生理周期などをご入力いただきます。")</f>
        <v>ルナレディースクリニックでは、オンライン診療の予約後に届くWEB問診フォームに、お悩みや健康状態、生理周期などをご入力いただきます。</v>
      </c>
      <c r="C108" s="31" t="str">
        <f>IFERROR(__xludf.DUMMYFUNCTION("""COMPUTED_VALUE"""),"月経移動")</f>
        <v>月経移動</v>
      </c>
      <c r="D108" s="31" t="str">
        <f>IFERROR(__xludf.DUMMYFUNCTION("""COMPUTED_VALUE"""),"WEB問診,オンライン,月経移動")</f>
        <v>WEB問診,オンライン,月経移動</v>
      </c>
      <c r="E108" s="32" t="str">
        <f>IFERROR(__xludf.DUMMYFUNCTION("""COMPUTED_VALUE"""),"https://luna-dr.com/subjects/menstrual-manipulation/")</f>
        <v>https://luna-dr.com/subjects/menstrual-manipulation/</v>
      </c>
    </row>
    <row r="109">
      <c r="A109" s="31" t="str">
        <f>IFERROR(__xludf.DUMMYFUNCTION("""COMPUTED_VALUE"""),"オンライン診療ではどのように診察が行われますか？/オンライン診療はビデオですか")</f>
        <v>オンライン診療ではどのように診察が行われますか？/オンライン診療はビデオですか</v>
      </c>
      <c r="B109" s="31" t="str">
        <f>IFERROR(__xludf.DUMMYFUNCTION("""COMPUTED_VALUE"""),"ルナレディースクリニックでは、予約時間にビデオ診療での診察を行います。お薬の服用方法や注意点についてもご説明いたします。")</f>
        <v>ルナレディースクリニックでは、予約時間にビデオ診療での診察を行います。お薬の服用方法や注意点についてもご説明いたします。</v>
      </c>
      <c r="C109" s="31" t="str">
        <f>IFERROR(__xludf.DUMMYFUNCTION("""COMPUTED_VALUE"""),"月経移動")</f>
        <v>月経移動</v>
      </c>
      <c r="D109" s="31" t="str">
        <f>IFERROR(__xludf.DUMMYFUNCTION("""COMPUTED_VALUE"""),"電話診療,チャット診療,月経移動")</f>
        <v>電話診療,チャット診療,月経移動</v>
      </c>
      <c r="E109" s="32" t="str">
        <f>IFERROR(__xludf.DUMMYFUNCTION("""COMPUTED_VALUE"""),"https://luna-dr.com/subjects/menstrual-manipulation/")</f>
        <v>https://luna-dr.com/subjects/menstrual-manipulation/</v>
      </c>
    </row>
    <row r="110">
      <c r="A110" s="31" t="str">
        <f>IFERROR(__xludf.DUMMYFUNCTION("""COMPUTED_VALUE"""),"オンライン診療後の支払いはどうなりますか？")</f>
        <v>オンライン診療後の支払いはどうなりますか？</v>
      </c>
      <c r="B110" s="31" t="str">
        <f>IFERROR(__xludf.DUMMYFUNCTION("""COMPUTED_VALUE"""),"ルナレディースクリニックでは、オンライン診療後に決済リンクをご案内します。リンクからお支払いを行い、決済確認後にお薬を発送します。")</f>
        <v>ルナレディースクリニックでは、オンライン診療後に決済リンクをご案内します。リンクからお支払いを行い、決済確認後にお薬を発送します。</v>
      </c>
      <c r="C110" s="31" t="str">
        <f>IFERROR(__xludf.DUMMYFUNCTION("""COMPUTED_VALUE"""),"月経移動")</f>
        <v>月経移動</v>
      </c>
      <c r="D110" s="31" t="str">
        <f>IFERROR(__xludf.DUMMYFUNCTION("""COMPUTED_VALUE"""),"支払い,薬の発送,月経移動")</f>
        <v>支払い,薬の発送,月経移動</v>
      </c>
      <c r="E110" s="32" t="str">
        <f>IFERROR(__xludf.DUMMYFUNCTION("""COMPUTED_VALUE"""),"https://luna-dr.com/subjects/menstrual-manipulation/")</f>
        <v>https://luna-dr.com/subjects/menstrual-manipulation/</v>
      </c>
    </row>
    <row r="111">
      <c r="A111" s="31" t="str">
        <f>IFERROR(__xludf.DUMMYFUNCTION("""COMPUTED_VALUE"""),"オンライン診療で処方された薬はどのように受け取りますか？")</f>
        <v>オンライン診療で処方された薬はどのように受け取りますか？</v>
      </c>
      <c r="B111" s="31" t="str">
        <f>IFERROR(__xludf.DUMMYFUNCTION("""COMPUTED_VALUE"""),"ルナレディースクリニックでは、オンライン診療の場合、決済確認後にご指定の場所へお薬を発送します。ご自宅で受け取ることができます。")</f>
        <v>ルナレディースクリニックでは、オンライン診療の場合、決済確認後にご指定の場所へお薬を発送します。ご自宅で受け取ることができます。</v>
      </c>
      <c r="C111" s="31" t="str">
        <f>IFERROR(__xludf.DUMMYFUNCTION("""COMPUTED_VALUE"""),"月経移動")</f>
        <v>月経移動</v>
      </c>
      <c r="D111" s="31" t="str">
        <f>IFERROR(__xludf.DUMMYFUNCTION("""COMPUTED_VALUE"""),"薬の受け取り,配送,月経移動")</f>
        <v>薬の受け取り,配送,月経移動</v>
      </c>
      <c r="E111" s="32" t="str">
        <f>IFERROR(__xludf.DUMMYFUNCTION("""COMPUTED_VALUE"""),"https://luna-dr.com/subjects/menstrual-manipulation/")</f>
        <v>https://luna-dr.com/subjects/menstrual-manipulation/</v>
      </c>
    </row>
    <row r="112">
      <c r="A112" s="31" t="str">
        <f>IFERROR(__xludf.DUMMYFUNCTION("""COMPUTED_VALUE"""),"月経移動は初診でもオンライン診療が可能ですか？")</f>
        <v>月経移動は初診でもオンライン診療が可能ですか？</v>
      </c>
      <c r="B112" s="31" t="str">
        <f>IFERROR(__xludf.DUMMYFUNCTION("""COMPUTED_VALUE"""),"月経移動は自由診療のため、初診からオンライン診療でのご相談と処方が可能です。")</f>
        <v>月経移動は自由診療のため、初診からオンライン診療でのご相談と処方が可能です。</v>
      </c>
      <c r="C112" s="31" t="str">
        <f>IFERROR(__xludf.DUMMYFUNCTION("""COMPUTED_VALUE"""),"月経移動")</f>
        <v>月経移動</v>
      </c>
      <c r="D112" s="31" t="str">
        <f>IFERROR(__xludf.DUMMYFUNCTION("""COMPUTED_VALUE"""),"初診,オンライン,月経移動")</f>
        <v>初診,オンライン,月経移動</v>
      </c>
      <c r="E112" s="32" t="str">
        <f>IFERROR(__xludf.DUMMYFUNCTION("""COMPUTED_VALUE"""),"https://luna-dr.com/subjects/menstrual-manipulation/")</f>
        <v>https://luna-dr.com/subjects/menstrual-manipulation/</v>
      </c>
    </row>
    <row r="113">
      <c r="A113" s="31" t="str">
        <f>IFERROR(__xludf.DUMMYFUNCTION("""COMPUTED_VALUE"""),"ピルの副作用はありますか？")</f>
        <v>ピルの副作用はありますか？</v>
      </c>
      <c r="B113" s="31" t="str">
        <f>IFERROR(__xludf.DUMMYFUNCTION("""COMPUTED_VALUE"""),"個人差はありますが、服用初期に吐き気や頭痛、だるさを感じることがあります。これらは数日で軽快することがほとんどです。")</f>
        <v>個人差はありますが、服用初期に吐き気や頭痛、だるさを感じることがあります。これらは数日で軽快することがほとんどです。</v>
      </c>
      <c r="C113" s="31" t="str">
        <f>IFERROR(__xludf.DUMMYFUNCTION("""COMPUTED_VALUE"""),"月経移動")</f>
        <v>月経移動</v>
      </c>
      <c r="D113" s="31" t="str">
        <f>IFERROR(__xludf.DUMMYFUNCTION("""COMPUTED_VALUE"""),"副作用,ピル,月経移動")</f>
        <v>副作用,ピル,月経移動</v>
      </c>
      <c r="E113" s="32" t="str">
        <f>IFERROR(__xludf.DUMMYFUNCTION("""COMPUTED_VALUE"""),"https://luna-dr.com/subjects/menstrual-manipulation/")</f>
        <v>https://luna-dr.com/subjects/menstrual-manipulation/</v>
      </c>
    </row>
    <row r="114">
      <c r="A114" s="31" t="str">
        <f>IFERROR(__xludf.DUMMYFUNCTION("""COMPUTED_VALUE"""),"生理不順でも月経移動はできますか？")</f>
        <v>生理不順でも月経移動はできますか？</v>
      </c>
      <c r="B114" s="31" t="str">
        <f>IFERROR(__xludf.DUMMYFUNCTION("""COMPUTED_VALUE"""),"生理不順の方でも月経移動の相談は可能です。ただし、服用開始のタイミングが難しい場合があるため、診察時にご相談ください。")</f>
        <v>生理不順の方でも月経移動の相談は可能です。ただし、服用開始のタイミングが難しい場合があるため、診察時にご相談ください。</v>
      </c>
      <c r="C114" s="31" t="str">
        <f>IFERROR(__xludf.DUMMYFUNCTION("""COMPUTED_VALUE"""),"月経移動")</f>
        <v>月経移動</v>
      </c>
      <c r="D114" s="31" t="str">
        <f>IFERROR(__xludf.DUMMYFUNCTION("""COMPUTED_VALUE"""),"生理不順,相談,月経移動")</f>
        <v>生理不順,相談,月経移動</v>
      </c>
      <c r="E114" s="32" t="str">
        <f>IFERROR(__xludf.DUMMYFUNCTION("""COMPUTED_VALUE"""),"https://luna-dr.com/subjects/menstrual-manipulation/")</f>
        <v>https://luna-dr.com/subjects/menstrual-manipulation/</v>
      </c>
    </row>
    <row r="115">
      <c r="A115" s="31" t="str">
        <f>IFERROR(__xludf.DUMMYFUNCTION("""COMPUTED_VALUE"""),"月経移動に使うピルに避妊効果はありますか？")</f>
        <v>月経移動に使うピルに避妊効果はありますか？</v>
      </c>
      <c r="B115" s="31" t="str">
        <f>IFERROR(__xludf.DUMMYFUNCTION("""COMPUTED_VALUE"""),"月経移動に使用するピルには、低用量ピルのような継続的な避妊効果はありません。避妊が必要な場合は他の方法を併用してください。")</f>
        <v>月経移動に使用するピルには、低用量ピルのような継続的な避妊効果はありません。避妊が必要な場合は他の方法を併用してください。</v>
      </c>
      <c r="C115" s="31" t="str">
        <f>IFERROR(__xludf.DUMMYFUNCTION("""COMPUTED_VALUE"""),"月経移動")</f>
        <v>月経移動</v>
      </c>
      <c r="D115" s="31" t="str">
        <f>IFERROR(__xludf.DUMMYFUNCTION("""COMPUTED_VALUE"""),"避妊効果,注意,月経移動")</f>
        <v>避妊効果,注意,月経移動</v>
      </c>
      <c r="E115" s="32" t="str">
        <f>IFERROR(__xludf.DUMMYFUNCTION("""COMPUTED_VALUE"""),"https://luna-dr.com/subjects/menstrual-manipulation/")</f>
        <v>https://luna-dr.com/subjects/menstrual-manipulation/</v>
      </c>
    </row>
    <row r="116">
      <c r="A116" s="31" t="str">
        <f>IFERROR(__xludf.DUMMYFUNCTION("""COMPUTED_VALUE"""),"服用中に不安がある場合は相談できますか？")</f>
        <v>服用中に不安がある場合は相談できますか？</v>
      </c>
      <c r="B116" s="31" t="str">
        <f>IFERROR(__xludf.DUMMYFUNCTION("""COMPUTED_VALUE"""),"ルナレディースクリニックでは、服用中に不安なことがあれば、LINEでご相談いただけます。")</f>
        <v>ルナレディースクリニックでは、服用中に不安なことがあれば、LINEでご相談いただけます。</v>
      </c>
      <c r="C116" s="31" t="str">
        <f>IFERROR(__xludf.DUMMYFUNCTION("""COMPUTED_VALUE"""),"月経移動")</f>
        <v>月経移動</v>
      </c>
      <c r="D116" s="31" t="str">
        <f>IFERROR(__xludf.DUMMYFUNCTION("""COMPUTED_VALUE"""),"アフターフォロー,LINE相談,月経移動")</f>
        <v>アフターフォロー,LINE相談,月経移動</v>
      </c>
      <c r="E116" s="32" t="str">
        <f>IFERROR(__xludf.DUMMYFUNCTION("""COMPUTED_VALUE"""),"https://luna-dr.com/subjects/menstrual-manipulation/")</f>
        <v>https://luna-dr.com/subjects/menstrual-manipulation/</v>
      </c>
    </row>
    <row r="117">
      <c r="A117" s="31" t="str">
        <f>IFERROR(__xludf.DUMMYFUNCTION("""COMPUTED_VALUE"""),"月経移動の相談はどうやって予約すればいいですか？")</f>
        <v>月経移動の相談はどうやって予約すればいいですか？</v>
      </c>
      <c r="B117" s="31" t="str">
        <f>IFERROR(__xludf.DUMMYFUNCTION("""COMPUTED_VALUE"""),"公式LINEから月経移動の診察予約が可能です。24時間いつでもご自身のタイミングで予約できます。
来院診療の場合は「月経移動ピル」のメニューでご予約ください。→https://cline-app.com/qr-codes/98ad6f149bfa20f4f2a9a2e91aac4187/preview
オンライン診療のご予約はこちら→https://liff-gateway.lineml.jp/landing?follow=%40590gpxrd&amp;lp=fX73yx&amp;liff_id=1657094566-"&amp;"LmjNPPbV")</f>
        <v>公式LINEから月経移動の診察予約が可能です。24時間いつでもご自身のタイミングで予約できます。
来院診療の場合は「月経移動ピル」のメニューでご予約ください。→https://cline-app.com/qr-codes/98ad6f149bfa20f4f2a9a2e91aac4187/preview
オンライン診療のご予約はこちら→https://liff-gateway.lineml.jp/landing?follow=%40590gpxrd&amp;lp=fX73yx&amp;liff_id=1657094566-LmjNPPbV</v>
      </c>
      <c r="C117" s="31" t="str">
        <f>IFERROR(__xludf.DUMMYFUNCTION("""COMPUTED_VALUE"""),"月経移動")</f>
        <v>月経移動</v>
      </c>
      <c r="D117" s="31" t="str">
        <f>IFERROR(__xludf.DUMMYFUNCTION("""COMPUTED_VALUE"""),"予約方法,LINE予約,電話予約,月経移動")</f>
        <v>予約方法,LINE予約,電話予約,月経移動</v>
      </c>
      <c r="E117" s="32" t="str">
        <f>IFERROR(__xludf.DUMMYFUNCTION("""COMPUTED_VALUE"""),"https://luna-dr.com/subjects/menstrual-manipulation/")</f>
        <v>https://luna-dr.com/subjects/menstrual-manipulation/</v>
      </c>
    </row>
    <row r="118">
      <c r="A118" s="31" t="str">
        <f>IFERROR(__xludf.DUMMYFUNCTION("""COMPUTED_VALUE"""),"月経移動はLINEから予約できますか？")</f>
        <v>月経移動はLINEから予約できますか？</v>
      </c>
      <c r="B118" s="31" t="str">
        <f>IFERROR(__xludf.DUMMYFUNCTION("""COMPUTED_VALUE"""),"公式LINEから月経移動の診察予約が可能です。24時間いつでもご自身のタイミングで予約できます。
来院診療の場合は「月経移動ピル」のメニューでご予約ください。→https://cline-app.com/qr-codes/98ad6f149bfa20f4f2a9a2e91aac4187/preview
オンライン診療のご予約はこちら→https://liff-gateway.lineml.jp/landing?follow=%40590gpxrd&amp;lp=fX73yx&amp;liff_id=1657094566-"&amp;"LmjNPPbV")</f>
        <v>公式LINEから月経移動の診察予約が可能です。24時間いつでもご自身のタイミングで予約できます。
来院診療の場合は「月経移動ピル」のメニューでご予約ください。→https://cline-app.com/qr-codes/98ad6f149bfa20f4f2a9a2e91aac4187/preview
オンライン診療のご予約はこちら→https://liff-gateway.lineml.jp/landing?follow=%40590gpxrd&amp;lp=fX73yx&amp;liff_id=1657094566-LmjNPPbV</v>
      </c>
      <c r="C118" s="31" t="str">
        <f>IFERROR(__xludf.DUMMYFUNCTION("""COMPUTED_VALUE"""),"月経移動")</f>
        <v>月経移動</v>
      </c>
      <c r="D118" s="31" t="str">
        <f>IFERROR(__xludf.DUMMYFUNCTION("""COMPUTED_VALUE"""),"LINE予約,婦人科予約,月経移動")</f>
        <v>LINE予約,婦人科予約,月経移動</v>
      </c>
      <c r="E118" s="32" t="str">
        <f>IFERROR(__xludf.DUMMYFUNCTION("""COMPUTED_VALUE"""),"https://luna-dr.com/subjects/menstrual-manipulation/")</f>
        <v>https://luna-dr.com/subjects/menstrual-manipulation/</v>
      </c>
    </row>
    <row r="119">
      <c r="A119" s="31" t="str">
        <f>IFERROR(__xludf.DUMMYFUNCTION("""COMPUTED_VALUE"""),"月経移動は電話でも予約できますか？")</f>
        <v>月経移動は電話でも予約できますか？</v>
      </c>
      <c r="B119" s="31" t="str">
        <f>IFERROR(__xludf.DUMMYFUNCTION("""COMPUTED_VALUE"""),"LINEでの予約後、事前問診等もLINEから行うことができ、スムーズに受診ができるため、当院ではLINEでのご予約を推奨しております。
来院診療の場合は「月経移動ピル」のメニューでご予約ください。→https://cline-app.com/qr-codes/98ad6f149bfa20f4f2a9a2e91aac4187/preview
オンライン診療のご予約はこちら→https://liff-gateway.lineml.jp/landing?follow=%40590gpxrd&amp;lp=fX73yx&amp;"&amp;"liff_id=1657094566-LmjNPPbV")</f>
        <v>LINEでの予約後、事前問診等もLINEから行うことができ、スムーズに受診ができるため、当院ではLINEでのご予約を推奨しております。
来院診療の場合は「月経移動ピル」のメニューでご予約ください。→https://cline-app.com/qr-codes/98ad6f149bfa20f4f2a9a2e91aac4187/preview
オンライン診療のご予約はこちら→https://liff-gateway.lineml.jp/landing?follow=%40590gpxrd&amp;lp=fX73yx&amp;liff_id=1657094566-LmjNPPbV</v>
      </c>
      <c r="C119" s="31" t="str">
        <f>IFERROR(__xludf.DUMMYFUNCTION("""COMPUTED_VALUE"""),"月経移動")</f>
        <v>月経移動</v>
      </c>
      <c r="D119" s="31" t="str">
        <f>IFERROR(__xludf.DUMMYFUNCTION("""COMPUTED_VALUE"""),"電話予約,問い合わせ,月経移動")</f>
        <v>電話予約,問い合わせ,月経移動</v>
      </c>
      <c r="E119" s="32" t="str">
        <f>IFERROR(__xludf.DUMMYFUNCTION("""COMPUTED_VALUE"""),"https://luna-dr.com/subjects/menstrual-manipulation/")</f>
        <v>https://luna-dr.com/subjects/menstrual-manipulation/</v>
      </c>
    </row>
    <row r="120">
      <c r="A120" s="31" t="str">
        <f>IFERROR(__xludf.DUMMYFUNCTION("""COMPUTED_VALUE"""),"月経移動は予約なしでも相談できますか？")</f>
        <v>月経移動は予約なしでも相談できますか？</v>
      </c>
      <c r="B120" s="31" t="str">
        <f>IFERROR(__xludf.DUMMYFUNCTION("""COMPUTED_VALUE"""),"来院治療の場合、予約外来院も可能です。スムーズなご案内のため、事前予約をおすすめしています。
来院診療の場合は「月経移動ピル」のメニューでご予約ください。→https://cline-app.com/qr-codes/98ad6f149bfa20f4f2a9a2e91aac4187/preview")</f>
        <v>来院治療の場合、予約外来院も可能です。スムーズなご案内のため、事前予約をおすすめしています。
来院診療の場合は「月経移動ピル」のメニューでご予約ください。→https://cline-app.com/qr-codes/98ad6f149bfa20f4f2a9a2e91aac4187/preview</v>
      </c>
      <c r="C120" s="31" t="str">
        <f>IFERROR(__xludf.DUMMYFUNCTION("""COMPUTED_VALUE"""),"月経移動")</f>
        <v>月経移動</v>
      </c>
      <c r="D120" s="31" t="str">
        <f>IFERROR(__xludf.DUMMYFUNCTION("""COMPUTED_VALUE"""),"予約なし,受診,月経移動")</f>
        <v>予約なし,受診,月経移動</v>
      </c>
      <c r="E120" s="32" t="str">
        <f>IFERROR(__xludf.DUMMYFUNCTION("""COMPUTED_VALUE"""),"https://luna-dr.com/subjects/menstrual-manipulation/")</f>
        <v>https://luna-dr.com/subjects/menstrual-manipulation/</v>
      </c>
    </row>
    <row r="121">
      <c r="A121" s="31" t="str">
        <f>IFERROR(__xludf.DUMMYFUNCTION("""COMPUTED_VALUE"""),"月経移動の予約前に準備しておくことはありますか？")</f>
        <v>月経移動の予約前に準備しておくことはありますか？</v>
      </c>
      <c r="B121" s="31" t="str">
        <f>IFERROR(__xludf.DUMMYFUNCTION("""COMPUTED_VALUE"""),"月経移動の診察前に、最終生理日やご予定日などをWEB問診にご入力いただくと、診察がスムーズに進みます。")</f>
        <v>月経移動の診察前に、最終生理日やご予定日などをWEB問診にご入力いただくと、診察がスムーズに進みます。</v>
      </c>
      <c r="C121" s="31" t="str">
        <f>IFERROR(__xludf.DUMMYFUNCTION("""COMPUTED_VALUE"""),"月経移動")</f>
        <v>月経移動</v>
      </c>
      <c r="D121" s="31" t="str">
        <f>IFERROR(__xludf.DUMMYFUNCTION("""COMPUTED_VALUE"""),"WEB問診,事前準備,月経移動")</f>
        <v>WEB問診,事前準備,月経移動</v>
      </c>
      <c r="E121" s="32" t="str">
        <f>IFERROR(__xludf.DUMMYFUNCTION("""COMPUTED_VALUE"""),"https://luna-dr.com/subjects/menstrual-manipulation/")</f>
        <v>https://luna-dr.com/subjects/menstrual-manipulation/</v>
      </c>
    </row>
    <row r="122">
      <c r="A122" s="31" t="str">
        <f>IFERROR(__xludf.DUMMYFUNCTION("""COMPUTED_VALUE"""),"月経移動は初診でも予約できますか？")</f>
        <v>月経移動は初診でも予約できますか？</v>
      </c>
      <c r="B122" s="31" t="str">
        <f>IFERROR(__xludf.DUMMYFUNCTION("""COMPUTED_VALUE"""),"月経移動は初診の方もご予約いただけます。ご予約は公式LINEから受け付けておりますので、友だち追加の上ご利用ください。
来院診療の場合は「月経移動ピル」のメニューでご予約ください。→https://cline-app.com/qr-codes/98ad6f149bfa20f4f2a9a2e91aac4187/preview
オンライン診療のご予約はこちら→https://liff-gateway.lineml.jp/landing?follow=%40590gpxrd&amp;lp=fX73yx&amp;liff_id="&amp;"1657094566-LmjNPPbV")</f>
        <v>月経移動は初診の方もご予約いただけます。ご予約は公式LINEから受け付けておりますので、友だち追加の上ご利用ください。
来院診療の場合は「月経移動ピル」のメニューでご予約ください。→https://cline-app.com/qr-codes/98ad6f149bfa20f4f2a9a2e91aac4187/preview
オンライン診療のご予約はこちら→https://liff-gateway.lineml.jp/landing?follow=%40590gpxrd&amp;lp=fX73yx&amp;liff_id=1657094566-LmjNPPbV</v>
      </c>
      <c r="C122" s="31" t="str">
        <f>IFERROR(__xludf.DUMMYFUNCTION("""COMPUTED_VALUE"""),"月経移動")</f>
        <v>月経移動</v>
      </c>
      <c r="D122" s="31" t="str">
        <f>IFERROR(__xludf.DUMMYFUNCTION("""COMPUTED_VALUE"""),"初診,予約,月経移動")</f>
        <v>初診,予約,月経移動</v>
      </c>
      <c r="E122" s="32" t="str">
        <f>IFERROR(__xludf.DUMMYFUNCTION("""COMPUTED_VALUE"""),"https://luna-dr.com/subjects/menstrual-manipulation/")</f>
        <v>https://luna-dr.com/subjects/menstrual-manipulation/</v>
      </c>
    </row>
    <row r="123">
      <c r="A123" s="31" t="str">
        <f>IFERROR(__xludf.DUMMYFUNCTION("""COMPUTED_VALUE"""),"月経移動は来院とオンライン、どちらで予約できますか？")</f>
        <v>月経移動は来院とオンライン、どちらで予約できますか？</v>
      </c>
      <c r="B123" s="31" t="str">
        <f>IFERROR(__xludf.DUMMYFUNCTION("""COMPUTED_VALUE"""),"月経移動のご相談は来院診療とオンライン診療のどちらでも予約が可能です。ご自身のライフスタイルに合わせて選べます。
来院診療の場合は「月経移動ピル」のメニューでご予約ください。→https://cline-app.com/qr-codes/98ad6f149bfa20f4f2a9a2e91aac4187/preview
オンライン診療のご予約はこちら→https://liff-gateway.lineml.jp/landing?follow=%40590gpxrd&amp;lp=fX73yx&amp;liff_id=165"&amp;"7094566-LmjNPPbV")</f>
        <v>月経移動のご相談は来院診療とオンライン診療のどちらでも予約が可能です。ご自身のライフスタイルに合わせて選べます。
来院診療の場合は「月経移動ピル」のメニューでご予約ください。→https://cline-app.com/qr-codes/98ad6f149bfa20f4f2a9a2e91aac4187/preview
オンライン診療のご予約はこちら→https://liff-gateway.lineml.jp/landing?follow=%40590gpxrd&amp;lp=fX73yx&amp;liff_id=1657094566-LmjNPPbV</v>
      </c>
      <c r="C123" s="31" t="str">
        <f>IFERROR(__xludf.DUMMYFUNCTION("""COMPUTED_VALUE"""),"月経移動")</f>
        <v>月経移動</v>
      </c>
      <c r="D123" s="31" t="str">
        <f>IFERROR(__xludf.DUMMYFUNCTION("""COMPUTED_VALUE"""),"来院診療,オンライン診療,月経移動")</f>
        <v>来院診療,オンライン診療,月経移動</v>
      </c>
      <c r="E123" s="32" t="str">
        <f>IFERROR(__xludf.DUMMYFUNCTION("""COMPUTED_VALUE"""),"https://luna-dr.com/subjects/menstrual-manipulation/")</f>
        <v>https://luna-dr.com/subjects/menstrual-manipulation/</v>
      </c>
    </row>
    <row r="124">
      <c r="A124" s="31" t="str">
        <f>IFERROR(__xludf.DUMMYFUNCTION("""COMPUTED_VALUE"""),"生理不順とは何ですか？")</f>
        <v>生理不順とは何ですか？</v>
      </c>
      <c r="B124" s="31" t="str">
        <f>IFERROR(__xludf.DUMMYFUNCTION("""COMPUTED_VALUE"""),"生理不順とは、生理周期が正常な範囲から外れ、不規則になっている状態を指します。健康な女性の生理周期は25日～38日とされており、この範囲を大きく外れる場合や、周期が毎回大きく変動する場合は注意が必要です。")</f>
        <v>生理不順とは、生理周期が正常な範囲から外れ、不規則になっている状態を指します。健康な女性の生理周期は25日～38日とされており、この範囲を大きく外れる場合や、周期が毎回大きく変動する場合は注意が必要です。</v>
      </c>
      <c r="C124" s="31" t="str">
        <f>IFERROR(__xludf.DUMMYFUNCTION("""COMPUTED_VALUE"""),"生理不順")</f>
        <v>生理不順</v>
      </c>
      <c r="D124" s="31" t="str">
        <f>IFERROR(__xludf.DUMMYFUNCTION("""COMPUTED_VALUE"""),"生理不順,月経不順,周期")</f>
        <v>生理不順,月経不順,周期</v>
      </c>
      <c r="E124" s="32" t="str">
        <f>IFERROR(__xludf.DUMMYFUNCTION("""COMPUTED_VALUE"""),"https://luna-dr.com/subjects/menstrual-irregularity/")</f>
        <v>https://luna-dr.com/subjects/menstrual-irregularity/</v>
      </c>
    </row>
    <row r="125">
      <c r="A125" s="31" t="str">
        <f>IFERROR(__xludf.DUMMYFUNCTION("""COMPUTED_VALUE"""),"生理不順はよくあることですか？")</f>
        <v>生理不順はよくあることですか？</v>
      </c>
      <c r="B125" s="31" t="str">
        <f>IFERROR(__xludf.DUMMYFUNCTION("""COMPUTED_VALUE"""),"生理不順は多くの女性が経験する身近な症状ですが、背景にホルモンバランスの乱れや病気が隠れている可能性もあるため、放置せずに相談することが大切です。")</f>
        <v>生理不順は多くの女性が経験する身近な症状ですが、背景にホルモンバランスの乱れや病気が隠れている可能性もあるため、放置せずに相談することが大切です。</v>
      </c>
      <c r="C125" s="31" t="str">
        <f>IFERROR(__xludf.DUMMYFUNCTION("""COMPUTED_VALUE"""),"生理不順")</f>
        <v>生理不順</v>
      </c>
      <c r="D125" s="31" t="str">
        <f>IFERROR(__xludf.DUMMYFUNCTION("""COMPUTED_VALUE"""),"よくある症状,不安,生理不順")</f>
        <v>よくある症状,不安,生理不順</v>
      </c>
      <c r="E125" s="32" t="str">
        <f>IFERROR(__xludf.DUMMYFUNCTION("""COMPUTED_VALUE"""),"https://luna-dr.com/subjects/menstrual-irregularity/")</f>
        <v>https://luna-dr.com/subjects/menstrual-irregularity/</v>
      </c>
    </row>
    <row r="126">
      <c r="A126" s="31" t="str">
        <f>IFERROR(__xludf.DUMMYFUNCTION("""COMPUTED_VALUE"""),"生理不順にはどんな種類がありますか？")</f>
        <v>生理不順にはどんな種類がありますか？</v>
      </c>
      <c r="B126" s="31" t="str">
        <f>IFERROR(__xludf.DUMMYFUNCTION("""COMPUTED_VALUE"""),"生理不順は、生理周期や出血の状態によっていくつかの種類に分けられます。ご自身の状態を知る目安として確認し、どのタイプであってもまずは専門医に相談することが大切です。")</f>
        <v>生理不順は、生理周期や出血の状態によっていくつかの種類に分けられます。ご自身の状態を知る目安として確認し、どのタイプであってもまずは専門医に相談することが大切です。</v>
      </c>
      <c r="C126" s="31" t="str">
        <f>IFERROR(__xludf.DUMMYFUNCTION("""COMPUTED_VALUE"""),"生理不順・概要")</f>
        <v>生理不順・概要</v>
      </c>
      <c r="D126" s="31" t="str">
        <f>IFERROR(__xludf.DUMMYFUNCTION("""COMPUTED_VALUE"""),"生理不順,種類,生理周期,婦人科")</f>
        <v>生理不順,種類,生理周期,婦人科</v>
      </c>
      <c r="E126" s="32" t="str">
        <f>IFERROR(__xludf.DUMMYFUNCTION("""COMPUTED_VALUE"""),"https://luna-dr.com/")</f>
        <v>https://luna-dr.com/</v>
      </c>
    </row>
    <row r="127">
      <c r="A127" s="31" t="str">
        <f>IFERROR(__xludf.DUMMYFUNCTION("""COMPUTED_VALUE"""),"生理周期が短いタイプの生理不順とはどんな状態ですか？/生理周期が短いです/すぐに生理がくる")</f>
        <v>生理周期が短いタイプの生理不順とはどんな状態ですか？/生理周期が短いです/すぐに生理がくる</v>
      </c>
      <c r="B127" s="31" t="str">
        <f>IFERROR(__xludf.DUMMYFUNCTION("""COMPUTED_VALUE"""),"生理周期が24日以内と短く、月に2回以上生理が来ることもある頻発月経（ひんぱつげっけい）という状態の可能性があります。ホルモンバランスの乱れや卵巣機能の低下が考えられます。まずは専門医に相談することが大切ですので、お気軽に当院にご相談ください。")</f>
        <v>生理周期が24日以内と短く、月に2回以上生理が来ることもある頻発月経（ひんぱつげっけい）という状態の可能性があります。ホルモンバランスの乱れや卵巣機能の低下が考えられます。まずは専門医に相談することが大切ですので、お気軽に当院にご相談ください。</v>
      </c>
      <c r="C127" s="31" t="str">
        <f>IFERROR(__xludf.DUMMYFUNCTION("""COMPUTED_VALUE"""),"生理不順・種類")</f>
        <v>生理不順・種類</v>
      </c>
      <c r="D127" s="31" t="str">
        <f>IFERROR(__xludf.DUMMYFUNCTION("""COMPUTED_VALUE"""),"生理不順,頻発月経,生理周期が短い")</f>
        <v>生理不順,頻発月経,生理周期が短い</v>
      </c>
      <c r="E127" s="32" t="str">
        <f>IFERROR(__xludf.DUMMYFUNCTION("""COMPUTED_VALUE"""),"https://luna-dr.com/")</f>
        <v>https://luna-dr.com/</v>
      </c>
    </row>
    <row r="128">
      <c r="A128" s="31" t="str">
        <f>IFERROR(__xludf.DUMMYFUNCTION("""COMPUTED_VALUE"""),"生理周期が長いタイプの生理不順とはどんな状態ですか？/生理周期がながいです/生理が来ない/生理が遅れている")</f>
        <v>生理周期が長いタイプの生理不順とはどんな状態ですか？/生理周期がながいです/生理が来ない/生理が遅れている</v>
      </c>
      <c r="B128" s="31" t="str">
        <f>IFERROR(__xludf.DUMMYFUNCTION("""COMPUTED_VALUE"""),"生理周期が39日以上と長く、なかなか次の生理が来ない稀発月経（きはつげっけい）という状態の可能性があります。排卵までに時間がかかっている可能性があり、無排卵になっているケースもあります。
また、妊娠していないのに3ヶ月以上生理が来ていない状態は、生理不順の中でも注意が必要です。ホルモン分泌に深刻な異常が起きている可能性があり、早期の受診が必要となります。まずは専門医に相談することが大切ですので、お気軽に当院にご相談ください。")</f>
        <v>生理周期が39日以上と長く、なかなか次の生理が来ない稀発月経（きはつげっけい）という状態の可能性があります。排卵までに時間がかかっている可能性があり、無排卵になっているケースもあります。
また、妊娠していないのに3ヶ月以上生理が来ていない状態は、生理不順の中でも注意が必要です。ホルモン分泌に深刻な異常が起きている可能性があり、早期の受診が必要となります。まずは専門医に相談することが大切ですので、お気軽に当院にご相談ください。</v>
      </c>
      <c r="C128" s="31" t="str">
        <f>IFERROR(__xludf.DUMMYFUNCTION("""COMPUTED_VALUE"""),"生理不順・種類")</f>
        <v>生理不順・種類</v>
      </c>
      <c r="D128" s="31" t="str">
        <f>IFERROR(__xludf.DUMMYFUNCTION("""COMPUTED_VALUE"""),"生理不順,稀発月経,生理が遅れる")</f>
        <v>生理不順,稀発月経,生理が遅れる</v>
      </c>
      <c r="E128" s="32" t="str">
        <f>IFERROR(__xludf.DUMMYFUNCTION("""COMPUTED_VALUE"""),"https://luna-dr.com/")</f>
        <v>https://luna-dr.com/</v>
      </c>
    </row>
    <row r="129">
      <c r="A129" s="31" t="str">
        <f>IFERROR(__xludf.DUMMYFUNCTION("""COMPUTED_VALUE"""),"出血が長い・量が多い生理不順とはどんな状態ですか？/生理の血が多い/生理の血の量が多い")</f>
        <v>出血が長い・量が多い生理不順とはどんな状態ですか？/生理の血が多い/生理の血の量が多い</v>
      </c>
      <c r="B129" s="31" t="str">
        <f>IFERROR(__xludf.DUMMYFUNCTION("""COMPUTED_VALUE"""),"出血が8日以上と長く続いたり、経血量が極端に多かったりする過長月経、過多月経という状態の可能性があります。子宮の病気などが隠れている可能性も考えられます。まずは専門医に相談することが大切ですので、お気軽に当院にご相談ください。")</f>
        <v>出血が8日以上と長く続いたり、経血量が極端に多かったりする過長月経、過多月経という状態の可能性があります。子宮の病気などが隠れている可能性も考えられます。まずは専門医に相談することが大切ですので、お気軽に当院にご相談ください。</v>
      </c>
      <c r="C129" s="31" t="str">
        <f>IFERROR(__xludf.DUMMYFUNCTION("""COMPUTED_VALUE"""),"生理不順・種類")</f>
        <v>生理不順・種類</v>
      </c>
      <c r="D129" s="31" t="str">
        <f>IFERROR(__xludf.DUMMYFUNCTION("""COMPUTED_VALUE"""),"生理不順,過多月経,出血が多い")</f>
        <v>生理不順,過多月経,出血が多い</v>
      </c>
      <c r="E129" s="32" t="str">
        <f>IFERROR(__xludf.DUMMYFUNCTION("""COMPUTED_VALUE"""),"https://luna-dr.com/")</f>
        <v>https://luna-dr.com/</v>
      </c>
    </row>
    <row r="130">
      <c r="A130" s="31" t="str">
        <f>IFERROR(__xludf.DUMMYFUNCTION("""COMPUTED_VALUE"""),"出血が少ない・期間が短い生理不順とはどんな状態ですか？/生理の血が少ない/生理の血の量が少ない")</f>
        <v>出血が少ない・期間が短い生理不順とはどんな状態ですか？/生理の血が少ない/生理の血の量が少ない</v>
      </c>
      <c r="B130" s="31" t="str">
        <f>IFERROR(__xludf.DUMMYFUNCTION("""COMPUTED_VALUE"""),"出血が2日以内で終わってしまったり、経血量が極端に少なかったりする過短月経、過少月経という状態の可能性があります。女性ホルモンの分泌不足や、子宮の発育に問題がある可能性も考えられます。まずは専門医に相談することが大切ですので、お気軽に当院にご相談ください。")</f>
        <v>出血が2日以内で終わってしまったり、経血量が極端に少なかったりする過短月経、過少月経という状態の可能性があります。女性ホルモンの分泌不足や、子宮の発育に問題がある可能性も考えられます。まずは専門医に相談することが大切ですので、お気軽に当院にご相談ください。</v>
      </c>
      <c r="C130" s="31" t="str">
        <f>IFERROR(__xludf.DUMMYFUNCTION("""COMPUTED_VALUE"""),"生理不順・種類")</f>
        <v>生理不順・種類</v>
      </c>
      <c r="D130" s="31" t="str">
        <f>IFERROR(__xludf.DUMMYFUNCTION("""COMPUTED_VALUE"""),"生理不順,過少月経,生理が少ない")</f>
        <v>生理不順,過少月経,生理が少ない</v>
      </c>
      <c r="E130" s="32" t="str">
        <f>IFERROR(__xludf.DUMMYFUNCTION("""COMPUTED_VALUE"""),"https://luna-dr.com/")</f>
        <v>https://luna-dr.com/</v>
      </c>
    </row>
    <row r="131">
      <c r="A131" s="31" t="str">
        <f>IFERROR(__xludf.DUMMYFUNCTION("""COMPUTED_VALUE"""),"3ヶ月以上生理が来ない場合は生理不順ですか？/生理周期がながいです/生理が来ない/生理が遅れている")</f>
        <v>3ヶ月以上生理が来ない場合は生理不順ですか？/生理周期がながいです/生理が来ない/生理が遅れている</v>
      </c>
      <c r="B131" s="31" t="str">
        <f>IFERROR(__xludf.DUMMYFUNCTION("""COMPUTED_VALUE"""),"妊娠していないのに3ヶ月以上生理が来ていない状態は、生理不順の中でも注意が必要です。ホルモン分泌に深刻な異常が起きている可能性があり、早期の受診が必要です。まずは専門医に相談することが大切ですので、お気軽に当院にご相談ください。")</f>
        <v>妊娠していないのに3ヶ月以上生理が来ていない状態は、生理不順の中でも注意が必要です。ホルモン分泌に深刻な異常が起きている可能性があり、早期の受診が必要です。まずは専門医に相談することが大切ですので、お気軽に当院にご相談ください。</v>
      </c>
      <c r="C131" s="31" t="str">
        <f>IFERROR(__xludf.DUMMYFUNCTION("""COMPUTED_VALUE"""),"生理不順・種類")</f>
        <v>生理不順・種類</v>
      </c>
      <c r="D131" s="31" t="str">
        <f>IFERROR(__xludf.DUMMYFUNCTION("""COMPUTED_VALUE"""),"生理不順,無月経,生理が来ない")</f>
        <v>生理不順,無月経,生理が来ない</v>
      </c>
      <c r="E131" s="32" t="str">
        <f>IFERROR(__xludf.DUMMYFUNCTION("""COMPUTED_VALUE"""),"https://luna-dr.com/")</f>
        <v>https://luna-dr.com/</v>
      </c>
    </row>
    <row r="132">
      <c r="A132" s="31" t="str">
        <f>IFERROR(__xludf.DUMMYFUNCTION("""COMPUTED_VALUE"""),"生理不順はどんな症状がありますか？")</f>
        <v>生理不順はどんな症状がありますか？</v>
      </c>
      <c r="B132" s="31" t="str">
        <f>IFERROR(__xludf.DUMMYFUNCTION("""COMPUTED_VALUE"""),"生理不順には、生理周期が短い、長い、出血が長く続く、経血量が多い・少ない、生理が数ヶ月来ないなど、さまざまな症状があります。")</f>
        <v>生理不順には、生理周期が短い、長い、出血が長く続く、経血量が多い・少ない、生理が数ヶ月来ないなど、さまざまな症状があります。</v>
      </c>
      <c r="C132" s="31" t="str">
        <f>IFERROR(__xludf.DUMMYFUNCTION("""COMPUTED_VALUE"""),"生理不順")</f>
        <v>生理不順</v>
      </c>
      <c r="D132" s="31" t="str">
        <f>IFERROR(__xludf.DUMMYFUNCTION("""COMPUTED_VALUE"""),"症状,タイプ,生理不順")</f>
        <v>症状,タイプ,生理不順</v>
      </c>
      <c r="E132" s="32" t="str">
        <f>IFERROR(__xludf.DUMMYFUNCTION("""COMPUTED_VALUE"""),"https://luna-dr.com/subjects/menstrual-irregularity/")</f>
        <v>https://luna-dr.com/subjects/menstrual-irregularity/</v>
      </c>
    </row>
    <row r="133">
      <c r="A133" s="31" t="str">
        <f>IFERROR(__xludf.DUMMYFUNCTION("""COMPUTED_VALUE"""),"生理周期が短いのも生理不順ですか？")</f>
        <v>生理周期が短いのも生理不順ですか？</v>
      </c>
      <c r="B133" s="31" t="str">
        <f>IFERROR(__xludf.DUMMYFUNCTION("""COMPUTED_VALUE"""),"生理周期が24日以内と短く、月に2回以上生理が来る場合は、生理不順に該当することがあります。ホルモンバランスの乱れや卵巣機能の低下が関係している場合があります。")</f>
        <v>生理周期が24日以内と短く、月に2回以上生理が来る場合は、生理不順に該当することがあります。ホルモンバランスの乱れや卵巣機能の低下が関係している場合があります。</v>
      </c>
      <c r="C133" s="31" t="str">
        <f>IFERROR(__xludf.DUMMYFUNCTION("""COMPUTED_VALUE"""),"生理不順")</f>
        <v>生理不順</v>
      </c>
      <c r="D133" s="31" t="str">
        <f>IFERROR(__xludf.DUMMYFUNCTION("""COMPUTED_VALUE"""),"頻発月経,周期が短い,生理不順")</f>
        <v>頻発月経,周期が短い,生理不順</v>
      </c>
      <c r="E133" s="32" t="str">
        <f>IFERROR(__xludf.DUMMYFUNCTION("""COMPUTED_VALUE"""),"https://luna-dr.com/subjects/menstrual-irregularity/")</f>
        <v>https://luna-dr.com/subjects/menstrual-irregularity/</v>
      </c>
    </row>
    <row r="134">
      <c r="A134" s="31" t="str">
        <f>IFERROR(__xludf.DUMMYFUNCTION("""COMPUTED_VALUE"""),"生理周期が長いのも生理不順ですか？")</f>
        <v>生理周期が長いのも生理不順ですか？</v>
      </c>
      <c r="B134" s="31" t="str">
        <f>IFERROR(__xludf.DUMMYFUNCTION("""COMPUTED_VALUE"""),"生理周期が39日以上と長く、次の生理がなかなか来ない状態は、生理不順に該当します。排卵までに時間がかかっている可能性があり、無排卵になっているケースもあります。")</f>
        <v>生理周期が39日以上と長く、次の生理がなかなか来ない状態は、生理不順に該当します。排卵までに時間がかかっている可能性があり、無排卵になっているケースもあります。</v>
      </c>
      <c r="C134" s="31" t="str">
        <f>IFERROR(__xludf.DUMMYFUNCTION("""COMPUTED_VALUE"""),"生理不順")</f>
        <v>生理不順</v>
      </c>
      <c r="D134" s="31" t="str">
        <f>IFERROR(__xludf.DUMMYFUNCTION("""COMPUTED_VALUE"""),"希発月経,周期が長い,生理不順")</f>
        <v>希発月経,周期が長い,生理不順</v>
      </c>
      <c r="E134" s="32" t="str">
        <f>IFERROR(__xludf.DUMMYFUNCTION("""COMPUTED_VALUE"""),"https://luna-dr.com/subjects/menstrual-irregularity/")</f>
        <v>https://luna-dr.com/subjects/menstrual-irregularity/</v>
      </c>
    </row>
    <row r="135">
      <c r="A135" s="31" t="str">
        <f>IFERROR(__xludf.DUMMYFUNCTION("""COMPUTED_VALUE"""),"生理の出血が長かったり多かったりするのも生理不順ですか？")</f>
        <v>生理の出血が長かったり多かったりするのも生理不順ですか？</v>
      </c>
      <c r="B135" s="31" t="str">
        <f>IFERROR(__xludf.DUMMYFUNCTION("""COMPUTED_VALUE"""),"出血が8日以上続いたり、経血量が極端に多い状態も生理不順の一つです。子宮の病気が隠れている可能性もあるため、早めの相談が大切です。")</f>
        <v>出血が8日以上続いたり、経血量が極端に多い状態も生理不順の一つです。子宮の病気が隠れている可能性もあるため、早めの相談が大切です。</v>
      </c>
      <c r="C135" s="31" t="str">
        <f>IFERROR(__xludf.DUMMYFUNCTION("""COMPUTED_VALUE"""),"生理不順")</f>
        <v>生理不順</v>
      </c>
      <c r="D135" s="31" t="str">
        <f>IFERROR(__xludf.DUMMYFUNCTION("""COMPUTED_VALUE"""),"過多月経,出血が多い,生理不順")</f>
        <v>過多月経,出血が多い,生理不順</v>
      </c>
      <c r="E135" s="32" t="str">
        <f>IFERROR(__xludf.DUMMYFUNCTION("""COMPUTED_VALUE"""),"https://luna-dr.com/subjects/menstrual-irregularity/")</f>
        <v>https://luna-dr.com/subjects/menstrual-irregularity/</v>
      </c>
    </row>
    <row r="136">
      <c r="A136" s="31" t="str">
        <f>IFERROR(__xludf.DUMMYFUNCTION("""COMPUTED_VALUE"""),"生理の量が少なかったり期間が短いのも問題ですか？")</f>
        <v>生理の量が少なかったり期間が短いのも問題ですか？</v>
      </c>
      <c r="B136" s="31" t="str">
        <f>IFERROR(__xludf.DUMMYFUNCTION("""COMPUTED_VALUE"""),"出血が2日以内で終わったり、経血量が極端に少ない状態も生理不順に含まれます。女性ホルモンの分泌不足などが関係している場合があります。")</f>
        <v>出血が2日以内で終わったり、経血量が極端に少ない状態も生理不順に含まれます。女性ホルモンの分泌不足などが関係している場合があります。</v>
      </c>
      <c r="C136" s="31" t="str">
        <f>IFERROR(__xludf.DUMMYFUNCTION("""COMPUTED_VALUE"""),"生理不順")</f>
        <v>生理不順</v>
      </c>
      <c r="D136" s="31" t="str">
        <f>IFERROR(__xludf.DUMMYFUNCTION("""COMPUTED_VALUE"""),"過少月経,出血が少ない,生理不順")</f>
        <v>過少月経,出血が少ない,生理不順</v>
      </c>
      <c r="E136" s="32" t="str">
        <f>IFERROR(__xludf.DUMMYFUNCTION("""COMPUTED_VALUE"""),"https://luna-dr.com/subjects/menstrual-irregularity/")</f>
        <v>https://luna-dr.com/subjects/menstrual-irregularity/</v>
      </c>
    </row>
    <row r="137">
      <c r="A137" s="31" t="str">
        <f>IFERROR(__xludf.DUMMYFUNCTION("""COMPUTED_VALUE"""),"どのくらい生理が来なかったら受診すべきですか？")</f>
        <v>どのくらい生理が来なかったら受診すべきですか？</v>
      </c>
      <c r="B137" s="31" t="str">
        <f>IFERROR(__xludf.DUMMYFUNCTION("""COMPUTED_VALUE"""),"3ヶ月以上生理が来ていない場合は、年齢にかかわらず早めの受診が必要です。また、これまで周期的だった生理が急に不順になった場合も相談をおすすめします。")</f>
        <v>3ヶ月以上生理が来ていない場合は、年齢にかかわらず早めの受診が必要です。また、これまで周期的だった生理が急に不順になった場合も相談をおすすめします。</v>
      </c>
      <c r="C137" s="31" t="str">
        <f>IFERROR(__xludf.DUMMYFUNCTION("""COMPUTED_VALUE"""),"生理不順")</f>
        <v>生理不順</v>
      </c>
      <c r="D137" s="31" t="str">
        <f>IFERROR(__xludf.DUMMYFUNCTION("""COMPUTED_VALUE"""),"無月経,受診目安,生理不順")</f>
        <v>無月経,受診目安,生理不順</v>
      </c>
      <c r="E137" s="32" t="str">
        <f>IFERROR(__xludf.DUMMYFUNCTION("""COMPUTED_VALUE"""),"https://luna-dr.com/subjects/menstrual-irregularity/")</f>
        <v>https://luna-dr.com/subjects/menstrual-irregularity/</v>
      </c>
    </row>
    <row r="138">
      <c r="A138" s="31" t="str">
        <f>IFERROR(__xludf.DUMMYFUNCTION("""COMPUTED_VALUE"""),"生理不順はなぜ起こるのですか？/生理不順の原因にはどんなものがありますか？")</f>
        <v>生理不順はなぜ起こるのですか？/生理不順の原因にはどんなものがありますか？</v>
      </c>
      <c r="B138" s="31" t="str">
        <f>IFERROR(__xludf.DUMMYFUNCTION("""COMPUTED_VALUE"""),"生理不順は、脳からのホルモン分泌の指令と卵巣の働きがうまく連携していないときに起こります。その背景には、生活習慣や体のホルモンバランスの乱れなど、さまざまな要因があります。")</f>
        <v>生理不順は、脳からのホルモン分泌の指令と卵巣の働きがうまく連携していないときに起こります。その背景には、生活習慣や体のホルモンバランスの乱れなど、さまざまな要因があります。</v>
      </c>
      <c r="C138" s="31" t="str">
        <f>IFERROR(__xludf.DUMMYFUNCTION("""COMPUTED_VALUE"""),"生理不順・原因")</f>
        <v>生理不順・原因</v>
      </c>
      <c r="D138" s="31" t="str">
        <f>IFERROR(__xludf.DUMMYFUNCTION("""COMPUTED_VALUE"""),"生理不順,原因,ホルモンバランス,婦人科")</f>
        <v>生理不順,原因,ホルモンバランス,婦人科</v>
      </c>
      <c r="E138" s="32" t="str">
        <f>IFERROR(__xludf.DUMMYFUNCTION("""COMPUTED_VALUE"""),"https://luna-dr.com/subjects/menstrual-irregularity/")</f>
        <v>https://luna-dr.com/subjects/menstrual-irregularity/</v>
      </c>
    </row>
    <row r="139">
      <c r="A139" s="31" t="str">
        <f>IFERROR(__xludf.DUMMYFUNCTION("""COMPUTED_VALUE"""),"生活習慣の乱れは生理不順の原因になりますか？")</f>
        <v>生活習慣の乱れは生理不順の原因になりますか？</v>
      </c>
      <c r="B139" s="31" t="str">
        <f>IFERROR(__xludf.DUMMYFUNCTION("""COMPUTED_VALUE"""),"なります。過度なストレス、睡眠不足、急激なダイエットなどの生活習慣の乱れは、ホルモン分泌に影響し、生理不順の引き金になることがあります。")</f>
        <v>なります。過度なストレス、睡眠不足、急激なダイエットなどの生活習慣の乱れは、ホルモン分泌に影響し、生理不順の引き金になることがあります。</v>
      </c>
      <c r="C139" s="31" t="str">
        <f>IFERROR(__xludf.DUMMYFUNCTION("""COMPUTED_VALUE"""),"生理不順・原因")</f>
        <v>生理不順・原因</v>
      </c>
      <c r="D139" s="31" t="str">
        <f>IFERROR(__xludf.DUMMYFUNCTION("""COMPUTED_VALUE"""),"生理不順,生活習慣,ストレス,睡眠不足,ダイエット")</f>
        <v>生理不順,生活習慣,ストレス,睡眠不足,ダイエット</v>
      </c>
      <c r="E139" s="32" t="str">
        <f>IFERROR(__xludf.DUMMYFUNCTION("""COMPUTED_VALUE"""),"https://luna-dr.com/subjects/menstrual-irregularity/")</f>
        <v>https://luna-dr.com/subjects/menstrual-irregularity/</v>
      </c>
    </row>
    <row r="140">
      <c r="A140" s="31" t="str">
        <f>IFERROR(__xludf.DUMMYFUNCTION("""COMPUTED_VALUE"""),"多嚢胞性卵巣症候群（PCOS）とは何ですか？")</f>
        <v>多嚢胞性卵巣症候群（PCOS）とは何ですか？</v>
      </c>
      <c r="B140" s="31" t="str">
        <f>IFERROR(__xludf.DUMMYFUNCTION("""COMPUTED_VALUE"""),"多嚢胞性卵巣症候群（PCOS）は、排卵が起こりにくくなる体質で、生理不順の患者様に多く見られる原因の一つです。")</f>
        <v>多嚢胞性卵巣症候群（PCOS）は、排卵が起こりにくくなる体質で、生理不順の患者様に多く見られる原因の一つです。</v>
      </c>
      <c r="C140" s="31" t="str">
        <f>IFERROR(__xludf.DUMMYFUNCTION("""COMPUTED_VALUE"""),"生理不順・原因")</f>
        <v>生理不順・原因</v>
      </c>
      <c r="D140" s="31" t="str">
        <f>IFERROR(__xludf.DUMMYFUNCTION("""COMPUTED_VALUE"""),"生理不順,多嚢胞性卵巣症候群,PCOS,排卵障害")</f>
        <v>生理不順,多嚢胞性卵巣症候群,PCOS,排卵障害</v>
      </c>
      <c r="E140" s="32" t="str">
        <f>IFERROR(__xludf.DUMMYFUNCTION("""COMPUTED_VALUE"""),"https://luna-dr.com/subjects/menstrual-irregularity/")</f>
        <v>https://luna-dr.com/subjects/menstrual-irregularity/</v>
      </c>
    </row>
    <row r="141">
      <c r="A141" s="31" t="str">
        <f>IFERROR(__xludf.DUMMYFUNCTION("""COMPUTED_VALUE"""),"甲状腺の病気は生理不順に関係しますか？")</f>
        <v>甲状腺の病気は生理不順に関係しますか？</v>
      </c>
      <c r="B141" s="31" t="str">
        <f>IFERROR(__xludf.DUMMYFUNCTION("""COMPUTED_VALUE"""),"関係します。甲状腺ホルモンのバランスが崩れると、体全体の代謝やホルモン調整に影響し、生理周期が乱れることがあります。")</f>
        <v>関係します。甲状腺ホルモンのバランスが崩れると、体全体の代謝やホルモン調整に影響し、生理周期が乱れることがあります。</v>
      </c>
      <c r="C141" s="31" t="str">
        <f>IFERROR(__xludf.DUMMYFUNCTION("""COMPUTED_VALUE"""),"生理不順・原因")</f>
        <v>生理不順・原因</v>
      </c>
      <c r="D141" s="31" t="str">
        <f>IFERROR(__xludf.DUMMYFUNCTION("""COMPUTED_VALUE"""),"生理不順,甲状腺機能異常,ホルモン異常")</f>
        <v>生理不順,甲状腺機能異常,ホルモン異常</v>
      </c>
      <c r="E141" s="32" t="str">
        <f>IFERROR(__xludf.DUMMYFUNCTION("""COMPUTED_VALUE"""),"https://luna-dr.com/subjects/menstrual-irregularity/")</f>
        <v>https://luna-dr.com/subjects/menstrual-irregularity/</v>
      </c>
    </row>
    <row r="142">
      <c r="A142" s="31" t="str">
        <f>IFERROR(__xludf.DUMMYFUNCTION("""COMPUTED_VALUE"""),"高プロラクチン血症とはどんな状態ですか？")</f>
        <v>高プロラクチン血症とはどんな状態ですか？</v>
      </c>
      <c r="B142" s="31" t="str">
        <f>IFERROR(__xludf.DUMMYFUNCTION("""COMPUTED_VALUE"""),"高プロラクチン血症とは、授乳中でないにもかかわらず母乳を出すホルモン（プロラクチン）の値が高くなり、排卵が抑制されてしまう状態です。生理不順の原因になることがあります。")</f>
        <v>高プロラクチン血症とは、授乳中でないにもかかわらず母乳を出すホルモン（プロラクチン）の値が高くなり、排卵が抑制されてしまう状態です。生理不順の原因になることがあります。</v>
      </c>
      <c r="C142" s="31" t="str">
        <f>IFERROR(__xludf.DUMMYFUNCTION("""COMPUTED_VALUE"""),"生理不順・原因")</f>
        <v>生理不順・原因</v>
      </c>
      <c r="D142" s="31" t="str">
        <f>IFERROR(__xludf.DUMMYFUNCTION("""COMPUTED_VALUE"""),"生理不順,高プロラクチン血症,排卵抑制")</f>
        <v>生理不順,高プロラクチン血症,排卵抑制</v>
      </c>
      <c r="E142" s="32" t="str">
        <f>IFERROR(__xludf.DUMMYFUNCTION("""COMPUTED_VALUE"""),"https://luna-dr.com/subjects/menstrual-irregularity/")</f>
        <v>https://luna-dr.com/subjects/menstrual-irregularity/</v>
      </c>
    </row>
    <row r="143">
      <c r="A143" s="31" t="str">
        <f>IFERROR(__xludf.DUMMYFUNCTION("""COMPUTED_VALUE"""),"生理不順を放置するとどんなリスクがありますか？")</f>
        <v>生理不順を放置するとどんなリスクがありますか？</v>
      </c>
      <c r="B143" s="31" t="str">
        <f>IFERROR(__xludf.DUMMYFUNCTION("""COMPUTED_VALUE"""),"生理不順を放置すると、将来の不妊につながる可能性があります。また、長期間排卵がない状態が続くことで、子宮体がんのリスクを高める可能性も指摘されています。")</f>
        <v>生理不順を放置すると、将来の不妊につながる可能性があります。また、長期間排卵がない状態が続くことで、子宮体がんのリスクを高める可能性も指摘されています。</v>
      </c>
      <c r="C143" s="31" t="str">
        <f>IFERROR(__xludf.DUMMYFUNCTION("""COMPUTED_VALUE"""),"生理不順・リスク")</f>
        <v>生理不順・リスク</v>
      </c>
      <c r="D143" s="31" t="str">
        <f>IFERROR(__xludf.DUMMYFUNCTION("""COMPUTED_VALUE"""),"生理不順,不妊,子宮体がん,リスク")</f>
        <v>生理不順,不妊,子宮体がん,リスク</v>
      </c>
      <c r="E143" s="32" t="str">
        <f>IFERROR(__xludf.DUMMYFUNCTION("""COMPUTED_VALUE"""),"https://luna-dr.com/subjects/menstrual-irregularity/")</f>
        <v>https://luna-dr.com/subjects/menstrual-irregularity/</v>
      </c>
    </row>
    <row r="144">
      <c r="A144" s="31" t="str">
        <f>IFERROR(__xludf.DUMMYFUNCTION("""COMPUTED_VALUE"""),"生理不順の診察ではどんな検査をしますか？")</f>
        <v>生理不順の診察ではどんな検査をしますか？</v>
      </c>
      <c r="B144" s="31" t="str">
        <f>IFERROR(__xludf.DUMMYFUNCTION("""COMPUTED_VALUE"""),"ルナレディースクリニックでは、生理不順の診察で、必要に応じて超音波（エコー）検査や血液検査を行います。")</f>
        <v>ルナレディースクリニックでは、生理不順の診察で、必要に応じて超音波（エコー）検査や血液検査を行います。</v>
      </c>
      <c r="C144" s="31" t="str">
        <f>IFERROR(__xludf.DUMMYFUNCTION("""COMPUTED_VALUE"""),"生理不順")</f>
        <v>生理不順</v>
      </c>
      <c r="D144" s="31" t="str">
        <f>IFERROR(__xludf.DUMMYFUNCTION("""COMPUTED_VALUE"""),"検査,エコー,血液検査,生理不順")</f>
        <v>検査,エコー,血液検査,生理不順</v>
      </c>
      <c r="E144" s="32" t="str">
        <f>IFERROR(__xludf.DUMMYFUNCTION("""COMPUTED_VALUE"""),"https://luna-dr.com/subjects/menstrual-irregularity/")</f>
        <v>https://luna-dr.com/subjects/menstrual-irregularity/</v>
      </c>
    </row>
    <row r="145">
      <c r="A145" s="31" t="str">
        <f>IFERROR(__xludf.DUMMYFUNCTION("""COMPUTED_VALUE"""),"生理不順の診察・検査の流れを教えてください")</f>
        <v>生理不順の診察・検査の流れを教えてください</v>
      </c>
      <c r="B145" s="31" t="str">
        <f>IFERROR(__xludf.DUMMYFUNCTION("""COMPUTED_VALUE"""),"ルナレディースクリニックでは、予約後に問診を行い、医師が生活習慣や生理の状況を確認します。その後、必要に応じて検査を行い、結果をもとに治療方針をご提案します。")</f>
        <v>ルナレディースクリニックでは、予約後に問診を行い、医師が生活習慣や生理の状況を確認します。その後、必要に応じて検査を行い、結果をもとに治療方針をご提案します。</v>
      </c>
      <c r="C145" s="31" t="str">
        <f>IFERROR(__xludf.DUMMYFUNCTION("""COMPUTED_VALUE"""),"生理不順")</f>
        <v>生理不順</v>
      </c>
      <c r="D145" s="31" t="str">
        <f>IFERROR(__xludf.DUMMYFUNCTION("""COMPUTED_VALUE"""),"診察の流れ,検査,生理不順")</f>
        <v>診察の流れ,検査,生理不順</v>
      </c>
      <c r="E145" s="32" t="str">
        <f>IFERROR(__xludf.DUMMYFUNCTION("""COMPUTED_VALUE"""),"https://luna-dr.com/subjects/menstrual-irregularity/")</f>
        <v>https://luna-dr.com/subjects/menstrual-irregularity/</v>
      </c>
    </row>
    <row r="146">
      <c r="A146" s="31" t="str">
        <f>IFERROR(__xludf.DUMMYFUNCTION("""COMPUTED_VALUE"""),"生理不順の治療にはどんな方法がありますか？")</f>
        <v>生理不順の治療にはどんな方法がありますか？</v>
      </c>
      <c r="B146" s="31" t="str">
        <f>IFERROR(__xludf.DUMMYFUNCTION("""COMPUTED_VALUE"""),"ルナレディースクリニックでは、生理不順の原因に応じて、低用量ピルによるホルモン治療、漢方薬、生活習慣の改善指導などをご提案します。")</f>
        <v>ルナレディースクリニックでは、生理不順の原因に応じて、低用量ピルによるホルモン治療、漢方薬、生活習慣の改善指導などをご提案します。</v>
      </c>
      <c r="C146" s="31" t="str">
        <f>IFERROR(__xludf.DUMMYFUNCTION("""COMPUTED_VALUE"""),"生理不順")</f>
        <v>生理不順</v>
      </c>
      <c r="D146" s="31" t="str">
        <f>IFERROR(__xludf.DUMMYFUNCTION("""COMPUTED_VALUE"""),"治療方法,ピル,漢方,生理不順")</f>
        <v>治療方法,ピル,漢方,生理不順</v>
      </c>
      <c r="E146" s="32" t="str">
        <f>IFERROR(__xludf.DUMMYFUNCTION("""COMPUTED_VALUE"""),"https://luna-dr.com/subjects/menstrual-irregularity/")</f>
        <v>https://luna-dr.com/subjects/menstrual-irregularity/</v>
      </c>
    </row>
    <row r="147">
      <c r="A147" s="31" t="str">
        <f>IFERROR(__xludf.DUMMYFUNCTION("""COMPUTED_VALUE"""),"生理不順の診察は保険適用ですか？")</f>
        <v>生理不順の診察は保険適用ですか？</v>
      </c>
      <c r="B147" s="31" t="str">
        <f>IFERROR(__xludf.DUMMYFUNCTION("""COMPUTED_VALUE"""),"ルナレディースクリニックでは、生理不順の診察や検査は保険診療を基本としています。")</f>
        <v>ルナレディースクリニックでは、生理不順の診察や検査は保険診療を基本としています。</v>
      </c>
      <c r="C147" s="31" t="str">
        <f>IFERROR(__xludf.DUMMYFUNCTION("""COMPUTED_VALUE"""),"生理不順")</f>
        <v>生理不順</v>
      </c>
      <c r="D147" s="31" t="str">
        <f>IFERROR(__xludf.DUMMYFUNCTION("""COMPUTED_VALUE"""),"保険診療,費用,生理不順")</f>
        <v>保険診療,費用,生理不順</v>
      </c>
      <c r="E147" s="32" t="str">
        <f>IFERROR(__xludf.DUMMYFUNCTION("""COMPUTED_VALUE"""),"https://luna-dr.com/subjects/menstrual-irregularity/")</f>
        <v>https://luna-dr.com/subjects/menstrual-irregularity/</v>
      </c>
    </row>
    <row r="148">
      <c r="A148" s="31" t="str">
        <f>IFERROR(__xludf.DUMMYFUNCTION("""COMPUTED_VALUE"""),"生理不順の診察や検査の費用はいくらくらいですか？")</f>
        <v>生理不順の診察や検査の費用はいくらくらいですか？</v>
      </c>
      <c r="B148" s="31" t="str">
        <f>IFERROR(__xludf.DUMMYFUNCTION("""COMPUTED_VALUE"""),"ルナレディースクリニックでは、生理を起こす薬の処方が約400円、ホルモン検査が約2,400円、超音波検査が約1,600円、保険適用ピル処方が約2,700円です。別途初診料・再診料がかかります。")</f>
        <v>ルナレディースクリニックでは、生理を起こす薬の処方が約400円、ホルモン検査が約2,400円、超音波検査が約1,600円、保険適用ピル処方が約2,700円です。別途初診料・再診料がかかります。</v>
      </c>
      <c r="C148" s="31" t="str">
        <f>IFERROR(__xludf.DUMMYFUNCTION("""COMPUTED_VALUE"""),"生理不順")</f>
        <v>生理不順</v>
      </c>
      <c r="D148" s="31" t="str">
        <f>IFERROR(__xludf.DUMMYFUNCTION("""COMPUTED_VALUE"""),"料金,費用目安,生理不順")</f>
        <v>料金,費用目安,生理不順</v>
      </c>
      <c r="E148" s="32" t="str">
        <f>IFERROR(__xludf.DUMMYFUNCTION("""COMPUTED_VALUE"""),"https://luna-dr.com/subjects/menstrual-irregularity/")</f>
        <v>https://luna-dr.com/subjects/menstrual-irregularity/</v>
      </c>
    </row>
    <row r="149">
      <c r="A149" s="31" t="str">
        <f>IFERROR(__xludf.DUMMYFUNCTION("""COMPUTED_VALUE"""),"生理不順の場合、基礎体温は測った方がいいですか？")</f>
        <v>生理不順の場合、基礎体温は測った方がいいですか？</v>
      </c>
      <c r="B149" s="31" t="str">
        <f>IFERROR(__xludf.DUMMYFUNCTION("""COMPUTED_VALUE"""),"基礎体温を記録すると排卵の有無を推測できるため、可能であれば測定をおすすめします。記録があると診察がスムーズに進みます。")</f>
        <v>基礎体温を記録すると排卵の有無を推測できるため、可能であれば測定をおすすめします。記録があると診察がスムーズに進みます。</v>
      </c>
      <c r="C149" s="31" t="str">
        <f>IFERROR(__xludf.DUMMYFUNCTION("""COMPUTED_VALUE"""),"生理不順")</f>
        <v>生理不順</v>
      </c>
      <c r="D149" s="31" t="str">
        <f>IFERROR(__xludf.DUMMYFUNCTION("""COMPUTED_VALUE"""),"基礎体温,排卵,生理不順")</f>
        <v>基礎体温,排卵,生理不順</v>
      </c>
      <c r="E149" s="32" t="str">
        <f>IFERROR(__xludf.DUMMYFUNCTION("""COMPUTED_VALUE"""),"https://luna-dr.com/subjects/menstrual-irregularity/")</f>
        <v>https://luna-dr.com/subjects/menstrual-irregularity/</v>
      </c>
    </row>
    <row r="150">
      <c r="A150" s="31" t="str">
        <f>IFERROR(__xludf.DUMMYFUNCTION("""COMPUTED_VALUE"""),"生理不順は治りますか？")</f>
        <v>生理不順は治りますか？</v>
      </c>
      <c r="B150" s="31" t="str">
        <f>IFERROR(__xludf.DUMMYFUNCTION("""COMPUTED_VALUE"""),"生理不順は原因によって治療法や期間は異なりますが、多くの場合、適切な治療で改善が見込めます。まずは原因を確認することが大切です。")</f>
        <v>生理不順は原因によって治療法や期間は異なりますが、多くの場合、適切な治療で改善が見込めます。まずは原因を確認することが大切です。</v>
      </c>
      <c r="C150" s="31" t="str">
        <f>IFERROR(__xludf.DUMMYFUNCTION("""COMPUTED_VALUE"""),"生理不順")</f>
        <v>生理不順</v>
      </c>
      <c r="D150" s="31" t="str">
        <f>IFERROR(__xludf.DUMMYFUNCTION("""COMPUTED_VALUE"""),"改善,治療,生理不順")</f>
        <v>改善,治療,生理不順</v>
      </c>
      <c r="E150" s="32" t="str">
        <f>IFERROR(__xludf.DUMMYFUNCTION("""COMPUTED_VALUE"""),"https://luna-dr.com/subjects/menstrual-irregularity/")</f>
        <v>https://luna-dr.com/subjects/menstrual-irregularity/</v>
      </c>
    </row>
    <row r="151">
      <c r="A151" s="31" t="str">
        <f>IFERROR(__xludf.DUMMYFUNCTION("""COMPUTED_VALUE"""),"生理不順でも生理日をずらすことはできますか？")</f>
        <v>生理不順でも生理日をずらすことはできますか？</v>
      </c>
      <c r="B151" s="31" t="str">
        <f>IFERROR(__xludf.DUMMYFUNCTION("""COMPUTED_VALUE"""),"生理不順の方でも、ピルを使って生理日を調整する月経移動という方法があります。大切なご予定がある場合はご相談ください。")</f>
        <v>生理不順の方でも、ピルを使って生理日を調整する月経移動という方法があります。大切なご予定がある場合はご相談ください。</v>
      </c>
      <c r="C151" s="31" t="str">
        <f>IFERROR(__xludf.DUMMYFUNCTION("""COMPUTED_VALUE"""),"生理不順")</f>
        <v>生理不順</v>
      </c>
      <c r="D151" s="31" t="str">
        <f>IFERROR(__xludf.DUMMYFUNCTION("""COMPUTED_VALUE"""),"月経移動,相談,生理不順")</f>
        <v>月経移動,相談,生理不順</v>
      </c>
      <c r="E151" s="32" t="str">
        <f>IFERROR(__xludf.DUMMYFUNCTION("""COMPUTED_VALUE"""),"https://luna-dr.com/subjects/menstrual-irregularity/")</f>
        <v>https://luna-dr.com/subjects/menstrual-irregularity/</v>
      </c>
    </row>
    <row r="152">
      <c r="A152" s="31" t="str">
        <f>IFERROR(__xludf.DUMMYFUNCTION("""COMPUTED_VALUE"""),"生理不順の相談はどうやって予約すればいいですか？ /生理不順の場合はどの項目を選べばいい？/生理不順のメニュー/生理不順の予約メニュー
")</f>
        <v>生理不順の相談はどうやって予約すればいいですか？ /生理不順の場合はどの項目を選べばいい？/生理不順のメニュー/生理不順の予約メニュー
</v>
      </c>
      <c r="B152" s="31" t="str">
        <f>IFERROR(__xludf.DUMMYFUNCTION("""COMPUTED_VALUE"""),"ルナレディースクリニックでは、公式LINEから生理不順の診察予約が可能です。24時間いつでもご自身のタイミングで予約できます。
来院診療の場合は「一般婦人科診療」のメニューでご予約ください。WEB問診票に症状をご入力いただくとスムーズです。→https://cline-app.com/qr-codes/98ad6f149bfa20f4f2a9a2e91aac4187/preview
オンライン診療のご予約はこちら→https://liff-gateway.lineml.jp/landing?follow="&amp;"%40590gpxrd&amp;lp=fX73yx&amp;liff_id=1657094566-LmjNPPbV")</f>
        <v>ルナレディースクリニックでは、公式LINEから生理不順の診察予約が可能です。24時間いつでもご自身のタイミングで予約できます。
来院診療の場合は「一般婦人科診療」のメニューでご予約ください。WEB問診票に症状をご入力いただくとスムーズです。→https://cline-app.com/qr-codes/98ad6f149bfa20f4f2a9a2e91aac4187/preview
オンライン診療のご予約はこちら→https://liff-gateway.lineml.jp/landing?follow=%40590gpxrd&amp;lp=fX73yx&amp;liff_id=1657094566-LmjNPPbV</v>
      </c>
      <c r="C152" s="31" t="str">
        <f>IFERROR(__xludf.DUMMYFUNCTION("""COMPUTED_VALUE"""),"生理不順")</f>
        <v>生理不順</v>
      </c>
      <c r="D152" s="31" t="str">
        <f>IFERROR(__xludf.DUMMYFUNCTION("""COMPUTED_VALUE"""),"予約方法,LINE予約,電話予約,生理不順")</f>
        <v>予約方法,LINE予約,電話予約,生理不順</v>
      </c>
      <c r="E152" s="32" t="str">
        <f>IFERROR(__xludf.DUMMYFUNCTION("""COMPUTED_VALUE"""),"https://luna-dr.com/subjects/menstrual-irregularity/")</f>
        <v>https://luna-dr.com/subjects/menstrual-irregularity/</v>
      </c>
    </row>
    <row r="153">
      <c r="A153" s="31" t="str">
        <f>IFERROR(__xludf.DUMMYFUNCTION("""COMPUTED_VALUE"""),"生理不順はLINEから予約できますか？")</f>
        <v>生理不順はLINEから予約できますか？</v>
      </c>
      <c r="B153" s="31" t="str">
        <f>IFERROR(__xludf.DUMMYFUNCTION("""COMPUTED_VALUE"""),"ルナレディースクリニックでは、公式LINEから生理不順の診察予約が可能です。24時間いつでもご自身のタイミングで予約できます。
来院診療の場合は「一般婦人科診療」のメニューでご予約ください。WEB問診票に症状をご入力いただくとスムーズです。→https://cline-app.com/qr-codes/98ad6f149bfa20f4f2a9a2e91aac4187/preview
オンライン診療のご予約はこちら→https://liff-gateway.lineml.jp/landing?follow="&amp;"%40590gpxrd&amp;lp=fX73yx&amp;liff_id=1657094566-LmjNPPbV")</f>
        <v>ルナレディースクリニックでは、公式LINEから生理不順の診察予約が可能です。24時間いつでもご自身のタイミングで予約できます。
来院診療の場合は「一般婦人科診療」のメニューでご予約ください。WEB問診票に症状をご入力いただくとスムーズです。→https://cline-app.com/qr-codes/98ad6f149bfa20f4f2a9a2e91aac4187/preview
オンライン診療のご予約はこちら→https://liff-gateway.lineml.jp/landing?follow=%40590gpxrd&amp;lp=fX73yx&amp;liff_id=1657094566-LmjNPPbV</v>
      </c>
      <c r="C153" s="31" t="str">
        <f>IFERROR(__xludf.DUMMYFUNCTION("""COMPUTED_VALUE"""),"生理不順")</f>
        <v>生理不順</v>
      </c>
      <c r="D153" s="31" t="str">
        <f>IFERROR(__xludf.DUMMYFUNCTION("""COMPUTED_VALUE"""),"LINE予約,婦人科予約,生理不順")</f>
        <v>LINE予約,婦人科予約,生理不順</v>
      </c>
      <c r="E153" s="32" t="str">
        <f>IFERROR(__xludf.DUMMYFUNCTION("""COMPUTED_VALUE"""),"https://luna-dr.com/subjects/menstrual-irregularity/")</f>
        <v>https://luna-dr.com/subjects/menstrual-irregularity/</v>
      </c>
    </row>
    <row r="154">
      <c r="A154" s="31" t="str">
        <f>IFERROR(__xludf.DUMMYFUNCTION("""COMPUTED_VALUE"""),"生理不順は電話でも予約できますか？")</f>
        <v>生理不順は電話でも予約できますか？</v>
      </c>
      <c r="B154" s="31" t="str">
        <f>IFERROR(__xludf.DUMMYFUNCTION("""COMPUTED_VALUE"""),"LINEでの予約後、事前問診等もLINEから行うことができ、スムーズに受診ができるため、当院ではLINEでのご予約を推奨しております。
来院診療の場合は「一般婦人科診療」のメニューでご予約ください→https://cline-app.com/qr-codes/98ad6f149bfa20f4f2a9a2e91aac4187/preview
オンライン診療のご予約はこちら→https://liff-gateway.lineml.jp/landing?follow=%40590gpxrd&amp;lp=fX73yx&amp;"&amp;"liff_id=1657094566-LmjNPPbV")</f>
        <v>LINEでの予約後、事前問診等もLINEから行うことができ、スムーズに受診ができるため、当院ではLINEでのご予約を推奨しております。
来院診療の場合は「一般婦人科診療」のメニューでご予約ください→https://cline-app.com/qr-codes/98ad6f149bfa20f4f2a9a2e91aac4187/preview
オンライン診療のご予約はこちら→https://liff-gateway.lineml.jp/landing?follow=%40590gpxrd&amp;lp=fX73yx&amp;liff_id=1657094566-LmjNPPbV</v>
      </c>
      <c r="C154" s="31" t="str">
        <f>IFERROR(__xludf.DUMMYFUNCTION("""COMPUTED_VALUE"""),"生理不順")</f>
        <v>生理不順</v>
      </c>
      <c r="D154" s="31" t="str">
        <f>IFERROR(__xludf.DUMMYFUNCTION("""COMPUTED_VALUE"""),"電話予約,問い合わせ,生理不順")</f>
        <v>電話予約,問い合わせ,生理不順</v>
      </c>
      <c r="E154" s="32" t="str">
        <f>IFERROR(__xludf.DUMMYFUNCTION("""COMPUTED_VALUE"""),"https://luna-dr.com/subjects/menstrual-irregularity/")</f>
        <v>https://luna-dr.com/subjects/menstrual-irregularity/</v>
      </c>
    </row>
    <row r="155">
      <c r="A155" s="31" t="str">
        <f>IFERROR(__xludf.DUMMYFUNCTION("""COMPUTED_VALUE"""),"生理不順は予約なしでも相談できますか？")</f>
        <v>生理不順は予約なしでも相談できますか？</v>
      </c>
      <c r="B155" s="31" t="str">
        <f>IFERROR(__xludf.DUMMYFUNCTION("""COMPUTED_VALUE"""),"来院治療の場合、予約外来院も可能です。スムーズなご案内のため、事前予約をおすすめしています。")</f>
        <v>来院治療の場合、予約外来院も可能です。スムーズなご案内のため、事前予約をおすすめしています。</v>
      </c>
      <c r="C155" s="31" t="str">
        <f>IFERROR(__xludf.DUMMYFUNCTION("""COMPUTED_VALUE"""),"生理不順")</f>
        <v>生理不順</v>
      </c>
      <c r="D155" s="31" t="str">
        <f>IFERROR(__xludf.DUMMYFUNCTION("""COMPUTED_VALUE"""),"予約なし,受診,生理不順")</f>
        <v>予約なし,受診,生理不順</v>
      </c>
      <c r="E155" s="32" t="str">
        <f>IFERROR(__xludf.DUMMYFUNCTION("""COMPUTED_VALUE"""),"https://luna-dr.com/subjects/menstrual-irregularity/")</f>
        <v>https://luna-dr.com/subjects/menstrual-irregularity/</v>
      </c>
    </row>
    <row r="156">
      <c r="A156" s="31" t="str">
        <f>IFERROR(__xludf.DUMMYFUNCTION("""COMPUTED_VALUE"""),"生理不順の予約前に準備しておくことはありますか？")</f>
        <v>生理不順の予約前に準備しておくことはありますか？</v>
      </c>
      <c r="B156" s="31" t="str">
        <f>IFERROR(__xludf.DUMMYFUNCTION("""COMPUTED_VALUE"""),"ルナレディースクリニックでは、生理不順の診察前に、最終生理日やご予定日などをWEB問診にご入力いただくと、診察がスムーズに進みます。")</f>
        <v>ルナレディースクリニックでは、生理不順の診察前に、最終生理日やご予定日などをWEB問診にご入力いただくと、診察がスムーズに進みます。</v>
      </c>
      <c r="C156" s="31" t="str">
        <f>IFERROR(__xludf.DUMMYFUNCTION("""COMPUTED_VALUE"""),"生理不順")</f>
        <v>生理不順</v>
      </c>
      <c r="D156" s="31" t="str">
        <f>IFERROR(__xludf.DUMMYFUNCTION("""COMPUTED_VALUE"""),"WEB問診,事前準備,生理不順")</f>
        <v>WEB問診,事前準備,生理不順</v>
      </c>
      <c r="E156" s="32" t="str">
        <f>IFERROR(__xludf.DUMMYFUNCTION("""COMPUTED_VALUE"""),"https://luna-dr.com/subjects/menstrual-irregularity/")</f>
        <v>https://luna-dr.com/subjects/menstrual-irregularity/</v>
      </c>
    </row>
    <row r="157">
      <c r="A157" s="31" t="str">
        <f>IFERROR(__xludf.DUMMYFUNCTION("""COMPUTED_VALUE"""),"生理不順は初診でも予約できますか？")</f>
        <v>生理不順は初診でも予約できますか？</v>
      </c>
      <c r="B157" s="31" t="str">
        <f>IFERROR(__xludf.DUMMYFUNCTION("""COMPUTED_VALUE"""),"生理不順は初診の方もご予約いただけます。ご予約は公式LINEから受け付けておりますので、友だち追加の上ご利用ください。
来院診療の場合は「一般婦人科診療」のメニューでご予約ください。WEB問診票に症状をご入力いただくとスムーズです。→https://cline-app.com/qr-codes/98ad6f149bfa20f4f2a9a2e91aac4187/preview
オンライン診療のご予約はこちら→https://liff-gateway.lineml.jp/landing?follow=%405"&amp;"90gpxrd&amp;lp=fX73yx&amp;liff_id=1657094566-LmjNPPbV")</f>
        <v>生理不順は初診の方もご予約いただけます。ご予約は公式LINEから受け付けておりますので、友だち追加の上ご利用ください。
来院診療の場合は「一般婦人科診療」のメニューでご予約ください。WEB問診票に症状をご入力いただくとスムーズです。→https://cline-app.com/qr-codes/98ad6f149bfa20f4f2a9a2e91aac4187/preview
オンライン診療のご予約はこちら→https://liff-gateway.lineml.jp/landing?follow=%40590gpxrd&amp;lp=fX73yx&amp;liff_id=1657094566-LmjNPPbV</v>
      </c>
      <c r="C157" s="31" t="str">
        <f>IFERROR(__xludf.DUMMYFUNCTION("""COMPUTED_VALUE"""),"生理不順")</f>
        <v>生理不順</v>
      </c>
      <c r="D157" s="31" t="str">
        <f>IFERROR(__xludf.DUMMYFUNCTION("""COMPUTED_VALUE"""),"初診,予約,生理不順")</f>
        <v>初診,予約,生理不順</v>
      </c>
      <c r="E157" s="32" t="str">
        <f>IFERROR(__xludf.DUMMYFUNCTION("""COMPUTED_VALUE"""),"https://luna-dr.com/subjects/menstrual-irregularity/")</f>
        <v>https://luna-dr.com/subjects/menstrual-irregularity/</v>
      </c>
    </row>
    <row r="158">
      <c r="A158" s="31" t="str">
        <f>IFERROR(__xludf.DUMMYFUNCTION("""COMPUTED_VALUE"""),"生理不順は来院とオンライン、どちらで予約できますか？")</f>
        <v>生理不順は来院とオンライン、どちらで予約できますか？</v>
      </c>
      <c r="B158" s="31" t="str">
        <f>IFERROR(__xludf.DUMMYFUNCTION("""COMPUTED_VALUE"""),"ルナレディースクリニックでは、生理不順のご相談は来院診療とオンライン診療のどちらでも予約が可能です。ご自身のライフスタイルに合わせて選べます。
来院診療の場合は「一般婦人科診療」のメニューでご予約ください。WEB問診票に症状をご入力いただくとスムーズです。→https://cline-app.com/qr-codes/98ad6f149bfa20f4f2a9a2e91aac4187/preview
オンライン診療のご予約はこちら→https://liff-gateway.lineml.jp/landing"&amp;"?follow=%40590gpxrd&amp;lp=fX73yx&amp;liff_id=1657094566-LmjNPPbV")</f>
        <v>ルナレディースクリニックでは、生理不順のご相談は来院診療とオンライン診療のどちらでも予約が可能です。ご自身のライフスタイルに合わせて選べます。
来院診療の場合は「一般婦人科診療」のメニューでご予約ください。WEB問診票に症状をご入力いただくとスムーズです。→https://cline-app.com/qr-codes/98ad6f149bfa20f4f2a9a2e91aac4187/preview
オンライン診療のご予約はこちら→https://liff-gateway.lineml.jp/landing?follow=%40590gpxrd&amp;lp=fX73yx&amp;liff_id=1657094566-LmjNPPbV</v>
      </c>
      <c r="C158" s="31" t="str">
        <f>IFERROR(__xludf.DUMMYFUNCTION("""COMPUTED_VALUE"""),"生理不順")</f>
        <v>生理不順</v>
      </c>
      <c r="D158" s="31" t="str">
        <f>IFERROR(__xludf.DUMMYFUNCTION("""COMPUTED_VALUE"""),"来院診療,オンライン診療,生理不順")</f>
        <v>来院診療,オンライン診療,生理不順</v>
      </c>
      <c r="E158" s="32" t="str">
        <f>IFERROR(__xludf.DUMMYFUNCTION("""COMPUTED_VALUE"""),"https://luna-dr.com/subjects/menstrual-irregularity/")</f>
        <v>https://luna-dr.com/subjects/menstrual-irregularity/</v>
      </c>
    </row>
    <row r="159">
      <c r="A159" s="31" t="str">
        <f>IFERROR(__xludf.DUMMYFUNCTION("""COMPUTED_VALUE"""),"生理痛とは何ですか？")</f>
        <v>生理痛とは何ですか？</v>
      </c>
      <c r="B159" s="31" t="str">
        <f>IFERROR(__xludf.DUMMYFUNCTION("""COMPUTED_VALUE"""),"生理痛とは、生理の前後や生理中に下腹部や腰に痛みを感じる症状のことです。軽い不快感から、日常生活に支障をきたす強い痛みまで程度には個人差があります。大切なのは、痛みを我慢しないこと。ルナレディースクリニックでは、痛みの原因を的確に診断し、患者さまのライフスタイルに合わせた最適な治療法を一緒に考えていきます。")</f>
        <v>生理痛とは、生理の前後や生理中に下腹部や腰に痛みを感じる症状のことです。軽い不快感から、日常生活に支障をきたす強い痛みまで程度には個人差があります。大切なのは、痛みを我慢しないこと。ルナレディースクリニックでは、痛みの原因を的確に診断し、患者さまのライフスタイルに合わせた最適な治療法を一緒に考えていきます。</v>
      </c>
      <c r="C159" s="31" t="str">
        <f>IFERROR(__xludf.DUMMYFUNCTION("""COMPUTED_VALUE"""),"生理痛")</f>
        <v>生理痛</v>
      </c>
      <c r="D159" s="31" t="str">
        <f>IFERROR(__xludf.DUMMYFUNCTION("""COMPUTED_VALUE"""),"生理痛,月経痛,生理痛")</f>
        <v>生理痛,月経痛,生理痛</v>
      </c>
      <c r="E159" s="32" t="str">
        <f>IFERROR(__xludf.DUMMYFUNCTION("""COMPUTED_VALUE"""),"https://luna-dr.com/subjects/menstrual-pain/")</f>
        <v>https://luna-dr.com/subjects/menstrual-pain/</v>
      </c>
    </row>
    <row r="160">
      <c r="A160" s="31" t="str">
        <f>IFERROR(__xludf.DUMMYFUNCTION("""COMPUTED_VALUE"""),"つらい生理痛は病気ですか？")</f>
        <v>つらい生理痛は病気ですか？</v>
      </c>
      <c r="B160" s="31" t="str">
        <f>IFERROR(__xludf.DUMMYFUNCTION("""COMPUTED_VALUE"""),"日常生活に支障をきたすほどの強い生理痛は、「月経困難症」と呼ばれ、体質だけでなく病気が隠れている場合もあります。生理痛は誰にでもあるもの、と思いがちですが、放置すると悪化したり、病気の発見が遅れたりすることもあります。以下の項目に一つでも当てはまる方は、我慢せずにご相談ください。
1. 毎月、市販の痛み止めを飲まないと過ごせない
2. 痛みで仕事や学校を休んでしまうことがある
3. 年々、生理痛がひどくなっている気がする
4. 経血の量が増えてきた（レバーのような塊が出る）
5. 生理期間以外にも下腹部"&amp;"痛や腰痛がある")</f>
        <v>日常生活に支障をきたすほどの強い生理痛は、「月経困難症」と呼ばれ、体質だけでなく病気が隠れている場合もあります。生理痛は誰にでもあるもの、と思いがちですが、放置すると悪化したり、病気の発見が遅れたりすることもあります。以下の項目に一つでも当てはまる方は、我慢せずにご相談ください。
1. 毎月、市販の痛み止めを飲まないと過ごせない
2. 痛みで仕事や学校を休んでしまうことがある
3. 年々、生理痛がひどくなっている気がする
4. 経血の量が増えてきた（レバーのような塊が出る）
5. 生理期間以外にも下腹部痛や腰痛がある</v>
      </c>
      <c r="C160" s="31" t="str">
        <f>IFERROR(__xludf.DUMMYFUNCTION("""COMPUTED_VALUE"""),"生理痛")</f>
        <v>生理痛</v>
      </c>
      <c r="D160" s="31" t="str">
        <f>IFERROR(__xludf.DUMMYFUNCTION("""COMPUTED_VALUE"""),"月経困難症,病気,生理痛")</f>
        <v>月経困難症,病気,生理痛</v>
      </c>
      <c r="E160" s="32" t="str">
        <f>IFERROR(__xludf.DUMMYFUNCTION("""COMPUTED_VALUE"""),"https://luna-dr.com/subjects/menstrual-pain/")</f>
        <v>https://luna-dr.com/subjects/menstrual-pain/</v>
      </c>
    </row>
    <row r="161">
      <c r="A161" s="31" t="str">
        <f>IFERROR(__xludf.DUMMYFUNCTION("""COMPUTED_VALUE"""),"生理痛は我慢するものですか？")</f>
        <v>生理痛は我慢するものですか？</v>
      </c>
      <c r="B161" s="31" t="str">
        <f>IFERROR(__xludf.DUMMYFUNCTION("""COMPUTED_VALUE"""),"生理痛は我慢する必要はありません。痛みが強い場合は、適切な治療によって症状が軽くなる可能性があります。生理痛は誰にでもあるもの、と思いがちですが、放置すると悪化したり、病気の発見が遅れたりすることもあります。以下の項目に一つでも当てはまる方は、我慢せずにご相談ください。
1. 毎月、市販の痛み止めを飲まないと過ごせない
2. 痛みで仕事や学校を休んでしまうことがある
3. 年々、生理痛がひどくなっている気がする
4. 経血の量が増えてきた（レバーのような塊が出る）
5. 生理期間以外にも下腹部痛や腰痛が"&amp;"ある")</f>
        <v>生理痛は我慢する必要はありません。痛みが強い場合は、適切な治療によって症状が軽くなる可能性があります。生理痛は誰にでもあるもの、と思いがちですが、放置すると悪化したり、病気の発見が遅れたりすることもあります。以下の項目に一つでも当てはまる方は、我慢せずにご相談ください。
1. 毎月、市販の痛み止めを飲まないと過ごせない
2. 痛みで仕事や学校を休んでしまうことがある
3. 年々、生理痛がひどくなっている気がする
4. 経血の量が増えてきた（レバーのような塊が出る）
5. 生理期間以外にも下腹部痛や腰痛がある</v>
      </c>
      <c r="C161" s="31" t="str">
        <f>IFERROR(__xludf.DUMMYFUNCTION("""COMPUTED_VALUE"""),"生理痛")</f>
        <v>生理痛</v>
      </c>
      <c r="D161" s="31" t="str">
        <f>IFERROR(__xludf.DUMMYFUNCTION("""COMPUTED_VALUE"""),"我慢,相談,生理痛")</f>
        <v>我慢,相談,生理痛</v>
      </c>
      <c r="E161" s="32" t="str">
        <f>IFERROR(__xludf.DUMMYFUNCTION("""COMPUTED_VALUE"""),"https://luna-dr.com/subjects/menstrual-pain/")</f>
        <v>https://luna-dr.com/subjects/menstrual-pain/</v>
      </c>
    </row>
    <row r="162">
      <c r="A162" s="31" t="str">
        <f>IFERROR(__xludf.DUMMYFUNCTION("""COMPUTED_VALUE"""),"どんな生理痛が受診の目安ですか？")</f>
        <v>どんな生理痛が受診の目安ですか？</v>
      </c>
      <c r="B162" s="31" t="str">
        <f>IFERROR(__xludf.DUMMYFUNCTION("""COMPUTED_VALUE"""),"以下の項目に一つでも当てはまる方は、我慢せずにご相談ください。
1. 毎月、市販の痛み止めを飲まないと過ごせない
2. 痛みで仕事や学校を休んでしまうことがある
3. 年々、生理痛がひどくなっている気がする
4. 経血の量が増えてきた（レバーのような塊が出る）
5. 生理期間以外にも下腹部痛や腰痛がある")</f>
        <v>以下の項目に一つでも当てはまる方は、我慢せずにご相談ください。
1. 毎月、市販の痛み止めを飲まないと過ごせない
2. 痛みで仕事や学校を休んでしまうことがある
3. 年々、生理痛がひどくなっている気がする
4. 経血の量が増えてきた（レバーのような塊が出る）
5. 生理期間以外にも下腹部痛や腰痛がある</v>
      </c>
      <c r="C162" s="31" t="str">
        <f>IFERROR(__xludf.DUMMYFUNCTION("""COMPUTED_VALUE"""),"生理痛")</f>
        <v>生理痛</v>
      </c>
      <c r="D162" s="31" t="str">
        <f>IFERROR(__xludf.DUMMYFUNCTION("""COMPUTED_VALUE"""),"受診目安,チェック,生理痛")</f>
        <v>受診目安,チェック,生理痛</v>
      </c>
      <c r="E162" s="32" t="str">
        <f>IFERROR(__xludf.DUMMYFUNCTION("""COMPUTED_VALUE"""),"https://luna-dr.com/subjects/menstrual-pain/")</f>
        <v>https://luna-dr.com/subjects/menstrual-pain/</v>
      </c>
    </row>
    <row r="163">
      <c r="A163" s="31" t="str">
        <f>IFERROR(__xludf.DUMMYFUNCTION("""COMPUTED_VALUE"""),"生理痛が年々ひどくなるのは問題ですか？")</f>
        <v>生理痛が年々ひどくなるのは問題ですか？</v>
      </c>
      <c r="B163" s="31" t="str">
        <f>IFERROR(__xludf.DUMMYFUNCTION("""COMPUTED_VALUE"""),"生理痛が徐々に強くなる場合、子宮内膜症や子宮筋腫などの病気が関係している可能性があります。早めの相談が大切です。")</f>
        <v>生理痛が徐々に強くなる場合、子宮内膜症や子宮筋腫などの病気が関係している可能性があります。早めの相談が大切です。</v>
      </c>
      <c r="C163" s="31" t="str">
        <f>IFERROR(__xludf.DUMMYFUNCTION("""COMPUTED_VALUE"""),"生理痛")</f>
        <v>生理痛</v>
      </c>
      <c r="D163" s="31" t="str">
        <f>IFERROR(__xludf.DUMMYFUNCTION("""COMPUTED_VALUE"""),"悪化,原因,生理痛")</f>
        <v>悪化,原因,生理痛</v>
      </c>
      <c r="E163" s="32" t="str">
        <f>IFERROR(__xludf.DUMMYFUNCTION("""COMPUTED_VALUE"""),"https://luna-dr.com/subjects/menstrual-pain/")</f>
        <v>https://luna-dr.com/subjects/menstrual-pain/</v>
      </c>
    </row>
    <row r="164">
      <c r="A164" s="31" t="str">
        <f>IFERROR(__xludf.DUMMYFUNCTION("""COMPUTED_VALUE"""),"経血量が多いと生理痛も重くなりますか？")</f>
        <v>経血量が多いと生理痛も重くなりますか？</v>
      </c>
      <c r="B164" s="31" t="str">
        <f>IFERROR(__xludf.DUMMYFUNCTION("""COMPUTED_VALUE"""),"経血量が多い場合、生理痛が強くなることがあります。子宮の病気が隠れている可能性もあるため、相談をおすすめします。")</f>
        <v>経血量が多い場合、生理痛が強くなることがあります。子宮の病気が隠れている可能性もあるため、相談をおすすめします。</v>
      </c>
      <c r="C164" s="31" t="str">
        <f>IFERROR(__xludf.DUMMYFUNCTION("""COMPUTED_VALUE"""),"生理痛")</f>
        <v>生理痛</v>
      </c>
      <c r="D164" s="31" t="str">
        <f>IFERROR(__xludf.DUMMYFUNCTION("""COMPUTED_VALUE"""),"経血量,過多月経,生理痛")</f>
        <v>経血量,過多月経,生理痛</v>
      </c>
      <c r="E164" s="32" t="str">
        <f>IFERROR(__xludf.DUMMYFUNCTION("""COMPUTED_VALUE"""),"https://luna-dr.com/subjects/menstrual-pain/")</f>
        <v>https://luna-dr.com/subjects/menstrual-pain/</v>
      </c>
    </row>
    <row r="165">
      <c r="A165" s="31" t="str">
        <f>IFERROR(__xludf.DUMMYFUNCTION("""COMPUTED_VALUE"""),"生理痛の原因にはどんなものがありますか？")</f>
        <v>生理痛の原因にはどんなものがありますか？</v>
      </c>
      <c r="B165" s="31" t="str">
        <f>IFERROR(__xludf.DUMMYFUNCTION("""COMPUTED_VALUE"""),"生理痛は、子宮を収縮させる物質の分泌が多いことや、子宮・卵巣の病気が原因となることがあります。")</f>
        <v>生理痛は、子宮を収縮させる物質の分泌が多いことや、子宮・卵巣の病気が原因となることがあります。</v>
      </c>
      <c r="C165" s="31" t="str">
        <f>IFERROR(__xludf.DUMMYFUNCTION("""COMPUTED_VALUE"""),"生理痛")</f>
        <v>生理痛</v>
      </c>
      <c r="D165" s="31" t="str">
        <f>IFERROR(__xludf.DUMMYFUNCTION("""COMPUTED_VALUE"""),"原因,ホルモン,生理痛")</f>
        <v>原因,ホルモン,生理痛</v>
      </c>
      <c r="E165" s="32" t="str">
        <f>IFERROR(__xludf.DUMMYFUNCTION("""COMPUTED_VALUE"""),"https://luna-dr.com/subjects/menstrual-pain/")</f>
        <v>https://luna-dr.com/subjects/menstrual-pain/</v>
      </c>
    </row>
    <row r="166">
      <c r="A166" s="31" t="str">
        <f>IFERROR(__xludf.DUMMYFUNCTION("""COMPUTED_VALUE"""),"月経困難症とは何ですか？")</f>
        <v>月経困難症とは何ですか？</v>
      </c>
      <c r="B166" s="31" t="str">
        <f>IFERROR(__xludf.DUMMYFUNCTION("""COMPUTED_VALUE"""),"月経困難症とは、生理期間中に起こる強い下腹部痛や腰痛、吐き気などにより、日常生活に支障をきたす状態を指します。")</f>
        <v>月経困難症とは、生理期間中に起こる強い下腹部痛や腰痛、吐き気などにより、日常生活に支障をきたす状態を指します。</v>
      </c>
      <c r="C166" s="31" t="str">
        <f>IFERROR(__xludf.DUMMYFUNCTION("""COMPUTED_VALUE"""),"生理痛")</f>
        <v>生理痛</v>
      </c>
      <c r="D166" s="31" t="str">
        <f>IFERROR(__xludf.DUMMYFUNCTION("""COMPUTED_VALUE"""),"月経困難症,定義,生理痛")</f>
        <v>月経困難症,定義,生理痛</v>
      </c>
      <c r="E166" s="32" t="str">
        <f>IFERROR(__xludf.DUMMYFUNCTION("""COMPUTED_VALUE"""),"https://luna-dr.com/subjects/menstrual-pain/")</f>
        <v>https://luna-dr.com/subjects/menstrual-pain/</v>
      </c>
    </row>
    <row r="167">
      <c r="A167" s="31" t="str">
        <f>IFERROR(__xludf.DUMMYFUNCTION("""COMPUTED_VALUE"""),"月経困難症には種類がありますか？")</f>
        <v>月経困難症には種類がありますか？</v>
      </c>
      <c r="B167" s="31" t="str">
        <f>IFERROR(__xludf.DUMMYFUNCTION("""COMPUTED_VALUE"""),"月経困難症には、病気が原因ではない「機能性月経困難症」と、子宮内膜症や子宮筋腫などが原因の「器質性月経困難症」があります。当院では、患者様一人ひとりの症状や原因、ライフプランに合わせて、様々な治療法をご提案しています。")</f>
        <v>月経困難症には、病気が原因ではない「機能性月経困難症」と、子宮内膜症や子宮筋腫などが原因の「器質性月経困難症」があります。当院では、患者様一人ひとりの症状や原因、ライフプランに合わせて、様々な治療法をご提案しています。</v>
      </c>
      <c r="C167" s="31" t="str">
        <f>IFERROR(__xludf.DUMMYFUNCTION("""COMPUTED_VALUE"""),"生理痛")</f>
        <v>生理痛</v>
      </c>
      <c r="D167" s="31" t="str">
        <f>IFERROR(__xludf.DUMMYFUNCTION("""COMPUTED_VALUE"""),"種類,機能性,器質性,生理痛")</f>
        <v>種類,機能性,器質性,生理痛</v>
      </c>
      <c r="E167" s="32" t="str">
        <f>IFERROR(__xludf.DUMMYFUNCTION("""COMPUTED_VALUE"""),"https://luna-dr.com/subjects/menstrual-pain/")</f>
        <v>https://luna-dr.com/subjects/menstrual-pain/</v>
      </c>
    </row>
    <row r="168">
      <c r="A168" s="31" t="str">
        <f>IFERROR(__xludf.DUMMYFUNCTION("""COMPUTED_VALUE"""),"子宮内膜症は生理痛の原因になりますか？")</f>
        <v>子宮内膜症は生理痛の原因になりますか？</v>
      </c>
      <c r="B168" s="31" t="str">
        <f>IFERROR(__xludf.DUMMYFUNCTION("""COMPUTED_VALUE"""),"子宮内膜症は強い生理痛や慢性的な下腹部痛の原因となることがあります。")</f>
        <v>子宮内膜症は強い生理痛や慢性的な下腹部痛の原因となることがあります。</v>
      </c>
      <c r="C168" s="31" t="str">
        <f>IFERROR(__xludf.DUMMYFUNCTION("""COMPUTED_VALUE"""),"生理痛")</f>
        <v>生理痛</v>
      </c>
      <c r="D168" s="31" t="str">
        <f>IFERROR(__xludf.DUMMYFUNCTION("""COMPUTED_VALUE"""),"子宮内膜症,原因,生理痛")</f>
        <v>子宮内膜症,原因,生理痛</v>
      </c>
      <c r="E168" s="32" t="str">
        <f>IFERROR(__xludf.DUMMYFUNCTION("""COMPUTED_VALUE"""),"https://luna-dr.com/subjects/menstrual-pain/")</f>
        <v>https://luna-dr.com/subjects/menstrual-pain/</v>
      </c>
    </row>
    <row r="169">
      <c r="A169" s="31" t="str">
        <f>IFERROR(__xludf.DUMMYFUNCTION("""COMPUTED_VALUE"""),"生理痛の診察ではどんな検査をしますか？")</f>
        <v>生理痛の診察ではどんな検査をしますか？</v>
      </c>
      <c r="B169" s="31" t="str">
        <f>IFERROR(__xludf.DUMMYFUNCTION("""COMPUTED_VALUE"""),"ルナレディースクリニックでは、生理痛の診察で必要に応じて超音波（エコー）検査を行い、子宮や卵巣の状態を確認します。")</f>
        <v>ルナレディースクリニックでは、生理痛の診察で必要に応じて超音波（エコー）検査を行い、子宮や卵巣の状態を確認します。</v>
      </c>
      <c r="C169" s="31" t="str">
        <f>IFERROR(__xludf.DUMMYFUNCTION("""COMPUTED_VALUE"""),"生理痛")</f>
        <v>生理痛</v>
      </c>
      <c r="D169" s="31" t="str">
        <f>IFERROR(__xludf.DUMMYFUNCTION("""COMPUTED_VALUE"""),"検査,エコー,生理痛")</f>
        <v>検査,エコー,生理痛</v>
      </c>
      <c r="E169" s="32" t="str">
        <f>IFERROR(__xludf.DUMMYFUNCTION("""COMPUTED_VALUE"""),"https://luna-dr.com/subjects/menstrual-pain/")</f>
        <v>https://luna-dr.com/subjects/menstrual-pain/</v>
      </c>
    </row>
    <row r="170">
      <c r="A170" s="31" t="str">
        <f>IFERROR(__xludf.DUMMYFUNCTION("""COMPUTED_VALUE"""),"生理痛の治療にはどんな方法がありますか？")</f>
        <v>生理痛の治療にはどんな方法がありますか？</v>
      </c>
      <c r="B170" s="31" t="str">
        <f>IFERROR(__xludf.DUMMYFUNCTION("""COMPUTED_VALUE"""),"生理痛の治療には、鎮痛剤、低用量ピル、漢方薬などがあります。ルナレディースクリニックでは、痛みの原因を的確に診断し、患者さまのライフスタイルに合わせた最適な治療法を一緒に考えていきます。")</f>
        <v>生理痛の治療には、鎮痛剤、低用量ピル、漢方薬などがあります。ルナレディースクリニックでは、痛みの原因を的確に診断し、患者さまのライフスタイルに合わせた最適な治療法を一緒に考えていきます。</v>
      </c>
      <c r="C170" s="31" t="str">
        <f>IFERROR(__xludf.DUMMYFUNCTION("""COMPUTED_VALUE"""),"生理痛")</f>
        <v>生理痛</v>
      </c>
      <c r="D170" s="31" t="str">
        <f>IFERROR(__xludf.DUMMYFUNCTION("""COMPUTED_VALUE"""),"治療方法,ピル,漢方,生理痛")</f>
        <v>治療方法,ピル,漢方,生理痛</v>
      </c>
      <c r="E170" s="32" t="str">
        <f>IFERROR(__xludf.DUMMYFUNCTION("""COMPUTED_VALUE"""),"https://luna-dr.com/subjects/menstrual-pain/")</f>
        <v>https://luna-dr.com/subjects/menstrual-pain/</v>
      </c>
    </row>
    <row r="171">
      <c r="A171" s="31" t="str">
        <f>IFERROR(__xludf.DUMMYFUNCTION("""COMPUTED_VALUE"""),"鎮痛剤とは？/NSAIDsとは？")</f>
        <v>鎮痛剤とは？/NSAIDsとは？</v>
      </c>
      <c r="B171" s="31" t="str">
        <f>IFERROR(__xludf.DUMMYFUNCTION("""COMPUTED_VALUE"""),"痛みの原因物質「プロスタグランジン」が作られるのを抑えるお薬です。ルナレディースクリニックでは、市販薬よりも効果の高いものを処方できます。")</f>
        <v>痛みの原因物質「プロスタグランジン」が作られるのを抑えるお薬です。ルナレディースクリニックでは、市販薬よりも効果の高いものを処方できます。</v>
      </c>
      <c r="C171" s="31" t="str">
        <f>IFERROR(__xludf.DUMMYFUNCTION("""COMPUTED_VALUE"""),"生理痛")</f>
        <v>生理痛</v>
      </c>
      <c r="D171" s="31" t="str">
        <f>IFERROR(__xludf.DUMMYFUNCTION("""COMPUTED_VALUE"""),"生理痛,鎮痛剤,NSAIDs,処方,生理痛")</f>
        <v>生理痛,鎮痛剤,NSAIDs,処方,生理痛</v>
      </c>
      <c r="E171" s="32" t="str">
        <f>IFERROR(__xludf.DUMMYFUNCTION("""COMPUTED_VALUE"""),"https://luna-dr.com/subjects/menstrual-pain/")</f>
        <v>https://luna-dr.com/subjects/menstrual-pain/</v>
      </c>
    </row>
    <row r="172">
      <c r="A172" s="31" t="str">
        <f>IFERROR(__xludf.DUMMYFUNCTION("""COMPUTED_VALUE"""),"鎮痛剤はいつ飲むのが効果的ですか？")</f>
        <v>鎮痛剤はいつ飲むのが効果的ですか？</v>
      </c>
      <c r="B172" s="31" t="str">
        <f>IFERROR(__xludf.DUMMYFUNCTION("""COMPUTED_VALUE"""),"鎮痛剤は、痛みが強くなる前や「痛くなりそう」と感じた初期の段階で服用すると効果的です。")</f>
        <v>鎮痛剤は、痛みが強くなる前や「痛くなりそう」と感じた初期の段階で服用すると効果的です。</v>
      </c>
      <c r="C172" s="31" t="str">
        <f>IFERROR(__xludf.DUMMYFUNCTION("""COMPUTED_VALUE"""),"生理痛")</f>
        <v>生理痛</v>
      </c>
      <c r="D172" s="31" t="str">
        <f>IFERROR(__xludf.DUMMYFUNCTION("""COMPUTED_VALUE"""),"鎮痛剤,飲むタイミング,生理痛")</f>
        <v>鎮痛剤,飲むタイミング,生理痛</v>
      </c>
      <c r="E172" s="32" t="str">
        <f>IFERROR(__xludf.DUMMYFUNCTION("""COMPUTED_VALUE"""),"https://luna-dr.com/subjects/menstrual-pain/")</f>
        <v>https://luna-dr.com/subjects/menstrual-pain/</v>
      </c>
    </row>
    <row r="173">
      <c r="A173" s="31" t="str">
        <f>IFERROR(__xludf.DUMMYFUNCTION("""COMPUTED_VALUE"""),"低用量ピルとは？/超低用量ピルとは？LEPとは？")</f>
        <v>低用量ピルとは？/超低用量ピルとは？LEPとは？</v>
      </c>
      <c r="B173" s="31" t="str">
        <f>IFERROR(__xludf.DUMMYFUNCTION("""COMPUTED_VALUE"""),"低用量ピルとは、毎日1錠ずつ服用して生理周期を安定させるお薬です。
排卵を抑え、子宮内膜が厚くなるのを根本から抑えることで、プロスタグランジンの産生を減らし、生理痛を劇的に改善します。経血量が減る、月経不順やPMS（月経前症候群）も改善するといった多くの良い副効用があります。
大きく2種類に分けることができます。
OC（自費ピル）：主に避妊に効果があり、個人差はありますが、ニキビ、生理痛、PMSにも効果が期待できます。
LEP（保険適用もあり）：月経困難症・子宮内膜症の治療")</f>
        <v>低用量ピルとは、毎日1錠ずつ服用して生理周期を安定させるお薬です。
排卵を抑え、子宮内膜が厚くなるのを根本から抑えることで、プロスタグランジンの産生を減らし、生理痛を劇的に改善します。経血量が減る、月経不順やPMS（月経前症候群）も改善するといった多くの良い副効用があります。
大きく2種類に分けることができます。
OC（自費ピル）：主に避妊に効果があり、個人差はありますが、ニキビ、生理痛、PMSにも効果が期待できます。
LEP（保険適用もあり）：月経困難症・子宮内膜症の治療</v>
      </c>
      <c r="C173" s="31" t="str">
        <f>IFERROR(__xludf.DUMMYFUNCTION("""COMPUTED_VALUE"""),"生理痛")</f>
        <v>生理痛</v>
      </c>
      <c r="D173" s="31" t="str">
        <f>IFERROR(__xludf.DUMMYFUNCTION("""COMPUTED_VALUE"""),"低用量,超低用量ピル,LEP,生理痛")</f>
        <v>低用量,超低用量ピル,LEP,生理痛</v>
      </c>
      <c r="E173" s="32" t="str">
        <f>IFERROR(__xludf.DUMMYFUNCTION("""COMPUTED_VALUE"""),"https://luna-dr.com/subjects/menstrual-pain/")</f>
        <v>https://luna-dr.com/subjects/menstrual-pain/</v>
      </c>
    </row>
    <row r="174">
      <c r="A174" s="31" t="str">
        <f>IFERROR(__xludf.DUMMYFUNCTION("""COMPUTED_VALUE"""),"ピルは生理痛に効果がありますか？")</f>
        <v>ピルは生理痛に効果がありますか？</v>
      </c>
      <c r="B174" s="31" t="str">
        <f>IFERROR(__xludf.DUMMYFUNCTION("""COMPUTED_VALUE"""),"低用量ピルは排卵を抑え、子宮内膜が厚くなるのを根本から抑えることで、プロスタグランジンの産生を減らし、生理痛を劇的に改善します。経血量が減る、月経不順やPMS（月経前症候群）も改善するといった多くの良い副効用があります。
保険適用で治療でき、中には生理の回数を年4回まで減らせるタイプのピルもあります。")</f>
        <v>低用量ピルは排卵を抑え、子宮内膜が厚くなるのを根本から抑えることで、プロスタグランジンの産生を減らし、生理痛を劇的に改善します。経血量が減る、月経不順やPMS（月経前症候群）も改善するといった多くの良い副効用があります。
保険適用で治療でき、中には生理の回数を年4回まで減らせるタイプのピルもあります。</v>
      </c>
      <c r="C174" s="31" t="str">
        <f>IFERROR(__xludf.DUMMYFUNCTION("""COMPUTED_VALUE"""),"生理痛")</f>
        <v>生理痛</v>
      </c>
      <c r="D174" s="31" t="str">
        <f>IFERROR(__xludf.DUMMYFUNCTION("""COMPUTED_VALUE"""),"低用量ピル,効果,生理痛")</f>
        <v>低用量ピル,効果,生理痛</v>
      </c>
      <c r="E174" s="32" t="str">
        <f>IFERROR(__xludf.DUMMYFUNCTION("""COMPUTED_VALUE"""),"https://luna-dr.com/subjects/menstrual-pain/")</f>
        <v>https://luna-dr.com/subjects/menstrual-pain/</v>
      </c>
    </row>
    <row r="175">
      <c r="A175" s="31" t="str">
        <f>IFERROR(__xludf.DUMMYFUNCTION("""COMPUTED_VALUE"""),"漢方薬で生理痛は改善しますか？")</f>
        <v>漢方薬で生理痛は改善しますか？</v>
      </c>
      <c r="B175" s="31" t="str">
        <f>IFERROR(__xludf.DUMMYFUNCTION("""COMPUTED_VALUE"""),"漢方薬は体質改善を目的とした治療で、生理痛の緩和につながる場合があります。ピルに抵抗がある方にも選択肢となります。")</f>
        <v>漢方薬は体質改善を目的とした治療で、生理痛の緩和につながる場合があります。ピルに抵抗がある方にも選択肢となります。</v>
      </c>
      <c r="C175" s="31" t="str">
        <f>IFERROR(__xludf.DUMMYFUNCTION("""COMPUTED_VALUE"""),"生理痛")</f>
        <v>生理痛</v>
      </c>
      <c r="D175" s="31" t="str">
        <f>IFERROR(__xludf.DUMMYFUNCTION("""COMPUTED_VALUE"""),"漢方薬,体質改善,生理痛")</f>
        <v>漢方薬,体質改善,生理痛</v>
      </c>
      <c r="E175" s="32" t="str">
        <f>IFERROR(__xludf.DUMMYFUNCTION("""COMPUTED_VALUE"""),"https://luna-dr.com/subjects/menstrual-pain/")</f>
        <v>https://luna-dr.com/subjects/menstrual-pain/</v>
      </c>
    </row>
    <row r="176">
      <c r="A176" s="31" t="str">
        <f>IFERROR(__xludf.DUMMYFUNCTION("""COMPUTED_VALUE"""),"生理痛の診察・検査の流れを教えてください")</f>
        <v>生理痛の診察・検査の流れを教えてください</v>
      </c>
      <c r="B176" s="31" t="str">
        <f>IFERROR(__xludf.DUMMYFUNCTION("""COMPUTED_VALUE"""),"ルナレディースクリニックでは、生理痛の診察は以下の流れで行っています。まず、公式LINEからご予約いただき、来院前にWEB問診で痛みの程度や始まった時期、月経周期などをご入力いただきます。次に、診察では医師が問診内容をもとに痛みの特徴や妊娠のご希望の有無などを確認し、必要な検査についてご説明します。病気が隠れている可能性がある場合は、超音波（エコー）検査で子宮や卵巣の状態を確認します。その後、診察・検査結果をもとに、症状やライフスタイルに合わせた治療方針をご提案し、ご納得いただいたうえで治療を開始します。")</f>
        <v>ルナレディースクリニックでは、生理痛の診察は以下の流れで行っています。まず、公式LINEからご予約いただき、来院前にWEB問診で痛みの程度や始まった時期、月経周期などをご入力いただきます。次に、診察では医師が問診内容をもとに痛みの特徴や妊娠のご希望の有無などを確認し、必要な検査についてご説明します。病気が隠れている可能性がある場合は、超音波（エコー）検査で子宮や卵巣の状態を確認します。その後、診察・検査結果をもとに、症状やライフスタイルに合わせた治療方針をご提案し、ご納得いただいたうえで治療を開始します。</v>
      </c>
      <c r="C176" s="31" t="str">
        <f>IFERROR(__xludf.DUMMYFUNCTION("""COMPUTED_VALUE"""),"生理痛")</f>
        <v>生理痛</v>
      </c>
      <c r="D176" s="31" t="str">
        <f>IFERROR(__xludf.DUMMYFUNCTION("""COMPUTED_VALUE"""),"診察の流れ,検査,エコー,治療,生理痛")</f>
        <v>診察の流れ,検査,エコー,治療,生理痛</v>
      </c>
      <c r="E176" s="32" t="str">
        <f>IFERROR(__xludf.DUMMYFUNCTION("""COMPUTED_VALUE"""),"https://luna-dr.com/subjects/menstrual-pain/")</f>
        <v>https://luna-dr.com/subjects/menstrual-pain/</v>
      </c>
    </row>
    <row r="177">
      <c r="A177" s="31" t="str">
        <f>IFERROR(__xludf.DUMMYFUNCTION("""COMPUTED_VALUE"""),"低用量ピルは初診からオンライン診療で処方できますか？")</f>
        <v>低用量ピルは初診からオンライン診療で処方できますか？</v>
      </c>
      <c r="B177" s="31" t="str">
        <f>IFERROR(__xludf.DUMMYFUNCTION("""COMPUTED_VALUE"""),"治療目的での初回処方は症状の診察や検査が必要なため、必ず【来院】での診療予約をお願いいたします。
※避妊目的の低用量ピル（OC）の場合は来院診療・オンライン診療のどちらも選択可能です。")</f>
        <v>治療目的での初回処方は症状の診察や検査が必要なため、必ず【来院】での診療予約をお願いいたします。
※避妊目的の低用量ピル（OC）の場合は来院診療・オンライン診療のどちらも選択可能です。</v>
      </c>
      <c r="C177" s="31" t="str">
        <f>IFERROR(__xludf.DUMMYFUNCTION("""COMPUTED_VALUE"""),"低用量ピル")</f>
        <v>低用量ピル</v>
      </c>
      <c r="D177" s="31" t="str">
        <f>IFERROR(__xludf.DUMMYFUNCTION("""COMPUTED_VALUE"""),"初診,来院診療,検査,生理痛")</f>
        <v>初診,来院診療,検査,生理痛</v>
      </c>
      <c r="E177" s="32" t="str">
        <f>IFERROR(__xludf.DUMMYFUNCTION("""COMPUTED_VALUE"""),"https://luna-dr.com/subjects/low-dose-pill/")</f>
        <v>https://luna-dr.com/subjects/low-dose-pill/</v>
      </c>
    </row>
    <row r="178">
      <c r="A178" s="31" t="str">
        <f>IFERROR(__xludf.DUMMYFUNCTION("""COMPUTED_VALUE"""),"アフターピルは初診でもオンライン診療を利用できますか？")</f>
        <v>アフターピルは初診でもオンライン診療を利用できますか？</v>
      </c>
      <c r="B178" s="31" t="str">
        <f>IFERROR(__xludf.DUMMYFUNCTION("""COMPUTED_VALUE"""),"アフターピルは初診の方でもオンライン診療をご利用いただけます。来院せずにご相談・処方が可能です。")</f>
        <v>アフターピルは初診の方でもオンライン診療をご利用いただけます。来院せずにご相談・処方が可能です。</v>
      </c>
      <c r="C178" s="31" t="str">
        <f>IFERROR(__xludf.DUMMYFUNCTION("""COMPUTED_VALUE"""),"アフターピル")</f>
        <v>アフターピル</v>
      </c>
      <c r="D178" s="31" t="str">
        <f>IFERROR(__xludf.DUMMYFUNCTION("""COMPUTED_VALUE"""),"初診,オンライン診療,緊急避妊")</f>
        <v>初診,オンライン診療,緊急避妊</v>
      </c>
      <c r="E178" s="32" t="str">
        <f>IFERROR(__xludf.DUMMYFUNCTION("""COMPUTED_VALUE"""),"https://luna-dr.com/subjects/after-pill/")</f>
        <v>https://luna-dr.com/subjects/after-pill/</v>
      </c>
    </row>
    <row r="179">
      <c r="A179" s="31" t="str">
        <f>IFERROR(__xludf.DUMMYFUNCTION("""COMPUTED_VALUE"""),"低用量ピルとアフターピルで診療方法が違うのはなぜですか？")</f>
        <v>低用量ピルとアフターピルで診療方法が違うのはなぜですか？</v>
      </c>
      <c r="B179" s="31" t="str">
        <f>IFERROR(__xludf.DUMMYFUNCTION("""COMPUTED_VALUE"""),"ルナレディースクリニックでは、安全に治療を行うため、薬の目的や性質に応じて診療方法を分けています。アフターピルは緊急性を考慮し初診からオンライン診療に対応していますが、低用量ピルの治療目的での初回処方は検査が必要なため来院診療をご案内しています。")</f>
        <v>ルナレディースクリニックでは、安全に治療を行うため、薬の目的や性質に応じて診療方法を分けています。アフターピルは緊急性を考慮し初診からオンライン診療に対応していますが、低用量ピルの治療目的での初回処方は検査が必要なため来院診療をご案内しています。</v>
      </c>
      <c r="C179" s="31" t="str">
        <f>IFERROR(__xludf.DUMMYFUNCTION("""COMPUTED_VALUE"""),"ピル共通")</f>
        <v>ピル共通</v>
      </c>
      <c r="D179" s="31" t="str">
        <f>IFERROR(__xludf.DUMMYFUNCTION("""COMPUTED_VALUE"""),"診療方法,オンライン,来院")</f>
        <v>診療方法,オンライン,来院</v>
      </c>
      <c r="E179" s="32" t="str">
        <f>IFERROR(__xludf.DUMMYFUNCTION("""COMPUTED_VALUE"""),"https://luna-dr.com/")</f>
        <v>https://luna-dr.com/</v>
      </c>
    </row>
    <row r="180">
      <c r="A180" s="31" t="str">
        <f>IFERROR(__xludf.DUMMYFUNCTION("""COMPUTED_VALUE"""),"生理痛の診察や検査はオンラインでも受けられますか？")</f>
        <v>生理痛の診察や検査はオンラインでも受けられますか？</v>
      </c>
      <c r="B180" s="31" t="str">
        <f>IFERROR(__xludf.DUMMYFUNCTION("""COMPUTED_VALUE"""),"治療目的での初回処方は検査が必要なため【来院診療】となります。2回目以降はオンライン診療でピルの処方が可能です。")</f>
        <v>治療目的での初回処方は検査が必要なため【来院診療】となります。2回目以降はオンライン診療でピルの処方が可能です。</v>
      </c>
      <c r="C180" s="31" t="str">
        <f>IFERROR(__xludf.DUMMYFUNCTION("""COMPUTED_VALUE"""),"生理痛")</f>
        <v>生理痛</v>
      </c>
      <c r="D180" s="31" t="str">
        <f>IFERROR(__xludf.DUMMYFUNCTION("""COMPUTED_VALUE"""),"オンライン診療,検査,来院診療")</f>
        <v>オンライン診療,検査,来院診療</v>
      </c>
      <c r="E180" s="32" t="str">
        <f>IFERROR(__xludf.DUMMYFUNCTION("""COMPUTED_VALUE"""),"https://luna-dr.com/subjects/menstrual-pain/")</f>
        <v>https://luna-dr.com/subjects/menstrual-pain/</v>
      </c>
    </row>
    <row r="181">
      <c r="A181" s="31" t="str">
        <f>IFERROR(__xludf.DUMMYFUNCTION("""COMPUTED_VALUE"""),"生理痛の診察は保険適用ですか？")</f>
        <v>生理痛の診察は保険適用ですか？</v>
      </c>
      <c r="B181" s="31" t="str">
        <f>IFERROR(__xludf.DUMMYFUNCTION("""COMPUTED_VALUE"""),"ルナレディースクリニックでは、生理痛の診察や治療は保険診療を基本としています。")</f>
        <v>ルナレディースクリニックでは、生理痛の診察や治療は保険診療を基本としています。</v>
      </c>
      <c r="C181" s="31" t="str">
        <f>IFERROR(__xludf.DUMMYFUNCTION("""COMPUTED_VALUE"""),"生理痛")</f>
        <v>生理痛</v>
      </c>
      <c r="D181" s="31" t="str">
        <f>IFERROR(__xludf.DUMMYFUNCTION("""COMPUTED_VALUE"""),"保険診療,費用,生理痛")</f>
        <v>保険診療,費用,生理痛</v>
      </c>
      <c r="E181" s="32" t="str">
        <f>IFERROR(__xludf.DUMMYFUNCTION("""COMPUTED_VALUE"""),"https://luna-dr.com/subjects/menstrual-pain/")</f>
        <v>https://luna-dr.com/subjects/menstrual-pain/</v>
      </c>
    </row>
    <row r="182">
      <c r="A182" s="31" t="str">
        <f>IFERROR(__xludf.DUMMYFUNCTION("""COMPUTED_VALUE"""),"生理痛の検査や治療の費用はいくらくらいですか？")</f>
        <v>生理痛の検査や治療の費用はいくらくらいですか？</v>
      </c>
      <c r="B182" s="31" t="str">
        <f>IFERROR(__xludf.DUMMYFUNCTION("""COMPUTED_VALUE"""),"子宮の超音波検査は約1,600円、鎮痛剤処方は約400円、保険適用ピル処方は約2,700円が目安です。別途初診料・再診料がかかります。")</f>
        <v>子宮の超音波検査は約1,600円、鎮痛剤処方は約400円、保険適用ピル処方は約2,700円が目安です。別途初診料・再診料がかかります。</v>
      </c>
      <c r="C182" s="31" t="str">
        <f>IFERROR(__xludf.DUMMYFUNCTION("""COMPUTED_VALUE"""),"生理痛")</f>
        <v>生理痛</v>
      </c>
      <c r="D182" s="31" t="str">
        <f>IFERROR(__xludf.DUMMYFUNCTION("""COMPUTED_VALUE"""),"料金,費用目安,生理痛")</f>
        <v>料金,費用目安,生理痛</v>
      </c>
      <c r="E182" s="32" t="str">
        <f>IFERROR(__xludf.DUMMYFUNCTION("""COMPUTED_VALUE"""),"https://luna-dr.com/subjects/menstrual-pain/")</f>
        <v>https://luna-dr.com/subjects/menstrual-pain/</v>
      </c>
    </row>
    <row r="183">
      <c r="A183" s="31" t="str">
        <f>IFERROR(__xludf.DUMMYFUNCTION("""COMPUTED_VALUE"""),"生理痛と生理不順は関係がありますか？")</f>
        <v>生理痛と生理不順は関係がありますか？</v>
      </c>
      <c r="B183" s="31" t="str">
        <f>IFERROR(__xludf.DUMMYFUNCTION("""COMPUTED_VALUE"""),"ホルモンバランスの乱れにより、生理不順と生理痛が同時に起こることがあります。気になる場合は相談をおすすめします。")</f>
        <v>ホルモンバランスの乱れにより、生理不順と生理痛が同時に起こることがあります。気になる場合は相談をおすすめします。</v>
      </c>
      <c r="C183" s="31" t="str">
        <f>IFERROR(__xludf.DUMMYFUNCTION("""COMPUTED_VALUE"""),"生理痛")</f>
        <v>生理痛</v>
      </c>
      <c r="D183" s="31" t="str">
        <f>IFERROR(__xludf.DUMMYFUNCTION("""COMPUTED_VALUE"""),"生理不順,ホルモン,生理痛")</f>
        <v>生理不順,ホルモン,生理痛</v>
      </c>
      <c r="E183" s="32" t="str">
        <f>IFERROR(__xludf.DUMMYFUNCTION("""COMPUTED_VALUE"""),"https://luna-dr.com/subjects/menstrual-pain/")</f>
        <v>https://luna-dr.com/subjects/menstrual-pain/</v>
      </c>
    </row>
    <row r="184">
      <c r="A184" s="31" t="str">
        <f>IFERROR(__xludf.DUMMYFUNCTION("""COMPUTED_VALUE"""),"生理痛がある場合、生理日をずらすことはできますか？")</f>
        <v>生理痛がある場合、生理日をずらすことはできますか？</v>
      </c>
      <c r="B184" s="31" t="str">
        <f>IFERROR(__xludf.DUMMYFUNCTION("""COMPUTED_VALUE"""),"生理痛がつらい場合、ピルを使って生理日を調整する月経移動という方法があります。ご予定がある場合はご相談ください。")</f>
        <v>生理痛がつらい場合、ピルを使って生理日を調整する月経移動という方法があります。ご予定がある場合はご相談ください。</v>
      </c>
      <c r="C184" s="31" t="str">
        <f>IFERROR(__xludf.DUMMYFUNCTION("""COMPUTED_VALUE"""),"生理痛")</f>
        <v>生理痛</v>
      </c>
      <c r="D184" s="31" t="str">
        <f>IFERROR(__xludf.DUMMYFUNCTION("""COMPUTED_VALUE"""),"月経移動,相談,生理痛")</f>
        <v>月経移動,相談,生理痛</v>
      </c>
      <c r="E184" s="32" t="str">
        <f>IFERROR(__xludf.DUMMYFUNCTION("""COMPUTED_VALUE"""),"https://luna-dr.com/subjects/menstrual-pain/")</f>
        <v>https://luna-dr.com/subjects/menstrual-pain/</v>
      </c>
    </row>
    <row r="185">
      <c r="A185" s="31" t="str">
        <f>IFERROR(__xludf.DUMMYFUNCTION("""COMPUTED_VALUE"""),"生理痛の相談はどうやって予約すればいいですか？")</f>
        <v>生理痛の相談はどうやって予約すればいいですか？</v>
      </c>
      <c r="B185" s="31" t="str">
        <f>IFERROR(__xludf.DUMMYFUNCTION("""COMPUTED_VALUE"""),"ルナレディースクリニックでは、公式LINEから生理痛の診察予約が可能です。24時間いつでもご自身のタイミングで予約できます。
来院診療の場合は「一般婦人科診療」のメニューでご予約ください。WEB問診票に症状をご入力いただくとスムーズです。→https://cline-app.com/qr-codes/98ad6f149bfa20f4f2a9a2e91aac4187/preview
オンライン診療のご予約はこちら→https://liff-gateway.lineml.jp/landing?follow=%"&amp;"40590gpxrd&amp;lp=fX73yx&amp;liff_id=1657094566-LmjNPPbV")</f>
        <v>ルナレディースクリニックでは、公式LINEから生理痛の診察予約が可能です。24時間いつでもご自身のタイミングで予約できます。
来院診療の場合は「一般婦人科診療」のメニューでご予約ください。WEB問診票に症状をご入力いただくとスムーズです。→https://cline-app.com/qr-codes/98ad6f149bfa20f4f2a9a2e91aac4187/preview
オンライン診療のご予約はこちら→https://liff-gateway.lineml.jp/landing?follow=%40590gpxrd&amp;lp=fX73yx&amp;liff_id=1657094566-LmjNPPbV</v>
      </c>
      <c r="C185" s="31" t="str">
        <f>IFERROR(__xludf.DUMMYFUNCTION("""COMPUTED_VALUE"""),"生理痛")</f>
        <v>生理痛</v>
      </c>
      <c r="D185" s="31" t="str">
        <f>IFERROR(__xludf.DUMMYFUNCTION("""COMPUTED_VALUE"""),"予約方法,LINE予約,電話予約,生理痛")</f>
        <v>予約方法,LINE予約,電話予約,生理痛</v>
      </c>
      <c r="E185" s="32" t="str">
        <f>IFERROR(__xludf.DUMMYFUNCTION("""COMPUTED_VALUE"""),"https://luna-dr.com/subjects/menstrual-pain/")</f>
        <v>https://luna-dr.com/subjects/menstrual-pain/</v>
      </c>
    </row>
    <row r="186">
      <c r="A186" s="31" t="str">
        <f>IFERROR(__xludf.DUMMYFUNCTION("""COMPUTED_VALUE"""),"生理痛はLINEから予約できますか？")</f>
        <v>生理痛はLINEから予約できますか？</v>
      </c>
      <c r="B186" s="31" t="str">
        <f>IFERROR(__xludf.DUMMYFUNCTION("""COMPUTED_VALUE"""),"ルナレディースクリニックでは、公式LINEから生理痛の診察予約が可能です。24時間いつでもご自身のタイミングで予約できます。
来院診療の場合は「一般婦人科診療」のメニューでご予約ください。WEB問診票に症状をご入力いただくとスムーズです。→https://cline-app.com/qr-codes/98ad6f149bfa20f4f2a9a2e91aac4187/preview
オンライン診療のご予約はこちら→https://liff-gateway.lineml.jp/landing?follow=%"&amp;"40590gpxrd&amp;lp=fX73yx&amp;liff_id=1657094566-LmjNPPbV")</f>
        <v>ルナレディースクリニックでは、公式LINEから生理痛の診察予約が可能です。24時間いつでもご自身のタイミングで予約できます。
来院診療の場合は「一般婦人科診療」のメニューでご予約ください。WEB問診票に症状をご入力いただくとスムーズです。→https://cline-app.com/qr-codes/98ad6f149bfa20f4f2a9a2e91aac4187/preview
オンライン診療のご予約はこちら→https://liff-gateway.lineml.jp/landing?follow=%40590gpxrd&amp;lp=fX73yx&amp;liff_id=1657094566-LmjNPPbV</v>
      </c>
      <c r="C186" s="31" t="str">
        <f>IFERROR(__xludf.DUMMYFUNCTION("""COMPUTED_VALUE"""),"生理痛")</f>
        <v>生理痛</v>
      </c>
      <c r="D186" s="31" t="str">
        <f>IFERROR(__xludf.DUMMYFUNCTION("""COMPUTED_VALUE"""),"LINE予約,婦人科予約,生理痛")</f>
        <v>LINE予約,婦人科予約,生理痛</v>
      </c>
      <c r="E186" s="32" t="str">
        <f>IFERROR(__xludf.DUMMYFUNCTION("""COMPUTED_VALUE"""),"https://luna-dr.com/subjects/menstrual-pain/")</f>
        <v>https://luna-dr.com/subjects/menstrual-pain/</v>
      </c>
    </row>
    <row r="187">
      <c r="A187" s="31" t="str">
        <f>IFERROR(__xludf.DUMMYFUNCTION("""COMPUTED_VALUE"""),"生理痛は電話でも予約できますか？")</f>
        <v>生理痛は電話でも予約できますか？</v>
      </c>
      <c r="B187" s="31" t="str">
        <f>IFERROR(__xludf.DUMMYFUNCTION("""COMPUTED_VALUE"""),"LINEでの予約後、事前問診等もLINEから行うことができ、スムーズに受診ができるため、当院ではLINEでのご予約を推奨しております。
来院診療の場合は「一般婦人科診療」のメニューでご予約ください→https://cline-app.com/qr-codes/98ad6f149bfa20f4f2a9a2e91aac4187/preview
オンライン診療のご予約はこちら→https://liff-gateway.lineml.jp/landing?follow=%40590gpxrd&amp;lp=fX73yx"&amp;"&amp;liff_id=1657094566-LmjNPPbV")</f>
        <v>LINEでの予約後、事前問診等もLINEから行うことができ、スムーズに受診ができるため、当院ではLINEでのご予約を推奨しております。
来院診療の場合は「一般婦人科診療」のメニューでご予約ください→https://cline-app.com/qr-codes/98ad6f149bfa20f4f2a9a2e91aac4187/preview
オンライン診療のご予約はこちら→https://liff-gateway.lineml.jp/landing?follow=%40590gpxrd&amp;lp=fX73yx&amp;liff_id=1657094566-LmjNPPbV</v>
      </c>
      <c r="C187" s="31" t="str">
        <f>IFERROR(__xludf.DUMMYFUNCTION("""COMPUTED_VALUE"""),"生理痛")</f>
        <v>生理痛</v>
      </c>
      <c r="D187" s="31" t="str">
        <f>IFERROR(__xludf.DUMMYFUNCTION("""COMPUTED_VALUE"""),"電話予約,問い合わせ,生理痛")</f>
        <v>電話予約,問い合わせ,生理痛</v>
      </c>
      <c r="E187" s="32" t="str">
        <f>IFERROR(__xludf.DUMMYFUNCTION("""COMPUTED_VALUE"""),"https://luna-dr.com/subjects/menstrual-pain/")</f>
        <v>https://luna-dr.com/subjects/menstrual-pain/</v>
      </c>
    </row>
    <row r="188">
      <c r="A188" s="31" t="str">
        <f>IFERROR(__xludf.DUMMYFUNCTION("""COMPUTED_VALUE"""),"生理痛は予約なしでも相談できますか？")</f>
        <v>生理痛は予約なしでも相談できますか？</v>
      </c>
      <c r="B188" s="31" t="str">
        <f>IFERROR(__xludf.DUMMYFUNCTION("""COMPUTED_VALUE"""),"来院治療の場合、予約外来院も可能です。スムーズなご案内のため、事前予約をおすすめしています。")</f>
        <v>来院治療の場合、予約外来院も可能です。スムーズなご案内のため、事前予約をおすすめしています。</v>
      </c>
      <c r="C188" s="31" t="str">
        <f>IFERROR(__xludf.DUMMYFUNCTION("""COMPUTED_VALUE"""),"生理痛")</f>
        <v>生理痛</v>
      </c>
      <c r="D188" s="31" t="str">
        <f>IFERROR(__xludf.DUMMYFUNCTION("""COMPUTED_VALUE"""),"予約なし,受診,生理痛")</f>
        <v>予約なし,受診,生理痛</v>
      </c>
      <c r="E188" s="32" t="str">
        <f>IFERROR(__xludf.DUMMYFUNCTION("""COMPUTED_VALUE"""),"https://luna-dr.com/subjects/menstrual-pain/")</f>
        <v>https://luna-dr.com/subjects/menstrual-pain/</v>
      </c>
    </row>
    <row r="189">
      <c r="A189" s="31" t="str">
        <f>IFERROR(__xludf.DUMMYFUNCTION("""COMPUTED_VALUE"""),"生理痛の予約前に準備しておくことはありますか？")</f>
        <v>生理痛の予約前に準備しておくことはありますか？</v>
      </c>
      <c r="B189" s="31" t="str">
        <f>IFERROR(__xludf.DUMMYFUNCTION("""COMPUTED_VALUE"""),"ルナレディースクリニックでは、診察前に、痛みの程度や月経周期などをWEB問診にご入力いただくと、診察がスムーズに進みます。")</f>
        <v>ルナレディースクリニックでは、診察前に、痛みの程度や月経周期などをWEB問診にご入力いただくと、診察がスムーズに進みます。</v>
      </c>
      <c r="C189" s="31" t="str">
        <f>IFERROR(__xludf.DUMMYFUNCTION("""COMPUTED_VALUE"""),"生理痛")</f>
        <v>生理痛</v>
      </c>
      <c r="D189" s="31" t="str">
        <f>IFERROR(__xludf.DUMMYFUNCTION("""COMPUTED_VALUE"""),"WEB問診,事前準備,生理痛")</f>
        <v>WEB問診,事前準備,生理痛</v>
      </c>
      <c r="E189" s="32" t="str">
        <f>IFERROR(__xludf.DUMMYFUNCTION("""COMPUTED_VALUE"""),"https://luna-dr.com/subjects/menstrual-pain/")</f>
        <v>https://luna-dr.com/subjects/menstrual-pain/</v>
      </c>
    </row>
    <row r="190">
      <c r="A190" s="31" t="str">
        <f>IFERROR(__xludf.DUMMYFUNCTION("""COMPUTED_VALUE"""),"生理痛は初診でも予約できますか？")</f>
        <v>生理痛は初診でも予約できますか？</v>
      </c>
      <c r="B190" s="31" t="str">
        <f>IFERROR(__xludf.DUMMYFUNCTION("""COMPUTED_VALUE"""),"生理痛は初診の方もご予約いただけます。ご予約は公式LINEから受け付けておりますので、友だち追加の上ご利用ください。
来院診療の場合は「一般婦人科診療」のメニューでご予約ください。WEB問診票に症状をご入力いただくとスムーズです。→https://cline-app.com/qr-codes/98ad6f149bfa20f4f2a9a2e91aac4187/preview
オンライン診療のご予約はこちら→https://liff-gateway.lineml.jp/landing?follow=%405"&amp;"90gpxrd&amp;lp=fX73yx&amp;liff_id=1657094566-LmjNPPbV")</f>
        <v>生理痛は初診の方もご予約いただけます。ご予約は公式LINEから受け付けておりますので、友だち追加の上ご利用ください。
来院診療の場合は「一般婦人科診療」のメニューでご予約ください。WEB問診票に症状をご入力いただくとスムーズです。→https://cline-app.com/qr-codes/98ad6f149bfa20f4f2a9a2e91aac4187/preview
オンライン診療のご予約はこちら→https://liff-gateway.lineml.jp/landing?follow=%40590gpxrd&amp;lp=fX73yx&amp;liff_id=1657094566-LmjNPPbV</v>
      </c>
      <c r="C190" s="31" t="str">
        <f>IFERROR(__xludf.DUMMYFUNCTION("""COMPUTED_VALUE"""),"生理痛")</f>
        <v>生理痛</v>
      </c>
      <c r="D190" s="31" t="str">
        <f>IFERROR(__xludf.DUMMYFUNCTION("""COMPUTED_VALUE"""),"初診,予約,生理痛")</f>
        <v>初診,予約,生理痛</v>
      </c>
      <c r="E190" s="32" t="str">
        <f>IFERROR(__xludf.DUMMYFUNCTION("""COMPUTED_VALUE"""),"https://luna-dr.com/subjects/menstrual-pain/")</f>
        <v>https://luna-dr.com/subjects/menstrual-pain/</v>
      </c>
    </row>
    <row r="191">
      <c r="A191" s="31" t="str">
        <f>IFERROR(__xludf.DUMMYFUNCTION("""COMPUTED_VALUE"""),"生理痛は来院とオンライン、どちらで予約できますか？")</f>
        <v>生理痛は来院とオンライン、どちらで予約できますか？</v>
      </c>
      <c r="B191" s="31" t="str">
        <f>IFERROR(__xludf.DUMMYFUNCTION("""COMPUTED_VALUE"""),"ルナレディースクリニックでは、生理痛のご相談は来院診療とオンライン診療のどちらでも予約が可能です。ご自身のライフスタイルに合わせて選べます。
来院診療の場合は「一般婦人科診療」のメニューでご予約ください。WEB問診票に症状をご入力いただくとスムーズです。→https://cline-app.com/qr-codes/98ad6f149bfa20f4f2a9a2e91aac4187/preview
オンライン診療のご予約はこちら→https://liff-gateway.lineml.jp/landing"&amp;"?follow=%40590gpxrd&amp;lp=fX73yx&amp;liff_id=1657094566-LmjNPPbV")</f>
        <v>ルナレディースクリニックでは、生理痛のご相談は来院診療とオンライン診療のどちらでも予約が可能です。ご自身のライフスタイルに合わせて選べます。
来院診療の場合は「一般婦人科診療」のメニューでご予約ください。WEB問診票に症状をご入力いただくとスムーズです。→https://cline-app.com/qr-codes/98ad6f149bfa20f4f2a9a2e91aac4187/preview
オンライン診療のご予約はこちら→https://liff-gateway.lineml.jp/landing?follow=%40590gpxrd&amp;lp=fX73yx&amp;liff_id=1657094566-LmjNPPbV</v>
      </c>
      <c r="C191" s="31" t="str">
        <f>IFERROR(__xludf.DUMMYFUNCTION("""COMPUTED_VALUE"""),"生理痛")</f>
        <v>生理痛</v>
      </c>
      <c r="D191" s="31" t="str">
        <f>IFERROR(__xludf.DUMMYFUNCTION("""COMPUTED_VALUE"""),"来院診療,オンライン診療,生理痛")</f>
        <v>来院診療,オンライン診療,生理痛</v>
      </c>
      <c r="E191" s="32" t="str">
        <f>IFERROR(__xludf.DUMMYFUNCTION("""COMPUTED_VALUE"""),"https://luna-dr.com/subjects/menstrual-pain/")</f>
        <v>https://luna-dr.com/subjects/menstrual-pain/</v>
      </c>
    </row>
    <row r="192">
      <c r="A192" s="31" t="str">
        <f>IFERROR(__xludf.DUMMYFUNCTION("""COMPUTED_VALUE"""),"ピルとは何ですか？")</f>
        <v>ピルとは何ですか？</v>
      </c>
      <c r="B192" s="31" t="str">
        <f>IFERROR(__xludf.DUMMYFUNCTION("""COMPUTED_VALUE"""),"ピルとは、女性ホルモンを含むお薬で、排卵を抑えるなどの作用により、避妊や生理に関するトラブルの改善を目的として使用されます。ルナレディースクリニックでは、目的に応じて低用量ピルやアフターピルの処方を行っています。また患者さまのライフスタイルに合わせて、ご自宅から受診できる「オンライン診療」と、直接相談できる「来院診療」をお選びいただけます。")</f>
        <v>ピルとは、女性ホルモンを含むお薬で、排卵を抑えるなどの作用により、避妊や生理に関するトラブルの改善を目的として使用されます。ルナレディースクリニックでは、目的に応じて低用量ピルやアフターピルの処方を行っています。また患者さまのライフスタイルに合わせて、ご自宅から受診できる「オンライン診療」と、直接相談できる「来院診療」をお選びいただけます。</v>
      </c>
      <c r="C192" s="31" t="str">
        <f>IFERROR(__xludf.DUMMYFUNCTION("""COMPUTED_VALUE"""),"ピル処方")</f>
        <v>ピル処方</v>
      </c>
      <c r="D192" s="31" t="str">
        <f>IFERROR(__xludf.DUMMYFUNCTION("""COMPUTED_VALUE"""),"ピル,定義")</f>
        <v>ピル,定義</v>
      </c>
      <c r="E192" s="32" t="str">
        <f>IFERROR(__xludf.DUMMYFUNCTION("""COMPUTED_VALUE"""),"https://luna-dr.com/subjects/pill-prescription/")</f>
        <v>https://luna-dr.com/subjects/pill-prescription/</v>
      </c>
    </row>
    <row r="193">
      <c r="A193" s="31" t="str">
        <f>IFERROR(__xludf.DUMMYFUNCTION("""COMPUTED_VALUE"""),"低用量ピルとは何ですか？")</f>
        <v>低用量ピルとは何ですか？</v>
      </c>
      <c r="B193" s="31" t="str">
        <f>IFERROR(__xludf.DUMMYFUNCTION("""COMPUTED_VALUE"""),"低用量ピルとは、毎日1錠を継続して服用することで、排卵を抑え、避妊や生理痛・生理不順・PMSの改善を目的としたお薬です。")</f>
        <v>低用量ピルとは、毎日1錠を継続して服用することで、排卵を抑え、避妊や生理痛・生理不順・PMSの改善を目的としたお薬です。</v>
      </c>
      <c r="C193" s="31" t="str">
        <f>IFERROR(__xludf.DUMMYFUNCTION("""COMPUTED_VALUE"""),"低用量ピル")</f>
        <v>低用量ピル</v>
      </c>
      <c r="D193" s="31" t="str">
        <f>IFERROR(__xludf.DUMMYFUNCTION("""COMPUTED_VALUE"""),"低用量ピル,定義")</f>
        <v>低用量ピル,定義</v>
      </c>
      <c r="E193" s="32" t="str">
        <f>IFERROR(__xludf.DUMMYFUNCTION("""COMPUTED_VALUE"""),"https://luna-dr.com/subjects/pill-prescription/")</f>
        <v>https://luna-dr.com/subjects/pill-prescription/</v>
      </c>
    </row>
    <row r="194">
      <c r="A194" s="31" t="str">
        <f>IFERROR(__xludf.DUMMYFUNCTION("""COMPUTED_VALUE"""),"アフターピルとは何ですか？")</f>
        <v>アフターピルとは何ですか？</v>
      </c>
      <c r="B194" s="31" t="str">
        <f>IFERROR(__xludf.DUMMYFUNCTION("""COMPUTED_VALUE"""),"アフターピルとは、避妊に失敗した場合などに、性行為後できるだけ早く服用することで、緊急的に妊娠を防ぐためのお薬です。")</f>
        <v>アフターピルとは、避妊に失敗した場合などに、性行為後できるだけ早く服用することで、緊急的に妊娠を防ぐためのお薬です。</v>
      </c>
      <c r="C194" s="31" t="str">
        <f>IFERROR(__xludf.DUMMYFUNCTION("""COMPUTED_VALUE"""),"アフターピル")</f>
        <v>アフターピル</v>
      </c>
      <c r="D194" s="31" t="str">
        <f>IFERROR(__xludf.DUMMYFUNCTION("""COMPUTED_VALUE"""),"アフターピル,定義,緊急避妊")</f>
        <v>アフターピル,定義,緊急避妊</v>
      </c>
      <c r="E194" s="32" t="str">
        <f>IFERROR(__xludf.DUMMYFUNCTION("""COMPUTED_VALUE"""),"https://luna-dr.com/subjects/pill-prescription/")</f>
        <v>https://luna-dr.com/subjects/pill-prescription/</v>
      </c>
    </row>
    <row r="195">
      <c r="A195" s="31" t="str">
        <f>IFERROR(__xludf.DUMMYFUNCTION("""COMPUTED_VALUE"""),"ピルにはどんな種類がありますか？")</f>
        <v>ピルにはどんな種類がありますか？</v>
      </c>
      <c r="B195" s="31" t="str">
        <f>IFERROR(__xludf.DUMMYFUNCTION("""COMPUTED_VALUE"""),"ピルには、毎日服用して避妊や生理トラブルの改善を行う低用量ピルと、緊急時に1回だけ服用するアフターピルがあります。目的によって使い分けます。")</f>
        <v>ピルには、毎日服用して避妊や生理トラブルの改善を行う低用量ピルと、緊急時に1回だけ服用するアフターピルがあります。目的によって使い分けます。</v>
      </c>
      <c r="C195" s="31" t="str">
        <f>IFERROR(__xludf.DUMMYFUNCTION("""COMPUTED_VALUE"""),"ピル処方")</f>
        <v>ピル処方</v>
      </c>
      <c r="D195" s="31" t="str">
        <f>IFERROR(__xludf.DUMMYFUNCTION("""COMPUTED_VALUE"""),"種類,低用量ピル,アフターピル")</f>
        <v>種類,低用量ピル,アフターピル</v>
      </c>
      <c r="E195" s="32" t="str">
        <f>IFERROR(__xludf.DUMMYFUNCTION("""COMPUTED_VALUE"""),"https://luna-dr.com/subjects/pill-prescription/")</f>
        <v>https://luna-dr.com/subjects/pill-prescription/</v>
      </c>
    </row>
    <row r="196">
      <c r="A196" s="31" t="str">
        <f>IFERROR(__xludf.DUMMYFUNCTION("""COMPUTED_VALUE"""),"自分には低用量ピルとアフターピル、どちらが合っていますか？")</f>
        <v>自分には低用量ピルとアフターピル、どちらが合っていますか？</v>
      </c>
      <c r="B196" s="31" t="str">
        <f>IFERROR(__xludf.DUMMYFUNCTION("""COMPUTED_VALUE"""),"継続的な避妊や生理痛・PMSの改善を目的とする場合は低用量ピル、避妊に失敗した場合の緊急対応にはアフターピルが適しています。診察時に医師が目的に合わせてご案内します。")</f>
        <v>継続的な避妊や生理痛・PMSの改善を目的とする場合は低用量ピル、避妊に失敗した場合の緊急対応にはアフターピルが適しています。診察時に医師が目的に合わせてご案内します。</v>
      </c>
      <c r="C196" s="31" t="str">
        <f>IFERROR(__xludf.DUMMYFUNCTION("""COMPUTED_VALUE"""),"ピル処方")</f>
        <v>ピル処方</v>
      </c>
      <c r="D196" s="31" t="str">
        <f>IFERROR(__xludf.DUMMYFUNCTION("""COMPUTED_VALUE"""),"選び方,相談,ピル")</f>
        <v>選び方,相談,ピル</v>
      </c>
      <c r="E196" s="32" t="str">
        <f>IFERROR(__xludf.DUMMYFUNCTION("""COMPUTED_VALUE"""),"https://luna-dr.com/subjects/pill-prescription/")</f>
        <v>https://luna-dr.com/subjects/pill-prescription/</v>
      </c>
    </row>
    <row r="197">
      <c r="A197" s="31" t="str">
        <f>IFERROR(__xludf.DUMMYFUNCTION("""COMPUTED_VALUE"""),"ピルは避妊以外にも使えますか？")</f>
        <v>ピルは避妊以外にも使えますか？</v>
      </c>
      <c r="B197" s="31" t="str">
        <f>IFERROR(__xludf.DUMMYFUNCTION("""COMPUTED_VALUE"""),"低用量ピルは、避妊だけでなく、生理痛や生理不順、PMSの改善、経血量の軽減などを目的として使用されることがあります。")</f>
        <v>低用量ピルは、避妊だけでなく、生理痛や生理不順、PMSの改善、経血量の軽減などを目的として使用されることがあります。</v>
      </c>
      <c r="C197" s="31" t="str">
        <f>IFERROR(__xludf.DUMMYFUNCTION("""COMPUTED_VALUE"""),"低用量ピル")</f>
        <v>低用量ピル</v>
      </c>
      <c r="D197" s="31" t="str">
        <f>IFERROR(__xludf.DUMMYFUNCTION("""COMPUTED_VALUE"""),"避妊以外,効果,ピル")</f>
        <v>避妊以外,効果,ピル</v>
      </c>
      <c r="E197" s="32" t="str">
        <f>IFERROR(__xludf.DUMMYFUNCTION("""COMPUTED_VALUE"""),"https://luna-dr.com/subjects/pill-prescription/")</f>
        <v>https://luna-dr.com/subjects/pill-prescription/</v>
      </c>
    </row>
    <row r="198">
      <c r="A198" s="31" t="str">
        <f>IFERROR(__xludf.DUMMYFUNCTION("""COMPUTED_VALUE"""),"生理痛や生理不順の改善にピルは使えますか？")</f>
        <v>生理痛や生理不順の改善にピルは使えますか？</v>
      </c>
      <c r="B198" s="31" t="str">
        <f>IFERROR(__xludf.DUMMYFUNCTION("""COMPUTED_VALUE"""),"低用量ピルは排卵を抑え、子宮内膜の増殖を抑えることで、生理痛や生理不順の改善が期待できます。")</f>
        <v>低用量ピルは排卵を抑え、子宮内膜の増殖を抑えることで、生理痛や生理不順の改善が期待できます。</v>
      </c>
      <c r="C198" s="31" t="str">
        <f>IFERROR(__xludf.DUMMYFUNCTION("""COMPUTED_VALUE"""),"低用量ピル")</f>
        <v>低用量ピル</v>
      </c>
      <c r="D198" s="31" t="str">
        <f>IFERROR(__xludf.DUMMYFUNCTION("""COMPUTED_VALUE"""),"生理痛,生理不順,ピル")</f>
        <v>生理痛,生理不順,ピル</v>
      </c>
      <c r="E198" s="32" t="str">
        <f>IFERROR(__xludf.DUMMYFUNCTION("""COMPUTED_VALUE"""),"https://luna-dr.com/subjects/pill-prescription/")</f>
        <v>https://luna-dr.com/subjects/pill-prescription/</v>
      </c>
    </row>
    <row r="199">
      <c r="A199" s="31" t="str">
        <f>IFERROR(__xludf.DUMMYFUNCTION("""COMPUTED_VALUE"""),"ピルはPMS（月経前症候群）にも効果がありますか？")</f>
        <v>ピルはPMS（月経前症候群）にも効果がありますか？</v>
      </c>
      <c r="B199" s="31" t="str">
        <f>IFERROR(__xludf.DUMMYFUNCTION("""COMPUTED_VALUE"""),"低用量ピルはホルモンの変動を抑えることで、PMSの症状が軽減する場合があります。")</f>
        <v>低用量ピルはホルモンの変動を抑えることで、PMSの症状が軽減する場合があります。</v>
      </c>
      <c r="C199" s="31" t="str">
        <f>IFERROR(__xludf.DUMMYFUNCTION("""COMPUTED_VALUE"""),"低用量ピル")</f>
        <v>低用量ピル</v>
      </c>
      <c r="D199" s="31" t="str">
        <f>IFERROR(__xludf.DUMMYFUNCTION("""COMPUTED_VALUE"""),"PMS,効果,ピル")</f>
        <v>PMS,効果,ピル</v>
      </c>
      <c r="E199" s="32" t="str">
        <f>IFERROR(__xludf.DUMMYFUNCTION("""COMPUTED_VALUE"""),"https://luna-dr.com/subjects/pill-prescription/")</f>
        <v>https://luna-dr.com/subjects/pill-prescription/</v>
      </c>
    </row>
    <row r="200">
      <c r="A200" s="31" t="str">
        <f>IFERROR(__xludf.DUMMYFUNCTION("""COMPUTED_VALUE"""),"ニキビや肌荒れにピルは効果がありますか？")</f>
        <v>ニキビや肌荒れにピルは効果がありますか？</v>
      </c>
      <c r="B200" s="31" t="str">
        <f>IFERROR(__xludf.DUMMYFUNCTION("""COMPUTED_VALUE"""),"低用量ピルは、ホルモンバランスを整えることで、ニキビや肌荒れの改善につながる場合があります。")</f>
        <v>低用量ピルは、ホルモンバランスを整えることで、ニキビや肌荒れの改善につながる場合があります。</v>
      </c>
      <c r="C200" s="31" t="str">
        <f>IFERROR(__xludf.DUMMYFUNCTION("""COMPUTED_VALUE"""),"低用量ピル")</f>
        <v>低用量ピル</v>
      </c>
      <c r="D200" s="31" t="str">
        <f>IFERROR(__xludf.DUMMYFUNCTION("""COMPUTED_VALUE"""),"ニキビ,肌荒れ,ピル")</f>
        <v>ニキビ,肌荒れ,ピル</v>
      </c>
      <c r="E200" s="32" t="str">
        <f>IFERROR(__xludf.DUMMYFUNCTION("""COMPUTED_VALUE"""),"https://luna-dr.com/subjects/pill-prescription/")</f>
        <v>https://luna-dr.com/subjects/pill-prescription/</v>
      </c>
    </row>
    <row r="201">
      <c r="A201" s="31" t="str">
        <f>IFERROR(__xludf.DUMMYFUNCTION("""COMPUTED_VALUE"""),"将来妊娠したい場合でもピルは飲めますか？")</f>
        <v>将来妊娠したい場合でもピルは飲めますか？</v>
      </c>
      <c r="B201" s="31" t="str">
        <f>IFERROR(__xludf.DUMMYFUNCTION("""COMPUTED_VALUE"""),"低用量ピルやアフターピルを服用しても、服用を中止すれば排卵は再開し、将来の妊娠に影響を与えることはありません。ご自身の身体の状態を知りたい方には、ブライダルチェックもおすすめです。")</f>
        <v>低用量ピルやアフターピルを服用しても、服用を中止すれば排卵は再開し、将来の妊娠に影響を与えることはありません。ご自身の身体の状態を知りたい方には、ブライダルチェックもおすすめです。</v>
      </c>
      <c r="C201" s="31" t="str">
        <f>IFERROR(__xludf.DUMMYFUNCTION("""COMPUTED_VALUE"""),"ピル共通")</f>
        <v>ピル共通</v>
      </c>
      <c r="D201" s="31" t="str">
        <f>IFERROR(__xludf.DUMMYFUNCTION("""COMPUTED_VALUE"""),"妊娠,将来,ピル")</f>
        <v>妊娠,将来,ピル</v>
      </c>
      <c r="E201" s="32" t="str">
        <f>IFERROR(__xludf.DUMMYFUNCTION("""COMPUTED_VALUE"""),"https://luna-dr.com/subjects/pill-prescription/")</f>
        <v>https://luna-dr.com/subjects/pill-prescription/</v>
      </c>
    </row>
    <row r="202">
      <c r="A202" s="31" t="str">
        <f>IFERROR(__xludf.DUMMYFUNCTION("""COMPUTED_VALUE"""),"ピルを飲むと将来、妊娠しにくくなりますか？")</f>
        <v>ピルを飲むと将来、妊娠しにくくなりますか？</v>
      </c>
      <c r="B202" s="31" t="str">
        <f>IFERROR(__xludf.DUMMYFUNCTION("""COMPUTED_VALUE"""),"低用量ピルもアフターピルも、服用をやめれば身体は元の状態に戻り、排卵が再開します。将来の妊娠能力に影響を与えることはありませんのでご安心ください。ご自身の身体の状態を知りたい方には、ブライダルチェックもおすすめです。")</f>
        <v>低用量ピルもアフターピルも、服用をやめれば身体は元の状態に戻り、排卵が再開します。将来の妊娠能力に影響を与えることはありませんのでご安心ください。ご自身の身体の状態を知りたい方には、ブライダルチェックもおすすめです。</v>
      </c>
      <c r="C202" s="31" t="str">
        <f>IFERROR(__xludf.DUMMYFUNCTION("""COMPUTED_VALUE"""),"ピル処方")</f>
        <v>ピル処方</v>
      </c>
      <c r="D202" s="31" t="str">
        <f>IFERROR(__xludf.DUMMYFUNCTION("""COMPUTED_VALUE"""),"妊娠,将来,不妊の不安,ピル")</f>
        <v>妊娠,将来,不妊の不安,ピル</v>
      </c>
      <c r="E202" s="32" t="str">
        <f>IFERROR(__xludf.DUMMYFUNCTION("""COMPUTED_VALUE"""),"https://luna-dr.com/subjects/pill-prescription/")</f>
        <v>https://luna-dr.com/subjects/pill-prescription/</v>
      </c>
    </row>
    <row r="203">
      <c r="A203" s="31" t="str">
        <f>IFERROR(__xludf.DUMMYFUNCTION("""COMPUTED_VALUE"""),"ピルを飲むと副作用はありますか？")</f>
        <v>ピルを飲むと副作用はありますか？</v>
      </c>
      <c r="B203" s="31" t="str">
        <f>IFERROR(__xludf.DUMMYFUNCTION("""COMPUTED_VALUE"""),"飲み始めに吐き気や頭痛、不正出血、むくみなどが起こることがありますが、3～6ヶ月ほど内服すると徐々に副作用は落ち着いてくるとされています。アフターピルの場合も同様の症状がみられますが、通常は24時間以内におさまります。ルナレディースクリニックでは、副作用についても丁寧に説明し、必要に応じて吐き気止めなども処方しますのでご安心ください。")</f>
        <v>飲み始めに吐き気や頭痛、不正出血、むくみなどが起こることがありますが、3～6ヶ月ほど内服すると徐々に副作用は落ち着いてくるとされています。アフターピルの場合も同様の症状がみられますが、通常は24時間以内におさまります。ルナレディースクリニックでは、副作用についても丁寧に説明し、必要に応じて吐き気止めなども処方しますのでご安心ください。</v>
      </c>
      <c r="C203" s="31" t="str">
        <f>IFERROR(__xludf.DUMMYFUNCTION("""COMPUTED_VALUE"""),"ピル処方")</f>
        <v>ピル処方</v>
      </c>
      <c r="D203" s="31" t="str">
        <f>IFERROR(__xludf.DUMMYFUNCTION("""COMPUTED_VALUE"""),"副作用,吐き気,頭痛,不正出血,ピル")</f>
        <v>副作用,吐き気,頭痛,不正出血,ピル</v>
      </c>
      <c r="E203" s="32" t="str">
        <f>IFERROR(__xludf.DUMMYFUNCTION("""COMPUTED_VALUE"""),"https://luna-dr.com/subjects/pill-prescription/")</f>
        <v>https://luna-dr.com/subjects/pill-prescription/</v>
      </c>
    </row>
    <row r="204">
      <c r="A204" s="31" t="str">
        <f>IFERROR(__xludf.DUMMYFUNCTION("""COMPUTED_VALUE"""),"ピルを飲むと太りますか？")</f>
        <v>ピルを飲むと太りますか？</v>
      </c>
      <c r="B204" s="31" t="str">
        <f>IFERROR(__xludf.DUMMYFUNCTION("""COMPUTED_VALUE"""),"ピルによって一時的にむくみを感じることはありますが、体脂肪が増えるわけではありません。")</f>
        <v>ピルによって一時的にむくみを感じることはありますが、体脂肪が増えるわけではありません。</v>
      </c>
      <c r="C204" s="31" t="str">
        <f>IFERROR(__xludf.DUMMYFUNCTION("""COMPUTED_VALUE"""),"低用量ピル")</f>
        <v>低用量ピル</v>
      </c>
      <c r="D204" s="31" t="str">
        <f>IFERROR(__xludf.DUMMYFUNCTION("""COMPUTED_VALUE"""),"体重増加,不安,ピル")</f>
        <v>体重増加,不安,ピル</v>
      </c>
      <c r="E204" s="32" t="str">
        <f>IFERROR(__xludf.DUMMYFUNCTION("""COMPUTED_VALUE"""),"https://luna-dr.com/subjects/pill-prescription/")</f>
        <v>https://luna-dr.com/subjects/pill-prescription/</v>
      </c>
    </row>
    <row r="205">
      <c r="A205" s="31" t="str">
        <f>IFERROR(__xludf.DUMMYFUNCTION("""COMPUTED_VALUE"""),"血栓症が心配なのですが、ピルを飲んでも大丈夫ですか？")</f>
        <v>血栓症が心配なのですが、ピルを飲んでも大丈夫ですか？</v>
      </c>
      <c r="B205" s="31" t="str">
        <f>IFERROR(__xludf.DUMMYFUNCTION("""COMPUTED_VALUE"""),"低用量ピルには血栓症のリスクがありますが、医師が体質や既往歴を確認した上で処方します。気になる場合は必ずご相談ください。")</f>
        <v>低用量ピルには血栓症のリスクがありますが、医師が体質や既往歴を確認した上で処方します。気になる場合は必ずご相談ください。</v>
      </c>
      <c r="C205" s="31" t="str">
        <f>IFERROR(__xludf.DUMMYFUNCTION("""COMPUTED_VALUE"""),"低用量ピル")</f>
        <v>低用量ピル</v>
      </c>
      <c r="D205" s="31" t="str">
        <f>IFERROR(__xludf.DUMMYFUNCTION("""COMPUTED_VALUE"""),"血栓症,安全性,ピル")</f>
        <v>血栓症,安全性,ピル</v>
      </c>
      <c r="E205" s="32" t="str">
        <f>IFERROR(__xludf.DUMMYFUNCTION("""COMPUTED_VALUE"""),"https://luna-dr.com/subjects/pill-prescription/")</f>
        <v>https://luna-dr.com/subjects/pill-prescription/</v>
      </c>
    </row>
    <row r="206">
      <c r="A206" s="31" t="str">
        <f>IFERROR(__xludf.DUMMYFUNCTION("""COMPUTED_VALUE"""),"ピルは長期間飲み続けても問題ありませんか？")</f>
        <v>ピルは長期間飲み続けても問題ありませんか？</v>
      </c>
      <c r="B206" s="31" t="str">
        <f>IFERROR(__xludf.DUMMYFUNCTION("""COMPUTED_VALUE"""),"医師の管理のもとであれば、低用量ピルを長期間服用することは可能です。定期的な診察をおすすめしています。")</f>
        <v>医師の管理のもとであれば、低用量ピルを長期間服用することは可能です。定期的な診察をおすすめしています。</v>
      </c>
      <c r="C206" s="31" t="str">
        <f>IFERROR(__xludf.DUMMYFUNCTION("""COMPUTED_VALUE"""),"低用量ピル")</f>
        <v>低用量ピル</v>
      </c>
      <c r="D206" s="31" t="str">
        <f>IFERROR(__xludf.DUMMYFUNCTION("""COMPUTED_VALUE"""),"長期服用,安全性,ピル")</f>
        <v>長期服用,安全性,ピル</v>
      </c>
      <c r="E206" s="32" t="str">
        <f>IFERROR(__xludf.DUMMYFUNCTION("""COMPUTED_VALUE"""),"https://luna-dr.com/subjects/pill-prescription/")</f>
        <v>https://luna-dr.com/subjects/pill-prescription/</v>
      </c>
    </row>
    <row r="207">
      <c r="A207" s="31" t="str">
        <f>IFERROR(__xludf.DUMMYFUNCTION("""COMPUTED_VALUE"""),"ピルをやめたら体は元に戻りますか？")</f>
        <v>ピルをやめたら体は元に戻りますか？</v>
      </c>
      <c r="B207" s="31" t="str">
        <f>IFERROR(__xludf.DUMMYFUNCTION("""COMPUTED_VALUE"""),"服用を中止すればホルモンバランスは元に戻り、排卵も再開します。")</f>
        <v>服用を中止すればホルモンバランスは元に戻り、排卵も再開します。</v>
      </c>
      <c r="C207" s="31" t="str">
        <f>IFERROR(__xludf.DUMMYFUNCTION("""COMPUTED_VALUE"""),"ピル共通")</f>
        <v>ピル共通</v>
      </c>
      <c r="D207" s="31" t="str">
        <f>IFERROR(__xludf.DUMMYFUNCTION("""COMPUTED_VALUE"""),"中止,影響,ピル")</f>
        <v>中止,影響,ピル</v>
      </c>
      <c r="E207" s="32" t="str">
        <f>IFERROR(__xludf.DUMMYFUNCTION("""COMPUTED_VALUE"""),"https://luna-dr.com/subjects/pill-prescription/")</f>
        <v>https://luna-dr.com/subjects/pill-prescription/</v>
      </c>
    </row>
    <row r="208">
      <c r="A208" s="31" t="str">
        <f>IFERROR(__xludf.DUMMYFUNCTION("""COMPUTED_VALUE"""),"低用量ピルはどのように飲みますか？")</f>
        <v>低用量ピルはどのように飲みますか？</v>
      </c>
      <c r="B208" s="31" t="str">
        <f>IFERROR(__xludf.DUMMYFUNCTION("""COMPUTED_VALUE"""),"低用量ピルは、毎日決まった時間に1錠ずつ服用します。21日または28日を1周期として継続します。")</f>
        <v>低用量ピルは、毎日決まった時間に1錠ずつ服用します。21日または28日を1周期として継続します。</v>
      </c>
      <c r="C208" s="31" t="str">
        <f>IFERROR(__xludf.DUMMYFUNCTION("""COMPUTED_VALUE"""),"低用量ピル")</f>
        <v>低用量ピル</v>
      </c>
      <c r="D208" s="31" t="str">
        <f>IFERROR(__xludf.DUMMYFUNCTION("""COMPUTED_VALUE"""),"飲み方,ピル")</f>
        <v>飲み方,ピル</v>
      </c>
      <c r="E208" s="32" t="str">
        <f>IFERROR(__xludf.DUMMYFUNCTION("""COMPUTED_VALUE"""),"https://luna-dr.com/subjects/pill-prescription/")</f>
        <v>https://luna-dr.com/subjects/pill-prescription/</v>
      </c>
    </row>
    <row r="209">
      <c r="A209" s="31" t="str">
        <f>IFERROR(__xludf.DUMMYFUNCTION("""COMPUTED_VALUE"""),"いつから避妊効果が出ますか？")</f>
        <v>いつから避妊効果が出ますか？</v>
      </c>
      <c r="B209" s="31" t="str">
        <f>IFERROR(__xludf.DUMMYFUNCTION("""COMPUTED_VALUE"""),"低用量ピルは、服用開始から約7〜8日で安定した避妊効果が得られるとされています。アフターピルは性行為から72時間（または120時間）以内の服用で、緊急的な妊娠を回避する高い効果が得られます。（服用が早ければ早いほど効果は高まります）")</f>
        <v>低用量ピルは、服用開始から約7〜8日で安定した避妊効果が得られるとされています。アフターピルは性行為から72時間（または120時間）以内の服用で、緊急的な妊娠を回避する高い効果が得られます。（服用が早ければ早いほど効果は高まります）</v>
      </c>
      <c r="C209" s="31" t="str">
        <f>IFERROR(__xludf.DUMMYFUNCTION("""COMPUTED_VALUE"""),"ピル共通")</f>
        <v>ピル共通</v>
      </c>
      <c r="D209" s="31" t="str">
        <f>IFERROR(__xludf.DUMMYFUNCTION("""COMPUTED_VALUE"""),"避妊効果,いつから,ピル")</f>
        <v>避妊効果,いつから,ピル</v>
      </c>
      <c r="E209" s="32" t="str">
        <f>IFERROR(__xludf.DUMMYFUNCTION("""COMPUTED_VALUE"""),"https://luna-dr.com/subjects/pill-prescription/")</f>
        <v>https://luna-dr.com/subjects/pill-prescription/</v>
      </c>
    </row>
    <row r="210">
      <c r="A210" s="31" t="str">
        <f>IFERROR(__xludf.DUMMYFUNCTION("""COMPUTED_VALUE"""),"生理はいつ来ますか？")</f>
        <v>生理はいつ来ますか？</v>
      </c>
      <c r="B210" s="31" t="str">
        <f>IFERROR(__xludf.DUMMYFUNCTION("""COMPUTED_VALUE"""),"低用量ピルでは、休薬期間中または偽薬期間中に生理のような出血が起こります。")</f>
        <v>低用量ピルでは、休薬期間中または偽薬期間中に生理のような出血が起こります。</v>
      </c>
      <c r="C210" s="31" t="str">
        <f>IFERROR(__xludf.DUMMYFUNCTION("""COMPUTED_VALUE"""),"低用量ピル")</f>
        <v>低用量ピル</v>
      </c>
      <c r="D210" s="31" t="str">
        <f>IFERROR(__xludf.DUMMYFUNCTION("""COMPUTED_VALUE"""),"生理,出血,ピル")</f>
        <v>生理,出血,ピル</v>
      </c>
      <c r="E210" s="32" t="str">
        <f>IFERROR(__xludf.DUMMYFUNCTION("""COMPUTED_VALUE"""),"https://luna-dr.com/subjects/pill-prescription/")</f>
        <v>https://luna-dr.com/subjects/pill-prescription/</v>
      </c>
    </row>
    <row r="211">
      <c r="A211" s="31" t="str">
        <f>IFERROR(__xludf.DUMMYFUNCTION("""COMPUTED_VALUE"""),"他の薬と一緒に飲んでも大丈夫ですか？")</f>
        <v>他の薬と一緒に飲んでも大丈夫ですか？</v>
      </c>
      <c r="B211" s="31" t="str">
        <f>IFERROR(__xludf.DUMMYFUNCTION("""COMPUTED_VALUE"""),"薬の飲み合わせに関しましては、お電話にてお問い合わせください。お電話は 050-1730-2768 となります。")</f>
        <v>薬の飲み合わせに関しましては、お電話にてお問い合わせください。お電話は 050-1730-2768 となります。</v>
      </c>
      <c r="C211" s="31" t="str">
        <f>IFERROR(__xludf.DUMMYFUNCTION("""COMPUTED_VALUE"""),"ピル共通")</f>
        <v>ピル共通</v>
      </c>
      <c r="D211" s="31" t="str">
        <f>IFERROR(__xludf.DUMMYFUNCTION("""COMPUTED_VALUE"""),"併用薬,注意,ピル")</f>
        <v>併用薬,注意,ピル</v>
      </c>
      <c r="E211" s="32" t="str">
        <f>IFERROR(__xludf.DUMMYFUNCTION("""COMPUTED_VALUE"""),"https://luna-dr.com/subjects/pill-prescription/")</f>
        <v>https://luna-dr.com/subjects/pill-prescription/</v>
      </c>
    </row>
    <row r="212">
      <c r="A212" s="31" t="str">
        <f>IFERROR(__xludf.DUMMYFUNCTION("""COMPUTED_VALUE"""),"低用量ピルとアフターピルの違いは何ですか？")</f>
        <v>低用量ピルとアフターピルの違いは何ですか？</v>
      </c>
      <c r="B212" s="31" t="str">
        <f>IFERROR(__xludf.DUMMYFUNCTION("""COMPUTED_VALUE"""),"低用量ピルは、毎日1錠ずつ計画的に服用することで排卵を抑制し、継続的な避妊や生理痛・PMSの改善を目指すお薬です。一方、アフターピルは、避妊に失敗した際などに、性行為後できるだけ早く1回だけ服用することで、緊急的に妊娠を防ぐためのお薬です。目的と飲み方が全く異なります。")</f>
        <v>低用量ピルは、毎日1錠ずつ計画的に服用することで排卵を抑制し、継続的な避妊や生理痛・PMSの改善を目指すお薬です。一方、アフターピルは、避妊に失敗した際などに、性行為後できるだけ早く1回だけ服用することで、緊急的に妊娠を防ぐためのお薬です。目的と飲み方が全く異なります。</v>
      </c>
      <c r="C212" s="31" t="str">
        <f>IFERROR(__xludf.DUMMYFUNCTION("""COMPUTED_VALUE"""),"ピル処方")</f>
        <v>ピル処方</v>
      </c>
      <c r="D212" s="31" t="str">
        <f>IFERROR(__xludf.DUMMYFUNCTION("""COMPUTED_VALUE"""),"低用量ピル,アフターピル,違い,比較,ピル")</f>
        <v>低用量ピル,アフターピル,違い,比較,ピル</v>
      </c>
      <c r="E212" s="32" t="str">
        <f>IFERROR(__xludf.DUMMYFUNCTION("""COMPUTED_VALUE"""),"https://luna-dr.com/subjects/pill-prescription/")</f>
        <v>https://luna-dr.com/subjects/pill-prescription/</v>
      </c>
    </row>
    <row r="213">
      <c r="A213" s="31" t="str">
        <f>IFERROR(__xludf.DUMMYFUNCTION("""COMPUTED_VALUE"""),"アフターピルはいつまでに飲めばいいですか？")</f>
        <v>アフターピルはいつまでに飲めばいいですか？</v>
      </c>
      <c r="B213" s="31" t="str">
        <f>IFERROR(__xludf.DUMMYFUNCTION("""COMPUTED_VALUE"""),"アフターピルは性行為から72時間（または120時間）以内の服用で、緊急的な妊娠を回避する高い効果が得られます。（服用が早ければ早いほど効果は高まります）")</f>
        <v>アフターピルは性行為から72時間（または120時間）以内の服用で、緊急的な妊娠を回避する高い効果が得られます。（服用が早ければ早いほど効果は高まります）</v>
      </c>
      <c r="C213" s="31" t="str">
        <f>IFERROR(__xludf.DUMMYFUNCTION("""COMPUTED_VALUE"""),"アフターピル")</f>
        <v>アフターピル</v>
      </c>
      <c r="D213" s="31" t="str">
        <f>IFERROR(__xludf.DUMMYFUNCTION("""COMPUTED_VALUE"""),"服用期限,ピル")</f>
        <v>服用期限,ピル</v>
      </c>
      <c r="E213" s="32" t="str">
        <f>IFERROR(__xludf.DUMMYFUNCTION("""COMPUTED_VALUE"""),"https://luna-dr.com/subjects/pill-prescription/")</f>
        <v>https://luna-dr.com/subjects/pill-prescription/</v>
      </c>
    </row>
    <row r="214">
      <c r="A214" s="31" t="str">
        <f>IFERROR(__xludf.DUMMYFUNCTION("""COMPUTED_VALUE"""),"アフターピルを飲んだ後、生理はどうなりますか？")</f>
        <v>アフターピルを飲んだ後、生理はどうなりますか？</v>
      </c>
      <c r="B214" s="31" t="str">
        <f>IFERROR(__xludf.DUMMYFUNCTION("""COMPUTED_VALUE"""),"服用後、数日から数週間で生理が来ることがあります。個人差があります。")</f>
        <v>服用後、数日から数週間で生理が来ることがあります。個人差があります。</v>
      </c>
      <c r="C214" s="31" t="str">
        <f>IFERROR(__xludf.DUMMYFUNCTION("""COMPUTED_VALUE"""),"アフターピル")</f>
        <v>アフターピル</v>
      </c>
      <c r="D214" s="31" t="str">
        <f>IFERROR(__xludf.DUMMYFUNCTION("""COMPUTED_VALUE"""),"生理,服用後,ピル")</f>
        <v>生理,服用後,ピル</v>
      </c>
      <c r="E214" s="32" t="str">
        <f>IFERROR(__xludf.DUMMYFUNCTION("""COMPUTED_VALUE"""),"https://luna-dr.com/subjects/pill-prescription/")</f>
        <v>https://luna-dr.com/subjects/pill-prescription/</v>
      </c>
    </row>
    <row r="215">
      <c r="A215" s="31" t="str">
        <f>IFERROR(__xludf.DUMMYFUNCTION("""COMPUTED_VALUE"""),"アフターピルを何度も使っても大丈夫ですか？")</f>
        <v>アフターピルを何度も使っても大丈夫ですか？</v>
      </c>
      <c r="B215" s="31" t="str">
        <f>IFERROR(__xludf.DUMMYFUNCTION("""COMPUTED_VALUE"""),"使用は可能ですが、継続的な避妊には低用量ピルをおすすめしています。")</f>
        <v>使用は可能ですが、継続的な避妊には低用量ピルをおすすめしています。</v>
      </c>
      <c r="C215" s="31" t="str">
        <f>IFERROR(__xludf.DUMMYFUNCTION("""COMPUTED_VALUE"""),"アフターピル")</f>
        <v>アフターピル</v>
      </c>
      <c r="D215" s="31" t="str">
        <f>IFERROR(__xludf.DUMMYFUNCTION("""COMPUTED_VALUE"""),"繰り返し使用,ピル")</f>
        <v>繰り返し使用,ピル</v>
      </c>
      <c r="E215" s="32" t="str">
        <f>IFERROR(__xludf.DUMMYFUNCTION("""COMPUTED_VALUE"""),"https://luna-dr.com/subjects/pill-prescription/")</f>
        <v>https://luna-dr.com/subjects/pill-prescription/</v>
      </c>
    </row>
    <row r="216">
      <c r="A216" s="31" t="str">
        <f>IFERROR(__xludf.DUMMYFUNCTION("""COMPUTED_VALUE"""),"ピル処方は来院とオンライン、どちらで受けられますか？")</f>
        <v>ピル処方は来院とオンライン、どちらで受けられますか？</v>
      </c>
      <c r="B216" s="31" t="str">
        <f>IFERROR(__xludf.DUMMYFUNCTION("""COMPUTED_VALUE"""),"ルナレディースクリニックでは、来院診療とオンライン診療の両方でピル処方を行っています。ただし、生理痛などの治療を目的とする低用量ピルは、初回は検査が必要なため来院診療をご案内しています。")</f>
        <v>ルナレディースクリニックでは、来院診療とオンライン診療の両方でピル処方を行っています。ただし、生理痛などの治療を目的とする低用量ピルは、初回は検査が必要なため来院診療をご案内しています。</v>
      </c>
      <c r="C216" s="31" t="str">
        <f>IFERROR(__xludf.DUMMYFUNCTION("""COMPUTED_VALUE"""),"ピル処方")</f>
        <v>ピル処方</v>
      </c>
      <c r="D216" s="31" t="str">
        <f>IFERROR(__xludf.DUMMYFUNCTION("""COMPUTED_VALUE"""),"来院,オンライン診療,ピル")</f>
        <v>来院,オンライン診療,ピル</v>
      </c>
      <c r="E216" s="32" t="str">
        <f>IFERROR(__xludf.DUMMYFUNCTION("""COMPUTED_VALUE"""),"https://luna-dr.com/subjects/pill-prescription/")</f>
        <v>https://luna-dr.com/subjects/pill-prescription/</v>
      </c>
    </row>
    <row r="217">
      <c r="A217" s="31" t="str">
        <f>IFERROR(__xludf.DUMMYFUNCTION("""COMPUTED_VALUE"""),"オンラインでもピルは処方してもらえますか？")</f>
        <v>オンラインでもピルは処方してもらえますか？</v>
      </c>
      <c r="B217" s="31" t="str">
        <f>IFERROR(__xludf.DUMMYFUNCTION("""COMPUTED_VALUE"""),"アフターピルは初診からオンライン診療で処方できます。ご自宅にいながら専門医の診察を受け、お薬を郵送でお受け取りいただけます。ただし、生理痛などの治療を目的とする低用量ピルは、初回は検査が必要なため来院診療をご案内しています。")</f>
        <v>アフターピルは初診からオンライン診療で処方できます。ご自宅にいながら専門医の診察を受け、お薬を郵送でお受け取りいただけます。ただし、生理痛などの治療を目的とする低用量ピルは、初回は検査が必要なため来院診療をご案内しています。</v>
      </c>
      <c r="C217" s="31" t="str">
        <f>IFERROR(__xludf.DUMMYFUNCTION("""COMPUTED_VALUE"""),"ピル処方")</f>
        <v>ピル処方</v>
      </c>
      <c r="D217" s="31" t="str">
        <f>IFERROR(__xludf.DUMMYFUNCTION("""COMPUTED_VALUE"""),"オンライン診療,初診,来院診療,ピル")</f>
        <v>オンライン診療,初診,来院診療,ピル</v>
      </c>
      <c r="E217" s="32" t="str">
        <f>IFERROR(__xludf.DUMMYFUNCTION("""COMPUTED_VALUE"""),"https://luna-dr.com/subjects/pill-prescription/")</f>
        <v>https://luna-dr.com/subjects/pill-prescription/</v>
      </c>
    </row>
    <row r="218">
      <c r="A218" s="31" t="str">
        <f>IFERROR(__xludf.DUMMYFUNCTION("""COMPUTED_VALUE"""),"アフターピルは初診でもオンライン診療できますか？")</f>
        <v>アフターピルは初診でもオンライン診療できますか？</v>
      </c>
      <c r="B218" s="31" t="str">
        <f>IFERROR(__xludf.DUMMYFUNCTION("""COMPUTED_VALUE"""),"アフターピルは初診の方でもオンライン診療をご利用いただけます。")</f>
        <v>アフターピルは初診の方でもオンライン診療をご利用いただけます。</v>
      </c>
      <c r="C218" s="31" t="str">
        <f>IFERROR(__xludf.DUMMYFUNCTION("""COMPUTED_VALUE"""),"アフターピル")</f>
        <v>アフターピル</v>
      </c>
      <c r="D218" s="31" t="str">
        <f>IFERROR(__xludf.DUMMYFUNCTION("""COMPUTED_VALUE"""),"初診,オンライン,ピル")</f>
        <v>初診,オンライン,ピル</v>
      </c>
      <c r="E218" s="32" t="str">
        <f>IFERROR(__xludf.DUMMYFUNCTION("""COMPUTED_VALUE"""),"https://luna-dr.com/subjects/pill-prescription/")</f>
        <v>https://luna-dr.com/subjects/pill-prescription/</v>
      </c>
    </row>
    <row r="219">
      <c r="A219" s="31" t="str">
        <f>IFERROR(__xludf.DUMMYFUNCTION("""COMPUTED_VALUE"""),"低用量ピルは初診からオンライン診療できますか？")</f>
        <v>低用量ピルは初診からオンライン診療できますか？</v>
      </c>
      <c r="B219" s="31" t="str">
        <f>IFERROR(__xludf.DUMMYFUNCTION("""COMPUTED_VALUE"""),"治療目的での初回処方は検査が必要なため、来院診療となります。")</f>
        <v>治療目的での初回処方は検査が必要なため、来院診療となります。</v>
      </c>
      <c r="C219" s="31" t="str">
        <f>IFERROR(__xludf.DUMMYFUNCTION("""COMPUTED_VALUE"""),"低用量ピル")</f>
        <v>低用量ピル</v>
      </c>
      <c r="D219" s="31" t="str">
        <f>IFERROR(__xludf.DUMMYFUNCTION("""COMPUTED_VALUE"""),"初診,来院診療,ピル")</f>
        <v>初診,来院診療,ピル</v>
      </c>
      <c r="E219" s="32" t="str">
        <f>IFERROR(__xludf.DUMMYFUNCTION("""COMPUTED_VALUE"""),"https://luna-dr.com/subjects/pill-prescription/")</f>
        <v>https://luna-dr.com/subjects/pill-prescription/</v>
      </c>
    </row>
    <row r="220">
      <c r="A220" s="31" t="str">
        <f>IFERROR(__xludf.DUMMYFUNCTION("""COMPUTED_VALUE"""),"なぜ低用量ピルは初回に来院が必要な場合があるのですか？")</f>
        <v>なぜ低用量ピルは初回に来院が必要な場合があるのですか？</v>
      </c>
      <c r="B220" s="31" t="str">
        <f>IFERROR(__xludf.DUMMYFUNCTION("""COMPUTED_VALUE"""),"安全に治療を行うため、治療目的の場合は検査が必要となるためです。")</f>
        <v>安全に治療を行うため、治療目的の場合は検査が必要となるためです。</v>
      </c>
      <c r="C220" s="31" t="str">
        <f>IFERROR(__xludf.DUMMYFUNCTION("""COMPUTED_VALUE"""),"低用量ピル")</f>
        <v>低用量ピル</v>
      </c>
      <c r="D220" s="31" t="str">
        <f>IFERROR(__xludf.DUMMYFUNCTION("""COMPUTED_VALUE"""),"検査,安全性,ピル")</f>
        <v>検査,安全性,ピル</v>
      </c>
      <c r="E220" s="32" t="str">
        <f>IFERROR(__xludf.DUMMYFUNCTION("""COMPUTED_VALUE"""),"https://luna-dr.com/subjects/pill-prescription/")</f>
        <v>https://luna-dr.com/subjects/pill-prescription/</v>
      </c>
    </row>
    <row r="221">
      <c r="A221" s="31" t="str">
        <f>IFERROR(__xludf.DUMMYFUNCTION("""COMPUTED_VALUE"""),"ピル処方は保険適用ですか？")</f>
        <v>ピル処方は保険適用ですか？</v>
      </c>
      <c r="B221" s="31" t="str">
        <f>IFERROR(__xludf.DUMMYFUNCTION("""COMPUTED_VALUE"""),"低用量ピルは治療目的の場合、保険適用となることがあります。アフターピルは自由診療です。")</f>
        <v>低用量ピルは治療目的の場合、保険適用となることがあります。アフターピルは自由診療です。</v>
      </c>
      <c r="C221" s="31" t="str">
        <f>IFERROR(__xludf.DUMMYFUNCTION("""COMPUTED_VALUE"""),"ピル処方")</f>
        <v>ピル処方</v>
      </c>
      <c r="D221" s="31" t="str">
        <f>IFERROR(__xludf.DUMMYFUNCTION("""COMPUTED_VALUE"""),"保険適用,費用,ピル")</f>
        <v>保険適用,費用,ピル</v>
      </c>
      <c r="E221" s="32" t="str">
        <f>IFERROR(__xludf.DUMMYFUNCTION("""COMPUTED_VALUE"""),"https://luna-dr.com/subjects/pill-prescription/")</f>
        <v>https://luna-dr.com/subjects/pill-prescription/</v>
      </c>
    </row>
    <row r="222">
      <c r="A222" s="31" t="str">
        <f>IFERROR(__xludf.DUMMYFUNCTION("""COMPUTED_VALUE"""),"ピル処方はどうやって予約すればいいですか？")</f>
        <v>ピル処方はどうやって予約すればいいですか？</v>
      </c>
      <c r="B222" s="31" t="str">
        <f>IFERROR(__xludf.DUMMYFUNCTION("""COMPUTED_VALUE"""),"ルナレディースクリニックでは、公式LINEからピル処方の診察予約が可能です。24時間いつでもご自身のタイミングで予約できます。
※アフターピルは初診からオンライン診療で処方できますが、生理痛などの治療を目的とする低用量ピルは、初回は検査が必要なため来院診療となりますので、ご注意ください。
来院診療の場合は「ピル処方」のメニューでご予約ください→https://cline-app.com/qr-codes/98ad6f149bfa20f4f2a9a2e91aac4187/preview
オンライン診療のご"&amp;"予約はこちら→https://liff-gateway.lineml.jp/landing?follow=%40590gpxrd&amp;lp=fX73yx&amp;liff_id=1657094566-LmjNPPbV")</f>
        <v>ルナレディースクリニックでは、公式LINEからピル処方の診察予約が可能です。24時間いつでもご自身のタイミングで予約できます。
※アフターピルは初診からオンライン診療で処方できますが、生理痛などの治療を目的とする低用量ピルは、初回は検査が必要なため来院診療となりますので、ご注意ください。
来院診療の場合は「ピル処方」のメニューでご予約ください→https://cline-app.com/qr-codes/98ad6f149bfa20f4f2a9a2e91aac4187/preview
オンライン診療のご予約はこちら→https://liff-gateway.lineml.jp/landing?follow=%40590gpxrd&amp;lp=fX73yx&amp;liff_id=1657094566-LmjNPPbV</v>
      </c>
      <c r="C222" s="31" t="str">
        <f>IFERROR(__xludf.DUMMYFUNCTION("""COMPUTED_VALUE"""),"ピル処方")</f>
        <v>ピル処方</v>
      </c>
      <c r="D222" s="31" t="str">
        <f>IFERROR(__xludf.DUMMYFUNCTION("""COMPUTED_VALUE"""),"予約方法,LINE,電話,ピル")</f>
        <v>予約方法,LINE,電話,ピル</v>
      </c>
      <c r="E222" s="32" t="str">
        <f>IFERROR(__xludf.DUMMYFUNCTION("""COMPUTED_VALUE"""),"https://luna-dr.com/subjects/pill-prescription/")</f>
        <v>https://luna-dr.com/subjects/pill-prescription/</v>
      </c>
    </row>
    <row r="223">
      <c r="A223" s="31" t="str">
        <f>IFERROR(__xludf.DUMMYFUNCTION("""COMPUTED_VALUE"""),"ピル処方はLINEから予約できますか？")</f>
        <v>ピル処方はLINEから予約できますか？</v>
      </c>
      <c r="B223" s="31" t="str">
        <f>IFERROR(__xludf.DUMMYFUNCTION("""COMPUTED_VALUE"""),"ルナレディースクリニックでは、公式LINEからピル処方の診察予約が可能です。24時間いつでもご自身のタイミングで予約できます。
※アフターピルは初診からオンライン診療で処方できますが、生理痛などの治療を目的とする低用量ピルは、初回は検査が必要なため来院診療となりますので、ご注意ください。
来院診療の場合は「ピル処方」のメニューでご予約ください→https://cline-app.com/qr-codes/98ad6f149bfa20f4f2a9a2e91aac4187/preview
オンライン診療のご"&amp;"予約はこちら→https://liff-gateway.lineml.jp/landing?follow=%40590gpxrd&amp;lp=fX73yx&amp;liff_id=1657094566-LmjNPPbV")</f>
        <v>ルナレディースクリニックでは、公式LINEからピル処方の診察予約が可能です。24時間いつでもご自身のタイミングで予約できます。
※アフターピルは初診からオンライン診療で処方できますが、生理痛などの治療を目的とする低用量ピルは、初回は検査が必要なため来院診療となりますので、ご注意ください。
来院診療の場合は「ピル処方」のメニューでご予約ください→https://cline-app.com/qr-codes/98ad6f149bfa20f4f2a9a2e91aac4187/preview
オンライン診療のご予約はこちら→https://liff-gateway.lineml.jp/landing?follow=%40590gpxrd&amp;lp=fX73yx&amp;liff_id=1657094566-LmjNPPbV</v>
      </c>
      <c r="C223" s="31" t="str">
        <f>IFERROR(__xludf.DUMMYFUNCTION("""COMPUTED_VALUE"""),"ピル処方")</f>
        <v>ピル処方</v>
      </c>
      <c r="D223" s="31" t="str">
        <f>IFERROR(__xludf.DUMMYFUNCTION("""COMPUTED_VALUE"""),"LINE予約,婦人科予約,ピル処方")</f>
        <v>LINE予約,婦人科予約,ピル処方</v>
      </c>
      <c r="E223" s="32" t="str">
        <f>IFERROR(__xludf.DUMMYFUNCTION("""COMPUTED_VALUE"""),"https://luna-dr.com/subjects/pill-prescription/")</f>
        <v>https://luna-dr.com/subjects/pill-prescription/</v>
      </c>
    </row>
    <row r="224">
      <c r="A224" s="31" t="str">
        <f>IFERROR(__xludf.DUMMYFUNCTION("""COMPUTED_VALUE"""),"ピル処方は電話でも予約できますか？")</f>
        <v>ピル処方は電話でも予約できますか？</v>
      </c>
      <c r="B224" s="31" t="str">
        <f>IFERROR(__xludf.DUMMYFUNCTION("""COMPUTED_VALUE"""),"LINEでの予約後、事前問診等もLINEから行うことができ、スムーズに受診ができるため、当院ではLINEでのご予約を推奨しております。
来院診療の場合は「ピル処方」のメニューでご予約ください→https://cline-app.com/qr-codes/98ad6f149bfa20f4f2a9a2e91aac4187/preview
オンライン診療のご予約はこちら→https://liff-gateway.lineml.jp/landing?follow=%40590gpxrd&amp;lp=fX73yx&amp;li"&amp;"ff_id=1657094566-LmjNPPbV")</f>
        <v>LINEでの予約後、事前問診等もLINEから行うことができ、スムーズに受診ができるため、当院ではLINEでのご予約を推奨しております。
来院診療の場合は「ピル処方」のメニューでご予約ください→https://cline-app.com/qr-codes/98ad6f149bfa20f4f2a9a2e91aac4187/preview
オンライン診療のご予約はこちら→https://liff-gateway.lineml.jp/landing?follow=%40590gpxrd&amp;lp=fX73yx&amp;liff_id=1657094566-LmjNPPbV</v>
      </c>
      <c r="C224" s="31" t="str">
        <f>IFERROR(__xludf.DUMMYFUNCTION("""COMPUTED_VALUE"""),"ピル処方")</f>
        <v>ピル処方</v>
      </c>
      <c r="D224" s="31" t="str">
        <f>IFERROR(__xludf.DUMMYFUNCTION("""COMPUTED_VALUE"""),"電話予約,問い合わせ,ピル処方")</f>
        <v>電話予約,問い合わせ,ピル処方</v>
      </c>
      <c r="E224" s="32" t="str">
        <f>IFERROR(__xludf.DUMMYFUNCTION("""COMPUTED_VALUE"""),"https://luna-dr.com/subjects/pill-prescription/")</f>
        <v>https://luna-dr.com/subjects/pill-prescription/</v>
      </c>
    </row>
    <row r="225">
      <c r="A225" s="31" t="str">
        <f>IFERROR(__xludf.DUMMYFUNCTION("""COMPUTED_VALUE"""),"ピル処方は予約なしでも相談できますか？")</f>
        <v>ピル処方は予約なしでも相談できますか？</v>
      </c>
      <c r="B225" s="31" t="str">
        <f>IFERROR(__xludf.DUMMYFUNCTION("""COMPUTED_VALUE"""),"来院治療の場合、予約外来院も可能です。スムーズなご案内のため、事前予約をおすすめしています。")</f>
        <v>来院治療の場合、予約外来院も可能です。スムーズなご案内のため、事前予約をおすすめしています。</v>
      </c>
      <c r="C225" s="31" t="str">
        <f>IFERROR(__xludf.DUMMYFUNCTION("""COMPUTED_VALUE"""),"ピル処方")</f>
        <v>ピル処方</v>
      </c>
      <c r="D225" s="31" t="str">
        <f>IFERROR(__xludf.DUMMYFUNCTION("""COMPUTED_VALUE"""),"予約なし,受診,ピル処方")</f>
        <v>予約なし,受診,ピル処方</v>
      </c>
      <c r="E225" s="32" t="str">
        <f>IFERROR(__xludf.DUMMYFUNCTION("""COMPUTED_VALUE"""),"https://luna-dr.com/subjects/pill-prescription/")</f>
        <v>https://luna-dr.com/subjects/pill-prescription/</v>
      </c>
    </row>
    <row r="226">
      <c r="A226" s="31" t="str">
        <f>IFERROR(__xludf.DUMMYFUNCTION("""COMPUTED_VALUE"""),"ピル処方の予約前に準備しておくことはありますか？")</f>
        <v>ピル処方の予約前に準備しておくことはありますか？</v>
      </c>
      <c r="B226" s="31" t="str">
        <f>IFERROR(__xludf.DUMMYFUNCTION("""COMPUTED_VALUE"""),"ルナレディースクリニックでは、ピル処方の診察前に、最終生理日やご予定日などをWEB問診にご入力いただくと、診察がスムーズに進みます。")</f>
        <v>ルナレディースクリニックでは、ピル処方の診察前に、最終生理日やご予定日などをWEB問診にご入力いただくと、診察がスムーズに進みます。</v>
      </c>
      <c r="C226" s="31" t="str">
        <f>IFERROR(__xludf.DUMMYFUNCTION("""COMPUTED_VALUE"""),"ピル処方")</f>
        <v>ピル処方</v>
      </c>
      <c r="D226" s="31" t="str">
        <f>IFERROR(__xludf.DUMMYFUNCTION("""COMPUTED_VALUE"""),"WEB問診,事前準備,ピル処方")</f>
        <v>WEB問診,事前準備,ピル処方</v>
      </c>
      <c r="E226" s="32" t="str">
        <f>IFERROR(__xludf.DUMMYFUNCTION("""COMPUTED_VALUE"""),"https://luna-dr.com/subjects/pill-prescription/")</f>
        <v>https://luna-dr.com/subjects/pill-prescription/</v>
      </c>
    </row>
    <row r="227">
      <c r="A227" s="31" t="str">
        <f>IFERROR(__xludf.DUMMYFUNCTION("""COMPUTED_VALUE"""),"ピル処方は初診でも予約できますか？")</f>
        <v>ピル処方は初診でも予約できますか？</v>
      </c>
      <c r="B227" s="31" t="str">
        <f>IFERROR(__xludf.DUMMYFUNCTION("""COMPUTED_VALUE"""),"ピル処方は初診の方もご予約いただけます。ご予約は公式LINEから受け付けておりますので、友だち追加の上ご利用ください。
※アフターピルは初診からオンライン診療で処方できますが、生理痛などの治療を目的とする低用量ピルは、初回は検査が必要なため来院診療となりますので、ご注意ください。
来院診療の場合は「ピル処方」のメニューでご予約ください→https://cline-app.com/qr-codes/98ad6f149bfa20f4f2a9a2e91aac4187/preview
オンライン診療のご予約はこ"&amp;"ちら→https://liff-gateway.lineml.jp/landing?follow=%40590gpxrd&amp;lp=fX73yx&amp;liff_id=1657094566-LmjNPPbV")</f>
        <v>ピル処方は初診の方もご予約いただけます。ご予約は公式LINEから受け付けておりますので、友だち追加の上ご利用ください。
※アフターピルは初診からオンライン診療で処方できますが、生理痛などの治療を目的とする低用量ピルは、初回は検査が必要なため来院診療となりますので、ご注意ください。
来院診療の場合は「ピル処方」のメニューでご予約ください→https://cline-app.com/qr-codes/98ad6f149bfa20f4f2a9a2e91aac4187/preview
オンライン診療のご予約はこちら→https://liff-gateway.lineml.jp/landing?follow=%40590gpxrd&amp;lp=fX73yx&amp;liff_id=1657094566-LmjNPPbV</v>
      </c>
      <c r="C227" s="31" t="str">
        <f>IFERROR(__xludf.DUMMYFUNCTION("""COMPUTED_VALUE"""),"ピル処方")</f>
        <v>ピル処方</v>
      </c>
      <c r="D227" s="31" t="str">
        <f>IFERROR(__xludf.DUMMYFUNCTION("""COMPUTED_VALUE"""),"初診,予約,ピル処方")</f>
        <v>初診,予約,ピル処方</v>
      </c>
      <c r="E227" s="32" t="str">
        <f>IFERROR(__xludf.DUMMYFUNCTION("""COMPUTED_VALUE"""),"https://luna-dr.com/subjects/pill-prescription/")</f>
        <v>https://luna-dr.com/subjects/pill-prescription/</v>
      </c>
    </row>
    <row r="228">
      <c r="A228" s="31" t="str">
        <f>IFERROR(__xludf.DUMMYFUNCTION("""COMPUTED_VALUE"""),"ピル処方は来院とオンライン、どちらで予約できますか？")</f>
        <v>ピル処方は来院とオンライン、どちらで予約できますか？</v>
      </c>
      <c r="B228" s="31" t="str">
        <f>IFERROR(__xludf.DUMMYFUNCTION("""COMPUTED_VALUE"""),"ルナレディースクリニックでは、ピル処方のご相談は来院診療とオンライン診療のどちらでも予約が可能です。ご自身のライフスタイルに合わせて選べます。初診の場合、アフターピルは初診からオンライン診療で処方できますが、生理痛などの治療を目的とする低用量ピルは、初回は検査が必要なため来院診療となりますので、ご注意ください。
来院診療の場合は「ピル処方」のメニューでご予約ください→https://cline-app.com/qr-codes/98ad6f149bfa20f4f2a9a2e91aac4187/previ"&amp;"ew
オンライン診療のご予約はこちら→https://liff-gateway.lineml.jp/landing?follow=%40590gpxrd&amp;lp=fX73yx&amp;liff_id=1657094566-LmjNPPbV")</f>
        <v>ルナレディースクリニックでは、ピル処方のご相談は来院診療とオンライン診療のどちらでも予約が可能です。ご自身のライフスタイルに合わせて選べます。初診の場合、アフターピルは初診からオンライン診療で処方できますが、生理痛などの治療を目的とする低用量ピルは、初回は検査が必要なため来院診療となりますので、ご注意ください。
来院診療の場合は「ピル処方」のメニューでご予約ください→https://cline-app.com/qr-codes/98ad6f149bfa20f4f2a9a2e91aac4187/preview
オンライン診療のご予約はこちら→https://liff-gateway.lineml.jp/landing?follow=%40590gpxrd&amp;lp=fX73yx&amp;liff_id=1657094566-LmjNPPbV</v>
      </c>
      <c r="C228" s="31" t="str">
        <f>IFERROR(__xludf.DUMMYFUNCTION("""COMPUTED_VALUE"""),"ピル処方")</f>
        <v>ピル処方</v>
      </c>
      <c r="D228" s="31" t="str">
        <f>IFERROR(__xludf.DUMMYFUNCTION("""COMPUTED_VALUE"""),"来院診療,オンライン診療,ピル処方")</f>
        <v>来院診療,オンライン診療,ピル処方</v>
      </c>
      <c r="E228" s="32" t="str">
        <f>IFERROR(__xludf.DUMMYFUNCTION("""COMPUTED_VALUE"""),"https://luna-dr.com/subjects/pill-prescription/")</f>
        <v>https://luna-dr.com/subjects/pill-prescription/</v>
      </c>
    </row>
    <row r="229">
      <c r="A229" s="31" t="str">
        <f>IFERROR(__xludf.DUMMYFUNCTION("""COMPUTED_VALUE"""),"低用量ピルはどんな悩みに使われますか？")</f>
        <v>低用量ピルはどんな悩みに使われますか？</v>
      </c>
      <c r="B229" s="31" t="str">
        <f>IFERROR(__xludf.DUMMYFUNCTION("""COMPUTED_VALUE"""),"低用量ピル（ピル）は、避妊、生理痛の軽減、生理不順の改善、PMS（月経前症候群）の緩和、ニキビ改善など幅広い目的で使用されます。")</f>
        <v>低用量ピル（ピル）は、避妊、生理痛の軽減、生理不順の改善、PMS（月経前症候群）の緩和、ニキビ改善など幅広い目的で使用されます。</v>
      </c>
      <c r="C229" s="31" t="str">
        <f>IFERROR(__xludf.DUMMYFUNCTION("""COMPUTED_VALUE"""),"低用量ピル（ピル）")</f>
        <v>低用量ピル（ピル）</v>
      </c>
      <c r="D229" s="31" t="str">
        <f>IFERROR(__xludf.DUMMYFUNCTION("""COMPUTED_VALUE"""),"低用量ピル,悩み,改善")</f>
        <v>低用量ピル,悩み,改善</v>
      </c>
      <c r="E229" s="32" t="str">
        <f>IFERROR(__xludf.DUMMYFUNCTION("""COMPUTED_VALUE"""),"https://luna-dr.com/subjects/low-dose-contraceptive/")</f>
        <v>https://luna-dr.com/subjects/low-dose-contraceptive/</v>
      </c>
    </row>
    <row r="230">
      <c r="A230" s="31" t="str">
        <f>IFERROR(__xludf.DUMMYFUNCTION("""COMPUTED_VALUE"""),"OCピルとLEPピルの違いは何ですか？")</f>
        <v>OCピルとLEPピルの違いは何ですか？</v>
      </c>
      <c r="B230" s="31" t="str">
        <f>IFERROR(__xludf.DUMMYFUNCTION("""COMPUTED_VALUE"""),"OC（経口避妊薬）は避妊目的で使用される低用量ピルで自由診療です。LEP（低用量エストロゲン・プロゲスチン製剤）は生理痛や子宮内膜症など治療目的で使用され、保険適用となります。")</f>
        <v>OC（経口避妊薬）は避妊目的で使用される低用量ピルで自由診療です。LEP（低用量エストロゲン・プロゲスチン製剤）は生理痛や子宮内膜症など治療目的で使用され、保険適用となります。</v>
      </c>
      <c r="C230" s="31" t="str">
        <f>IFERROR(__xludf.DUMMYFUNCTION("""COMPUTED_VALUE"""),"低用量ピル（OC／LEP）")</f>
        <v>低用量ピル（OC／LEP）</v>
      </c>
      <c r="D230" s="31" t="str">
        <f>IFERROR(__xludf.DUMMYFUNCTION("""COMPUTED_VALUE"""),"OC,LEP,違い,治療")</f>
        <v>OC,LEP,違い,治療</v>
      </c>
      <c r="E230" s="32" t="str">
        <f>IFERROR(__xludf.DUMMYFUNCTION("""COMPUTED_VALUE"""),"https://luna-dr.com/subjects/low-dose-contraceptive/")</f>
        <v>https://luna-dr.com/subjects/low-dose-contraceptive/</v>
      </c>
    </row>
    <row r="231">
      <c r="A231" s="31" t="str">
        <f>IFERROR(__xludf.DUMMYFUNCTION("""COMPUTED_VALUE"""),"低用量ピルは避妊以外にも効果がありますか？")</f>
        <v>低用量ピルは避妊以外にも効果がありますか？</v>
      </c>
      <c r="B231" s="31" t="str">
        <f>IFERROR(__xludf.DUMMYFUNCTION("""COMPUTED_VALUE"""),"低用量ピル（ピル）は、生理痛の軽減、PMS改善、経血量の減少、月経周期の安定、ニキビ改善などの副効用も期待できます。")</f>
        <v>低用量ピル（ピル）は、生理痛の軽減、PMS改善、経血量の減少、月経周期の安定、ニキビ改善などの副効用も期待できます。</v>
      </c>
      <c r="C231" s="31" t="str">
        <f>IFERROR(__xludf.DUMMYFUNCTION("""COMPUTED_VALUE"""),"低用量ピル（ピル）")</f>
        <v>低用量ピル（ピル）</v>
      </c>
      <c r="D231" s="31" t="str">
        <f>IFERROR(__xludf.DUMMYFUNCTION("""COMPUTED_VALUE"""),"低用量ピル,効果,生理痛")</f>
        <v>低用量ピル,効果,生理痛</v>
      </c>
      <c r="E231" s="32" t="str">
        <f>IFERROR(__xludf.DUMMYFUNCTION("""COMPUTED_VALUE"""),"https://luna-dr.com/subjects/low-dose-contraceptive/")</f>
        <v>https://luna-dr.com/subjects/low-dose-contraceptive/</v>
      </c>
    </row>
    <row r="232">
      <c r="A232" s="31" t="str">
        <f>IFERROR(__xludf.DUMMYFUNCTION("""COMPUTED_VALUE"""),"ピルを飲み始めてすぐに避妊効果はありますか？")</f>
        <v>ピルを飲み始めてすぐに避妊効果はありますか？</v>
      </c>
      <c r="B232" s="31" t="str">
        <f>IFERROR(__xludf.DUMMYFUNCTION("""COMPUTED_VALUE"""),"低用量ピル（ピル）は、最初の1シート目では避妊効果が安定しません。2シート目以降から避妊効果が期待できるため、最初の1シート目は他の避妊法を併用してください。飲み忘れなく服用を続け、2シート目からは避妊効果が期待できます。")</f>
        <v>低用量ピル（ピル）は、最初の1シート目では避妊効果が安定しません。2シート目以降から避妊効果が期待できるため、最初の1シート目は他の避妊法を併用してください。飲み忘れなく服用を続け、2シート目からは避妊効果が期待できます。</v>
      </c>
      <c r="C232" s="31" t="str">
        <f>IFERROR(__xludf.DUMMYFUNCTION("""COMPUTED_VALUE"""),"低用量ピル（ピル）")</f>
        <v>低用量ピル（ピル）</v>
      </c>
      <c r="D232" s="31" t="str">
        <f>IFERROR(__xludf.DUMMYFUNCTION("""COMPUTED_VALUE"""),"ピル,避妊効果,いつから")</f>
        <v>ピル,避妊効果,いつから</v>
      </c>
      <c r="E232" s="32" t="str">
        <f>IFERROR(__xludf.DUMMYFUNCTION("""COMPUTED_VALUE"""),"https://luna-dr.com/subjects/low-dose-contraceptive/")</f>
        <v>https://luna-dr.com/subjects/low-dose-contraceptive/</v>
      </c>
    </row>
    <row r="233">
      <c r="A233" s="31" t="str">
        <f>IFERROR(__xludf.DUMMYFUNCTION("""COMPUTED_VALUE"""),"ピルを飲み忘れたらどうなりますか？")</f>
        <v>ピルを飲み忘れたらどうなりますか？</v>
      </c>
      <c r="B233" s="31" t="str">
        <f>IFERROR(__xludf.DUMMYFUNCTION("""COMPUTED_VALUE"""),"ピルの飲み忘れが続くと避妊効果が低下するため、ご注意ください。低用量ピルを飲み忘れた場合は、飲み忘れた日数によって対応が異なります。異変を感じた場合はすぐにご相談ください。
・1日飲み忘れた場合
気づいた時点ですぐ1錠服用し、その後は通常通り同じ時間に服用してください。
1日の飲み忘れであれば、避妊効果への影響はほとんどありません。
・2日飲み忘れた場合
気づいた時点で飲み忘れた2錠を服用し、その後は通常通り続けてください。
ホルモン低下により不正出血が起こることがありますが、軽度であれば継続可能です"&amp;"。
強い腹痛や鮮血の出血がある場合は服用を中止し、ご相談ください。
・3日以上飲み忘れた場合
服用を中止し、生理が来たら5日以内に新しいシートを開始してください。
新しいシートを7日間連続で服用するまでは、必ず別の避妊方法を併用してください。
※休薬期間前後の飲み忘れは妊娠リスクが高まるため、特に注意が必要です。
""回答が遅れ申し訳ございません。
低用量ピルのなかでも、保険診療のものと自費診療のもので飲み忘れた際の服用方法や注意事項が異なるため、下記にて反映いただけますと幸いです。
こちらの件は当"&amp;"院勤務の看護師確認内容となります。
●自費診療の低用量ピル（ラベルフィーユやファボワールなど）
《1日飲み忘れの場合》
低用量ピルの服用を中止する必要はありません。
飲み忘れに気づいた時点で前日の分を服用し、本日分はいつも服用している時間に服用します。
本日分を服用する時に前日の飲み忘れに気づいた場合は、その時に前日分と合わせて2錠内服してください。
飲み忘れが1日なら避妊効果に影響はないと言われています。
《2日以上飲み忘れの場合》
2日以上内服を忘れた場合は一度内服を中止していただき、次回の自然"&amp;"な月経が来るのを待ってから内服再開していただきます。月経開始5日以内に内服再開するようにしてください。避妊効果は7日以上連続で内服をしてから出ますので内服再開したシートの最初の1列目は別の方法で避妊を兼ねるようにしてください。
ただし、4列目の偽薬で忘れた場合は元々ホルモン剤が入っていない錠剤のため、追加で服用は不要です。
●保険診療の低用量ピル（ヤーズフレックスなど）
《1日飲み忘れの場合》
低用量ピルの服用を中止する必要はありません。
飲み忘れに気づいた時点で前日の分を服用し、本日分はいつも服用"&amp;"している時間に服用します。
本日分を服用する時に前日の飲み忘れに気づいた場合は、その時に前日分と合わせて2錠内服してください。
《2日以上飲み忘れの場合》
気付いた時点で飲み忘れた分の直近の錠剤を内服、本日分はいつもの時間に内服して下さい。
本日分を服用する時に飲み忘れに気づいた場合は、その時に前日分と合わせて2錠内服して下さい。
その後は今までのスケジュール通り内服を続けて下さい。
※個人差はありますが、ホルモンの低下により不正出血が起こる可能性があります。
茶褐色の不正出血なら、ほとんどの場合ピル"&amp;"の服用を続けるとホルモンの量が正常に戻り収まります。
しかし、鮮血の出血や量が多い場合はピルの服用を続けても不正出血が続く可能性があります。
もし鮮血の出血が起きてしまった場合は現在のシートを中断していただき、次回月経が開始して5日以内に新しいシートの1錠目から内服再開してください。
《4日以上飲み忘れた場合》
医師への確認が必要です。
処方された医療機関を受診してご相談ください。""")</f>
        <v>ピルの飲み忘れが続くと避妊効果が低下するため、ご注意ください。低用量ピルを飲み忘れた場合は、飲み忘れた日数によって対応が異なります。異変を感じた場合はすぐにご相談ください。
・1日飲み忘れた場合
気づいた時点ですぐ1錠服用し、その後は通常通り同じ時間に服用してください。
1日の飲み忘れであれば、避妊効果への影響はほとんどありません。
・2日飲み忘れた場合
気づいた時点で飲み忘れた2錠を服用し、その後は通常通り続けてください。
ホルモン低下により不正出血が起こることがありますが、軽度であれば継続可能です。
強い腹痛や鮮血の出血がある場合は服用を中止し、ご相談ください。
・3日以上飲み忘れた場合
服用を中止し、生理が来たら5日以内に新しいシートを開始してください。
新しいシートを7日間連続で服用するまでは、必ず別の避妊方法を併用してください。
※休薬期間前後の飲み忘れは妊娠リスクが高まるため、特に注意が必要です。
"回答が遅れ申し訳ございません。
低用量ピルのなかでも、保険診療のものと自費診療のもので飲み忘れた際の服用方法や注意事項が異なるため、下記にて反映いただけますと幸いです。
こちらの件は当院勤務の看護師確認内容となります。
●自費診療の低用量ピル（ラベルフィーユやファボワールなど）
《1日飲み忘れの場合》
低用量ピルの服用を中止する必要はありません。
飲み忘れに気づいた時点で前日の分を服用し、本日分はいつも服用している時間に服用します。
本日分を服用する時に前日の飲み忘れに気づいた場合は、その時に前日分と合わせて2錠内服してください。
飲み忘れが1日なら避妊効果に影響はないと言われています。
《2日以上飲み忘れの場合》
2日以上内服を忘れた場合は一度内服を中止していただき、次回の自然な月経が来るのを待ってから内服再開していただきます。月経開始5日以内に内服再開するようにしてください。避妊効果は7日以上連続で内服をしてから出ますので内服再開したシートの最初の1列目は別の方法で避妊を兼ねるようにしてください。
ただし、4列目の偽薬で忘れた場合は元々ホルモン剤が入っていない錠剤のため、追加で服用は不要です。
●保険診療の低用量ピル（ヤーズフレックスなど）
《1日飲み忘れの場合》
低用量ピルの服用を中止する必要はありません。
飲み忘れに気づいた時点で前日の分を服用し、本日分はいつも服用している時間に服用します。
本日分を服用する時に前日の飲み忘れに気づいた場合は、その時に前日分と合わせて2錠内服してください。
《2日以上飲み忘れの場合》
気付いた時点で飲み忘れた分の直近の錠剤を内服、本日分はいつもの時間に内服して下さい。
本日分を服用する時に飲み忘れに気づいた場合は、その時に前日分と合わせて2錠内服して下さい。
その後は今までのスケジュール通り内服を続けて下さい。
※個人差はありますが、ホルモンの低下により不正出血が起こる可能性があります。
茶褐色の不正出血なら、ほとんどの場合ピルの服用を続けるとホルモンの量が正常に戻り収まります。
しかし、鮮血の出血や量が多い場合はピルの服用を続けても不正出血が続く可能性があります。
もし鮮血の出血が起きてしまった場合は現在のシートを中断していただき、次回月経が開始して5日以内に新しいシートの1錠目から内服再開してください。
《4日以上飲み忘れた場合》
医師への確認が必要です。
処方された医療機関を受診してご相談ください。"</v>
      </c>
      <c r="C233" s="31" t="str">
        <f>IFERROR(__xludf.DUMMYFUNCTION("""COMPUTED_VALUE"""),"低用量ピル（ピル）")</f>
        <v>低用量ピル（ピル）</v>
      </c>
      <c r="D233" s="31" t="str">
        <f>IFERROR(__xludf.DUMMYFUNCTION("""COMPUTED_VALUE"""),"ピル,飲み忘れ,対処")</f>
        <v>ピル,飲み忘れ,対処</v>
      </c>
      <c r="E233" s="32" t="str">
        <f>IFERROR(__xludf.DUMMYFUNCTION("""COMPUTED_VALUE"""),"https://luna-dr.com/subjects/low-dose-contraceptive/")</f>
        <v>https://luna-dr.com/subjects/low-dose-contraceptive/</v>
      </c>
    </row>
    <row r="234">
      <c r="A234" s="31" t="str">
        <f>IFERROR(__xludf.DUMMYFUNCTION("""COMPUTED_VALUE"""),"ピルを飲むと太りますか？")</f>
        <v>ピルを飲むと太りますか？</v>
      </c>
      <c r="B234" s="31" t="str">
        <f>IFERROR(__xludf.DUMMYFUNCTION("""COMPUTED_VALUE"""),"個人差はありますが、飲み始めにピルのホルモンの影響で食欲が増したり、むくみやすくなったりする方がいらっしゃいます。しかし、多くの場合、体が慣れてホルモンの状態が整ってくると、むくみや食欲も落ち着いてきます。まずは3ヶ月ほど、様子を見ながら服用を続けることをお勧めしています。")</f>
        <v>個人差はありますが、飲み始めにピルのホルモンの影響で食欲が増したり、むくみやすくなったりする方がいらっしゃいます。しかし、多くの場合、体が慣れてホルモンの状態が整ってくると、むくみや食欲も落ち着いてきます。まずは3ヶ月ほど、様子を見ながら服用を続けることをお勧めしています。</v>
      </c>
      <c r="C234" s="31" t="str">
        <f>IFERROR(__xludf.DUMMYFUNCTION("""COMPUTED_VALUE"""),"低用量ピル（ピル）")</f>
        <v>低用量ピル（ピル）</v>
      </c>
      <c r="D234" s="31" t="str">
        <f>IFERROR(__xludf.DUMMYFUNCTION("""COMPUTED_VALUE"""),"ピル,太る,副作用")</f>
        <v>ピル,太る,副作用</v>
      </c>
      <c r="E234" s="32" t="str">
        <f>IFERROR(__xludf.DUMMYFUNCTION("""COMPUTED_VALUE"""),"https://luna-dr.com/subjects/low-dose-contraceptive/")</f>
        <v>https://luna-dr.com/subjects/low-dose-contraceptive/</v>
      </c>
    </row>
    <row r="235">
      <c r="A235" s="31" t="str">
        <f>IFERROR(__xludf.DUMMYFUNCTION("""COMPUTED_VALUE"""),"ピルを飲むと将来妊娠しにくくなりますか？")</f>
        <v>ピルを飲むと将来妊娠しにくくなりますか？</v>
      </c>
      <c r="B235" s="31" t="str">
        <f>IFERROR(__xludf.DUMMYFUNCTION("""COMPUTED_VALUE"""),"低用量ピル（ピル）やアフターピル（緊急避妊薬）は、服用をやめれば排卵が再開し、将来の妊娠能力に影響することはありません。")</f>
        <v>低用量ピル（ピル）やアフターピル（緊急避妊薬）は、服用をやめれば排卵が再開し、将来の妊娠能力に影響することはありません。</v>
      </c>
      <c r="C235" s="31" t="str">
        <f>IFERROR(__xludf.DUMMYFUNCTION("""COMPUTED_VALUE"""),"低用量ピル（ピル）")</f>
        <v>低用量ピル（ピル）</v>
      </c>
      <c r="D235" s="31" t="str">
        <f>IFERROR(__xludf.DUMMYFUNCTION("""COMPUTED_VALUE"""),"ピル,妊娠,将来")</f>
        <v>ピル,妊娠,将来</v>
      </c>
      <c r="E235" s="32" t="str">
        <f>IFERROR(__xludf.DUMMYFUNCTION("""COMPUTED_VALUE"""),"https://luna-dr.com/subjects/low-dose-contraceptive/")</f>
        <v>https://luna-dr.com/subjects/low-dose-contraceptive/</v>
      </c>
    </row>
    <row r="236">
      <c r="A236" s="31" t="str">
        <f>IFERROR(__xludf.DUMMYFUNCTION("""COMPUTED_VALUE"""),"ピルの副作用にはどんなものがありますか？")</f>
        <v>ピルの副作用にはどんなものがありますか？</v>
      </c>
      <c r="B236" s="31" t="str">
        <f>IFERROR(__xludf.DUMMYFUNCTION("""COMPUTED_VALUE"""),"低用量ピル（ピル）の副作用として、吐き気、頭痛、不正出血、むくみなどが起こることがありますが、多くは3〜6ヶ月で軽快します。")</f>
        <v>低用量ピル（ピル）の副作用として、吐き気、頭痛、不正出血、むくみなどが起こることがありますが、多くは3〜6ヶ月で軽快します。</v>
      </c>
      <c r="C236" s="31" t="str">
        <f>IFERROR(__xludf.DUMMYFUNCTION("""COMPUTED_VALUE"""),"低用量ピル（ピル）")</f>
        <v>低用量ピル（ピル）</v>
      </c>
      <c r="D236" s="31" t="str">
        <f>IFERROR(__xludf.DUMMYFUNCTION("""COMPUTED_VALUE"""),"ピル,副作用,吐き気")</f>
        <v>ピル,副作用,吐き気</v>
      </c>
      <c r="E236" s="32" t="str">
        <f>IFERROR(__xludf.DUMMYFUNCTION("""COMPUTED_VALUE"""),"https://luna-dr.com/subjects/low-dose-contraceptive/")</f>
        <v>https://luna-dr.com/subjects/low-dose-contraceptive/</v>
      </c>
    </row>
    <row r="237">
      <c r="A237" s="31" t="str">
        <f>IFERROR(__xludf.DUMMYFUNCTION("""COMPUTED_VALUE"""),"ピルで血栓症になることはありますか？")</f>
        <v>ピルで血栓症になることはありますか？</v>
      </c>
      <c r="B237" s="31" t="str">
        <f>IFERROR(__xludf.DUMMYFUNCTION("""COMPUTED_VALUE"""),"ピルを服用していない人と比べると、血栓症（血管の中に血の塊が詰まる病気）のリスクは高まります。しかし、その頻度は「自動車を運転する人が事故に遭うリスク」とよく比較されます。私たちは、車の運転が危険だからといって、その利便性を手放したりはしませんよね。それと同じで、ピルにも避妊やQOL向上といった、リスクを上回る大きなメリットがあります。当院では、このリスクとメリットを丁寧にご説明し、ご理解いただいた上で処方しています。")</f>
        <v>ピルを服用していない人と比べると、血栓症（血管の中に血の塊が詰まる病気）のリスクは高まります。しかし、その頻度は「自動車を運転する人が事故に遭うリスク」とよく比較されます。私たちは、車の運転が危険だからといって、その利便性を手放したりはしませんよね。それと同じで、ピルにも避妊やQOL向上といった、リスクを上回る大きなメリットがあります。当院では、このリスクとメリットを丁寧にご説明し、ご理解いただいた上で処方しています。</v>
      </c>
      <c r="C237" s="31" t="str">
        <f>IFERROR(__xludf.DUMMYFUNCTION("""COMPUTED_VALUE"""),"低用量ピル（ピル）")</f>
        <v>低用量ピル（ピル）</v>
      </c>
      <c r="D237" s="31" t="str">
        <f>IFERROR(__xludf.DUMMYFUNCTION("""COMPUTED_VALUE"""),"ピル,血栓症,リスク")</f>
        <v>ピル,血栓症,リスク</v>
      </c>
      <c r="E237" s="32" t="str">
        <f>IFERROR(__xludf.DUMMYFUNCTION("""COMPUTED_VALUE"""),"https://luna-dr.com/subjects/low-dose-contraceptive/")</f>
        <v>https://luna-dr.com/subjects/low-dose-contraceptive/</v>
      </c>
    </row>
    <row r="238">
      <c r="A238" s="31" t="str">
        <f>IFERROR(__xludf.DUMMYFUNCTION("""COMPUTED_VALUE"""),"低用量ピルは誰でも飲めますか？")</f>
        <v>低用量ピルは誰でも飲めますか？</v>
      </c>
      <c r="B238" s="31" t="str">
        <f>IFERROR(__xludf.DUMMYFUNCTION("""COMPUTED_VALUE"""),"以下に該当する方は原則としてピルを服用できません。
・50歳以上の方、または初経前の方
・BMIが30以上の方
・35歳以上で1日に15本以上タバコを吸う方
・その他、重い持病をお持ちの方 など
当院では、国のガイドラインに加え、より安全にピルを服用いただくために以下の基準を設けております。
・40歳以上で初めてピルの服用を開始される方
・40歳以上で、喫煙されている方、BMIが25以上の方、高血圧のいずれかに該当する方
上記に当てはまる場合、ピルを処方できない可能性がございます。安全な処方のため"&amp;"、診察時に医師が詳しくお話を伺い、丁寧に判断させていただきます。")</f>
        <v>以下に該当する方は原則としてピルを服用できません。
・50歳以上の方、または初経前の方
・BMIが30以上の方
・35歳以上で1日に15本以上タバコを吸う方
・その他、重い持病をお持ちの方 など
当院では、国のガイドラインに加え、より安全にピルを服用いただくために以下の基準を設けております。
・40歳以上で初めてピルの服用を開始される方
・40歳以上で、喫煙されている方、BMIが25以上の方、高血圧のいずれかに該当する方
上記に当てはまる場合、ピルを処方できない可能性がございます。安全な処方のため、診察時に医師が詳しくお話を伺い、丁寧に判断させていただきます。</v>
      </c>
      <c r="C238" s="31" t="str">
        <f>IFERROR(__xludf.DUMMYFUNCTION("""COMPUTED_VALUE"""),"低用量ピル（ピル）")</f>
        <v>低用量ピル（ピル）</v>
      </c>
      <c r="D238" s="31" t="str">
        <f>IFERROR(__xludf.DUMMYFUNCTION("""COMPUTED_VALUE"""),"ピル,飲めない,人")</f>
        <v>ピル,飲めない,人</v>
      </c>
      <c r="E238" s="32" t="str">
        <f>IFERROR(__xludf.DUMMYFUNCTION("""COMPUTED_VALUE"""),"https://luna-dr.com/subjects/low-dose-contraceptive/")</f>
        <v>https://luna-dr.com/subjects/low-dose-contraceptive/</v>
      </c>
    </row>
    <row r="239">
      <c r="A239" s="31" t="str">
        <f>IFERROR(__xludf.DUMMYFUNCTION("""COMPUTED_VALUE"""),"生理の回数を減らしても体に影響はありませんか？")</f>
        <v>生理の回数を減らしても体に影響はありませんか？</v>
      </c>
      <c r="B239" s="31" t="str">
        <f>IFERROR(__xludf.DUMMYFUNCTION("""COMPUTED_VALUE"""),"大きな害はありませんのでご安心ください。むしろ、生理の回数が減ることで、排卵や月経に伴う身体的・精神的な負担が軽減されます。また、子宮筋腫や子宮内膜症といった、生理がある間は進行しやすい病気の進行を遅らせる効果も期待できます。")</f>
        <v>大きな害はありませんのでご安心ください。むしろ、生理の回数が減ることで、排卵や月経に伴う身体的・精神的な負担が軽減されます。また、子宮筋腫や子宮内膜症といった、生理がある間は進行しやすい病気の進行を遅らせる効果も期待できます。</v>
      </c>
      <c r="C239" s="31" t="str">
        <f>IFERROR(__xludf.DUMMYFUNCTION("""COMPUTED_VALUE"""),"低用量ピル（ピル）")</f>
        <v>低用量ピル（ピル）</v>
      </c>
      <c r="D239" s="31" t="str">
        <f>IFERROR(__xludf.DUMMYFUNCTION("""COMPUTED_VALUE"""),"ピル,生理の回数,影響")</f>
        <v>ピル,生理の回数,影響</v>
      </c>
      <c r="E239" s="32" t="str">
        <f>IFERROR(__xludf.DUMMYFUNCTION("""COMPUTED_VALUE"""),"https://luna-dr.com/subjects/low-dose-contraceptive/")</f>
        <v>https://luna-dr.com/subjects/low-dose-contraceptive/</v>
      </c>
    </row>
    <row r="240">
      <c r="A240" s="31" t="str">
        <f>IFERROR(__xludf.DUMMYFUNCTION("""COMPUTED_VALUE"""),"低用量ピルは初診からオンライン診療で処方できますか？")</f>
        <v>低用量ピルは初診からオンライン診療で処方できますか？</v>
      </c>
      <c r="B240" s="31" t="str">
        <f>IFERROR(__xludf.DUMMYFUNCTION("""COMPUTED_VALUE"""),"避妊目的の低用量ピル（OC）は初診からオンライン診療が可能です。治療目的の低用量ピル（LEP）は初回は検査が必要なため来院診療となります。")</f>
        <v>避妊目的の低用量ピル（OC）は初診からオンライン診療が可能です。治療目的の低用量ピル（LEP）は初回は検査が必要なため来院診療となります。</v>
      </c>
      <c r="C240" s="31" t="str">
        <f>IFERROR(__xludf.DUMMYFUNCTION("""COMPUTED_VALUE"""),"低用量ピル（ピル）")</f>
        <v>低用量ピル（ピル）</v>
      </c>
      <c r="D240" s="31" t="str">
        <f>IFERROR(__xludf.DUMMYFUNCTION("""COMPUTED_VALUE"""),"ピル,初診,オンライン")</f>
        <v>ピル,初診,オンライン</v>
      </c>
      <c r="E240" s="32" t="str">
        <f>IFERROR(__xludf.DUMMYFUNCTION("""COMPUTED_VALUE"""),"https://luna-dr.com/subjects/low-dose-contraceptive/")</f>
        <v>https://luna-dr.com/subjects/low-dose-contraceptive/</v>
      </c>
    </row>
    <row r="241">
      <c r="A241" s="31" t="str">
        <f>IFERROR(__xludf.DUMMYFUNCTION("""COMPUTED_VALUE"""),"アフターピルは初診でもオンライン診療できますか？")</f>
        <v>アフターピルは初診でもオンライン診療できますか？</v>
      </c>
      <c r="B241" s="31" t="str">
        <f>IFERROR(__xludf.DUMMYFUNCTION("""COMPUTED_VALUE"""),"アフターピル（緊急避妊薬）は初診の方でもオンライン診療で相談・処方が可能です。")</f>
        <v>アフターピル（緊急避妊薬）は初診の方でもオンライン診療で相談・処方が可能です。</v>
      </c>
      <c r="C241" s="31" t="str">
        <f>IFERROR(__xludf.DUMMYFUNCTION("""COMPUTED_VALUE"""),"アフターピル（緊急避妊薬）")</f>
        <v>アフターピル（緊急避妊薬）</v>
      </c>
      <c r="D241" s="31" t="str">
        <f>IFERROR(__xludf.DUMMYFUNCTION("""COMPUTED_VALUE"""),"アフターピル,初診,オンライン")</f>
        <v>アフターピル,初診,オンライン</v>
      </c>
      <c r="E241" s="32" t="str">
        <f>IFERROR(__xludf.DUMMYFUNCTION("""COMPUTED_VALUE"""),"https://luna-dr.com/subjects/low-dose-contraceptive/")</f>
        <v>https://luna-dr.com/subjects/low-dose-contraceptive/</v>
      </c>
    </row>
    <row r="242">
      <c r="A242" s="31" t="str">
        <f>IFERROR(__xludf.DUMMYFUNCTION("""COMPUTED_VALUE"""),"ピルの処方には内診がありますか？")</f>
        <v>ピルの処方には内診がありますか？</v>
      </c>
      <c r="B242" s="31" t="str">
        <f>IFERROR(__xludf.DUMMYFUNCTION("""COMPUTED_VALUE"""),"避妊目的の低用量ピル（OC）は問診が中心で、基本的に内診はありません。治療目的（LEP）の場合は検査が必要です。")</f>
        <v>避妊目的の低用量ピル（OC）は問診が中心で、基本的に内診はありません。治療目的（LEP）の場合は検査が必要です。</v>
      </c>
      <c r="C242" s="31" t="str">
        <f>IFERROR(__xludf.DUMMYFUNCTION("""COMPUTED_VALUE"""),"低用量ピル（ピル）")</f>
        <v>低用量ピル（ピル）</v>
      </c>
      <c r="D242" s="31" t="str">
        <f>IFERROR(__xludf.DUMMYFUNCTION("""COMPUTED_VALUE"""),"ピル,内診,不安")</f>
        <v>ピル,内診,不安</v>
      </c>
      <c r="E242" s="32" t="str">
        <f>IFERROR(__xludf.DUMMYFUNCTION("""COMPUTED_VALUE"""),"https://luna-dr.com/subjects/low-dose-contraceptive/")</f>
        <v>https://luna-dr.com/subjects/low-dose-contraceptive/</v>
      </c>
    </row>
    <row r="243">
      <c r="A243" s="31" t="str">
        <f>IFERROR(__xludf.DUMMYFUNCTION("""COMPUTED_VALUE"""),"ピルは保険適用されますか？")</f>
        <v>ピルは保険適用されますか？</v>
      </c>
      <c r="B243" s="31" t="str">
        <f>IFERROR(__xludf.DUMMYFUNCTION("""COMPUTED_VALUE"""),"治療目的の低用量ピル（LEP）は保険適用です。避妊目的の低用量ピル（OC）とアフターピルは自由診療となります。")</f>
        <v>治療目的の低用量ピル（LEP）は保険適用です。避妊目的の低用量ピル（OC）とアフターピルは自由診療となります。</v>
      </c>
      <c r="C243" s="31" t="str">
        <f>IFERROR(__xludf.DUMMYFUNCTION("""COMPUTED_VALUE"""),"低用量ピル（ピル）")</f>
        <v>低用量ピル（ピル）</v>
      </c>
      <c r="D243" s="31" t="str">
        <f>IFERROR(__xludf.DUMMYFUNCTION("""COMPUTED_VALUE"""),"ピル,保険,適用")</f>
        <v>ピル,保険,適用</v>
      </c>
      <c r="E243" s="32" t="str">
        <f>IFERROR(__xludf.DUMMYFUNCTION("""COMPUTED_VALUE"""),"https://luna-dr.com/subjects/low-dose-contraceptive/")</f>
        <v>https://luna-dr.com/subjects/low-dose-contraceptive/</v>
      </c>
    </row>
    <row r="244">
      <c r="A244" s="31" t="str">
        <f>IFERROR(__xludf.DUMMYFUNCTION("""COMPUTED_VALUE"""),"ピルの費用はいくらくらいですか？")</f>
        <v>ピルの費用はいくらくらいですか？</v>
      </c>
      <c r="B244" s="31" t="str">
        <f>IFERROR(__xludf.DUMMYFUNCTION("""COMPUTED_VALUE"""),"低用量ピル（ピル）は1シート3,000円前後から、定期配送プランもあります。診察料が別途かかります。")</f>
        <v>低用量ピル（ピル）は1シート3,000円前後から、定期配送プランもあります。診察料が別途かかります。</v>
      </c>
      <c r="C244" s="31" t="str">
        <f>IFERROR(__xludf.DUMMYFUNCTION("""COMPUTED_VALUE"""),"低用量ピル（ピル）")</f>
        <v>低用量ピル（ピル）</v>
      </c>
      <c r="D244" s="31" t="str">
        <f>IFERROR(__xludf.DUMMYFUNCTION("""COMPUTED_VALUE"""),"ピル,費用,料金")</f>
        <v>ピル,費用,料金</v>
      </c>
      <c r="E244" s="32" t="str">
        <f>IFERROR(__xludf.DUMMYFUNCTION("""COMPUTED_VALUE"""),"https://luna-dr.com/subjects/low-dose-contraceptive/")</f>
        <v>https://luna-dr.com/subjects/low-dose-contraceptive/</v>
      </c>
    </row>
    <row r="245">
      <c r="A245" s="31" t="str">
        <f>IFERROR(__xludf.DUMMYFUNCTION("""COMPUTED_VALUE"""),"ピルの処方はどれくらいまとめてもらえますか？/低用量ピルは何ヶ月分まとめて処方してもらえますか？")</f>
        <v>ピルの処方はどれくらいまとめてもらえますか？/低用量ピルは何ヶ月分まとめて処方してもらえますか？</v>
      </c>
      <c r="B245" s="31" t="str">
        <f>IFERROR(__xludf.DUMMYFUNCTION("""COMPUTED_VALUE"""),"低用量ピル（OC）は最大6ヶ月分、治療目的のLEPは最大3ヶ月分まで処方可能です。")</f>
        <v>低用量ピル（OC）は最大6ヶ月分、治療目的のLEPは最大3ヶ月分まで処方可能です。</v>
      </c>
      <c r="C245" s="31" t="str">
        <f>IFERROR(__xludf.DUMMYFUNCTION("""COMPUTED_VALUE"""),"低用量ピル（ピル）")</f>
        <v>低用量ピル（ピル）</v>
      </c>
      <c r="D245" s="31" t="str">
        <f>IFERROR(__xludf.DUMMYFUNCTION("""COMPUTED_VALUE"""),"ピル,処方,何ヶ月")</f>
        <v>ピル,処方,何ヶ月</v>
      </c>
      <c r="E245" s="32" t="str">
        <f>IFERROR(__xludf.DUMMYFUNCTION("""COMPUTED_VALUE"""),"https://luna-dr.com/subjects/low-dose-contraceptive/")</f>
        <v>https://luna-dr.com/subjects/low-dose-contraceptive/</v>
      </c>
    </row>
    <row r="246">
      <c r="A246" s="31" t="str">
        <f>IFERROR(__xludf.DUMMYFUNCTION("""COMPUTED_VALUE"""),"低用量ピルの処方の流れを教えてください")</f>
        <v>低用量ピルの処方の流れを教えてください</v>
      </c>
      <c r="B246" s="31" t="str">
        <f>IFERROR(__xludf.DUMMYFUNCTION("""COMPUTED_VALUE"""),"ルナレディースクリニックでは、低用量ピルの処方は「来院診療」または「オンライン診療」から選べます。まずは公式LINEからご予約いただき、WEB問診にご回答ください。来院診療の場合は、医師が目的に応じた診察を行い、避妊目的（OCピル）の場合は主に問診のみ、治療目的（LEPピル）の場合は超音波（エコー）検査を行うことがあります。診察後にお薬を処方し、お会計となります。初診時は1シートのみの処方となり、2回目以降はOCピルは最大6ヶ月分、LEPピルは最大3ヶ月分まで処方可能です。オンライン診療は避妊目的の低用量"&amp;"ピル（OC・自費診療）のみ対象で、LINE予約後にWEB問診、電話またはチャットでの診察、決済確認後にお薬を発送します。服用中に不安がある場合は、LINEでいつでもご相談いただけます。")</f>
        <v>ルナレディースクリニックでは、低用量ピルの処方は「来院診療」または「オンライン診療」から選べます。まずは公式LINEからご予約いただき、WEB問診にご回答ください。来院診療の場合は、医師が目的に応じた診察を行い、避妊目的（OCピル）の場合は主に問診のみ、治療目的（LEPピル）の場合は超音波（エコー）検査を行うことがあります。診察後にお薬を処方し、お会計となります。初診時は1シートのみの処方となり、2回目以降はOCピルは最大6ヶ月分、LEPピルは最大3ヶ月分まで処方可能です。オンライン診療は避妊目的の低用量ピル（OC・自費診療）のみ対象で、LINE予約後にWEB問診、電話またはチャットでの診察、決済確認後にお薬を発送します。服用中に不安がある場合は、LINEでいつでもご相談いただけます。</v>
      </c>
      <c r="C246" s="31" t="str">
        <f>IFERROR(__xludf.DUMMYFUNCTION("""COMPUTED_VALUE"""),"低用量ピル（OC,LEP）")</f>
        <v>低用量ピル（OC,LEP）</v>
      </c>
      <c r="D246" s="31" t="str">
        <f>IFERROR(__xludf.DUMMYFUNCTION("""COMPUTED_VALUE"""),"低用量ピル,ピル処方,診察の流れ,来院診療,オンライン診療,避妊,生理痛")</f>
        <v>低用量ピル,ピル処方,診察の流れ,来院診療,オンライン診療,避妊,生理痛</v>
      </c>
      <c r="E246" s="32" t="str">
        <f>IFERROR(__xludf.DUMMYFUNCTION("""COMPUTED_VALUE"""),"https://luna-dr.com/subjects/low-dose-contraceptive/")</f>
        <v>https://luna-dr.com/subjects/low-dose-contraceptive/</v>
      </c>
    </row>
    <row r="247">
      <c r="A247" s="31" t="str">
        <f>IFERROR(__xludf.DUMMYFUNCTION("""COMPUTED_VALUE"""),"ピルの相談はどうやって予約しますか？")</f>
        <v>ピルの相談はどうやって予約しますか？</v>
      </c>
      <c r="B247" s="31" t="str">
        <f>IFERROR(__xludf.DUMMYFUNCTION("""COMPUTED_VALUE"""),"ルナレディースクリニックでは、低用量ピルの診察は公式LINEまたはお電話からご予約いただけます。避妊目的の低用量ピル（OC）の場合は来院診療・オンライン診療のどちらも選択可能です。治療目的の低用量ピル（LEP）の場合は、症状の診察や検査が必要なため、初診・再診にかかわらず必ず【来院】での診療予約をお願いいたします。
来院診療の場合は「ピル処方」のメニューでご予約ください→https://cline-app.com/qr-codes/98ad6f149bfa20f4f2a9a2e91aac4187/pre"&amp;"view
オンライン診療のご予約はこちら→https://liff-gateway.lineml.jp/landing?follow=%40590gpxrd&amp;lp=fX73yx&amp;liff_id=1657094566-LmjNPPbV")</f>
        <v>ルナレディースクリニックでは、低用量ピルの診察は公式LINEまたはお電話からご予約いただけます。避妊目的の低用量ピル（OC）の場合は来院診療・オンライン診療のどちらも選択可能です。治療目的の低用量ピル（LEP）の場合は、症状の診察や検査が必要なため、初診・再診にかかわらず必ず【来院】での診療予約をお願いいたします。
来院診療の場合は「ピル処方」のメニューでご予約ください→https://cline-app.com/qr-codes/98ad6f149bfa20f4f2a9a2e91aac4187/preview
オンライン診療のご予約はこちら→https://liff-gateway.lineml.jp/landing?follow=%40590gpxrd&amp;lp=fX73yx&amp;liff_id=1657094566-LmjNPPbV</v>
      </c>
      <c r="C247" s="31" t="str">
        <f>IFERROR(__xludf.DUMMYFUNCTION("""COMPUTED_VALUE"""),"低用量ピル（ピル）")</f>
        <v>低用量ピル（ピル）</v>
      </c>
      <c r="D247" s="31" t="str">
        <f>IFERROR(__xludf.DUMMYFUNCTION("""COMPUTED_VALUE"""),"ピル,予約,方法")</f>
        <v>ピル,予約,方法</v>
      </c>
      <c r="E247" s="32" t="str">
        <f>IFERROR(__xludf.DUMMYFUNCTION("""COMPUTED_VALUE"""),"https://luna-dr.com/subjects/low-dose-contraceptive/")</f>
        <v>https://luna-dr.com/subjects/low-dose-contraceptive/</v>
      </c>
    </row>
    <row r="248">
      <c r="A248" s="31" t="str">
        <f>IFERROR(__xludf.DUMMYFUNCTION("""COMPUTED_VALUE"""),"低用量ピルはどうやって予約すればいいですか？")</f>
        <v>低用量ピルはどうやって予約すればいいですか？</v>
      </c>
      <c r="B248" s="31" t="str">
        <f>IFERROR(__xludf.DUMMYFUNCTION("""COMPUTED_VALUE"""),"ルナレディースクリニックでは、低用量ピルの診察は公式LINEまたはお電話からご予約いただけます。避妊目的の低用量ピル（OC）の場合は来院診療・オンライン診療のどちらも選択可能です。治療目的の低用量ピル（LEP）の場合は、症状の診察や検査が必要なため、初診・再診にかかわらず必ず【来院】での診療予約をお願いいたします。
来院診療の場合は「ピル処方」のメニューでご予約ください→https://cline-app.com/qr-codes/98ad6f149bfa20f4f2a9a2e91aac4187/pre"&amp;"view
オンライン診療のご予約はこちら→https://liff-gateway.lineml.jp/landing?follow=%40590gpxrd&amp;lp=fX73yx&amp;liff_id=1657094566-LmjNPPbV")</f>
        <v>ルナレディースクリニックでは、低用量ピルの診察は公式LINEまたはお電話からご予約いただけます。避妊目的の低用量ピル（OC）の場合は来院診療・オンライン診療のどちらも選択可能です。治療目的の低用量ピル（LEP）の場合は、症状の診察や検査が必要なため、初診・再診にかかわらず必ず【来院】での診療予約をお願いいたします。
来院診療の場合は「ピル処方」のメニューでご予約ください→https://cline-app.com/qr-codes/98ad6f149bfa20f4f2a9a2e91aac4187/preview
オンライン診療のご予約はこちら→https://liff-gateway.lineml.jp/landing?follow=%40590gpxrd&amp;lp=fX73yx&amp;liff_id=1657094566-LmjNPPbV</v>
      </c>
      <c r="C248" s="31" t="str">
        <f>IFERROR(__xludf.DUMMYFUNCTION("""COMPUTED_VALUE"""),"低用量ピル（OC,LEP）")</f>
        <v>低用量ピル（OC,LEP）</v>
      </c>
      <c r="D248" s="31" t="str">
        <f>IFERROR(__xludf.DUMMYFUNCTION("""COMPUTED_VALUE"""),"予約方法,LINE,電話,ピル")</f>
        <v>予約方法,LINE,電話,ピル</v>
      </c>
      <c r="E248" s="32" t="str">
        <f>IFERROR(__xludf.DUMMYFUNCTION("""COMPUTED_VALUE"""),"https://luna-dr.com/subjects/low-dose-contraceptive/")</f>
        <v>https://luna-dr.com/subjects/low-dose-contraceptive/</v>
      </c>
    </row>
    <row r="249">
      <c r="A249" s="31" t="str">
        <f>IFERROR(__xludf.DUMMYFUNCTION("""COMPUTED_VALUE"""),"低用量ピルはLINEから予約できますか？")</f>
        <v>低用量ピルはLINEから予約できますか？</v>
      </c>
      <c r="B249" s="31" t="str">
        <f>IFERROR(__xludf.DUMMYFUNCTION("""COMPUTED_VALUE"""),"ルナレディースクリニックでは、低用量ピルの診察は公式LINEまたはお電話からご予約いただけます。避妊目的の低用量ピル（OC）の場合は来院診療・オンライン診療のどちらも選択可能です。治療目的の低用量ピル（LEP）の場合は、症状の診察や検査が必要なため、初診・再診にかかわらず必ず【来院】での診療予約をお願いいたします。
来院診療の場合は「ピル処方」のメニューでご予約ください→https://cline-app.com/qr-codes/98ad6f149bfa20f4f2a9a2e91aac4187/pre"&amp;"view
オンライン診療のご予約はこちら→https://liff-gateway.lineml.jp/landing?follow=%40590gpxrd&amp;lp=fX73yx&amp;liff_id=1657094566-LmjNPPbV")</f>
        <v>ルナレディースクリニックでは、低用量ピルの診察は公式LINEまたはお電話からご予約いただけます。避妊目的の低用量ピル（OC）の場合は来院診療・オンライン診療のどちらも選択可能です。治療目的の低用量ピル（LEP）の場合は、症状の診察や検査が必要なため、初診・再診にかかわらず必ず【来院】での診療予約をお願いいたします。
来院診療の場合は「ピル処方」のメニューでご予約ください→https://cline-app.com/qr-codes/98ad6f149bfa20f4f2a9a2e91aac4187/preview
オンライン診療のご予約はこちら→https://liff-gateway.lineml.jp/landing?follow=%40590gpxrd&amp;lp=fX73yx&amp;liff_id=1657094566-LmjNPPbV</v>
      </c>
      <c r="C249" s="31" t="str">
        <f>IFERROR(__xludf.DUMMYFUNCTION("""COMPUTED_VALUE"""),"低用量ピル（OC,LEP）")</f>
        <v>低用量ピル（OC,LEP）</v>
      </c>
      <c r="D249" s="31" t="str">
        <f>IFERROR(__xludf.DUMMYFUNCTION("""COMPUTED_VALUE"""),"LINE予約,婦人科予約,低用量ピル")</f>
        <v>LINE予約,婦人科予約,低用量ピル</v>
      </c>
      <c r="E249" s="32" t="str">
        <f>IFERROR(__xludf.DUMMYFUNCTION("""COMPUTED_VALUE"""),"https://luna-dr.com/subjects/low-dose-contraceptive/")</f>
        <v>https://luna-dr.com/subjects/low-dose-contraceptive/</v>
      </c>
    </row>
    <row r="250">
      <c r="A250" s="31" t="str">
        <f>IFERROR(__xludf.DUMMYFUNCTION("""COMPUTED_VALUE"""),"低用量ピルは電話でも予約できますか？")</f>
        <v>低用量ピルは電話でも予約できますか？</v>
      </c>
      <c r="B250" s="31" t="str">
        <f>IFERROR(__xludf.DUMMYFUNCTION("""COMPUTED_VALUE"""),"LINEでの予約後、事前問診等もLINEから行うことができ、スムーズに受診ができるため、当院ではLINEでのご予約を推奨しております。
来院診療の場合は「ピル処方」のメニューでご予約ください→https://cline-app.com/qr-codes/98ad6f149bfa20f4f2a9a2e91aac4187/preview
オンライン診療のご予約はこちら→https://liff-gateway.lineml.jp/landing?follow=%40590gpxrd&amp;lp=fX73yx&amp;li"&amp;"ff_id=1657094566-LmjNPPbV")</f>
        <v>LINEでの予約後、事前問診等もLINEから行うことができ、スムーズに受診ができるため、当院ではLINEでのご予約を推奨しております。
来院診療の場合は「ピル処方」のメニューでご予約ください→https://cline-app.com/qr-codes/98ad6f149bfa20f4f2a9a2e91aac4187/preview
オンライン診療のご予約はこちら→https://liff-gateway.lineml.jp/landing?follow=%40590gpxrd&amp;lp=fX73yx&amp;liff_id=1657094566-LmjNPPbV</v>
      </c>
      <c r="C250" s="31" t="str">
        <f>IFERROR(__xludf.DUMMYFUNCTION("""COMPUTED_VALUE"""),"低用量ピル（OC,LEP）")</f>
        <v>低用量ピル（OC,LEP）</v>
      </c>
      <c r="D250" s="31" t="str">
        <f>IFERROR(__xludf.DUMMYFUNCTION("""COMPUTED_VALUE"""),"電話予約,問い合わせ,低用量ピル")</f>
        <v>電話予約,問い合わせ,低用量ピル</v>
      </c>
      <c r="E250" s="32" t="str">
        <f>IFERROR(__xludf.DUMMYFUNCTION("""COMPUTED_VALUE"""),"https://luna-dr.com/subjects/low-dose-contraceptive/")</f>
        <v>https://luna-dr.com/subjects/low-dose-contraceptive/</v>
      </c>
    </row>
    <row r="251">
      <c r="A251" s="31" t="str">
        <f>IFERROR(__xludf.DUMMYFUNCTION("""COMPUTED_VALUE"""),"低用量ピルは予約なしでも相談できますか？")</f>
        <v>低用量ピルは予約なしでも相談できますか？</v>
      </c>
      <c r="B251" s="31" t="str">
        <f>IFERROR(__xludf.DUMMYFUNCTION("""COMPUTED_VALUE"""),"来院治療の場合、予約外来院も可能です。スムーズなご案内のため、事前予約をおすすめしています。")</f>
        <v>来院治療の場合、予約外来院も可能です。スムーズなご案内のため、事前予約をおすすめしています。</v>
      </c>
      <c r="C251" s="31" t="str">
        <f>IFERROR(__xludf.DUMMYFUNCTION("""COMPUTED_VALUE"""),"低用量ピル（OC,LEP）")</f>
        <v>低用量ピル（OC,LEP）</v>
      </c>
      <c r="D251" s="31" t="str">
        <f>IFERROR(__xludf.DUMMYFUNCTION("""COMPUTED_VALUE"""),"予約なし,受診,低用量ピル")</f>
        <v>予約なし,受診,低用量ピル</v>
      </c>
      <c r="E251" s="32" t="str">
        <f>IFERROR(__xludf.DUMMYFUNCTION("""COMPUTED_VALUE"""),"https://luna-dr.com/subjects/low-dose-contraceptive/")</f>
        <v>https://luna-dr.com/subjects/low-dose-contraceptive/</v>
      </c>
    </row>
    <row r="252">
      <c r="A252" s="31" t="str">
        <f>IFERROR(__xludf.DUMMYFUNCTION("""COMPUTED_VALUE"""),"低用量ピルの予約前に準備しておくことはありますか？")</f>
        <v>低用量ピルの予約前に準備しておくことはありますか？</v>
      </c>
      <c r="B252" s="31" t="str">
        <f>IFERROR(__xludf.DUMMYFUNCTION("""COMPUTED_VALUE"""),"低用量ピルの診察前にはWEB問診へのご回答をお願いしています。避妊目的（OC）の場合は主に服用目的や体調について、治療目的（LEP）の場合は生理痛や月経状況などについてご入力いただきます。事前に回答いただくことで診察がスムーズに進みます。")</f>
        <v>低用量ピルの診察前にはWEB問診へのご回答をお願いしています。避妊目的（OC）の場合は主に服用目的や体調について、治療目的（LEP）の場合は生理痛や月経状況などについてご入力いただきます。事前に回答いただくことで診察がスムーズに進みます。</v>
      </c>
      <c r="C252" s="31" t="str">
        <f>IFERROR(__xludf.DUMMYFUNCTION("""COMPUTED_VALUE"""),"低用量ピル（OC,LEP）")</f>
        <v>低用量ピル（OC,LEP）</v>
      </c>
      <c r="D252" s="31" t="str">
        <f>IFERROR(__xludf.DUMMYFUNCTION("""COMPUTED_VALUE"""),"WEB問診,事前準備,低用量ピル")</f>
        <v>WEB問診,事前準備,低用量ピル</v>
      </c>
      <c r="E252" s="32" t="str">
        <f>IFERROR(__xludf.DUMMYFUNCTION("""COMPUTED_VALUE"""),"https://luna-dr.com/subjects/low-dose-contraceptive/")</f>
        <v>https://luna-dr.com/subjects/low-dose-contraceptive/</v>
      </c>
    </row>
    <row r="253">
      <c r="A253" s="31" t="str">
        <f>IFERROR(__xludf.DUMMYFUNCTION("""COMPUTED_VALUE"""),"低用量ピルは初診でも予約できますか？")</f>
        <v>低用量ピルは初診でも予約できますか？</v>
      </c>
      <c r="B253" s="31" t="str">
        <f>IFERROR(__xludf.DUMMYFUNCTION("""COMPUTED_VALUE"""),"低用量ピルは初診の方もご予約いただけます。ご予約は公式LINEから受け付けておりますので、友だち追加の上ご利用ください。
※避妊目的の低用量ピル（OC）の場合は来院診療・オンライン診療のどちらも選択可能です。治療目的の低用量ピル（LEP）の場合は、検査が必要なため来院診療での予約をお願いします。
来院診療の場合は「ピル処方」のメニューでご予約ください→https://cline-app.com/qr-codes/98ad6f149bfa20f4f2a9a2e91aac4187/preview
オンライン"&amp;"診療のご予約はこちら→https://liff-gateway.lineml.jp/landing?follow=%40590gpxrd&amp;lp=fX73yx&amp;liff_id=1657094566-LmjNPPbV")</f>
        <v>低用量ピルは初診の方もご予約いただけます。ご予約は公式LINEから受け付けておりますので、友だち追加の上ご利用ください。
※避妊目的の低用量ピル（OC）の場合は来院診療・オンライン診療のどちらも選択可能です。治療目的の低用量ピル（LEP）の場合は、検査が必要なため来院診療での予約をお願いします。
来院診療の場合は「ピル処方」のメニューでご予約ください→https://cline-app.com/qr-codes/98ad6f149bfa20f4f2a9a2e91aac4187/preview
オンライン診療のご予約はこちら→https://liff-gateway.lineml.jp/landing?follow=%40590gpxrd&amp;lp=fX73yx&amp;liff_id=1657094566-LmjNPPbV</v>
      </c>
      <c r="C253" s="31" t="str">
        <f>IFERROR(__xludf.DUMMYFUNCTION("""COMPUTED_VALUE"""),"低用量ピル（OC,LEP）")</f>
        <v>低用量ピル（OC,LEP）</v>
      </c>
      <c r="D253" s="31" t="str">
        <f>IFERROR(__xludf.DUMMYFUNCTION("""COMPUTED_VALUE"""),"初診,予約,低用量ピル")</f>
        <v>初診,予約,低用量ピル</v>
      </c>
      <c r="E253" s="32" t="str">
        <f>IFERROR(__xludf.DUMMYFUNCTION("""COMPUTED_VALUE"""),"https://luna-dr.com/subjects/low-dose-contraceptive/")</f>
        <v>https://luna-dr.com/subjects/low-dose-contraceptive/</v>
      </c>
    </row>
    <row r="254">
      <c r="A254" s="31" t="str">
        <f>IFERROR(__xludf.DUMMYFUNCTION("""COMPUTED_VALUE"""),"低用量ピルは来院とオンライン、どちらで予約できますか？")</f>
        <v>低用量ピルは来院とオンライン、どちらで予約できますか？</v>
      </c>
      <c r="B254" s="31" t="str">
        <f>IFERROR(__xludf.DUMMYFUNCTION("""COMPUTED_VALUE"""),"ルナレディースクリニックでは、低用量ピルのご相談は来院診療とオンライン診療のどちらでも予約が可能です。ご自身のライフスタイルに合わせて選べます。避妊目的の低用量ピル（OC）の場合は来院診療・オンライン診療のどちらも選択可能です。保険適用のピル（LEP）をご希望の場合は、症状の診察や検査が必要なため、初診・再診にかかわらず必ず【来院】での診療予約をお願いいたします。
来院診療の場合は「ピル処方」のメニューでご予約ください→https://cline-app.com/qr-codes/98ad6f149bf"&amp;"a20f4f2a9a2e91aac4187/preview
オンライン診療のご予約はこちら→https://liff-gateway.lineml.jp/landing?follow=%40590gpxrd&amp;lp=fX73yx&amp;liff_id=1657094566-LmjNPPbV")</f>
        <v>ルナレディースクリニックでは、低用量ピルのご相談は来院診療とオンライン診療のどちらでも予約が可能です。ご自身のライフスタイルに合わせて選べます。避妊目的の低用量ピル（OC）の場合は来院診療・オンライン診療のどちらも選択可能です。保険適用のピル（LEP）をご希望の場合は、症状の診察や検査が必要なため、初診・再診にかかわらず必ず【来院】での診療予約をお願いいたします。
来院診療の場合は「ピル処方」のメニューでご予約ください→https://cline-app.com/qr-codes/98ad6f149bfa20f4f2a9a2e91aac4187/preview
オンライン診療のご予約はこちら→https://liff-gateway.lineml.jp/landing?follow=%40590gpxrd&amp;lp=fX73yx&amp;liff_id=1657094566-LmjNPPbV</v>
      </c>
      <c r="C254" s="31" t="str">
        <f>IFERROR(__xludf.DUMMYFUNCTION("""COMPUTED_VALUE"""),"低用量ピル（OC,LEP）")</f>
        <v>低用量ピル（OC,LEP）</v>
      </c>
      <c r="D254" s="31" t="str">
        <f>IFERROR(__xludf.DUMMYFUNCTION("""COMPUTED_VALUE"""),"来院診療,オンライン診療,低用量ピル")</f>
        <v>来院診療,オンライン診療,低用量ピル</v>
      </c>
      <c r="E254" s="32" t="str">
        <f>IFERROR(__xludf.DUMMYFUNCTION("""COMPUTED_VALUE"""),"https://luna-dr.com/subjects/low-dose-contraceptive/")</f>
        <v>https://luna-dr.com/subjects/low-dose-contraceptive/</v>
      </c>
    </row>
    <row r="255">
      <c r="A255" s="31" t="str">
        <f>IFERROR(__xludf.DUMMYFUNCTION("""COMPUTED_VALUE"""),"低用量ピルの診察前にWEB問診は必要ですか？")</f>
        <v>低用量ピルの診察前にWEB問診は必要ですか？</v>
      </c>
      <c r="B255" s="31" t="str">
        <f>IFERROR(__xludf.DUMMYFUNCTION("""COMPUTED_VALUE"""),"低用量ピルの診察前にはWEB問診へのご回答をお願いしています。避妊目的（OC）の場合は主に服用目的や体調について、治療目的（LEP）の場合は生理痛や月経状況などについてご入力いただきます。事前に回答いただくことで診察がスムーズに進みます。")</f>
        <v>低用量ピルの診察前にはWEB問診へのご回答をお願いしています。避妊目的（OC）の場合は主に服用目的や体調について、治療目的（LEP）の場合は生理痛や月経状況などについてご入力いただきます。事前に回答いただくことで診察がスムーズに進みます。</v>
      </c>
      <c r="C255" s="31" t="str">
        <f>IFERROR(__xludf.DUMMYFUNCTION("""COMPUTED_VALUE"""),"低用量ピル（OC,LEP）")</f>
        <v>低用量ピル（OC,LEP）</v>
      </c>
      <c r="D255" s="31" t="str">
        <f>IFERROR(__xludf.DUMMYFUNCTION("""COMPUTED_VALUE"""),"低用量ピル,WEB問診,診察準備,避妊,生理痛")</f>
        <v>低用量ピル,WEB問診,診察準備,避妊,生理痛</v>
      </c>
      <c r="E255" s="32" t="str">
        <f>IFERROR(__xludf.DUMMYFUNCTION("""COMPUTED_VALUE"""),"https://luna-dr.com/subjects/low-dose-contraceptive/")</f>
        <v>https://luna-dr.com/subjects/low-dose-contraceptive/</v>
      </c>
    </row>
    <row r="256">
      <c r="A256" s="31" t="str">
        <f>IFERROR(__xludf.DUMMYFUNCTION("""COMPUTED_VALUE"""),"低用量ピルの診察では何を聞かれますか？")</f>
        <v>低用量ピルの診察では何を聞かれますか？</v>
      </c>
      <c r="B256" s="31" t="str">
        <f>IFERROR(__xludf.DUMMYFUNCTION("""COMPUTED_VALUE"""),"低用量ピルの診察では、服用の目的（避妊か治療か）、これまでの月経状況、体調、既往歴などを確認します。避妊目的（OC）の場合は問診が中心となり、治療目的（LEP）の場合は生理痛や症状の経過について詳しくお伺いします。")</f>
        <v>低用量ピルの診察では、服用の目的（避妊か治療か）、これまでの月経状況、体調、既往歴などを確認します。避妊目的（OC）の場合は問診が中心となり、治療目的（LEP）の場合は生理痛や症状の経過について詳しくお伺いします。</v>
      </c>
      <c r="C256" s="31" t="str">
        <f>IFERROR(__xludf.DUMMYFUNCTION("""COMPUTED_VALUE"""),"低用量ピル（OC,LEP）")</f>
        <v>低用量ピル（OC,LEP）</v>
      </c>
      <c r="D256" s="31" t="str">
        <f>IFERROR(__xludf.DUMMYFUNCTION("""COMPUTED_VALUE"""),"低用量ピル,診察内容,避妊,生理痛")</f>
        <v>低用量ピル,診察内容,避妊,生理痛</v>
      </c>
      <c r="E256" s="32" t="str">
        <f>IFERROR(__xludf.DUMMYFUNCTION("""COMPUTED_VALUE"""),"https://luna-dr.com/subjects/low-dose-contraceptive/")</f>
        <v>https://luna-dr.com/subjects/low-dose-contraceptive/</v>
      </c>
    </row>
    <row r="257">
      <c r="A257" s="31" t="str">
        <f>IFERROR(__xludf.DUMMYFUNCTION("""COMPUTED_VALUE"""),"避妊目的の低用量ピルの診察の流れを教えてください/OCの診察の流れを教えてください")</f>
        <v>避妊目的の低用量ピルの診察の流れを教えてください/OCの診察の流れを教えてください</v>
      </c>
      <c r="B257" s="31" t="str">
        <f>IFERROR(__xludf.DUMMYFUNCTION("""COMPUTED_VALUE"""),"避妊目的の低用量ピル（OC）は、公式LINEまたは電話で予約後、WEB問診に回答し、医師が問診を中心に診察を行います。基本的に内診はありません。ピルの効果や正しい飲み方について説明を受けた後、お薬を処方し、お会計となります。来院診療・オンライン診療のどちらも選択可能です。")</f>
        <v>避妊目的の低用量ピル（OC）は、公式LINEまたは電話で予約後、WEB問診に回答し、医師が問診を中心に診察を行います。基本的に内診はありません。ピルの効果や正しい飲み方について説明を受けた後、お薬を処方し、お会計となります。来院診療・オンライン診療のどちらも選択可能です。</v>
      </c>
      <c r="C257" s="31" t="str">
        <f>IFERROR(__xludf.DUMMYFUNCTION("""COMPUTED_VALUE"""),"低用量ピル（OC）")</f>
        <v>低用量ピル（OC）</v>
      </c>
      <c r="D257" s="31" t="str">
        <f>IFERROR(__xludf.DUMMYFUNCTION("""COMPUTED_VALUE"""),"低用量ピル,OC,避妊,診察の流れ")</f>
        <v>低用量ピル,OC,避妊,診察の流れ</v>
      </c>
      <c r="E257" s="32" t="str">
        <f>IFERROR(__xludf.DUMMYFUNCTION("""COMPUTED_VALUE"""),"https://luna-dr.com/subjects/low-dose-contraceptive/")</f>
        <v>https://luna-dr.com/subjects/low-dose-contraceptive/</v>
      </c>
    </row>
    <row r="258">
      <c r="A258" s="31" t="str">
        <f>IFERROR(__xludf.DUMMYFUNCTION("""COMPUTED_VALUE"""),"治療目的の低用量ピルの診察の流れを教えてください/LEPの診察の流れを教えてください")</f>
        <v>治療目的の低用量ピルの診察の流れを教えてください/LEPの診察の流れを教えてください</v>
      </c>
      <c r="B258" s="31" t="str">
        <f>IFERROR(__xludf.DUMMYFUNCTION("""COMPUTED_VALUE"""),"治療目的の低用量ピル（LEP）は、公式LINEで来院予約後、WEB問診に回答し、医師が診察を行います。生理痛などの原因を確認するため、必要に応じて超音波（エコー）検査を行います。検査結果をもとに症状に合ったピルを提案し、処方・お会計となります。")</f>
        <v>治療目的の低用量ピル（LEP）は、公式LINEで来院予約後、WEB問診に回答し、医師が診察を行います。生理痛などの原因を確認するため、必要に応じて超音波（エコー）検査を行います。検査結果をもとに症状に合ったピルを提案し、処方・お会計となります。</v>
      </c>
      <c r="C258" s="31" t="str">
        <f>IFERROR(__xludf.DUMMYFUNCTION("""COMPUTED_VALUE"""),"低用量ピル（LEP）")</f>
        <v>低用量ピル（LEP）</v>
      </c>
      <c r="D258" s="31" t="str">
        <f>IFERROR(__xludf.DUMMYFUNCTION("""COMPUTED_VALUE"""),"低用量ピル,LEP,生理痛,治療,診察の流れ")</f>
        <v>低用量ピル,LEP,生理痛,治療,診察の流れ</v>
      </c>
      <c r="E258" s="32" t="str">
        <f>IFERROR(__xludf.DUMMYFUNCTION("""COMPUTED_VALUE"""),"https://luna-dr.com/subjects/low-dose-contraceptive/")</f>
        <v>https://luna-dr.com/subjects/low-dose-contraceptive/</v>
      </c>
    </row>
    <row r="259">
      <c r="A259" s="31" t="str">
        <f>IFERROR(__xludf.DUMMYFUNCTION("""COMPUTED_VALUE"""),"低用量ピルの初診当日はどこまで進みますか？")</f>
        <v>低用量ピルの初診当日はどこまで進みますか？</v>
      </c>
      <c r="B259" s="31" t="str">
        <f>IFERROR(__xludf.DUMMYFUNCTION("""COMPUTED_VALUE"""),"低用量ピルの初診当日は、問診・診察（治療目的の場合は検査）まで行い、その日のうちにお薬を処方します。初診時はお薬が体に合うか確認するため、1シートのみの処方となります。")</f>
        <v>低用量ピルの初診当日は、問診・診察（治療目的の場合は検査）まで行い、その日のうちにお薬を処方します。初診時はお薬が体に合うか確認するため、1シートのみの処方となります。</v>
      </c>
      <c r="C259" s="31" t="str">
        <f>IFERROR(__xludf.DUMMYFUNCTION("""COMPUTED_VALUE"""),"低用量ピル（OC,LEP）")</f>
        <v>低用量ピル（OC,LEP）</v>
      </c>
      <c r="D259" s="31" t="str">
        <f>IFERROR(__xludf.DUMMYFUNCTION("""COMPUTED_VALUE"""),"低用量ピル,初診,当日の流れ")</f>
        <v>低用量ピル,初診,当日の流れ</v>
      </c>
      <c r="E259" s="32" t="str">
        <f>IFERROR(__xludf.DUMMYFUNCTION("""COMPUTED_VALUE"""),"https://luna-dr.com/subjects/low-dose-contraceptive/")</f>
        <v>https://luna-dr.com/subjects/low-dose-contraceptive/</v>
      </c>
    </row>
    <row r="260">
      <c r="A260" s="31" t="str">
        <f>IFERROR(__xludf.DUMMYFUNCTION("""COMPUTED_VALUE"""),"低用量ピルは何ヶ月分まとめて処方してもらえますか？")</f>
        <v>低用量ピルは何ヶ月分まとめて処方してもらえますか？</v>
      </c>
      <c r="B260" s="31" t="str">
        <f>IFERROR(__xludf.DUMMYFUNCTION("""COMPUTED_VALUE"""),"2回目以降は、避妊目的の低用量ピル（OC）は最大6ヶ月分、治療目的の低用量ピル（LEP）は最大3ヶ月分までまとめて処方することが可能です。")</f>
        <v>2回目以降は、避妊目的の低用量ピル（OC）は最大6ヶ月分、治療目的の低用量ピル（LEP）は最大3ヶ月分までまとめて処方することが可能です。</v>
      </c>
      <c r="C260" s="31" t="str">
        <f>IFERROR(__xludf.DUMMYFUNCTION("""COMPUTED_VALUE"""),"低用量ピル（OC,LEP）")</f>
        <v>低用量ピル（OC,LEP）</v>
      </c>
      <c r="D260" s="31" t="str">
        <f>IFERROR(__xludf.DUMMYFUNCTION("""COMPUTED_VALUE"""),"低用量ピル,処方日数,継続")</f>
        <v>低用量ピル,処方日数,継続</v>
      </c>
      <c r="E260" s="32" t="str">
        <f>IFERROR(__xludf.DUMMYFUNCTION("""COMPUTED_VALUE"""),"https://luna-dr.com/subjects/low-dose-contraceptive/")</f>
        <v>https://luna-dr.com/subjects/low-dose-contraceptive/</v>
      </c>
    </row>
    <row r="261">
      <c r="A261" s="31" t="str">
        <f>IFERROR(__xludf.DUMMYFUNCTION("""COMPUTED_VALUE"""),"低用量ピルの診察後の支払いはいつ行いますか？")</f>
        <v>低用量ピルの診察後の支払いはいつ行いますか？</v>
      </c>
      <c r="B261" s="31" t="str">
        <f>IFERROR(__xludf.DUMMYFUNCTION("""COMPUTED_VALUE"""),"低用量ピルの診察後、処方内容が決まった時点でお会計となります。オンライン診療の場合は、診察後に送付される決済リンクからお支払いください。")</f>
        <v>低用量ピルの診察後、処方内容が決まった時点でお会計となります。オンライン診療の場合は、診察後に送付される決済リンクからお支払いください。</v>
      </c>
      <c r="C261" s="31" t="str">
        <f>IFERROR(__xludf.DUMMYFUNCTION("""COMPUTED_VALUE"""),"低用量ピル（OC,LEP）")</f>
        <v>低用量ピル（OC,LEP）</v>
      </c>
      <c r="D261" s="31" t="str">
        <f>IFERROR(__xludf.DUMMYFUNCTION("""COMPUTED_VALUE"""),"低用量ピル,支払い,会計")</f>
        <v>低用量ピル,支払い,会計</v>
      </c>
      <c r="E261" s="32" t="str">
        <f>IFERROR(__xludf.DUMMYFUNCTION("""COMPUTED_VALUE"""),"https://luna-dr.com/subjects/low-dose-contraceptive/")</f>
        <v>https://luna-dr.com/subjects/low-dose-contraceptive/</v>
      </c>
    </row>
    <row r="262">
      <c r="A262" s="31" t="str">
        <f>IFERROR(__xludf.DUMMYFUNCTION("""COMPUTED_VALUE"""),"低用量ピルはオンライン診療でも処方できますか？")</f>
        <v>低用量ピルはオンライン診療でも処方できますか？</v>
      </c>
      <c r="B262" s="31" t="str">
        <f>IFERROR(__xludf.DUMMYFUNCTION("""COMPUTED_VALUE"""),"避妊目的の低用量ピル（OC）は初診からオンライン診療で処方可能です。一方、治療目的の低用量ピル（LEP）は検査が必要なため、初診・再診にかかわらず来院診療となります。")</f>
        <v>避妊目的の低用量ピル（OC）は初診からオンライン診療で処方可能です。一方、治療目的の低用量ピル（LEP）は検査が必要なため、初診・再診にかかわらず来院診療となります。</v>
      </c>
      <c r="C262" s="31" t="str">
        <f>IFERROR(__xludf.DUMMYFUNCTION("""COMPUTED_VALUE"""),"低用量ピル（OC,LEP）")</f>
        <v>低用量ピル（OC,LEP）</v>
      </c>
      <c r="D262" s="31" t="str">
        <f>IFERROR(__xludf.DUMMYFUNCTION("""COMPUTED_VALUE"""),"低用量ピル,オンライン診療,避妊,生理痛")</f>
        <v>低用量ピル,オンライン診療,避妊,生理痛</v>
      </c>
      <c r="E262" s="32" t="str">
        <f>IFERROR(__xludf.DUMMYFUNCTION("""COMPUTED_VALUE"""),"https://luna-dr.com/subjects/low-dose-contraceptive/")</f>
        <v>https://luna-dr.com/subjects/low-dose-contraceptive/</v>
      </c>
    </row>
    <row r="263">
      <c r="A263" s="31" t="str">
        <f>IFERROR(__xludf.DUMMYFUNCTION("""COMPUTED_VALUE"""),"オンライン診療で低用量ピルを処方してもらう流れを教えてください")</f>
        <v>オンライン診療で低用量ピルを処方してもらう流れを教えてください</v>
      </c>
      <c r="B263" s="31" t="str">
        <f>IFERROR(__xludf.DUMMYFUNCTION("""COMPUTED_VALUE"""),"オンライン診療は避妊目的の低用量ピル（OC）のみ対象です。公式LINEからオンライン診療を予約し、WEB問診に回答後、予約時間に医師が電話またはチャットで診察を行います。診察後に決済を行い、確認後にお薬を発送します。")</f>
        <v>オンライン診療は避妊目的の低用量ピル（OC）のみ対象です。公式LINEからオンライン診療を予約し、WEB問診に回答後、予約時間に医師が電話またはチャットで診察を行います。診察後に決済を行い、確認後にお薬を発送します。</v>
      </c>
      <c r="C263" s="31" t="str">
        <f>IFERROR(__xludf.DUMMYFUNCTION("""COMPUTED_VALUE"""),"低用量ピル（OC）")</f>
        <v>低用量ピル（OC）</v>
      </c>
      <c r="D263" s="31" t="str">
        <f>IFERROR(__xludf.DUMMYFUNCTION("""COMPUTED_VALUE"""),"低用量ピル,オンライン診療,OC,処方の流れ")</f>
        <v>低用量ピル,オンライン診療,OC,処方の流れ</v>
      </c>
      <c r="E263" s="32" t="str">
        <f>IFERROR(__xludf.DUMMYFUNCTION("""COMPUTED_VALUE"""),"https://luna-dr.com/subjects/low-dose-contraceptive/")</f>
        <v>https://luna-dr.com/subjects/low-dose-contraceptive/</v>
      </c>
    </row>
    <row r="264">
      <c r="A264" s="31" t="str">
        <f>IFERROR(__xludf.DUMMYFUNCTION("""COMPUTED_VALUE"""),"低用量ピルの処方後、相談はできますか？")</f>
        <v>低用量ピルの処方後、相談はできますか？</v>
      </c>
      <c r="B264" s="31" t="str">
        <f>IFERROR(__xludf.DUMMYFUNCTION("""COMPUTED_VALUE"""),"低用量ピルの服用中に不安なことや副作用について気になる点があれば、LINEでいつでもご相談いただけます。")</f>
        <v>低用量ピルの服用中に不安なことや副作用について気になる点があれば、LINEでいつでもご相談いただけます。</v>
      </c>
      <c r="C264" s="31" t="str">
        <f>IFERROR(__xludf.DUMMYFUNCTION("""COMPUTED_VALUE"""),"低用量ピル（OC,LEP）")</f>
        <v>低用量ピル（OC,LEP）</v>
      </c>
      <c r="D264" s="31" t="str">
        <f>IFERROR(__xludf.DUMMYFUNCTION("""COMPUTED_VALUE"""),"低用量ピル,アフターフォロー,相談")</f>
        <v>低用量ピル,アフターフォロー,相談</v>
      </c>
      <c r="E264" s="32" t="str">
        <f>IFERROR(__xludf.DUMMYFUNCTION("""COMPUTED_VALUE"""),"https://luna-dr.com/subjects/low-dose-contraceptive/")</f>
        <v>https://luna-dr.com/subjects/low-dose-contraceptive/</v>
      </c>
    </row>
    <row r="265">
      <c r="A265" s="31" t="str">
        <f>IFERROR(__xludf.DUMMYFUNCTION("""COMPUTED_VALUE"""),"低用量ピルの診察では何を聞かれますか？")</f>
        <v>低用量ピルの診察では何を聞かれますか？</v>
      </c>
      <c r="B265" s="31" t="str">
        <f>IFERROR(__xludf.DUMMYFUNCTION("""COMPUTED_VALUE"""),"低用量ピルの診察では、服用目的（避妊・生理痛・PMSなど）、月経周期、体調、既往歴、喫煙の有無などについて確認します。目的に応じて診察内容が異なります。")</f>
        <v>低用量ピルの診察では、服用目的（避妊・生理痛・PMSなど）、月経周期、体調、既往歴、喫煙の有無などについて確認します。目的に応じて診察内容が異なります。</v>
      </c>
      <c r="C265" s="31" t="str">
        <f>IFERROR(__xludf.DUMMYFUNCTION("""COMPUTED_VALUE"""),"低用量ピル（OC,LEP）")</f>
        <v>低用量ピル（OC,LEP）</v>
      </c>
      <c r="D265" s="31" t="str">
        <f>IFERROR(__xludf.DUMMYFUNCTION("""COMPUTED_VALUE"""),"低用量ピル,診察内容,問診,ピル相談")</f>
        <v>低用量ピル,診察内容,問診,ピル相談</v>
      </c>
      <c r="E265" s="32" t="str">
        <f>IFERROR(__xludf.DUMMYFUNCTION("""COMPUTED_VALUE"""),"https://luna-dr.com/subjects/low-dose-contraceptive/")</f>
        <v>https://luna-dr.com/subjects/low-dose-contraceptive/</v>
      </c>
    </row>
    <row r="266">
      <c r="A266" s="31" t="str">
        <f>IFERROR(__xludf.DUMMYFUNCTION("""COMPUTED_VALUE"""),"避妊目的の低用量ピル（OC）の診察の流れを教えてください")</f>
        <v>避妊目的の低用量ピル（OC）の診察の流れを教えてください</v>
      </c>
      <c r="B266" s="31" t="str">
        <f>IFERROR(__xludf.DUMMYFUNCTION("""COMPUTED_VALUE"""),"避妊目的の低用量ピル（OC）は、主に問診を中心とした診察で処方します。基本的に内診や検査は行わず、医師がピルの効果や飲み方、副作用について説明したうえで処方します。")</f>
        <v>避妊目的の低用量ピル（OC）は、主に問診を中心とした診察で処方します。基本的に内診や検査は行わず、医師がピルの効果や飲み方、副作用について説明したうえで処方します。</v>
      </c>
      <c r="C266" s="31" t="str">
        <f>IFERROR(__xludf.DUMMYFUNCTION("""COMPUTED_VALUE"""),"低用量ピル（OC）")</f>
        <v>低用量ピル（OC）</v>
      </c>
      <c r="D266" s="31" t="str">
        <f>IFERROR(__xludf.DUMMYFUNCTION("""COMPUTED_VALUE"""),"低用量ピル,OC,避妊,診察の流れ")</f>
        <v>低用量ピル,OC,避妊,診察の流れ</v>
      </c>
      <c r="E266" s="32" t="str">
        <f>IFERROR(__xludf.DUMMYFUNCTION("""COMPUTED_VALUE"""),"https://luna-dr.com/subjects/low-dose-contraceptive/")</f>
        <v>https://luna-dr.com/subjects/low-dose-contraceptive/</v>
      </c>
    </row>
    <row r="267">
      <c r="A267" s="31" t="str">
        <f>IFERROR(__xludf.DUMMYFUNCTION("""COMPUTED_VALUE"""),"治療目的の低用量ピル（LEP）の診察の流れを教えてください")</f>
        <v>治療目的の低用量ピル（LEP）の診察の流れを教えてください</v>
      </c>
      <c r="B267" s="31" t="str">
        <f>IFERROR(__xludf.DUMMYFUNCTION("""COMPUTED_VALUE"""),"生理痛やPMSなど治療目的の低用量ピル（LEP）の場合、問診に加えて超音波（エコー）検査などを行い、症状の原因を確認したうえで処方します。")</f>
        <v>生理痛やPMSなど治療目的の低用量ピル（LEP）の場合、問診に加えて超音波（エコー）検査などを行い、症状の原因を確認したうえで処方します。</v>
      </c>
      <c r="C267" s="31" t="str">
        <f>IFERROR(__xludf.DUMMYFUNCTION("""COMPUTED_VALUE"""),"低用量ピル（LEP）")</f>
        <v>低用量ピル（LEP）</v>
      </c>
      <c r="D267" s="31" t="str">
        <f>IFERROR(__xludf.DUMMYFUNCTION("""COMPUTED_VALUE"""),"低用量ピル,LEP,生理痛,診察の流れ")</f>
        <v>低用量ピル,LEP,生理痛,診察の流れ</v>
      </c>
      <c r="E267" s="32" t="str">
        <f>IFERROR(__xludf.DUMMYFUNCTION("""COMPUTED_VALUE"""),"https://luna-dr.com/subjects/low-dose-contraceptive/")</f>
        <v>https://luna-dr.com/subjects/low-dose-contraceptive/</v>
      </c>
    </row>
    <row r="268">
      <c r="A268" s="31" t="str">
        <f>IFERROR(__xludf.DUMMYFUNCTION("""COMPUTED_VALUE"""),"低用量ピルの診察後の支払いはいつ行いますか？")</f>
        <v>低用量ピルの診察後の支払いはいつ行いますか？</v>
      </c>
      <c r="B268" s="31" t="str">
        <f>IFERROR(__xludf.DUMMYFUNCTION("""COMPUTED_VALUE"""),"低用量ピルの診察後に、お会計となります。来院診療の場合はその場で、オンライン診療の場合は決済リンクからお支払いを行います。")</f>
        <v>低用量ピルの診察後に、お会計となります。来院診療の場合はその場で、オンライン診療の場合は決済リンクからお支払いを行います。</v>
      </c>
      <c r="C268" s="31" t="str">
        <f>IFERROR(__xludf.DUMMYFUNCTION("""COMPUTED_VALUE"""),"低用量ピル（OC,LEP）")</f>
        <v>低用量ピル（OC,LEP）</v>
      </c>
      <c r="D268" s="31" t="str">
        <f>IFERROR(__xludf.DUMMYFUNCTION("""COMPUTED_VALUE"""),"低用量ピル,支払い,会計,ピル処方")</f>
        <v>低用量ピル,支払い,会計,ピル処方</v>
      </c>
      <c r="E268" s="32" t="str">
        <f>IFERROR(__xludf.DUMMYFUNCTION("""COMPUTED_VALUE"""),"https://luna-dr.com/subjects/low-dose-contraceptive/")</f>
        <v>https://luna-dr.com/subjects/low-dose-contraceptive/</v>
      </c>
    </row>
    <row r="269">
      <c r="A269" s="31" t="str">
        <f>IFERROR(__xludf.DUMMYFUNCTION("""COMPUTED_VALUE"""),"低用量ピルはオンライン診療でも処方できますか？")</f>
        <v>低用量ピルはオンライン診療でも処方できますか？</v>
      </c>
      <c r="B269" s="31" t="str">
        <f>IFERROR(__xludf.DUMMYFUNCTION("""COMPUTED_VALUE"""),"避妊目的の低用量ピル（OC）は、初診からオンライン診療で処方が可能です。一方、治療目的の低用量ピル（LEP）は検査が必要なため、来院診療となります。")</f>
        <v>避妊目的の低用量ピル（OC）は、初診からオンライン診療で処方が可能です。一方、治療目的の低用量ピル（LEP）は検査が必要なため、来院診療となります。</v>
      </c>
      <c r="C269" s="31" t="str">
        <f>IFERROR(__xludf.DUMMYFUNCTION("""COMPUTED_VALUE"""),"低用量ピル（OC,LEP）")</f>
        <v>低用量ピル（OC,LEP）</v>
      </c>
      <c r="D269" s="31" t="str">
        <f>IFERROR(__xludf.DUMMYFUNCTION("""COMPUTED_VALUE"""),"低用量ピル,オンライン診療,来院診療,ピル処方")</f>
        <v>低用量ピル,オンライン診療,来院診療,ピル処方</v>
      </c>
      <c r="E269" s="32" t="str">
        <f>IFERROR(__xludf.DUMMYFUNCTION("""COMPUTED_VALUE"""),"https://luna-dr.com/subjects/low-dose-contraceptive/")</f>
        <v>https://luna-dr.com/subjects/low-dose-contraceptive/</v>
      </c>
    </row>
    <row r="270">
      <c r="A270" s="31" t="str">
        <f>IFERROR(__xludf.DUMMYFUNCTION("""COMPUTED_VALUE"""),"オンライン診療で低用量ピルを処方してもらう流れを教えてください")</f>
        <v>オンライン診療で低用量ピルを処方してもらう流れを教えてください</v>
      </c>
      <c r="B270" s="31" t="str">
        <f>IFERROR(__xludf.DUMMYFUNCTION("""COMPUTED_VALUE"""),"公式LINEからオンライン診療を予約し、WEB問診に回答後、医師が電話またはチャットで診察を行います。診察後は決済確認後にお薬を発送します。避妊目的の低用量ピル（OC）は、初診からオンライン診療で処方が可能ですが、治療目的の低用量ピル（LEP）は検査が必要なため、来院診療となりますのでご注意ください。")</f>
        <v>公式LINEからオンライン診療を予約し、WEB問診に回答後、医師が電話またはチャットで診察を行います。診察後は決済確認後にお薬を発送します。避妊目的の低用量ピル（OC）は、初診からオンライン診療で処方が可能ですが、治療目的の低用量ピル（LEP）は検査が必要なため、来院診療となりますのでご注意ください。</v>
      </c>
      <c r="C270" s="31" t="str">
        <f>IFERROR(__xludf.DUMMYFUNCTION("""COMPUTED_VALUE"""),"低用量ピル（OC）")</f>
        <v>低用量ピル（OC）</v>
      </c>
      <c r="D270" s="31" t="str">
        <f>IFERROR(__xludf.DUMMYFUNCTION("""COMPUTED_VALUE"""),"低用量ピル,オンライン診療,診察の流れ,ピル郵送")</f>
        <v>低用量ピル,オンライン診療,診察の流れ,ピル郵送</v>
      </c>
      <c r="E270" s="32" t="str">
        <f>IFERROR(__xludf.DUMMYFUNCTION("""COMPUTED_VALUE"""),"https://luna-dr.com/subjects/low-dose-contraceptive/")</f>
        <v>https://luna-dr.com/subjects/low-dose-contraceptive/</v>
      </c>
    </row>
    <row r="271">
      <c r="A271" s="31" t="str">
        <f>IFERROR(__xludf.DUMMYFUNCTION("""COMPUTED_VALUE"""),"低用量ピルの処方後、相談はできますか？")</f>
        <v>低用量ピルの処方後、相談はできますか？</v>
      </c>
      <c r="B271" s="31" t="str">
        <f>IFERROR(__xludf.DUMMYFUNCTION("""COMPUTED_VALUE"""),"低用量ピルの服用中に不安なことがある場合は、LINEからいつでもご相談いただけます。")</f>
        <v>低用量ピルの服用中に不安なことがある場合は、LINEからいつでもご相談いただけます。</v>
      </c>
      <c r="C271" s="31" t="str">
        <f>IFERROR(__xludf.DUMMYFUNCTION("""COMPUTED_VALUE"""),"低用量ピル（OC,LEP）")</f>
        <v>低用量ピル（OC,LEP）</v>
      </c>
      <c r="D271" s="31" t="str">
        <f>IFERROR(__xludf.DUMMYFUNCTION("""COMPUTED_VALUE"""),"低用量ピル,アフターフォロー,LINE相談,ピル不安")</f>
        <v>低用量ピル,アフターフォロー,LINE相談,ピル不安</v>
      </c>
      <c r="E271" s="32" t="str">
        <f>IFERROR(__xludf.DUMMYFUNCTION("""COMPUTED_VALUE"""),"https://luna-dr.com/subjects/low-dose-contraceptive/")</f>
        <v>https://luna-dr.com/subjects/low-dose-contraceptive/</v>
      </c>
    </row>
    <row r="272">
      <c r="A272" s="31" t="str">
        <f>IFERROR(__xludf.DUMMYFUNCTION("""COMPUTED_VALUE"""),"アフターピルとは何ですか？")</f>
        <v>アフターピルとは何ですか？</v>
      </c>
      <c r="B272" s="31" t="str">
        <f>IFERROR(__xludf.DUMMYFUNCTION("""COMPUTED_VALUE"""),"アフターピル（緊急避妊薬）とは、避妊に失敗した、または避妊をせずに性行為をしてしまった後に、妊娠を防ぐために服用するお薬です。性行為後できるだけ早く服用することで、高い避妊効果が期待できます。")</f>
        <v>アフターピル（緊急避妊薬）とは、避妊に失敗した、または避妊をせずに性行為をしてしまった後に、妊娠を防ぐために服用するお薬です。性行為後できるだけ早く服用することで、高い避妊効果が期待できます。</v>
      </c>
      <c r="C272" s="31" t="str">
        <f>IFERROR(__xludf.DUMMYFUNCTION("""COMPUTED_VALUE"""),"アフターピル（緊急避妊薬）")</f>
        <v>アフターピル（緊急避妊薬）</v>
      </c>
      <c r="D272" s="31" t="str">
        <f>IFERROR(__xludf.DUMMYFUNCTION("""COMPUTED_VALUE"""),"アフターピル,緊急避妊薬,妊娠防止")</f>
        <v>アフターピル,緊急避妊薬,妊娠防止</v>
      </c>
      <c r="E272" s="32" t="str">
        <f>IFERROR(__xludf.DUMMYFUNCTION("""COMPUTED_VALUE"""),"https://luna-dr.com/subjects/after-pill_page/")</f>
        <v>https://luna-dr.com/subjects/after-pill_page/</v>
      </c>
    </row>
    <row r="273">
      <c r="A273" s="31" t="str">
        <f>IFERROR(__xludf.DUMMYFUNCTION("""COMPUTED_VALUE"""),"緊急避妊とは何ですか？")</f>
        <v>緊急避妊とは何ですか？</v>
      </c>
      <c r="B273" s="31" t="str">
        <f>IFERROR(__xludf.DUMMYFUNCTION("""COMPUTED_VALUE"""),"緊急避妊とは、性行為後に妊娠を防ぐために行う避妊方法のことです。主にアフターピル（緊急避妊薬）を服用する方法があります。")</f>
        <v>緊急避妊とは、性行為後に妊娠を防ぐために行う避妊方法のことです。主にアフターピル（緊急避妊薬）を服用する方法があります。</v>
      </c>
      <c r="C273" s="31" t="str">
        <f>IFERROR(__xludf.DUMMYFUNCTION("""COMPUTED_VALUE"""),"アフターピル（緊急避妊薬）")</f>
        <v>アフターピル（緊急避妊薬）</v>
      </c>
      <c r="D273" s="31" t="str">
        <f>IFERROR(__xludf.DUMMYFUNCTION("""COMPUTED_VALUE"""),"緊急避妊,アフターピル,妊娠回避")</f>
        <v>緊急避妊,アフターピル,妊娠回避</v>
      </c>
      <c r="E273" s="32" t="str">
        <f>IFERROR(__xludf.DUMMYFUNCTION("""COMPUTED_VALUE"""),"https://luna-dr.com/subjects/after-pill_page/")</f>
        <v>https://luna-dr.com/subjects/after-pill_page/</v>
      </c>
    </row>
    <row r="274">
      <c r="A274" s="31" t="str">
        <f>IFERROR(__xludf.DUMMYFUNCTION("""COMPUTED_VALUE"""),"どんなときにアフターピルを使いますか？")</f>
        <v>どんなときにアフターピルを使いますか？</v>
      </c>
      <c r="B274" s="31" t="str">
        <f>IFERROR(__xludf.DUMMYFUNCTION("""COMPUTED_VALUE"""),"避妊をしなかった場合や、コンドームが破れた・外れたなど、妊娠の可能性がある性行為があった場合に使用します。")</f>
        <v>避妊をしなかった場合や、コンドームが破れた・外れたなど、妊娠の可能性がある性行為があった場合に使用します。</v>
      </c>
      <c r="C274" s="31" t="str">
        <f>IFERROR(__xludf.DUMMYFUNCTION("""COMPUTED_VALUE"""),"アフターピル（緊急避妊薬）")</f>
        <v>アフターピル（緊急避妊薬）</v>
      </c>
      <c r="D274" s="31" t="str">
        <f>IFERROR(__xludf.DUMMYFUNCTION("""COMPUTED_VALUE"""),"アフターピル,避妊失敗,妊娠不安")</f>
        <v>アフターピル,避妊失敗,妊娠不安</v>
      </c>
      <c r="E274" s="32" t="str">
        <f>IFERROR(__xludf.DUMMYFUNCTION("""COMPUTED_VALUE"""),"https://luna-dr.com/subjects/after-pill_page/")</f>
        <v>https://luna-dr.com/subjects/after-pill_page/</v>
      </c>
    </row>
    <row r="275">
      <c r="A275" s="31" t="str">
        <f>IFERROR(__xludf.DUMMYFUNCTION("""COMPUTED_VALUE"""),"低用量ピルとアフターピルの違いは何ですか？")</f>
        <v>低用量ピルとアフターピルの違いは何ですか？</v>
      </c>
      <c r="B275" s="31" t="str">
        <f>IFERROR(__xludf.DUMMYFUNCTION("""COMPUTED_VALUE"""),"低用量ピルは毎日服用して妊娠を防ぐお薬であるのに対し、アフターピルは性行為後に緊急的に服用するお薬です。目的と飲み方が異なります。")</f>
        <v>低用量ピルは毎日服用して妊娠を防ぐお薬であるのに対し、アフターピルは性行為後に緊急的に服用するお薬です。目的と飲み方が異なります。</v>
      </c>
      <c r="C275" s="31" t="str">
        <f>IFERROR(__xludf.DUMMYFUNCTION("""COMPUTED_VALUE"""),"アフターピル（緊急避妊薬）")</f>
        <v>アフターピル（緊急避妊薬）</v>
      </c>
      <c r="D275" s="31" t="str">
        <f>IFERROR(__xludf.DUMMYFUNCTION("""COMPUTED_VALUE"""),"アフターピル,低用量ピル,違い")</f>
        <v>アフターピル,低用量ピル,違い</v>
      </c>
      <c r="E275" s="32" t="str">
        <f>IFERROR(__xludf.DUMMYFUNCTION("""COMPUTED_VALUE"""),"https://luna-dr.com/subjects/after-pill_page/")</f>
        <v>https://luna-dr.com/subjects/after-pill_page/</v>
      </c>
    </row>
    <row r="276">
      <c r="A276" s="31" t="str">
        <f>IFERROR(__xludf.DUMMYFUNCTION("""COMPUTED_VALUE"""),"アフターピルは何回使っても大丈夫ですか？")</f>
        <v>アフターピルは何回使っても大丈夫ですか？</v>
      </c>
      <c r="B276" s="31" t="str">
        <f>IFERROR(__xludf.DUMMYFUNCTION("""COMPUTED_VALUE"""),"アフターピルは緊急時の避妊法として使用されるお薬で、将来の妊娠能力に影響するという報告はありません。ただし、繰り返し使用する場合は、継続的な避妊方法についての相談をおすすめします。")</f>
        <v>アフターピルは緊急時の避妊法として使用されるお薬で、将来の妊娠能力に影響するという報告はありません。ただし、繰り返し使用する場合は、継続的な避妊方法についての相談をおすすめします。</v>
      </c>
      <c r="C276" s="31" t="str">
        <f>IFERROR(__xludf.DUMMYFUNCTION("""COMPUTED_VALUE"""),"アフターピル（緊急避妊薬）")</f>
        <v>アフターピル（緊急避妊薬）</v>
      </c>
      <c r="D276" s="31" t="str">
        <f>IFERROR(__xludf.DUMMYFUNCTION("""COMPUTED_VALUE"""),"アフターピル,繰り返し使用,安全性")</f>
        <v>アフターピル,繰り返し使用,安全性</v>
      </c>
      <c r="E276" s="32" t="str">
        <f>IFERROR(__xludf.DUMMYFUNCTION("""COMPUTED_VALUE"""),"https://luna-dr.com/subjects/after-pill_page/")</f>
        <v>https://luna-dr.com/subjects/after-pill_page/</v>
      </c>
    </row>
    <row r="277">
      <c r="A277" s="31" t="str">
        <f>IFERROR(__xludf.DUMMYFUNCTION("""COMPUTED_VALUE"""),"アフターピルは性行為から何時間以内に飲めばいいですか？")</f>
        <v>アフターピルは性行為から何時間以内に飲めばいいですか？</v>
      </c>
      <c r="B277" s="31" t="str">
        <f>IFERROR(__xludf.DUMMYFUNCTION("""COMPUTED_VALUE"""),"アフターピルは、性行為後できるだけ早く服用するほど効果が高くなります。種類によって72時間以内、または120時間以内まで服用可能です。")</f>
        <v>アフターピルは、性行為後できるだけ早く服用するほど効果が高くなります。種類によって72時間以内、または120時間以内まで服用可能です。</v>
      </c>
      <c r="C277" s="31" t="str">
        <f>IFERROR(__xludf.DUMMYFUNCTION("""COMPUTED_VALUE"""),"アフターピル（緊急避妊薬）")</f>
        <v>アフターピル（緊急避妊薬）</v>
      </c>
      <c r="D277" s="31" t="str">
        <f>IFERROR(__xludf.DUMMYFUNCTION("""COMPUTED_VALUE"""),"アフターピル,何時間以内,服用タイミング")</f>
        <v>アフターピル,何時間以内,服用タイミング</v>
      </c>
      <c r="E277" s="32" t="str">
        <f>IFERROR(__xludf.DUMMYFUNCTION("""COMPUTED_VALUE"""),"https://luna-dr.com/subjects/after-pill_page/")</f>
        <v>https://luna-dr.com/subjects/after-pill_page/</v>
      </c>
    </row>
    <row r="278">
      <c r="A278" s="31" t="str">
        <f>IFERROR(__xludf.DUMMYFUNCTION("""COMPUTED_VALUE"""),"アフターピルは72時間を過ぎたらもう間に合いませんか？")</f>
        <v>アフターピルは72時間を過ぎたらもう間に合いませんか？</v>
      </c>
      <c r="B278" s="31" t="str">
        <f>IFERROR(__xludf.DUMMYFUNCTION("""COMPUTED_VALUE"""),"72時間を過ぎた場合でも、120時間以内であればエラ（エラワン）やジョセイといったアフターピルを服用できる場合があります。")</f>
        <v>72時間を過ぎた場合でも、120時間以内であればエラ（エラワン）やジョセイといったアフターピルを服用できる場合があります。</v>
      </c>
      <c r="C278" s="31" t="str">
        <f>IFERROR(__xludf.DUMMYFUNCTION("""COMPUTED_VALUE"""),"アフターピル（緊急避妊薬）")</f>
        <v>アフターピル（緊急避妊薬）</v>
      </c>
      <c r="D278" s="31" t="str">
        <f>IFERROR(__xludf.DUMMYFUNCTION("""COMPUTED_VALUE"""),"アフターピル,72時間以上,120時間")</f>
        <v>アフターピル,72時間以上,120時間</v>
      </c>
      <c r="E278" s="32" t="str">
        <f>IFERROR(__xludf.DUMMYFUNCTION("""COMPUTED_VALUE"""),"https://luna-dr.com/subjects/after-pill_page/")</f>
        <v>https://luna-dr.com/subjects/after-pill_page/</v>
      </c>
    </row>
    <row r="279">
      <c r="A279" s="31" t="str">
        <f>IFERROR(__xludf.DUMMYFUNCTION("""COMPUTED_VALUE"""),"アフターピルは120時間以内なら必ず効きますか？")</f>
        <v>アフターピルは120時間以内なら必ず効きますか？</v>
      </c>
      <c r="B279" s="31" t="str">
        <f>IFERROR(__xludf.DUMMYFUNCTION("""COMPUTED_VALUE"""),"120時間以内であっても、避妊効果は100%ではありません。早く服用するほど効果が高いため、できるだけ早い受診と服用が大切です。")</f>
        <v>120時間以内であっても、避妊効果は100%ではありません。早く服用するほど効果が高いため、できるだけ早い受診と服用が大切です。</v>
      </c>
      <c r="C279" s="31" t="str">
        <f>IFERROR(__xludf.DUMMYFUNCTION("""COMPUTED_VALUE"""),"アフターピル（緊急避妊薬）")</f>
        <v>アフターピル（緊急避妊薬）</v>
      </c>
      <c r="D279" s="31" t="str">
        <f>IFERROR(__xludf.DUMMYFUNCTION("""COMPUTED_VALUE"""),"アフターピル,120時間,避妊効果")</f>
        <v>アフターピル,120時間,避妊効果</v>
      </c>
      <c r="E279" s="32" t="str">
        <f>IFERROR(__xludf.DUMMYFUNCTION("""COMPUTED_VALUE"""),"https://luna-dr.com/subjects/after-pill_page/")</f>
        <v>https://luna-dr.com/subjects/after-pill_page/</v>
      </c>
    </row>
    <row r="280">
      <c r="A280" s="31" t="str">
        <f>IFERROR(__xludf.DUMMYFUNCTION("""COMPUTED_VALUE"""),"アフターピルは排卵後でも効果はありますか？")</f>
        <v>アフターピルは排卵後でも効果はありますか？</v>
      </c>
      <c r="B280" s="31" t="str">
        <f>IFERROR(__xludf.DUMMYFUNCTION("""COMPUTED_VALUE"""),"アフターピルは排卵を遅らせる作用が主ですが、排卵直前でも効果が期待できる種類があります。状況により医師が判断します。")</f>
        <v>アフターピルは排卵を遅らせる作用が主ですが、排卵直前でも効果が期待できる種類があります。状況により医師が判断します。</v>
      </c>
      <c r="C280" s="31" t="str">
        <f>IFERROR(__xludf.DUMMYFUNCTION("""COMPUTED_VALUE"""),"アフターピル（緊急避妊薬）")</f>
        <v>アフターピル（緊急避妊薬）</v>
      </c>
      <c r="D280" s="31" t="str">
        <f>IFERROR(__xludf.DUMMYFUNCTION("""COMPUTED_VALUE"""),"アフターピル,排卵後,効果")</f>
        <v>アフターピル,排卵後,効果</v>
      </c>
      <c r="E280" s="32" t="str">
        <f>IFERROR(__xludf.DUMMYFUNCTION("""COMPUTED_VALUE"""),"https://luna-dr.com/subjects/after-pill_page/")</f>
        <v>https://luna-dr.com/subjects/after-pill_page/</v>
      </c>
    </row>
    <row r="281">
      <c r="A281" s="31" t="str">
        <f>IFERROR(__xludf.DUMMYFUNCTION("""COMPUTED_VALUE"""),"レボノルゲストレルとは何ですか？")</f>
        <v>レボノルゲストレルとは何ですか？</v>
      </c>
      <c r="B281" s="31" t="str">
        <f>IFERROR(__xludf.DUMMYFUNCTION("""COMPUTED_VALUE"""),"レボノルゲストレルは、黄体ホルモン作用の成分が、排卵を遅らせ、子宮内膜の状態を変化させて着床を妨げます。
国内で認可されているため、処方可能な医療機関が多く、エラワンやエラ、ジョセイに比べて安いというメリットがあります。
一方で、性行為後24時間以内に服用した場合の避妊成功率は約95%、72時間以内では約85%と時間が経つほど効果は低下します。")</f>
        <v>レボノルゲストレルは、黄体ホルモン作用の成分が、排卵を遅らせ、子宮内膜の状態を変化させて着床を妨げます。
国内で認可されているため、処方可能な医療機関が多く、エラワンやエラ、ジョセイに比べて安いというメリットがあります。
一方で、性行為後24時間以内に服用した場合の避妊成功率は約95%、72時間以内では約85%と時間が経つほど効果は低下します。</v>
      </c>
      <c r="C281" s="31" t="str">
        <f>IFERROR(__xludf.DUMMYFUNCTION("""COMPUTED_VALUE"""),"アフターピル（緊急避妊薬）")</f>
        <v>アフターピル（緊急避妊薬）</v>
      </c>
      <c r="D281" s="31" t="str">
        <f>IFERROR(__xludf.DUMMYFUNCTION("""COMPUTED_VALUE"""),"レボノルゲストレル,アフターピル,72時間")</f>
        <v>レボノルゲストレル,アフターピル,72時間</v>
      </c>
      <c r="E281" s="32" t="str">
        <f>IFERROR(__xludf.DUMMYFUNCTION("""COMPUTED_VALUE"""),"https://luna-dr.com/subjects/after-pill_page/")</f>
        <v>https://luna-dr.com/subjects/after-pill_page/</v>
      </c>
    </row>
    <row r="282">
      <c r="A282" s="31" t="str">
        <f>IFERROR(__xludf.DUMMYFUNCTION("""COMPUTED_VALUE"""),"エラとは何ですか？/エラワンとは何ですか？")</f>
        <v>エラとは何ですか？/エラワンとは何ですか？</v>
      </c>
      <c r="B282" s="31" t="str">
        <f>IFERROR(__xludf.DUMMYFUNCTION("""COMPUTED_VALUE"""),"エラ（エラワン）はウリプリスタル製剤とも呼ばれ、黄体ホルモンへの感度を調節することで避妊効果を発揮します。
最大のメリットは性交後120時間以内まで98%という高い避妊効果を維持できる点で、時間が経ってしまった場合の強い味方です。
特に、排卵直前でも強い排卵抑制効果を示し、BMIが30以上の肥満女性でも効果が低下しにくいというメリットがあります。
一方で、国内では未承認薬のため、価格が高い傾向があるというデメリットがあります。
また、取り扱っている医療機関が限られ、オンライン診療による処方が主流です。")</f>
        <v>エラ（エラワン）はウリプリスタル製剤とも呼ばれ、黄体ホルモンへの感度を調節することで避妊効果を発揮します。
最大のメリットは性交後120時間以内まで98%という高い避妊効果を維持できる点で、時間が経ってしまった場合の強い味方です。
特に、排卵直前でも強い排卵抑制効果を示し、BMIが30以上の肥満女性でも効果が低下しにくいというメリットがあります。
一方で、国内では未承認薬のため、価格が高い傾向があるというデメリットがあります。
また、取り扱っている医療機関が限られ、オンライン診療による処方が主流です。</v>
      </c>
      <c r="C282" s="31" t="str">
        <f>IFERROR(__xludf.DUMMYFUNCTION("""COMPUTED_VALUE"""),"アフターピル（緊急避妊薬）")</f>
        <v>アフターピル（緊急避妊薬）</v>
      </c>
      <c r="D282" s="31" t="str">
        <f>IFERROR(__xludf.DUMMYFUNCTION("""COMPUTED_VALUE"""),"エラ,エラワン,アフターピル")</f>
        <v>エラ,エラワン,アフターピル</v>
      </c>
      <c r="E282" s="32" t="str">
        <f>IFERROR(__xludf.DUMMYFUNCTION("""COMPUTED_VALUE"""),"https://luna-dr.com/subjects/after-pill_page/")</f>
        <v>https://luna-dr.com/subjects/after-pill_page/</v>
      </c>
    </row>
    <row r="283">
      <c r="A283" s="31" t="str">
        <f>IFERROR(__xludf.DUMMYFUNCTION("""COMPUTED_VALUE"""),"ジョセイとは何ですか？")</f>
        <v>ジョセイとは何ですか？</v>
      </c>
      <c r="B283" s="31" t="str">
        <f>IFERROR(__xludf.DUMMYFUNCTION("""COMPUTED_VALUE"""),"ジョセイはエラ（エラワン）と同じウリプリスタル製剤で、ジェネリック（後発）医薬品です。
取り扱っている医療機関が限られるため、オンライン診療が主流です。
ルナレディースクリニックでは、対面診療でもエラ（エラワン）とジョセイの処方に対応しています。
時間的な余裕がなく郵送が心配な方でも、確実かつ安全にエラ（エラワン）やジョセイを服用していただくことができます。")</f>
        <v>ジョセイはエラ（エラワン）と同じウリプリスタル製剤で、ジェネリック（後発）医薬品です。
取り扱っている医療機関が限られるため、オンライン診療が主流です。
ルナレディースクリニックでは、対面診療でもエラ（エラワン）とジョセイの処方に対応しています。
時間的な余裕がなく郵送が心配な方でも、確実かつ安全にエラ（エラワン）やジョセイを服用していただくことができます。</v>
      </c>
      <c r="C283" s="31" t="str">
        <f>IFERROR(__xludf.DUMMYFUNCTION("""COMPUTED_VALUE"""),"アフターピル（緊急避妊薬）")</f>
        <v>アフターピル（緊急避妊薬）</v>
      </c>
      <c r="D283" s="31" t="str">
        <f>IFERROR(__xludf.DUMMYFUNCTION("""COMPUTED_VALUE"""),"ジョセイ,アフターピル,120時間")</f>
        <v>ジョセイ,アフターピル,120時間</v>
      </c>
      <c r="E283" s="32" t="str">
        <f>IFERROR(__xludf.DUMMYFUNCTION("""COMPUTED_VALUE"""),"https://luna-dr.com/subjects/after-pill_page/")</f>
        <v>https://luna-dr.com/subjects/after-pill_page/</v>
      </c>
    </row>
    <row r="284">
      <c r="A284" s="31" t="str">
        <f>IFERROR(__xludf.DUMMYFUNCTION("""COMPUTED_VALUE"""),"アフターピルの副作用には何がありますか？")</f>
        <v>アフターピルの副作用には何がありますか？</v>
      </c>
      <c r="B284" s="31" t="str">
        <f>IFERROR(__xludf.DUMMYFUNCTION("""COMPUTED_VALUE"""),"吐き気、頭痛、めまい、下痢、腹痛、不正出血、どがみられることがありますが、
ほとんどの副作用は、安静にしていれば数時間〜1日程度でおさまることがほとんどです。
当クリニックでは吐き気止めも処方しています。ご希望があれば、遠慮なく医師にお伝えください。")</f>
        <v>吐き気、頭痛、めまい、下痢、腹痛、不正出血、どがみられることがありますが、
ほとんどの副作用は、安静にしていれば数時間〜1日程度でおさまることがほとんどです。
当クリニックでは吐き気止めも処方しています。ご希望があれば、遠慮なく医師にお伝えください。</v>
      </c>
      <c r="C284" s="31" t="str">
        <f>IFERROR(__xludf.DUMMYFUNCTION("""COMPUTED_VALUE"""),"アフターピル（緊急避妊薬）")</f>
        <v>アフターピル（緊急避妊薬）</v>
      </c>
      <c r="D284" s="31" t="str">
        <f>IFERROR(__xludf.DUMMYFUNCTION("""COMPUTED_VALUE"""),"アフターピル,副作用,吐き気")</f>
        <v>アフターピル,副作用,吐き気</v>
      </c>
      <c r="E284" s="32" t="str">
        <f>IFERROR(__xludf.DUMMYFUNCTION("""COMPUTED_VALUE"""),"https://luna-dr.com/subjects/after-pill_page/")</f>
        <v>https://luna-dr.com/subjects/after-pill_page/</v>
      </c>
    </row>
    <row r="285">
      <c r="A285" s="31" t="str">
        <f>IFERROR(__xludf.DUMMYFUNCTION("""COMPUTED_VALUE"""),"アフターピルの飲み方は？")</f>
        <v>アフターピルの飲み方は？</v>
      </c>
      <c r="B285" s="31" t="str">
        <f>IFERROR(__xludf.DUMMYFUNCTION("""COMPUTED_VALUE"""),"当クリニックで処方しているアフターピル（レボノルゲストレル、エラ、ジョセイ）は、全て1回1錠のみで服用が完了します。
アフターピルは時間の経過とともに避妊率が低下するため、食前・食後を問わず、処方後すぐに服用してください。
万一、服用後2時間以内に吐いてしまった場合は、薬の成分が体に吸収されていない可能性があるため、もう一度服用する必要があります。
その場合は、すぐに当クリニックへご連絡ください。")</f>
        <v>当クリニックで処方しているアフターピル（レボノルゲストレル、エラ、ジョセイ）は、全て1回1錠のみで服用が完了します。
アフターピルは時間の経過とともに避妊率が低下するため、食前・食後を問わず、処方後すぐに服用してください。
万一、服用後2時間以内に吐いてしまった場合は、薬の成分が体に吸収されていない可能性があるため、もう一度服用する必要があります。
その場合は、すぐに当クリニックへご連絡ください。</v>
      </c>
      <c r="C285" s="31" t="str">
        <f>IFERROR(__xludf.DUMMYFUNCTION("""COMPUTED_VALUE"""),"アフターピル（緊急避妊薬）")</f>
        <v>アフターピル（緊急避妊薬）</v>
      </c>
      <c r="D285" s="31" t="str">
        <f>IFERROR(__xludf.DUMMYFUNCTION("""COMPUTED_VALUE"""),"アフターピル,飲み方,食前,食後,副作用,吐き気")</f>
        <v>アフターピル,飲み方,食前,食後,副作用,吐き気</v>
      </c>
      <c r="E285" s="32" t="str">
        <f>IFERROR(__xludf.DUMMYFUNCTION("""COMPUTED_VALUE"""),"https://luna-dr.com/subjects/after-pill_page/")</f>
        <v>https://luna-dr.com/subjects/after-pill_page/</v>
      </c>
    </row>
    <row r="286">
      <c r="A286" s="31" t="str">
        <f>IFERROR(__xludf.DUMMYFUNCTION("""COMPUTED_VALUE"""),"アフターピルの服用後に吐いてしまったらどうなりますか？")</f>
        <v>アフターピルの服用後に吐いてしまったらどうなりますか？</v>
      </c>
      <c r="B286" s="31" t="str">
        <f>IFERROR(__xludf.DUMMYFUNCTION("""COMPUTED_VALUE"""),"服用後2時間以内に嘔吐した場合、薬が十分に吸収されていない可能性があるため、早めにご相談ください。")</f>
        <v>服用後2時間以内に嘔吐した場合、薬が十分に吸収されていない可能性があるため、早めにご相談ください。</v>
      </c>
      <c r="C286" s="31" t="str">
        <f>IFERROR(__xludf.DUMMYFUNCTION("""COMPUTED_VALUE"""),"アフターピル（緊急避妊薬）")</f>
        <v>アフターピル（緊急避妊薬）</v>
      </c>
      <c r="D286" s="31" t="str">
        <f>IFERROR(__xludf.DUMMYFUNCTION("""COMPUTED_VALUE"""),"アフターピル,嘔吐,飲み直し")</f>
        <v>アフターピル,嘔吐,飲み直し</v>
      </c>
      <c r="E286" s="32" t="str">
        <f>IFERROR(__xludf.DUMMYFUNCTION("""COMPUTED_VALUE"""),"https://luna-dr.com/subjects/after-pill_page/")</f>
        <v>https://luna-dr.com/subjects/after-pill_page/</v>
      </c>
    </row>
    <row r="287">
      <c r="A287" s="31" t="str">
        <f>IFERROR(__xludf.DUMMYFUNCTION("""COMPUTED_VALUE"""),"アフターピルを飲むと不妊になりますか？")</f>
        <v>アフターピルを飲むと不妊になりますか？</v>
      </c>
      <c r="B287" s="31" t="str">
        <f>IFERROR(__xludf.DUMMYFUNCTION("""COMPUTED_VALUE"""),"アフターピルは一時的に作用するお薬で、将来の妊娠能力に影響するという報告はありません。")</f>
        <v>アフターピルは一時的に作用するお薬で、将来の妊娠能力に影響するという報告はありません。</v>
      </c>
      <c r="C287" s="31" t="str">
        <f>IFERROR(__xludf.DUMMYFUNCTION("""COMPUTED_VALUE"""),"アフターピル（緊急避妊薬）")</f>
        <v>アフターピル（緊急避妊薬）</v>
      </c>
      <c r="D287" s="31" t="str">
        <f>IFERROR(__xludf.DUMMYFUNCTION("""COMPUTED_VALUE"""),"アフターピル,不妊,将来妊娠")</f>
        <v>アフターピル,不妊,将来妊娠</v>
      </c>
      <c r="E287" s="32" t="str">
        <f>IFERROR(__xludf.DUMMYFUNCTION("""COMPUTED_VALUE"""),"https://luna-dr.com/subjects/after-pill_page/")</f>
        <v>https://luna-dr.com/subjects/after-pill_page/</v>
      </c>
    </row>
    <row r="288">
      <c r="A288" s="31" t="str">
        <f>IFERROR(__xludf.DUMMYFUNCTION("""COMPUTED_VALUE"""),"アフターピルを飲んだ後、生理はいつ来ますか？")</f>
        <v>アフターピルを飲んだ後、生理はいつ来ますか？</v>
      </c>
      <c r="B288" s="31" t="str">
        <f>IFERROR(__xludf.DUMMYFUNCTION("""COMPUTED_VALUE"""),"服用後1〜3週間以内に生理が来ることが多いですが、個人差があります。3週間以上来ない場合は妊娠検査薬の使用をおすすめします。")</f>
        <v>服用後1〜3週間以内に生理が来ることが多いですが、個人差があります。3週間以上来ない場合は妊娠検査薬の使用をおすすめします。</v>
      </c>
      <c r="C288" s="31" t="str">
        <f>IFERROR(__xludf.DUMMYFUNCTION("""COMPUTED_VALUE"""),"アフターピル（緊急避妊薬）")</f>
        <v>アフターピル（緊急避妊薬）</v>
      </c>
      <c r="D288" s="31" t="str">
        <f>IFERROR(__xludf.DUMMYFUNCTION("""COMPUTED_VALUE"""),"アフターピル,生理いつ,妊娠検査")</f>
        <v>アフターピル,生理いつ,妊娠検査</v>
      </c>
      <c r="E288" s="32" t="str">
        <f>IFERROR(__xludf.DUMMYFUNCTION("""COMPUTED_VALUE"""),"https://luna-dr.com/subjects/after-pill_page/")</f>
        <v>https://luna-dr.com/subjects/after-pill_page/</v>
      </c>
    </row>
    <row r="289">
      <c r="A289" s="31" t="str">
        <f>IFERROR(__xludf.DUMMYFUNCTION("""COMPUTED_VALUE"""),"アフターピル服用後、生理が来たら避妊は成功ですか？")</f>
        <v>アフターピル服用後、生理が来たら避妊は成功ですか？</v>
      </c>
      <c r="B289" s="31" t="str">
        <f>IFERROR(__xludf.DUMMYFUNCTION("""COMPUTED_VALUE"""),"生理が来た場合、多くは避妊が成功していますが、判断に迷う場合はご相談ください。")</f>
        <v>生理が来た場合、多くは避妊が成功していますが、判断に迷う場合はご相談ください。</v>
      </c>
      <c r="C289" s="31" t="str">
        <f>IFERROR(__xludf.DUMMYFUNCTION("""COMPUTED_VALUE"""),"アフターピル（緊急避妊薬）")</f>
        <v>アフターピル（緊急避妊薬）</v>
      </c>
      <c r="D289" s="31" t="str">
        <f>IFERROR(__xludf.DUMMYFUNCTION("""COMPUTED_VALUE"""),"アフターピル,生理,避妊成功")</f>
        <v>アフターピル,生理,避妊成功</v>
      </c>
      <c r="E289" s="32" t="str">
        <f>IFERROR(__xludf.DUMMYFUNCTION("""COMPUTED_VALUE"""),"https://luna-dr.com/subjects/after-pill_page/")</f>
        <v>https://luna-dr.com/subjects/after-pill_page/</v>
      </c>
    </row>
    <row r="290">
      <c r="A290" s="31" t="str">
        <f>IFERROR(__xludf.DUMMYFUNCTION("""COMPUTED_VALUE"""),"アフターピル服用後、妊娠検査薬はいつ使えばいいですか？")</f>
        <v>アフターピル服用後、妊娠検査薬はいつ使えばいいですか？</v>
      </c>
      <c r="B290" s="31" t="str">
        <f>IFERROR(__xludf.DUMMYFUNCTION("""COMPUTED_VALUE"""),"性行為から3週間以上経過してから使用することをおすすめします。")</f>
        <v>性行為から3週間以上経過してから使用することをおすすめします。</v>
      </c>
      <c r="C290" s="31" t="str">
        <f>IFERROR(__xludf.DUMMYFUNCTION("""COMPUTED_VALUE"""),"アフターピル（緊急避妊薬）")</f>
        <v>アフターピル（緊急避妊薬）</v>
      </c>
      <c r="D290" s="31" t="str">
        <f>IFERROR(__xludf.DUMMYFUNCTION("""COMPUTED_VALUE"""),"アフターピル,妊娠検査薬,いつ")</f>
        <v>アフターピル,妊娠検査薬,いつ</v>
      </c>
      <c r="E290" s="32" t="str">
        <f>IFERROR(__xludf.DUMMYFUNCTION("""COMPUTED_VALUE"""),"https://luna-dr.com/subjects/after-pill_page/")</f>
        <v>https://luna-dr.com/subjects/after-pill_page/</v>
      </c>
    </row>
    <row r="291">
      <c r="A291" s="31" t="str">
        <f>IFERROR(__xludf.DUMMYFUNCTION("""COMPUTED_VALUE"""),"アフターピルは初診でもオンライン診療で処方できますか？")</f>
        <v>アフターピルは初診でもオンライン診療で処方できますか？</v>
      </c>
      <c r="B291" s="31" t="str">
        <f>IFERROR(__xludf.DUMMYFUNCTION("""COMPUTED_VALUE"""),"アフターピルは初診の方でもオンライン診療をご利用いただけます。")</f>
        <v>アフターピルは初診の方でもオンライン診療をご利用いただけます。</v>
      </c>
      <c r="C291" s="31" t="str">
        <f>IFERROR(__xludf.DUMMYFUNCTION("""COMPUTED_VALUE"""),"アフターピル（緊急避妊薬）")</f>
        <v>アフターピル（緊急避妊薬）</v>
      </c>
      <c r="D291" s="31" t="str">
        <f>IFERROR(__xludf.DUMMYFUNCTION("""COMPUTED_VALUE"""),"アフターピル,オンライン診療,初診")</f>
        <v>アフターピル,オンライン診療,初診</v>
      </c>
      <c r="E291" s="32" t="str">
        <f>IFERROR(__xludf.DUMMYFUNCTION("""COMPUTED_VALUE"""),"https://luna-dr.com/subjects/after-pill_page/")</f>
        <v>https://luna-dr.com/subjects/after-pill_page/</v>
      </c>
    </row>
    <row r="292">
      <c r="A292" s="31" t="str">
        <f>IFERROR(__xludf.DUMMYFUNCTION("""COMPUTED_VALUE"""),"アフターピルのWEB問診では何を聞かれますか？")</f>
        <v>アフターピルのWEB問診では何を聞かれますか？</v>
      </c>
      <c r="B292" s="31" t="str">
        <f>IFERROR(__xludf.DUMMYFUNCTION("""COMPUTED_VALUE"""),"最終月経日、性行為の日時、避妊状況、服用歴などをお伺いします。")</f>
        <v>最終月経日、性行為の日時、避妊状況、服用歴などをお伺いします。</v>
      </c>
      <c r="C292" s="31" t="str">
        <f>IFERROR(__xludf.DUMMYFUNCTION("""COMPUTED_VALUE"""),"アフターピル（緊急避妊薬）")</f>
        <v>アフターピル（緊急避妊薬）</v>
      </c>
      <c r="D292" s="31" t="str">
        <f>IFERROR(__xludf.DUMMYFUNCTION("""COMPUTED_VALUE"""),"アフターピル,WEB問診,質問内容")</f>
        <v>アフターピル,WEB問診,質問内容</v>
      </c>
      <c r="E292" s="32" t="str">
        <f>IFERROR(__xludf.DUMMYFUNCTION("""COMPUTED_VALUE"""),"https://luna-dr.com/subjects/after-pill_page/")</f>
        <v>https://luna-dr.com/subjects/after-pill_page/</v>
      </c>
    </row>
    <row r="293">
      <c r="A293" s="31" t="str">
        <f>IFERROR(__xludf.DUMMYFUNCTION("""COMPUTED_VALUE"""),"アフターピルの内診はありますか？")</f>
        <v>アフターピルの内診はありますか？</v>
      </c>
      <c r="B293" s="31" t="str">
        <f>IFERROR(__xludf.DUMMYFUNCTION("""COMPUTED_VALUE"""),"多くの場合、内診なしで処方可能ですが、必要に応じて行うことがあります。")</f>
        <v>多くの場合、内診なしで処方可能ですが、必要に応じて行うことがあります。</v>
      </c>
      <c r="C293" s="31" t="str">
        <f>IFERROR(__xludf.DUMMYFUNCTION("""COMPUTED_VALUE"""),"アフターピル（緊急避妊薬）")</f>
        <v>アフターピル（緊急避妊薬）</v>
      </c>
      <c r="D293" s="31" t="str">
        <f>IFERROR(__xludf.DUMMYFUNCTION("""COMPUTED_VALUE"""),"アフターピル,内診,診察内容")</f>
        <v>アフターピル,内診,診察内容</v>
      </c>
      <c r="E293" s="32" t="str">
        <f>IFERROR(__xludf.DUMMYFUNCTION("""COMPUTED_VALUE"""),"https://luna-dr.com/subjects/after-pill_page/")</f>
        <v>https://luna-dr.com/subjects/after-pill_page/</v>
      </c>
    </row>
    <row r="294">
      <c r="A294" s="31" t="str">
        <f>IFERROR(__xludf.DUMMYFUNCTION("""COMPUTED_VALUE"""),"アフターピルの診察は当日どこまで進みますか？")</f>
        <v>アフターピルの診察は当日どこまで進みますか？</v>
      </c>
      <c r="B294" s="31" t="str">
        <f>IFERROR(__xludf.DUMMYFUNCTION("""COMPUTED_VALUE"""),"診察・説明後、適応があればその場で処方、またはオンライン診療の場合は発送手続きまで進みます。
来院治療の場合の処方の流れはこちらの動画でも説明をしておりますので、よろしければご参考ください。https://www.youtube.com/watch?v=vujdrnpks7Q&amp;t=4s")</f>
        <v>診察・説明後、適応があればその場で処方、またはオンライン診療の場合は発送手続きまで進みます。
来院治療の場合の処方の流れはこちらの動画でも説明をしておりますので、よろしければご参考ください。https://www.youtube.com/watch?v=vujdrnpks7Q&amp;t=4s</v>
      </c>
      <c r="C294" s="31" t="str">
        <f>IFERROR(__xludf.DUMMYFUNCTION("""COMPUTED_VALUE"""),"アフターピル（緊急避妊薬）")</f>
        <v>アフターピル（緊急避妊薬）</v>
      </c>
      <c r="D294" s="31" t="str">
        <f>IFERROR(__xludf.DUMMYFUNCTION("""COMPUTED_VALUE"""),"アフターピル,当日,流れ")</f>
        <v>アフターピル,当日,流れ</v>
      </c>
      <c r="E294" s="32" t="str">
        <f>IFERROR(__xludf.DUMMYFUNCTION("""COMPUTED_VALUE"""),"https://luna-dr.com/subjects/after-pill_page/")</f>
        <v>https://luna-dr.com/subjects/after-pill_page/</v>
      </c>
    </row>
    <row r="295">
      <c r="A295" s="31" t="str">
        <f>IFERROR(__xludf.DUMMYFUNCTION("""COMPUTED_VALUE"""),"アフターピル服用後に相談はできますか？")</f>
        <v>アフターピル服用後に相談はできますか？</v>
      </c>
      <c r="B295" s="31" t="str">
        <f>IFERROR(__xludf.DUMMYFUNCTION("""COMPUTED_VALUE"""),"服用後の体調変化や不安についても、LINEなどでご相談いただけます。")</f>
        <v>服用後の体調変化や不安についても、LINEなどでご相談いただけます。</v>
      </c>
      <c r="C295" s="31" t="str">
        <f>IFERROR(__xludf.DUMMYFUNCTION("""COMPUTED_VALUE"""),"アフターピル（緊急避妊薬）")</f>
        <v>アフターピル（緊急避妊薬）</v>
      </c>
      <c r="D295" s="31" t="str">
        <f>IFERROR(__xludf.DUMMYFUNCTION("""COMPUTED_VALUE"""),"アフターピル,服用後相談,副作用不安")</f>
        <v>アフターピル,服用後相談,副作用不安</v>
      </c>
      <c r="E295" s="32" t="str">
        <f>IFERROR(__xludf.DUMMYFUNCTION("""COMPUTED_VALUE"""),"https://luna-dr.com/subjects/after-pill_page/")</f>
        <v>https://luna-dr.com/subjects/after-pill_page/</v>
      </c>
    </row>
    <row r="296">
      <c r="A296" s="31" t="str">
        <f>IFERROR(__xludf.DUMMYFUNCTION("""COMPUTED_VALUE"""),"アフターピルの診察の流れを教えてください")</f>
        <v>アフターピルの診察の流れを教えてください</v>
      </c>
      <c r="B296" s="31" t="str">
        <f>IFERROR(__xludf.DUMMYFUNCTION("""COMPUTED_VALUE"""),"ルナレディースクリニックでは、アフターピルは来院診療とオンライン診療の2つの方法で処方しています。来院の場合は、公式LINEから予約・WEB問診後に受付、医師の診察を行い、その場でお薬をお渡しします。オンライン診療の場合は、LINE予約後にWEB問診、医師の電話・チャット診察、決済確認後にお薬を発送します。
来院治療の場合の処方の流れはこちらの動画でも説明をしておりますので、よろしければご参考ください。https://www.youtube.com/watch?v=vujdrnpks7Q&amp;t=4s")</f>
        <v>ルナレディースクリニックでは、アフターピルは来院診療とオンライン診療の2つの方法で処方しています。来院の場合は、公式LINEから予約・WEB問診後に受付、医師の診察を行い、その場でお薬をお渡しします。オンライン診療の場合は、LINE予約後にWEB問診、医師の電話・チャット診察、決済確認後にお薬を発送します。
来院治療の場合の処方の流れはこちらの動画でも説明をしておりますので、よろしければご参考ください。https://www.youtube.com/watch?v=vujdrnpks7Q&amp;t=4s</v>
      </c>
      <c r="C296" s="31" t="str">
        <f>IFERROR(__xludf.DUMMYFUNCTION("""COMPUTED_VALUE"""),"アフターピル")</f>
        <v>アフターピル</v>
      </c>
      <c r="D296" s="31" t="str">
        <f>IFERROR(__xludf.DUMMYFUNCTION("""COMPUTED_VALUE"""),"アフターピル,診察の流れ,来院,オンライン診療")</f>
        <v>アフターピル,診察の流れ,来院,オンライン診療</v>
      </c>
      <c r="E296" s="32" t="str">
        <f>IFERROR(__xludf.DUMMYFUNCTION("""COMPUTED_VALUE"""),"https://luna-dr.com/subjects/after-pill_page/")</f>
        <v>https://luna-dr.com/subjects/after-pill_page/</v>
      </c>
    </row>
    <row r="297">
      <c r="A297" s="31" t="str">
        <f>IFERROR(__xludf.DUMMYFUNCTION("""COMPUTED_VALUE"""),"アフターピルは来院しなくても処方してもらえますか？")</f>
        <v>アフターピルは来院しなくても処方してもらえますか？</v>
      </c>
      <c r="B297" s="31" t="str">
        <f>IFERROR(__xludf.DUMMYFUNCTION("""COMPUTED_VALUE"""),"ルナレディースクリニックでは、初診の方でもオンライン診療でアフターピルの処方が可能です。LINEから予約・WEB問診・医師の診察・決済まで完結し、ご自宅へお薬をお届けします。")</f>
        <v>ルナレディースクリニックでは、初診の方でもオンライン診療でアフターピルの処方が可能です。LINEから予約・WEB問診・医師の診察・決済まで完結し、ご自宅へお薬をお届けします。</v>
      </c>
      <c r="C297" s="31" t="str">
        <f>IFERROR(__xludf.DUMMYFUNCTION("""COMPUTED_VALUE"""),"アフターピル")</f>
        <v>アフターピル</v>
      </c>
      <c r="D297" s="31" t="str">
        <f>IFERROR(__xludf.DUMMYFUNCTION("""COMPUTED_VALUE"""),"アフターピル,オンライン診療,初診")</f>
        <v>アフターピル,オンライン診療,初診</v>
      </c>
      <c r="E297" s="32" t="str">
        <f>IFERROR(__xludf.DUMMYFUNCTION("""COMPUTED_VALUE"""),"https://luna-dr.com/subjects/after-pill_page/")</f>
        <v>https://luna-dr.com/subjects/after-pill_page/</v>
      </c>
    </row>
    <row r="298">
      <c r="A298" s="31" t="str">
        <f>IFERROR(__xludf.DUMMYFUNCTION("""COMPUTED_VALUE"""),"アフターピルの予約はどうすればいいですか？")</f>
        <v>アフターピルの予約はどうすればいいですか？</v>
      </c>
      <c r="B298" s="31" t="str">
        <f>IFERROR(__xludf.DUMMYFUNCTION("""COMPUTED_VALUE"""),"ルナレディースクリニックでは、アフターピルの予約は24時間対応の公式LINEから行えます。予約外でも待ち時間が最小限になるよう対応いたします。公式LINEからのご予約とWEB問診での来院が最もスムーズです。女性医師の診察を希望される方は、診療時間内にお電話（050-1730-2768）でご予約ください。
アフターピルは、来院診療・オンライン診療どちらも対応をしております。ご希望の診療方法をご選択ください。
来院診療のご予約：こちらのLINEをご利用ください→https://cline-app.com/q"&amp;"r-codes/98ad6f149bfa20f4f2a9a2e91aac4187/preview
オンライン診療のご予約：こちらのオンライン診療LINEページをご利用ください→https://liff-gateway.lineml.jp/landing?follow=%40590gpxrd&amp;lp=fX73yx&amp;liff_id=1657094566-LmjNPPbVr")</f>
        <v>ルナレディースクリニックでは、アフターピルの予約は24時間対応の公式LINEから行えます。予約外でも待ち時間が最小限になるよう対応いたします。公式LINEからのご予約とWEB問診での来院が最もスムーズです。女性医師の診察を希望される方は、診療時間内にお電話（050-1730-2768）でご予約ください。
アフターピルは、来院診療・オンライン診療どちらも対応をしております。ご希望の診療方法をご選択ください。
来院診療のご予約：こちらのLINEをご利用ください→https://cline-app.com/qr-codes/98ad6f149bfa20f4f2a9a2e91aac4187/preview
オンライン診療のご予約：こちらのオンライン診療LINEページをご利用ください→https://liff-gateway.lineml.jp/landing?follow=%40590gpxrd&amp;lp=fX73yx&amp;liff_id=1657094566-LmjNPPbVr</v>
      </c>
      <c r="C298" s="31" t="str">
        <f>IFERROR(__xludf.DUMMYFUNCTION("""COMPUTED_VALUE"""),"アフターピル")</f>
        <v>アフターピル</v>
      </c>
      <c r="D298" s="31" t="str">
        <f>IFERROR(__xludf.DUMMYFUNCTION("""COMPUTED_VALUE"""),"予約方法,LINE,電話,アフターピル")</f>
        <v>予約方法,LINE,電話,アフターピル</v>
      </c>
      <c r="E298" s="32" t="str">
        <f>IFERROR(__xludf.DUMMYFUNCTION("""COMPUTED_VALUE"""),"https://luna-dr.com/subjects/after-pill_page/")</f>
        <v>https://luna-dr.com/subjects/after-pill_page/</v>
      </c>
    </row>
    <row r="299">
      <c r="A299" s="31" t="str">
        <f>IFERROR(__xludf.DUMMYFUNCTION("""COMPUTED_VALUE"""),"アフターピルはLINEから予約できますか？")</f>
        <v>アフターピルはLINEから予約できますか？</v>
      </c>
      <c r="B299" s="31" t="str">
        <f>IFERROR(__xludf.DUMMYFUNCTION("""COMPUTED_VALUE"""),"ルナレディースクリニックでは、公式LINEからアフターピルの診察予約が可能です。24時間いつでもご自身のタイミングで予約できます。
来院診療のご予約：こちらのLINEをご利用ください→https://cline-app.com/qr-codes/98ad6f149bfa20f4f2a9a2e91aac4187/preview
オンライン診療のご予約：こちらのオンライン診療LINEページをご利用ください→https://liff-gateway.lineml.jp/landing?follow=%4059"&amp;"0gpxrd&amp;lp=fX73yx&amp;liff_id=1657094566-LmjNPPbV")</f>
        <v>ルナレディースクリニックでは、公式LINEからアフターピルの診察予約が可能です。24時間いつでもご自身のタイミングで予約できます。
来院診療のご予約：こちらのLINEをご利用ください→https://cline-app.com/qr-codes/98ad6f149bfa20f4f2a9a2e91aac4187/preview
オンライン診療のご予約：こちらのオンライン診療LINEページをご利用ください→https://liff-gateway.lineml.jp/landing?follow=%40590gpxrd&amp;lp=fX73yx&amp;liff_id=1657094566-LmjNPPbV</v>
      </c>
      <c r="C299" s="31" t="str">
        <f>IFERROR(__xludf.DUMMYFUNCTION("""COMPUTED_VALUE"""),"アフターピル")</f>
        <v>アフターピル</v>
      </c>
      <c r="D299" s="31" t="str">
        <f>IFERROR(__xludf.DUMMYFUNCTION("""COMPUTED_VALUE"""),"LINE予約,婦人科予約,アフターピル")</f>
        <v>LINE予約,婦人科予約,アフターピル</v>
      </c>
      <c r="E299" s="32" t="str">
        <f>IFERROR(__xludf.DUMMYFUNCTION("""COMPUTED_VALUE"""),"https://luna-dr.com/subjects/after-pill_page/")</f>
        <v>https://luna-dr.com/subjects/after-pill_page/</v>
      </c>
    </row>
    <row r="300">
      <c r="A300" s="31" t="str">
        <f>IFERROR(__xludf.DUMMYFUNCTION("""COMPUTED_VALUE"""),"アフターピルは電話でも予約できますか？")</f>
        <v>アフターピルは電話でも予約できますか？</v>
      </c>
      <c r="B300" s="31" t="str">
        <f>IFERROR(__xludf.DUMMYFUNCTION("""COMPUTED_VALUE"""),"LINEでの予約後、事前問診等もLINEから行うことができ、スムーズに受診ができるため、当院ではLINEでのご予約を推奨しております。
来院診療のご予約：こちらのLINEをご利用ください→https://cline-app.com/qr-codes/98ad6f149bfa20f4f2a9a2e91aac4187/preview
オンライン診療のご予約：こちらのオンライン診療LINEページをご利用ください→https://liff-gateway.lineml.jp/landing?follow=%40"&amp;"590gpxrd&amp;lp=fX73yx&amp;liff_id=1657094566-LmjNPPbV")</f>
        <v>LINEでの予約後、事前問診等もLINEから行うことができ、スムーズに受診ができるため、当院ではLINEでのご予約を推奨しております。
来院診療のご予約：こちらのLINEをご利用ください→https://cline-app.com/qr-codes/98ad6f149bfa20f4f2a9a2e91aac4187/preview
オンライン診療のご予約：こちらのオンライン診療LINEページをご利用ください→https://liff-gateway.lineml.jp/landing?follow=%40590gpxrd&amp;lp=fX73yx&amp;liff_id=1657094566-LmjNPPbV</v>
      </c>
      <c r="C300" s="31" t="str">
        <f>IFERROR(__xludf.DUMMYFUNCTION("""COMPUTED_VALUE"""),"アフターピル")</f>
        <v>アフターピル</v>
      </c>
      <c r="D300" s="31" t="str">
        <f>IFERROR(__xludf.DUMMYFUNCTION("""COMPUTED_VALUE"""),"電話予約,問い合わせ,アフターピル")</f>
        <v>電話予約,問い合わせ,アフターピル</v>
      </c>
      <c r="E300" s="32" t="str">
        <f>IFERROR(__xludf.DUMMYFUNCTION("""COMPUTED_VALUE"""),"https://luna-dr.com/subjects/after-pill_page/")</f>
        <v>https://luna-dr.com/subjects/after-pill_page/</v>
      </c>
    </row>
    <row r="301">
      <c r="A301" s="31" t="str">
        <f>IFERROR(__xludf.DUMMYFUNCTION("""COMPUTED_VALUE"""),"アフターピルは予約なしでも相談できますか？")</f>
        <v>アフターピルは予約なしでも相談できますか？</v>
      </c>
      <c r="B301" s="31" t="str">
        <f>IFERROR(__xludf.DUMMYFUNCTION("""COMPUTED_VALUE"""),"来院治療の場合、予約外来院も可能です。スムーズなご案内のため、事前予約をおすすめしています。")</f>
        <v>来院治療の場合、予約外来院も可能です。スムーズなご案内のため、事前予約をおすすめしています。</v>
      </c>
      <c r="C301" s="31" t="str">
        <f>IFERROR(__xludf.DUMMYFUNCTION("""COMPUTED_VALUE"""),"アフターピル")</f>
        <v>アフターピル</v>
      </c>
      <c r="D301" s="31" t="str">
        <f>IFERROR(__xludf.DUMMYFUNCTION("""COMPUTED_VALUE"""),"予約なし,受診,アフターピル")</f>
        <v>予約なし,受診,アフターピル</v>
      </c>
      <c r="E301" s="32" t="str">
        <f>IFERROR(__xludf.DUMMYFUNCTION("""COMPUTED_VALUE"""),"https://luna-dr.com/subjects/after-pill_page/")</f>
        <v>https://luna-dr.com/subjects/after-pill_page/</v>
      </c>
    </row>
    <row r="302">
      <c r="A302" s="31" t="str">
        <f>IFERROR(__xludf.DUMMYFUNCTION("""COMPUTED_VALUE"""),"アフターピルの予約前に準備しておくことはありますか？")</f>
        <v>アフターピルの予約前に準備しておくことはありますか？</v>
      </c>
      <c r="B302" s="31" t="str">
        <f>IFERROR(__xludf.DUMMYFUNCTION("""COMPUTED_VALUE"""),"ルナレディースクリニックでは、アフターピルの診察前にWEB問診の入力をお願いしています。最終月経日や性行為の日時などを事前に入力することで、診察がスムーズになります。みます。")</f>
        <v>ルナレディースクリニックでは、アフターピルの診察前にWEB問診の入力をお願いしています。最終月経日や性行為の日時などを事前に入力することで、診察がスムーズになります。みます。</v>
      </c>
      <c r="C302" s="31" t="str">
        <f>IFERROR(__xludf.DUMMYFUNCTION("""COMPUTED_VALUE"""),"アフターピル")</f>
        <v>アフターピル</v>
      </c>
      <c r="D302" s="31" t="str">
        <f>IFERROR(__xludf.DUMMYFUNCTION("""COMPUTED_VALUE"""),"WEB問診,事前準備,アフターピル")</f>
        <v>WEB問診,事前準備,アフターピル</v>
      </c>
      <c r="E302" s="32" t="str">
        <f>IFERROR(__xludf.DUMMYFUNCTION("""COMPUTED_VALUE"""),"https://luna-dr.com/subjects/after-pill_page/")</f>
        <v>https://luna-dr.com/subjects/after-pill_page/</v>
      </c>
    </row>
    <row r="303">
      <c r="A303" s="31" t="str">
        <f>IFERROR(__xludf.DUMMYFUNCTION("""COMPUTED_VALUE"""),"アフターピルは初診でも予約できますか？")</f>
        <v>アフターピルは初診でも予約できますか？</v>
      </c>
      <c r="B303" s="31" t="str">
        <f>IFERROR(__xludf.DUMMYFUNCTION("""COMPUTED_VALUE"""),"アフターピルは初診の方もご予約いただけます。ご予約は公式LINEから受け付けておりますので、友だち追加の上ご利用ください。
来院診療のご予約：こちらのLINEをご利用ください→https://cline-app.com/qr-codes/98ad6f149bfa20f4f2a9a2e91aac4187/preview
オンライン診療のご予約：こちらのオンライン診療LINEページをご利用ください→https://liff-gateway.lineml.jp/landing?follow=%40590gpx"&amp;"rd&amp;lp=fX73yx&amp;liff_id=1657094566-LmjNPPbV")</f>
        <v>アフターピルは初診の方もご予約いただけます。ご予約は公式LINEから受け付けておりますので、友だち追加の上ご利用ください。
来院診療のご予約：こちらのLINEをご利用ください→https://cline-app.com/qr-codes/98ad6f149bfa20f4f2a9a2e91aac4187/preview
オンライン診療のご予約：こちらのオンライン診療LINEページをご利用ください→https://liff-gateway.lineml.jp/landing?follow=%40590gpxrd&amp;lp=fX73yx&amp;liff_id=1657094566-LmjNPPbV</v>
      </c>
      <c r="C303" s="31" t="str">
        <f>IFERROR(__xludf.DUMMYFUNCTION("""COMPUTED_VALUE"""),"アフターピル")</f>
        <v>アフターピル</v>
      </c>
      <c r="D303" s="31" t="str">
        <f>IFERROR(__xludf.DUMMYFUNCTION("""COMPUTED_VALUE"""),"初診,予約,アフターピル")</f>
        <v>初診,予約,アフターピル</v>
      </c>
      <c r="E303" s="32" t="str">
        <f>IFERROR(__xludf.DUMMYFUNCTION("""COMPUTED_VALUE"""),"https://luna-dr.com/subjects/after-pill_page/")</f>
        <v>https://luna-dr.com/subjects/after-pill_page/</v>
      </c>
    </row>
    <row r="304">
      <c r="A304" s="31" t="str">
        <f>IFERROR(__xludf.DUMMYFUNCTION("""COMPUTED_VALUE"""),"アフターピルは来院とオンライン、どちらで予約できますか？")</f>
        <v>アフターピルは来院とオンライン、どちらで予約できますか？</v>
      </c>
      <c r="B304" s="31" t="str">
        <f>IFERROR(__xludf.DUMMYFUNCTION("""COMPUTED_VALUE"""),"ルナレディースクリニックでは、アフターピルのご相談は来院診療とオンライン診療のどちらでも予約が可能です。ご自身のライフスタイルに合わせて選べます。
来院診療のご予約：こちらのLINEをご利用ください→https://cline-app.com/qr-codes/98ad6f149bfa20f4f2a9a2e91aac4187/preview
オンライン診療のご予約：こちらのオンライン診療LINEページをご利用ください→https://liff-gateway.lineml.jp/landing?foll"&amp;"ow=%40590gpxrd&amp;lp=fX73yx&amp;liff_id=1657094566-LmjNPPbV")</f>
        <v>ルナレディースクリニックでは、アフターピルのご相談は来院診療とオンライン診療のどちらでも予約が可能です。ご自身のライフスタイルに合わせて選べます。
来院診療のご予約：こちらのLINEをご利用ください→https://cline-app.com/qr-codes/98ad6f149bfa20f4f2a9a2e91aac4187/preview
オンライン診療のご予約：こちらのオンライン診療LINEページをご利用ください→https://liff-gateway.lineml.jp/landing?follow=%40590gpxrd&amp;lp=fX73yx&amp;liff_id=1657094566-LmjNPPbV</v>
      </c>
      <c r="C304" s="31" t="str">
        <f>IFERROR(__xludf.DUMMYFUNCTION("""COMPUTED_VALUE"""),"アフターピル")</f>
        <v>アフターピル</v>
      </c>
      <c r="D304" s="31" t="str">
        <f>IFERROR(__xludf.DUMMYFUNCTION("""COMPUTED_VALUE"""),"来院診療,オンライン診療,アフターピル")</f>
        <v>来院診療,オンライン診療,アフターピル</v>
      </c>
      <c r="E304" s="32" t="str">
        <f>IFERROR(__xludf.DUMMYFUNCTION("""COMPUTED_VALUE"""),"https://luna-dr.com/subjects/after-pill_page/")</f>
        <v>https://luna-dr.com/subjects/after-pill_page/</v>
      </c>
    </row>
    <row r="305">
      <c r="A305" s="31" t="str">
        <f>IFERROR(__xludf.DUMMYFUNCTION("""COMPUTED_VALUE"""),"アフターピルの診察前にWEB問診は必要ですか？")</f>
        <v>アフターピルの診察前にWEB問診は必要ですか？</v>
      </c>
      <c r="B305" s="31" t="str">
        <f>IFERROR(__xludf.DUMMYFUNCTION("""COMPUTED_VALUE"""),"ルナレディースクリニックでは、アフターピルの診察前にWEB問診の入力をお願いしています。最終月経日や性行為の日時などを事前に入力することで、診察がスムーズになります。")</f>
        <v>ルナレディースクリニックでは、アフターピルの診察前にWEB問診の入力をお願いしています。最終月経日や性行為の日時などを事前に入力することで、診察がスムーズになります。</v>
      </c>
      <c r="C305" s="31" t="str">
        <f>IFERROR(__xludf.DUMMYFUNCTION("""COMPUTED_VALUE"""),"アフターピル")</f>
        <v>アフターピル</v>
      </c>
      <c r="D305" s="31" t="str">
        <f>IFERROR(__xludf.DUMMYFUNCTION("""COMPUTED_VALUE"""),"アフターピル,WEB問診,事前準備")</f>
        <v>アフターピル,WEB問診,事前準備</v>
      </c>
      <c r="E305" s="32" t="str">
        <f>IFERROR(__xludf.DUMMYFUNCTION("""COMPUTED_VALUE"""),"https://luna-dr.com/subjects/after-pill_page/")</f>
        <v>https://luna-dr.com/subjects/after-pill_page/</v>
      </c>
    </row>
    <row r="306">
      <c r="A306" s="31" t="str">
        <f>IFERROR(__xludf.DUMMYFUNCTION("""COMPUTED_VALUE"""),"アフターピルの診察では何を聞かれますか？")</f>
        <v>アフターピルの診察では何を聞かれますか？</v>
      </c>
      <c r="B306" s="31" t="str">
        <f>IFERROR(__xludf.DUMMYFUNCTION("""COMPUTED_VALUE"""),"ルナレディースクリニックのアフターピル診察では、最終月経日、心配な性行為の日時、避妊状況、過去のアフターピル服用歴、アレルギーや持病などを確認します。")</f>
        <v>ルナレディースクリニックのアフターピル診察では、最終月経日、心配な性行為の日時、避妊状況、過去のアフターピル服用歴、アレルギーや持病などを確認します。</v>
      </c>
      <c r="C306" s="31" t="str">
        <f>IFERROR(__xludf.DUMMYFUNCTION("""COMPUTED_VALUE"""),"アフターピル")</f>
        <v>アフターピル</v>
      </c>
      <c r="D306" s="31" t="str">
        <f>IFERROR(__xludf.DUMMYFUNCTION("""COMPUTED_VALUE"""),"アフターピル,診察内容,問診")</f>
        <v>アフターピル,診察内容,問診</v>
      </c>
      <c r="E306" s="32" t="str">
        <f>IFERROR(__xludf.DUMMYFUNCTION("""COMPUTED_VALUE"""),"https://luna-dr.com/subjects/after-pill_page/")</f>
        <v>https://luna-dr.com/subjects/after-pill_page/</v>
      </c>
    </row>
    <row r="307">
      <c r="A307" s="31" t="str">
        <f>IFERROR(__xludf.DUMMYFUNCTION("""COMPUTED_VALUE"""),"アフターピルの診察で内診はありますか？")</f>
        <v>アフターピルの診察で内診はありますか？</v>
      </c>
      <c r="B307" s="31" t="str">
        <f>IFERROR(__xludf.DUMMYFUNCTION("""COMPUTED_VALUE"""),"アフターピルの診察は、原則として内診なしで処方可能な場合がほとんどです。ただし、医師が必要と判断した場合には内診や超音波検査を行うことがあります。")</f>
        <v>アフターピルの診察は、原則として内診なしで処方可能な場合がほとんどです。ただし、医師が必要と判断した場合には内診や超音波検査を行うことがあります。</v>
      </c>
      <c r="C307" s="31" t="str">
        <f>IFERROR(__xludf.DUMMYFUNCTION("""COMPUTED_VALUE"""),"アフターピル")</f>
        <v>アフターピル</v>
      </c>
      <c r="D307" s="31" t="str">
        <f>IFERROR(__xludf.DUMMYFUNCTION("""COMPUTED_VALUE"""),"アフターピル,内診,検査")</f>
        <v>アフターピル,内診,検査</v>
      </c>
      <c r="E307" s="32" t="str">
        <f>IFERROR(__xludf.DUMMYFUNCTION("""COMPUTED_VALUE"""),"https://luna-dr.com/subjects/after-pill_page/")</f>
        <v>https://luna-dr.com/subjects/after-pill_page/</v>
      </c>
    </row>
    <row r="308">
      <c r="A308" s="31" t="str">
        <f>IFERROR(__xludf.DUMMYFUNCTION("""COMPUTED_VALUE"""),"アフターピルは初診当日に処方されますか？")</f>
        <v>アフターピルは初診当日に処方されますか？</v>
      </c>
      <c r="B308" s="31" t="str">
        <f>IFERROR(__xludf.DUMMYFUNCTION("""COMPUTED_VALUE"""),"ルナレディースクリニックでは、診察後すぐにアフターピルを処方しています。来院診療の場合は当日お渡し、オンライン診療の場合は決済確認後に当日または翌日に発送します。")</f>
        <v>ルナレディースクリニックでは、診察後すぐにアフターピルを処方しています。来院診療の場合は当日お渡し、オンライン診療の場合は決済確認後に当日または翌日に発送します。</v>
      </c>
      <c r="C308" s="31" t="str">
        <f>IFERROR(__xludf.DUMMYFUNCTION("""COMPUTED_VALUE"""),"アフターピル")</f>
        <v>アフターピル</v>
      </c>
      <c r="D308" s="31" t="str">
        <f>IFERROR(__xludf.DUMMYFUNCTION("""COMPUTED_VALUE"""),"アフターピル,即日処方,初診")</f>
        <v>アフターピル,即日処方,初診</v>
      </c>
      <c r="E308" s="32" t="str">
        <f>IFERROR(__xludf.DUMMYFUNCTION("""COMPUTED_VALUE"""),"https://luna-dr.com/subjects/after-pill_page/")</f>
        <v>https://luna-dr.com/subjects/after-pill_page/</v>
      </c>
    </row>
    <row r="309">
      <c r="A309" s="31" t="str">
        <f>IFERROR(__xludf.DUMMYFUNCTION("""COMPUTED_VALUE"""),"アフターピルの支払いはいつ行いますか？")</f>
        <v>アフターピルの支払いはいつ行いますか？</v>
      </c>
      <c r="B309" s="31" t="str">
        <f>IFERROR(__xludf.DUMMYFUNCTION("""COMPUTED_VALUE"""),"アフターピルの支払いは、診察後に行います。来院診療では受付でのお会計、オンライン診療では決済リンクからクレジットカード決済となります。")</f>
        <v>アフターピルの支払いは、診察後に行います。来院診療では受付でのお会計、オンライン診療では決済リンクからクレジットカード決済となります。</v>
      </c>
      <c r="C309" s="31" t="str">
        <f>IFERROR(__xludf.DUMMYFUNCTION("""COMPUTED_VALUE"""),"アフターピル")</f>
        <v>アフターピル</v>
      </c>
      <c r="D309" s="31" t="str">
        <f>IFERROR(__xludf.DUMMYFUNCTION("""COMPUTED_VALUE"""),"アフターピル,支払い,決済方法")</f>
        <v>アフターピル,支払い,決済方法</v>
      </c>
      <c r="E309" s="32" t="str">
        <f>IFERROR(__xludf.DUMMYFUNCTION("""COMPUTED_VALUE"""),"https://luna-dr.com/subjects/after-pill_page/")</f>
        <v>https://luna-dr.com/subjects/after-pill_page/</v>
      </c>
    </row>
    <row r="310">
      <c r="A310" s="31" t="str">
        <f>IFERROR(__xludf.DUMMYFUNCTION("""COMPUTED_VALUE"""),"アフターピル処方後に相談はできますか？")</f>
        <v>アフターピル処方後に相談はできますか？</v>
      </c>
      <c r="B310" s="31" t="str">
        <f>IFERROR(__xludf.DUMMYFUNCTION("""COMPUTED_VALUE"""),"ルナレディースクリニックでは、アフターピル服用後の体調不安やご質問について、LINEでの相談が可能です。服用後2時間以内の嘔吐などがあった場合も早めにご相談ください。")</f>
        <v>ルナレディースクリニックでは、アフターピル服用後の体調不安やご質問について、LINEでの相談が可能です。服用後2時間以内の嘔吐などがあった場合も早めにご相談ください。</v>
      </c>
      <c r="C310" s="31" t="str">
        <f>IFERROR(__xludf.DUMMYFUNCTION("""COMPUTED_VALUE"""),"アフターピル")</f>
        <v>アフターピル</v>
      </c>
      <c r="D310" s="31" t="str">
        <f>IFERROR(__xludf.DUMMYFUNCTION("""COMPUTED_VALUE"""),"アフターピル,アフターケア,相談")</f>
        <v>アフターピル,アフターケア,相談</v>
      </c>
      <c r="E310" s="32" t="str">
        <f>IFERROR(__xludf.DUMMYFUNCTION("""COMPUTED_VALUE"""),"https://luna-dr.com/subjects/after-pill_page/")</f>
        <v>https://luna-dr.com/subjects/after-pill_page/</v>
      </c>
    </row>
    <row r="311">
      <c r="A311" s="31" t="str">
        <f>IFERROR(__xludf.DUMMYFUNCTION("""COMPUTED_VALUE"""),"アフターピル服用後は何に注意すればいいですか？")</f>
        <v>アフターピル服用後は何に注意すればいいですか？</v>
      </c>
      <c r="B311" s="31" t="str">
        <f>IFERROR(__xludf.DUMMYFUNCTION("""COMPUTED_VALUE"""),"アフターピル服用後は避妊を継続し、3週間後に妊娠検査薬を使用することをおすすめしています。体調不良がある場合は、ルナレディースクリニックへご相談ください。")</f>
        <v>アフターピル服用後は避妊を継続し、3週間後に妊娠検査薬を使用することをおすすめしています。体調不良がある場合は、ルナレディースクリニックへご相談ください。</v>
      </c>
      <c r="C311" s="31" t="str">
        <f>IFERROR(__xludf.DUMMYFUNCTION("""COMPUTED_VALUE"""),"アフターピル")</f>
        <v>アフターピル</v>
      </c>
      <c r="D311" s="31" t="str">
        <f>IFERROR(__xludf.DUMMYFUNCTION("""COMPUTED_VALUE"""),"アフターピル,服用後,注意点")</f>
        <v>アフターピル,服用後,注意点</v>
      </c>
      <c r="E311" s="32" t="str">
        <f>IFERROR(__xludf.DUMMYFUNCTION("""COMPUTED_VALUE"""),"https://luna-dr.com/subjects/after-pill_page/")</f>
        <v>https://luna-dr.com/subjects/after-pill_page/</v>
      </c>
    </row>
    <row r="312">
      <c r="A312" s="31" t="str">
        <f>IFERROR(__xludf.DUMMYFUNCTION("""COMPUTED_VALUE"""),"ミレーナとは何ですか？")</f>
        <v>ミレーナとは何ですか？</v>
      </c>
      <c r="B312" s="31" t="str">
        <f>IFERROR(__xludf.DUMMYFUNCTION("""COMPUTED_VALUE"""),"ミレーナ（Mirena／子宮内システム・IUS）は、子宮内に装着するT字型の医療器具で、黄体ホルモンを持続的に放出することで、生理痛や経血量の多さを改善したり、長期的な避妊効果を得る治療法です。")</f>
        <v>ミレーナ（Mirena／子宮内システム・IUS）は、子宮内に装着するT字型の医療器具で、黄体ホルモンを持続的に放出することで、生理痛や経血量の多さを改善したり、長期的な避妊効果を得る治療法です。</v>
      </c>
      <c r="C312" s="31" t="str">
        <f>IFERROR(__xludf.DUMMYFUNCTION("""COMPUTED_VALUE"""),"ミレーナ")</f>
        <v>ミレーナ</v>
      </c>
      <c r="D312" s="31" t="str">
        <f>IFERROR(__xludf.DUMMYFUNCTION("""COMPUTED_VALUE"""),"ミレーナ 子宮内システム,ミレーナ とは,ミレーナ 治療")</f>
        <v>ミレーナ 子宮内システム,ミレーナ とは,ミレーナ 治療</v>
      </c>
      <c r="E312" s="32" t="str">
        <f>IFERROR(__xludf.DUMMYFUNCTION("""COMPUTED_VALUE"""),"https://luna-dr.com/subjects/ius-treatment/")</f>
        <v>https://luna-dr.com/subjects/ius-treatment/</v>
      </c>
    </row>
    <row r="313">
      <c r="A313" s="31" t="str">
        <f>IFERROR(__xludf.DUMMYFUNCTION("""COMPUTED_VALUE"""),"ミレーナはどんな人が対象ですか？")</f>
        <v>ミレーナはどんな人が対象ですか？</v>
      </c>
      <c r="B313" s="31" t="str">
        <f>IFERROR(__xludf.DUMMYFUNCTION("""COMPUTED_VALUE"""),"ミレーナ（Mirena／子宮内システム・IUS）は、毎月の生理痛や経血量の多さに悩んでいる方、低用量ピルが体質に合わない方、毎日の服薬管理が負担な方などが対象です。")</f>
        <v>ミレーナ（Mirena／子宮内システム・IUS）は、毎月の生理痛や経血量の多さに悩んでいる方、低用量ピルが体質に合わない方、毎日の服薬管理が負担な方などが対象です。</v>
      </c>
      <c r="C313" s="31" t="str">
        <f>IFERROR(__xludf.DUMMYFUNCTION("""COMPUTED_VALUE"""),"ミレーナ")</f>
        <v>ミレーナ</v>
      </c>
      <c r="D313" s="31" t="str">
        <f>IFERROR(__xludf.DUMMYFUNCTION("""COMPUTED_VALUE"""),"ミレーナ 対象,ミレーナ ピル 合わない")</f>
        <v>ミレーナ 対象,ミレーナ ピル 合わない</v>
      </c>
      <c r="E313" s="32" t="str">
        <f>IFERROR(__xludf.DUMMYFUNCTION("""COMPUTED_VALUE"""),"https://luna-dr.com/subjects/ius-treatment/")</f>
        <v>https://luna-dr.com/subjects/ius-treatment/</v>
      </c>
    </row>
    <row r="314">
      <c r="A314" s="31" t="str">
        <f>IFERROR(__xludf.DUMMYFUNCTION("""COMPUTED_VALUE"""),"ミレーナはどのような仕組みで効果を発揮しますか？")</f>
        <v>ミレーナはどのような仕組みで効果を発揮しますか？</v>
      </c>
      <c r="B314" s="31" t="str">
        <f>IFERROR(__xludf.DUMMYFUNCTION("""COMPUTED_VALUE"""),"ミレーナは、子宮内に装着した器具から黄体ホルモンを持続的に放出し、月経症状の原因となる子宮内膜が厚くなるのを抑制する仕組みです。")</f>
        <v>ミレーナは、子宮内に装着した器具から黄体ホルモンを持続的に放出し、月経症状の原因となる子宮内膜が厚くなるのを抑制する仕組みです。</v>
      </c>
      <c r="C314" s="31" t="str">
        <f>IFERROR(__xludf.DUMMYFUNCTION("""COMPUTED_VALUE"""),"ミレーナ仕組み")</f>
        <v>ミレーナ仕組み</v>
      </c>
      <c r="D314" s="31" t="str">
        <f>IFERROR(__xludf.DUMMYFUNCTION("""COMPUTED_VALUE"""),"ミレーナ,仕組み,黄体ホルモン")</f>
        <v>ミレーナ,仕組み,黄体ホルモン</v>
      </c>
      <c r="E314" s="32" t="str">
        <f>IFERROR(__xludf.DUMMYFUNCTION("""COMPUTED_VALUE"""),"https://luna-dr.com/subjects/ius-treatment/")</f>
        <v>https://luna-dr.com/subjects/ius-treatment/</v>
      </c>
    </row>
    <row r="315">
      <c r="A315" s="31" t="str">
        <f>IFERROR(__xludf.DUMMYFUNCTION("""COMPUTED_VALUE"""),"ミレーナはどんな悩みに使われますか？")</f>
        <v>ミレーナはどんな悩みに使われますか？</v>
      </c>
      <c r="B315" s="31" t="str">
        <f>IFERROR(__xludf.DUMMYFUNCTION("""COMPUTED_VALUE"""),"ミレーナは、ひどい生理痛や経血量の多さといった月経に関する症状の治療や、長期的な避妊を目的として使用されます。")</f>
        <v>ミレーナは、ひどい生理痛や経血量の多さといった月経に関する症状の治療や、長期的な避妊を目的として使用されます。</v>
      </c>
      <c r="C315" s="31" t="str">
        <f>IFERROR(__xludf.DUMMYFUNCTION("""COMPUTED_VALUE"""),"ミレーナ適応")</f>
        <v>ミレーナ適応</v>
      </c>
      <c r="D315" s="31" t="str">
        <f>IFERROR(__xludf.DUMMYFUNCTION("""COMPUTED_VALUE"""),"ミレーナ,生理痛,過多月経,避妊")</f>
        <v>ミレーナ,生理痛,過多月経,避妊</v>
      </c>
      <c r="E315" s="32" t="str">
        <f>IFERROR(__xludf.DUMMYFUNCTION("""COMPUTED_VALUE"""),"https://luna-dr.com/subjects/ius-treatment/")</f>
        <v>https://luna-dr.com/subjects/ius-treatment/</v>
      </c>
    </row>
    <row r="316">
      <c r="A316" s="31" t="str">
        <f>IFERROR(__xludf.DUMMYFUNCTION("""COMPUTED_VALUE"""),"ミレーナは保険適用になりますか？")</f>
        <v>ミレーナは保険適用になりますか？</v>
      </c>
      <c r="B316" s="31" t="str">
        <f>IFERROR(__xludf.DUMMYFUNCTION("""COMPUTED_VALUE"""),"ミレーナは使用目的によって保険適用の有無が異なります。生理痛や経血量の多さなどの治療目的の場合は保険が適用されます。")</f>
        <v>ミレーナは使用目的によって保険適用の有無が異なります。生理痛や経血量の多さなどの治療目的の場合は保険が適用されます。</v>
      </c>
      <c r="C316" s="31" t="str">
        <f>IFERROR(__xludf.DUMMYFUNCTION("""COMPUTED_VALUE"""),"ミレーナ保険")</f>
        <v>ミレーナ保険</v>
      </c>
      <c r="D316" s="31" t="str">
        <f>IFERROR(__xludf.DUMMYFUNCTION("""COMPUTED_VALUE"""),"ミレーナ,保険適用,治療目的")</f>
        <v>ミレーナ,保険適用,治療目的</v>
      </c>
      <c r="E316" s="32" t="str">
        <f>IFERROR(__xludf.DUMMYFUNCTION("""COMPUTED_VALUE"""),"https://luna-dr.com/subjects/ius-treatment/")</f>
        <v>https://luna-dr.com/subjects/ius-treatment/</v>
      </c>
    </row>
    <row r="317">
      <c r="A317" s="31" t="str">
        <f>IFERROR(__xludf.DUMMYFUNCTION("""COMPUTED_VALUE"""),"治療目的でミレーナを使用する場合の特徴は何ですか？")</f>
        <v>治療目的でミレーナを使用する場合の特徴は何ですか？</v>
      </c>
      <c r="B317" s="31" t="str">
        <f>IFERROR(__xludf.DUMMYFUNCTION("""COMPUTED_VALUE"""),"治療目的でミレーナを使用する場合、保険診療となり、経血量の減少や生理痛の緩和が主な効果です。症状の原因を診断するため、超音波（エコー）検査などを行います。")</f>
        <v>治療目的でミレーナを使用する場合、保険診療となり、経血量の減少や生理痛の緩和が主な効果です。症状の原因を診断するため、超音波（エコー）検査などを行います。</v>
      </c>
      <c r="C317" s="31" t="str">
        <f>IFERROR(__xludf.DUMMYFUNCTION("""COMPUTED_VALUE"""),"ミレーナ治療目的")</f>
        <v>ミレーナ治療目的</v>
      </c>
      <c r="D317" s="31" t="str">
        <f>IFERROR(__xludf.DUMMYFUNCTION("""COMPUTED_VALUE"""),"ミレーナ,治療,生理痛,経血量")</f>
        <v>ミレーナ,治療,生理痛,経血量</v>
      </c>
      <c r="E317" s="32" t="str">
        <f>IFERROR(__xludf.DUMMYFUNCTION("""COMPUTED_VALUE"""),"https://luna-dr.com/subjects/ius-treatment/")</f>
        <v>https://luna-dr.com/subjects/ius-treatment/</v>
      </c>
    </row>
    <row r="318">
      <c r="A318" s="31" t="str">
        <f>IFERROR(__xludf.DUMMYFUNCTION("""COMPUTED_VALUE"""),"避妊目的でミレーナを使用する場合は保険適用されますか？")</f>
        <v>避妊目的でミレーナを使用する場合は保険適用されますか？</v>
      </c>
      <c r="B318" s="31" t="str">
        <f>IFERROR(__xludf.DUMMYFUNCTION("""COMPUTED_VALUE"""),"長期的な避妊を主な目的としてミレーナを使用する場合は、自費診療となり、保険は適用されません。")</f>
        <v>長期的な避妊を主な目的としてミレーナを使用する場合は、自費診療となり、保険は適用されません。</v>
      </c>
      <c r="C318" s="31" t="str">
        <f>IFERROR(__xludf.DUMMYFUNCTION("""COMPUTED_VALUE"""),"ミレーナ避妊目的")</f>
        <v>ミレーナ避妊目的</v>
      </c>
      <c r="D318" s="31" t="str">
        <f>IFERROR(__xludf.DUMMYFUNCTION("""COMPUTED_VALUE"""),"ミレーナ,避妊,自費診療")</f>
        <v>ミレーナ,避妊,自費診療</v>
      </c>
      <c r="E318" s="32" t="str">
        <f>IFERROR(__xludf.DUMMYFUNCTION("""COMPUTED_VALUE"""),"https://luna-dr.com/subjects/ius-treatment/")</f>
        <v>https://luna-dr.com/subjects/ius-treatment/</v>
      </c>
    </row>
    <row r="319">
      <c r="A319" s="31" t="str">
        <f>IFERROR(__xludf.DUMMYFUNCTION("""COMPUTED_VALUE"""),"避妊目的のミレーナにはどんな効果がありますか？")</f>
        <v>避妊目的のミレーナにはどんな効果がありますか？</v>
      </c>
      <c r="B319" s="31" t="str">
        <f>IFERROR(__xludf.DUMMYFUNCTION("""COMPUTED_VALUE"""),"避妊目的で使用するミレーナには、最長5年間の高い避妊効果（99.8%以上）が期待できます。")</f>
        <v>避妊目的で使用するミレーナには、最長5年間の高い避妊効果（99.8%以上）が期待できます。</v>
      </c>
      <c r="C319" s="31" t="str">
        <f>IFERROR(__xludf.DUMMYFUNCTION("""COMPUTED_VALUE"""),"ミレーナ避妊効果")</f>
        <v>ミレーナ避妊効果</v>
      </c>
      <c r="D319" s="31" t="str">
        <f>IFERROR(__xludf.DUMMYFUNCTION("""COMPUTED_VALUE"""),"ミレーナ,避妊効果,5年間")</f>
        <v>ミレーナ,避妊効果,5年間</v>
      </c>
      <c r="E319" s="32" t="str">
        <f>IFERROR(__xludf.DUMMYFUNCTION("""COMPUTED_VALUE"""),"https://luna-dr.com/subjects/ius-treatment/")</f>
        <v>https://luna-dr.com/subjects/ius-treatment/</v>
      </c>
    </row>
    <row r="320">
      <c r="A320" s="31" t="str">
        <f>IFERROR(__xludf.DUMMYFUNCTION("""COMPUTED_VALUE"""),"避妊目的でミレーナを使用する場合、検査は必要ですか？")</f>
        <v>避妊目的でミレーナを使用する場合、検査は必要ですか？</v>
      </c>
      <c r="B320" s="31" t="str">
        <f>IFERROR(__xludf.DUMMYFUNCTION("""COMPUTED_VALUE"""),"避妊目的でミレーナを使用する場合は、主に問診が中心となり、安全性が確認できれば内診や検査は必須ではありません。")</f>
        <v>避妊目的でミレーナを使用する場合は、主に問診が中心となり、安全性が確認できれば内診や検査は必須ではありません。</v>
      </c>
      <c r="C320" s="31" t="str">
        <f>IFERROR(__xludf.DUMMYFUNCTION("""COMPUTED_VALUE"""),"ミレーナ検査")</f>
        <v>ミレーナ検査</v>
      </c>
      <c r="D320" s="31" t="str">
        <f>IFERROR(__xludf.DUMMYFUNCTION("""COMPUTED_VALUE"""),"ミレーナ,問診,検査")</f>
        <v>ミレーナ,問診,検査</v>
      </c>
      <c r="E320" s="32" t="str">
        <f>IFERROR(__xludf.DUMMYFUNCTION("""COMPUTED_VALUE"""),"https://luna-dr.com/subjects/ius-treatment/")</f>
        <v>https://luna-dr.com/subjects/ius-treatment/</v>
      </c>
    </row>
    <row r="321">
      <c r="A321" s="31" t="str">
        <f>IFERROR(__xludf.DUMMYFUNCTION("""COMPUTED_VALUE"""),"ミレーナの効果はどれくらい続きますか？")</f>
        <v>ミレーナの効果はどれくらい続きますか？</v>
      </c>
      <c r="B321" s="31" t="str">
        <f>IFERROR(__xludf.DUMMYFUNCTION("""COMPUTED_VALUE"""),"ミレーナは、治療目的・避妊目的のいずれの場合でも、一度装着すれば最長5年間効果が持続します。")</f>
        <v>ミレーナは、治療目的・避妊目的のいずれの場合でも、一度装着すれば最長5年間効果が持続します。</v>
      </c>
      <c r="C321" s="31" t="str">
        <f>IFERROR(__xludf.DUMMYFUNCTION("""COMPUTED_VALUE"""),"ミレーナ期間")</f>
        <v>ミレーナ期間</v>
      </c>
      <c r="D321" s="31" t="str">
        <f>IFERROR(__xludf.DUMMYFUNCTION("""COMPUTED_VALUE"""),"ミレーナ,効果期間,5年")</f>
        <v>ミレーナ,効果期間,5年</v>
      </c>
      <c r="E321" s="32" t="str">
        <f>IFERROR(__xludf.DUMMYFUNCTION("""COMPUTED_VALUE"""),"https://luna-dr.com/subjects/ius-treatment/")</f>
        <v>https://luna-dr.com/subjects/ius-treatment/</v>
      </c>
    </row>
    <row r="322">
      <c r="A322" s="31" t="str">
        <f>IFERROR(__xludf.DUMMYFUNCTION("""COMPUTED_VALUE"""),"治療目的でミレーナを使っても避妊効果はありますか？")</f>
        <v>治療目的でミレーナを使っても避妊効果はありますか？</v>
      </c>
      <c r="B322" s="31" t="str">
        <f>IFERROR(__xludf.DUMMYFUNCTION("""COMPUTED_VALUE"""),"治療目的でミレーナを装着した場合でも、副次的に高い避妊効果が得られます。")</f>
        <v>治療目的でミレーナを装着した場合でも、副次的に高い避妊効果が得られます。</v>
      </c>
      <c r="C322" s="31" t="str">
        <f>IFERROR(__xludf.DUMMYFUNCTION("""COMPUTED_VALUE"""),"ミレーナ副次効果")</f>
        <v>ミレーナ副次効果</v>
      </c>
      <c r="D322" s="31" t="str">
        <f>IFERROR(__xludf.DUMMYFUNCTION("""COMPUTED_VALUE"""),"ミレーナ,治療,避妊効果")</f>
        <v>ミレーナ,治療,避妊効果</v>
      </c>
      <c r="E322" s="32" t="str">
        <f>IFERROR(__xludf.DUMMYFUNCTION("""COMPUTED_VALUE"""),"https://luna-dr.com/subjects/ius-treatment/")</f>
        <v>https://luna-dr.com/subjects/ius-treatment/</v>
      </c>
    </row>
    <row r="323">
      <c r="A323" s="31" t="str">
        <f>IFERROR(__xludf.DUMMYFUNCTION("""COMPUTED_VALUE"""),"ミレーナの効果はいつから実感できますか？")</f>
        <v>ミレーナの効果はいつから実感できますか？</v>
      </c>
      <c r="B323" s="31" t="str">
        <f>IFERROR(__xludf.DUMMYFUNCTION("""COMPUTED_VALUE"""),"ミレーナ（Mirena／子宮内システム・IUS）の効果は、装着後1〜3か月ほどで徐々に実感されることが多いです。")</f>
        <v>ミレーナ（Mirena／子宮内システム・IUS）の効果は、装着後1〜3か月ほどで徐々に実感されることが多いです。</v>
      </c>
      <c r="C323" s="31" t="str">
        <f>IFERROR(__xludf.DUMMYFUNCTION("""COMPUTED_VALUE"""),"ミレーナ")</f>
        <v>ミレーナ</v>
      </c>
      <c r="D323" s="31" t="str">
        <f>IFERROR(__xludf.DUMMYFUNCTION("""COMPUTED_VALUE"""),"ミレーナ 効果 いつ,ミレーナ 生理 改善")</f>
        <v>ミレーナ 効果 いつ,ミレーナ 生理 改善</v>
      </c>
      <c r="E323" s="32" t="str">
        <f>IFERROR(__xludf.DUMMYFUNCTION("""COMPUTED_VALUE"""),"https://luna-dr.com/subjects/ius-treatment/")</f>
        <v>https://luna-dr.com/subjects/ius-treatment/</v>
      </c>
    </row>
    <row r="324">
      <c r="A324" s="31" t="str">
        <f>IFERROR(__xludf.DUMMYFUNCTION("""COMPUTED_VALUE"""),"ミレーナの効果はどれくらい続きますか？/ミレーナは何年間使えますか？")</f>
        <v>ミレーナの効果はどれくらい続きますか？/ミレーナは何年間使えますか？</v>
      </c>
      <c r="B324" s="31" t="str">
        <f>IFERROR(__xludf.DUMMYFUNCTION("""COMPUTED_VALUE"""),"ミレーナ（Mirena／子宮内システム・IUS）は、1回の装着で最長5年間効果が持続します。")</f>
        <v>ミレーナ（Mirena／子宮内システム・IUS）は、1回の装着で最長5年間効果が持続します。</v>
      </c>
      <c r="C324" s="31" t="str">
        <f>IFERROR(__xludf.DUMMYFUNCTION("""COMPUTED_VALUE"""),"ミレーナ")</f>
        <v>ミレーナ</v>
      </c>
      <c r="D324" s="31" t="str">
        <f>IFERROR(__xludf.DUMMYFUNCTION("""COMPUTED_VALUE"""),"ミレーナ 効果 期間,ミレーナ 5年")</f>
        <v>ミレーナ 効果 期間,ミレーナ 5年</v>
      </c>
      <c r="E324" s="32" t="str">
        <f>IFERROR(__xludf.DUMMYFUNCTION("""COMPUTED_VALUE"""),"https://luna-dr.com/subjects/ius-treatment/")</f>
        <v>https://luna-dr.com/subjects/ius-treatment/</v>
      </c>
    </row>
    <row r="325">
      <c r="A325" s="31" t="str">
        <f>IFERROR(__xludf.DUMMYFUNCTION("""COMPUTED_VALUE"""),"ミレーナを継続したい場合はどうしますか？")</f>
        <v>ミレーナを継続したい場合はどうしますか？</v>
      </c>
      <c r="B325" s="31" t="str">
        <f>IFERROR(__xludf.DUMMYFUNCTION("""COMPUTED_VALUE"""),"5年経過時に抜去し、同日に新しいミレーナを再装着することも可能です。")</f>
        <v>5年経過時に抜去し、同日に新しいミレーナを再装着することも可能です。</v>
      </c>
      <c r="C325" s="31" t="str">
        <f>IFERROR(__xludf.DUMMYFUNCTION("""COMPUTED_VALUE"""),"ミレーナ")</f>
        <v>ミレーナ</v>
      </c>
      <c r="D325" s="31" t="str">
        <f>IFERROR(__xludf.DUMMYFUNCTION("""COMPUTED_VALUE"""),"ミレーナ,継続,交換")</f>
        <v>ミレーナ,継続,交換</v>
      </c>
      <c r="E325" s="32" t="str">
        <f>IFERROR(__xludf.DUMMYFUNCTION("""COMPUTED_VALUE"""),"https://luna-dr.com/subjects/ius-treatment/")</f>
        <v>https://luna-dr.com/subjects/ius-treatment/</v>
      </c>
    </row>
    <row r="326">
      <c r="A326" s="31" t="str">
        <f>IFERROR(__xludf.DUMMYFUNCTION("""COMPUTED_VALUE"""),"ミレーナ装着時の痛みはどの程度でしょうか？")</f>
        <v>ミレーナ装着時の痛みはどの程度でしょうか？</v>
      </c>
      <c r="B326" s="31" t="str">
        <f>IFERROR(__xludf.DUMMYFUNCTION("""COMPUTED_VALUE"""),"痛みを心配されるのは当然のことです。痛みの感じ方には個人差があり、特に出産経験の有無によって異なります。出産経験のない方は生理痛のような痛みを感じやすい傾向にありますが、当院では、患者様の状態を確認しながら、痛みを最小限に抑えるよう細心の注意を払って処置を行います。")</f>
        <v>痛みを心配されるのは当然のことです。痛みの感じ方には個人差があり、特に出産経験の有無によって異なります。出産経験のない方は生理痛のような痛みを感じやすい傾向にありますが、当院では、患者様の状態を確認しながら、痛みを最小限に抑えるよう細心の注意を払って処置を行います。</v>
      </c>
      <c r="C326" s="31" t="str">
        <f>IFERROR(__xludf.DUMMYFUNCTION("""COMPUTED_VALUE"""),"ミレーナ")</f>
        <v>ミレーナ</v>
      </c>
      <c r="D326" s="31" t="str">
        <f>IFERROR(__xludf.DUMMYFUNCTION("""COMPUTED_VALUE"""),"ミレーナ,痛み,装着時")</f>
        <v>ミレーナ,痛み,装着時</v>
      </c>
      <c r="E326" s="32" t="str">
        <f>IFERROR(__xludf.DUMMYFUNCTION("""COMPUTED_VALUE"""),"https://luna-dr.com/subjects/ius-treatment/")</f>
        <v>https://luna-dr.com/subjects/ius-treatment/</v>
      </c>
    </row>
    <row r="327">
      <c r="A327" s="31" t="str">
        <f>IFERROR(__xludf.DUMMYFUNCTION("""COMPUTED_VALUE"""),"ミレーナの副作用にはどんなものがありますか？")</f>
        <v>ミレーナの副作用にはどんなものがありますか？</v>
      </c>
      <c r="B327" s="31" t="str">
        <f>IFERROR(__xludf.DUMMYFUNCTION("""COMPUTED_VALUE"""),"最も多いのは、装着後数ヶ月間にわたる不正出血です。これはミレーナが子宮に馴染む過程で起こるもので、多くの場合、時間の経過とともにおさまります。その他、下腹部痛などが起こることもありますが、ご不安な症状があれば、検診を待たずにいつでもご相談ください。")</f>
        <v>最も多いのは、装着後数ヶ月間にわたる不正出血です。これはミレーナが子宮に馴染む過程で起こるもので、多くの場合、時間の経過とともにおさまります。その他、下腹部痛などが起こることもありますが、ご不安な症状があれば、検診を待たずにいつでもご相談ください。</v>
      </c>
      <c r="C327" s="31" t="str">
        <f>IFERROR(__xludf.DUMMYFUNCTION("""COMPUTED_VALUE"""),"ミレーナ")</f>
        <v>ミレーナ</v>
      </c>
      <c r="D327" s="31" t="str">
        <f>IFERROR(__xludf.DUMMYFUNCTION("""COMPUTED_VALUE"""),"ミレーナ 副作用,ミレーナ 不正出血")</f>
        <v>ミレーナ 副作用,ミレーナ 不正出血</v>
      </c>
      <c r="E327" s="32" t="str">
        <f>IFERROR(__xludf.DUMMYFUNCTION("""COMPUTED_VALUE"""),"https://luna-dr.com/subjects/ius-treatment/")</f>
        <v>https://luna-dr.com/subjects/ius-treatment/</v>
      </c>
    </row>
    <row r="328">
      <c r="A328" s="31" t="str">
        <f>IFERROR(__xludf.DUMMYFUNCTION("""COMPUTED_VALUE"""),"低用量ピルとミレーナはどちらが良いですか？")</f>
        <v>低用量ピルとミレーナはどちらが良いですか？</v>
      </c>
      <c r="B328" s="31" t="str">
        <f>IFERROR(__xludf.DUMMYFUNCTION("""COMPUTED_VALUE"""),"低用量ピルとミレーナはそれぞれに利点があり、どちらが適しているかは患者様のご希望やライフスタイルによって異なります。大きな違いは、ピルが全身に作用するのに対し、ミレーナはホルモンの作用が子宮内に限定される点です。そのため、血栓症のリスクが極めて低く、全身的な副作用も起こりにくいのが特徴です。")</f>
        <v>低用量ピルとミレーナはそれぞれに利点があり、どちらが適しているかは患者様のご希望やライフスタイルによって異なります。大きな違いは、ピルが全身に作用するのに対し、ミレーナはホルモンの作用が子宮内に限定される点です。そのため、血栓症のリスクが極めて低く、全身的な副作用も起こりにくいのが特徴です。</v>
      </c>
      <c r="C328" s="31" t="str">
        <f>IFERROR(__xludf.DUMMYFUNCTION("""COMPUTED_VALUE"""),"ミレーナ")</f>
        <v>ミレーナ</v>
      </c>
      <c r="D328" s="31" t="str">
        <f>IFERROR(__xludf.DUMMYFUNCTION("""COMPUTED_VALUE"""),"ミレーナ ピル 比較,ミレーナ 低用量ピル 違い")</f>
        <v>ミレーナ ピル 比較,ミレーナ 低用量ピル 違い</v>
      </c>
      <c r="E328" s="32" t="str">
        <f>IFERROR(__xludf.DUMMYFUNCTION("""COMPUTED_VALUE"""),"https://luna-dr.com/subjects/ius-treatment/")</f>
        <v>https://luna-dr.com/subjects/ius-treatment/</v>
      </c>
    </row>
    <row r="329">
      <c r="A329" s="31" t="str">
        <f>IFERROR(__xludf.DUMMYFUNCTION("""COMPUTED_VALUE"""),"ミレーナを使えない人はいますか？")</f>
        <v>ミレーナを使えない人はいますか？</v>
      </c>
      <c r="B329" s="31" t="str">
        <f>IFERROR(__xludf.DUMMYFUNCTION("""COMPUTED_VALUE"""),"妊娠中の方、子宮の形に大きな異常がある方、活動性の感染症がある方などは使用できません。")</f>
        <v>妊娠中の方、子宮の形に大きな異常がある方、活動性の感染症がある方などは使用できません。</v>
      </c>
      <c r="C329" s="31" t="str">
        <f>IFERROR(__xludf.DUMMYFUNCTION("""COMPUTED_VALUE"""),"ミレーナ")</f>
        <v>ミレーナ</v>
      </c>
      <c r="D329" s="31" t="str">
        <f>IFERROR(__xludf.DUMMYFUNCTION("""COMPUTED_VALUE"""),"ミレーナ 禁忌,ミレーナ 使えない人")</f>
        <v>ミレーナ 禁忌,ミレーナ 使えない人</v>
      </c>
      <c r="E329" s="32" t="str">
        <f>IFERROR(__xludf.DUMMYFUNCTION("""COMPUTED_VALUE"""),"https://luna-dr.com/subjects/ius-treatment/")</f>
        <v>https://luna-dr.com/subjects/ius-treatment/</v>
      </c>
    </row>
    <row r="330">
      <c r="A330" s="31" t="str">
        <f>IFERROR(__xludf.DUMMYFUNCTION("""COMPUTED_VALUE"""),"ミレーナの診察・装着の流れを教えてください")</f>
        <v>ミレーナの診察・装着の流れを教えてください</v>
      </c>
      <c r="B330" s="31" t="str">
        <f>IFERROR(__xludf.DUMMYFUNCTION("""COMPUTED_VALUE"""),"ルナレディースクリニックでは、ミレーナ（Mirena／子宮内システム・IUS）の診察・装着は以下の流れで行います。まず、公式LINEまたはお電話でご予約のうえご来院ください。事前にWEB問診へご入力いただくと受付がスムーズです。次に、医師が問診内容をもとに診察を行い、安全に装着できるか確認するため、内診台で超音波（エコー）検査を行います。問題がなければ、月経4〜7日目頃に装着日を予約します。装着当日は、腟鏡で子宮の入口を確認・消毒し、子宮の大きさを測定したうえで専用器具を使ってミレーナを子宮内に挿入します"&amp;"。処置は数分で終了します。装着後は、1か月後・半年後・1年後、その後は年1回の定期検診で位置確認を行います。")</f>
        <v>ルナレディースクリニックでは、ミレーナ（Mirena／子宮内システム・IUS）の診察・装着は以下の流れで行います。まず、公式LINEまたはお電話でご予約のうえご来院ください。事前にWEB問診へご入力いただくと受付がスムーズです。次に、医師が問診内容をもとに診察を行い、安全に装着できるか確認するため、内診台で超音波（エコー）検査を行います。問題がなければ、月経4〜7日目頃に装着日を予約します。装着当日は、腟鏡で子宮の入口を確認・消毒し、子宮の大きさを測定したうえで専用器具を使ってミレーナを子宮内に挿入します。処置は数分で終了します。装着後は、1か月後・半年後・1年後、その後は年1回の定期検診で位置確認を行います。</v>
      </c>
      <c r="C330" s="31" t="str">
        <f>IFERROR(__xludf.DUMMYFUNCTION("""COMPUTED_VALUE"""),"ミレーナ")</f>
        <v>ミレーナ</v>
      </c>
      <c r="D330" s="31" t="str">
        <f>IFERROR(__xludf.DUMMYFUNCTION("""COMPUTED_VALUE"""),"ミレーナ 診察 流れ,ミレーナ 装着 流れ,ミレーナ エコー検査,ミレーナ 定期検診")</f>
        <v>ミレーナ 診察 流れ,ミレーナ 装着 流れ,ミレーナ エコー検査,ミレーナ 定期検診</v>
      </c>
      <c r="E330" s="32" t="str">
        <f>IFERROR(__xludf.DUMMYFUNCTION("""COMPUTED_VALUE"""),"https://luna-dr.com/subjects/ius-treatment/")</f>
        <v>https://luna-dr.com/subjects/ius-treatment/</v>
      </c>
    </row>
    <row r="331">
      <c r="A331" s="31" t="str">
        <f>IFERROR(__xludf.DUMMYFUNCTION("""COMPUTED_VALUE"""),"ミレーナはいつ装着しますか？")</f>
        <v>ミレーナはいつ装着しますか？</v>
      </c>
      <c r="B331" s="31" t="str">
        <f>IFERROR(__xludf.DUMMYFUNCTION("""COMPUTED_VALUE"""),"ミレーナ（Mirena／子宮内システム・IUS）は、月経4〜7日目頃に装着することが一般的です。")</f>
        <v>ミレーナ（Mirena／子宮内システム・IUS）は、月経4〜7日目頃に装着することが一般的です。</v>
      </c>
      <c r="C331" s="31" t="str">
        <f>IFERROR(__xludf.DUMMYFUNCTION("""COMPUTED_VALUE"""),"ミレーナ")</f>
        <v>ミレーナ</v>
      </c>
      <c r="D331" s="31" t="str">
        <f>IFERROR(__xludf.DUMMYFUNCTION("""COMPUTED_VALUE"""),"ミレーナ 装着 時期,ミレーナ いつ")</f>
        <v>ミレーナ 装着 時期,ミレーナ いつ</v>
      </c>
      <c r="E331" s="32" t="str">
        <f>IFERROR(__xludf.DUMMYFUNCTION("""COMPUTED_VALUE"""),"https://luna-dr.com/subjects/ius-treatment/")</f>
        <v>https://luna-dr.com/subjects/ius-treatment/</v>
      </c>
    </row>
    <row r="332">
      <c r="A332" s="31" t="str">
        <f>IFERROR(__xludf.DUMMYFUNCTION("""COMPUTED_VALUE"""),"ミレーナ装着後の注意点はありますか？")</f>
        <v>ミレーナ装着後の注意点はありますか？</v>
      </c>
      <c r="B332" s="31" t="str">
        <f>IFERROR(__xludf.DUMMYFUNCTION("""COMPUTED_VALUE"""),"装着当日からシャワーは可能で、日常生活に大きな制限はありません。ただし、感染予防の観点から、装着後数日間はタンポンの使用、性交渉、湯船での入浴はお控えいただくようご案内しています。")</f>
        <v>装着当日からシャワーは可能で、日常生活に大きな制限はありません。ただし、感染予防の観点から、装着後数日間はタンポンの使用、性交渉、湯船での入浴はお控えいただくようご案内しています。</v>
      </c>
      <c r="C332" s="31" t="str">
        <f>IFERROR(__xludf.DUMMYFUNCTION("""COMPUTED_VALUE"""),"ミレーナ")</f>
        <v>ミレーナ</v>
      </c>
      <c r="D332" s="31" t="str">
        <f>IFERROR(__xludf.DUMMYFUNCTION("""COMPUTED_VALUE"""),"ミレーナ 注意点,ミレーナ 装着後")</f>
        <v>ミレーナ 注意点,ミレーナ 装着後</v>
      </c>
      <c r="E332" s="32" t="str">
        <f>IFERROR(__xludf.DUMMYFUNCTION("""COMPUTED_VALUE"""),"https://luna-dr.com/subjects/ius-treatment/")</f>
        <v>https://luna-dr.com/subjects/ius-treatment/</v>
      </c>
    </row>
    <row r="333">
      <c r="A333" s="31" t="str">
        <f>IFERROR(__xludf.DUMMYFUNCTION("""COMPUTED_VALUE"""),"ミレーナは来院で診察できますか？")</f>
        <v>ミレーナは来院で診察できますか？</v>
      </c>
      <c r="B333" s="31" t="str">
        <f>IFERROR(__xludf.DUMMYFUNCTION("""COMPUTED_VALUE"""),"ミレーナ（Mirena／子宮内システム・IUS）は来院診療で行います。")</f>
        <v>ミレーナ（Mirena／子宮内システム・IUS）は来院診療で行います。</v>
      </c>
      <c r="C333" s="31" t="str">
        <f>IFERROR(__xludf.DUMMYFUNCTION("""COMPUTED_VALUE"""),"ミレーナ")</f>
        <v>ミレーナ</v>
      </c>
      <c r="D333" s="31" t="str">
        <f>IFERROR(__xludf.DUMMYFUNCTION("""COMPUTED_VALUE"""),"ミレーナ 来院診療,ミレーナ 婦人科")</f>
        <v>ミレーナ 来院診療,ミレーナ 婦人科</v>
      </c>
      <c r="E333" s="32" t="str">
        <f>IFERROR(__xludf.DUMMYFUNCTION("""COMPUTED_VALUE"""),"https://luna-dr.com/subjects/ius-treatment/")</f>
        <v>https://luna-dr.com/subjects/ius-treatment/</v>
      </c>
    </row>
    <row r="334">
      <c r="A334" s="31" t="str">
        <f>IFERROR(__xludf.DUMMYFUNCTION("""COMPUTED_VALUE"""),"ミレーナはオンライン診療でできますか？")</f>
        <v>ミレーナはオンライン診療でできますか？</v>
      </c>
      <c r="B334" s="31" t="str">
        <f>IFERROR(__xludf.DUMMYFUNCTION("""COMPUTED_VALUE"""),"ミレーナ（Mirena／子宮内システム・IUS）の装着は医療行為のため、オンライン診療のみでは対応できません。")</f>
        <v>ミレーナ（Mirena／子宮内システム・IUS）の装着は医療行為のため、オンライン診療のみでは対応できません。</v>
      </c>
      <c r="C334" s="31" t="str">
        <f>IFERROR(__xludf.DUMMYFUNCTION("""COMPUTED_VALUE"""),"ミレーナ")</f>
        <v>ミレーナ</v>
      </c>
      <c r="D334" s="31" t="str">
        <f>IFERROR(__xludf.DUMMYFUNCTION("""COMPUTED_VALUE"""),"ミレーナ オンライン 不可,ミレーナ 診療方法")</f>
        <v>ミレーナ オンライン 不可,ミレーナ 診療方法</v>
      </c>
      <c r="E334" s="32" t="str">
        <f>IFERROR(__xludf.DUMMYFUNCTION("""COMPUTED_VALUE"""),"https://luna-dr.com/subjects/ius-treatment/")</f>
        <v>https://luna-dr.com/subjects/ius-treatment/</v>
      </c>
    </row>
    <row r="335">
      <c r="A335" s="31" t="str">
        <f>IFERROR(__xludf.DUMMYFUNCTION("""COMPUTED_VALUE"""),"初診でもミレーナの相談はできますか？")</f>
        <v>初診でもミレーナの相談はできますか？</v>
      </c>
      <c r="B335" s="31" t="str">
        <f>IFERROR(__xludf.DUMMYFUNCTION("""COMPUTED_VALUE"""),"ミレーナ（Mirena／子宮内システム・IUS）は初診の方でもご相談いただけます。")</f>
        <v>ミレーナ（Mirena／子宮内システム・IUS）は初診の方でもご相談いただけます。</v>
      </c>
      <c r="C335" s="31" t="str">
        <f>IFERROR(__xludf.DUMMYFUNCTION("""COMPUTED_VALUE"""),"ミレーナ")</f>
        <v>ミレーナ</v>
      </c>
      <c r="D335" s="31" t="str">
        <f>IFERROR(__xludf.DUMMYFUNCTION("""COMPUTED_VALUE"""),"ミレーナ 初診,ミレーナ 相談")</f>
        <v>ミレーナ 初診,ミレーナ 相談</v>
      </c>
      <c r="E335" s="32" t="str">
        <f>IFERROR(__xludf.DUMMYFUNCTION("""COMPUTED_VALUE"""),"https://luna-dr.com/subjects/ius-treatment/")</f>
        <v>https://luna-dr.com/subjects/ius-treatment/</v>
      </c>
    </row>
    <row r="336">
      <c r="A336" s="31" t="str">
        <f>IFERROR(__xludf.DUMMYFUNCTION("""COMPUTED_VALUE"""),"ミレーナの診察では内診や検査はありますか？")</f>
        <v>ミレーナの診察では内診や検査はありますか？</v>
      </c>
      <c r="B336" s="31" t="str">
        <f>IFERROR(__xludf.DUMMYFUNCTION("""COMPUTED_VALUE"""),"装着前に安全確認のため、超音波（エコー）検査などを行います。")</f>
        <v>装着前に安全確認のため、超音波（エコー）検査などを行います。</v>
      </c>
      <c r="C336" s="31" t="str">
        <f>IFERROR(__xludf.DUMMYFUNCTION("""COMPUTED_VALUE"""),"ミレーナ")</f>
        <v>ミレーナ</v>
      </c>
      <c r="D336" s="31" t="str">
        <f>IFERROR(__xludf.DUMMYFUNCTION("""COMPUTED_VALUE"""),"ミレーナ 内診,ミレーナ エコー検査")</f>
        <v>ミレーナ 内診,ミレーナ エコー検査</v>
      </c>
      <c r="E336" s="32" t="str">
        <f>IFERROR(__xludf.DUMMYFUNCTION("""COMPUTED_VALUE"""),"https://luna-dr.com/subjects/ius-treatment/")</f>
        <v>https://luna-dr.com/subjects/ius-treatment/</v>
      </c>
    </row>
    <row r="337">
      <c r="A337" s="31" t="str">
        <f>IFERROR(__xludf.DUMMYFUNCTION("""COMPUTED_VALUE"""),"ミレーナは保険適用されますか？")</f>
        <v>ミレーナは保険適用されますか？</v>
      </c>
      <c r="B337" s="31" t="str">
        <f>IFERROR(__xludf.DUMMYFUNCTION("""COMPUTED_VALUE"""),"過多月経や月経困難症の治療目的で使用する場合は保険適用となります。避妊目的の場合は、自費診療となります。")</f>
        <v>過多月経や月経困難症の治療目的で使用する場合は保険適用となります。避妊目的の場合は、自費診療となります。</v>
      </c>
      <c r="C337" s="31" t="str">
        <f>IFERROR(__xludf.DUMMYFUNCTION("""COMPUTED_VALUE"""),"ミレーナ")</f>
        <v>ミレーナ</v>
      </c>
      <c r="D337" s="31" t="str">
        <f>IFERROR(__xludf.DUMMYFUNCTION("""COMPUTED_VALUE"""),"ミレーナ 保険適用,ミレーナ 治療目的")</f>
        <v>ミレーナ 保険適用,ミレーナ 治療目的</v>
      </c>
      <c r="E337" s="32" t="str">
        <f>IFERROR(__xludf.DUMMYFUNCTION("""COMPUTED_VALUE"""),"https://luna-dr.com/subjects/ius-treatment/")</f>
        <v>https://luna-dr.com/subjects/ius-treatment/</v>
      </c>
    </row>
    <row r="338">
      <c r="A338" s="31" t="str">
        <f>IFERROR(__xludf.DUMMYFUNCTION("""COMPUTED_VALUE"""),"ミレーナの費用はいくらくらいですか？")</f>
        <v>ミレーナの費用はいくらくらいですか？</v>
      </c>
      <c r="B338" s="31" t="str">
        <f>IFERROR(__xludf.DUMMYFUNCTION("""COMPUTED_VALUE"""),"治療目的（3割負担）の場合は約10,000〜12,000円、避妊目的の自費診療では約75,500円が目安です。")</f>
        <v>治療目的（3割負担）の場合は約10,000〜12,000円、避妊目的の自費診療では約75,500円が目安です。</v>
      </c>
      <c r="C338" s="31" t="str">
        <f>IFERROR(__xludf.DUMMYFUNCTION("""COMPUTED_VALUE"""),"ミレーナ")</f>
        <v>ミレーナ</v>
      </c>
      <c r="D338" s="31" t="str">
        <f>IFERROR(__xludf.DUMMYFUNCTION("""COMPUTED_VALUE"""),"ミレーナ 費用,ミレーナ 料金")</f>
        <v>ミレーナ 費用,ミレーナ 料金</v>
      </c>
      <c r="E338" s="32" t="str">
        <f>IFERROR(__xludf.DUMMYFUNCTION("""COMPUTED_VALUE"""),"https://luna-dr.com/subjects/ius-treatment/")</f>
        <v>https://luna-dr.com/subjects/ius-treatment/</v>
      </c>
    </row>
    <row r="339">
      <c r="A339" s="31" t="str">
        <f>IFERROR(__xludf.DUMMYFUNCTION("""COMPUTED_VALUE"""),"ミレーナの支払い方法は何がありますか？")</f>
        <v>ミレーナの支払い方法は何がありますか？</v>
      </c>
      <c r="B339" s="31" t="str">
        <f>IFERROR(__xludf.DUMMYFUNCTION("""COMPUTED_VALUE"""),"現金、クレジットカード、電子マネーでのお支払いが可能です。")</f>
        <v>現金、クレジットカード、電子マネーでのお支払いが可能です。</v>
      </c>
      <c r="C339" s="31" t="str">
        <f>IFERROR(__xludf.DUMMYFUNCTION("""COMPUTED_VALUE"""),"ミレーナ")</f>
        <v>ミレーナ</v>
      </c>
      <c r="D339" s="31" t="str">
        <f>IFERROR(__xludf.DUMMYFUNCTION("""COMPUTED_VALUE"""),"ミレーナ 支払い方法,ミレーナ クレジットカード")</f>
        <v>ミレーナ 支払い方法,ミレーナ クレジットカード</v>
      </c>
      <c r="E339" s="32" t="str">
        <f>IFERROR(__xludf.DUMMYFUNCTION("""COMPUTED_VALUE"""),"https://luna-dr.com/subjects/ius-treatment/")</f>
        <v>https://luna-dr.com/subjects/ius-treatment/</v>
      </c>
    </row>
    <row r="340">
      <c r="A340" s="31" t="str">
        <f>IFERROR(__xludf.DUMMYFUNCTION("""COMPUTED_VALUE"""),"ミレーナの予約はどうすればいいですか？")</f>
        <v>ミレーナの予約はどうすればいいですか？</v>
      </c>
      <c r="B340" s="31" t="str">
        <f>IFERROR(__xludf.DUMMYFUNCTION("""COMPUTED_VALUE"""),"公式LINEからご予約いただけます。メニューは「一般婦人科診療」をご選択いただき、ご予約ください。LINEはこちら→https://cline-app.com/qr-codes/98ad6f149bfa20f4f2a9a2e91aac4187/preview")</f>
        <v>公式LINEからご予約いただけます。メニューは「一般婦人科診療」をご選択いただき、ご予約ください。LINEはこちら→https://cline-app.com/qr-codes/98ad6f149bfa20f4f2a9a2e91aac4187/preview</v>
      </c>
      <c r="C340" s="31" t="str">
        <f>IFERROR(__xludf.DUMMYFUNCTION("""COMPUTED_VALUE"""),"ミレーナ")</f>
        <v>ミレーナ</v>
      </c>
      <c r="D340" s="31" t="str">
        <f>IFERROR(__xludf.DUMMYFUNCTION("""COMPUTED_VALUE"""),"予約方法,LINE,電話,ミレーナ")</f>
        <v>予約方法,LINE,電話,ミレーナ</v>
      </c>
      <c r="E340" s="32" t="str">
        <f>IFERROR(__xludf.DUMMYFUNCTION("""COMPUTED_VALUE"""),"https://luna-dr.com/subjects/ius-treatment/")</f>
        <v>https://luna-dr.com/subjects/ius-treatment/</v>
      </c>
    </row>
    <row r="341">
      <c r="A341" s="31" t="str">
        <f>IFERROR(__xludf.DUMMYFUNCTION("""COMPUTED_VALUE"""),"ミレーナはLINEから予約できますか？")</f>
        <v>ミレーナはLINEから予約できますか？</v>
      </c>
      <c r="B341" s="31" t="str">
        <f>IFERROR(__xludf.DUMMYFUNCTION("""COMPUTED_VALUE"""),"ルナレディースクリニックでは、公式LINEからミレーナの診察予約が可能です。24時間いつでもご自身のタイミングで予約できます。メニューは「一般婦人科診療」をご選択いただき、ご予約ください。
こちらのLINEをご利用ください→https://cline-app.com/qr-codes/98ad6f149bfa20f4f2a9a2e91aac4187/preview")</f>
        <v>ルナレディースクリニックでは、公式LINEからミレーナの診察予約が可能です。24時間いつでもご自身のタイミングで予約できます。メニューは「一般婦人科診療」をご選択いただき、ご予約ください。
こちらのLINEをご利用ください→https://cline-app.com/qr-codes/98ad6f149bfa20f4f2a9a2e91aac4187/preview</v>
      </c>
      <c r="C341" s="31" t="str">
        <f>IFERROR(__xludf.DUMMYFUNCTION("""COMPUTED_VALUE"""),"ミレーナ")</f>
        <v>ミレーナ</v>
      </c>
      <c r="D341" s="31" t="str">
        <f>IFERROR(__xludf.DUMMYFUNCTION("""COMPUTED_VALUE"""),"LINE予約,婦人科予約,ミレーナ")</f>
        <v>LINE予約,婦人科予約,ミレーナ</v>
      </c>
      <c r="E341" s="32" t="str">
        <f>IFERROR(__xludf.DUMMYFUNCTION("""COMPUTED_VALUE"""),"https://luna-dr.com/subjects/ius-treatment/")</f>
        <v>https://luna-dr.com/subjects/ius-treatment/</v>
      </c>
    </row>
    <row r="342">
      <c r="A342" s="31" t="str">
        <f>IFERROR(__xludf.DUMMYFUNCTION("""COMPUTED_VALUE"""),"ミレーナは電話でも予約できますか？")</f>
        <v>ミレーナは電話でも予約できますか？</v>
      </c>
      <c r="B342" s="31" t="str">
        <f>IFERROR(__xludf.DUMMYFUNCTION("""COMPUTED_VALUE"""),"LINEでの予約後、事前問診等もLINEから行うことができ、スムーズに受診ができるため、当院ではLINEでのご予約を推奨しております。
来院診療のご予約：こちらのLINEをご利用ください→https://cline-app.com/qr-codes/98ad6f149bfa20f4f2a9a2e91aac4187/preview
オンライン診療のご予約：こちらのオンライン診療LINEページをご利用ください→https://liff-gateway.lineml.jp/landing?follow=%40"&amp;"590gpxrd&amp;lp=fX73yx&amp;liff_id=1657094566-LmjNPPbV")</f>
        <v>LINEでの予約後、事前問診等もLINEから行うことができ、スムーズに受診ができるため、当院ではLINEでのご予約を推奨しております。
来院診療のご予約：こちらのLINEをご利用ください→https://cline-app.com/qr-codes/98ad6f149bfa20f4f2a9a2e91aac4187/preview
オンライン診療のご予約：こちらのオンライン診療LINEページをご利用ください→https://liff-gateway.lineml.jp/landing?follow=%40590gpxrd&amp;lp=fX73yx&amp;liff_id=1657094566-LmjNPPbV</v>
      </c>
      <c r="C342" s="31" t="str">
        <f>IFERROR(__xludf.DUMMYFUNCTION("""COMPUTED_VALUE"""),"ミレーナ")</f>
        <v>ミレーナ</v>
      </c>
      <c r="D342" s="31" t="str">
        <f>IFERROR(__xludf.DUMMYFUNCTION("""COMPUTED_VALUE"""),"電話予約,問い合わせ,ミレーナ")</f>
        <v>電話予約,問い合わせ,ミレーナ</v>
      </c>
      <c r="E342" s="32" t="str">
        <f>IFERROR(__xludf.DUMMYFUNCTION("""COMPUTED_VALUE"""),"https://luna-dr.com/subjects/ius-treatment/")</f>
        <v>https://luna-dr.com/subjects/ius-treatment/</v>
      </c>
    </row>
    <row r="343">
      <c r="A343" s="31" t="str">
        <f>IFERROR(__xludf.DUMMYFUNCTION("""COMPUTED_VALUE"""),"ミレーナは予約なしでも相談できますか？")</f>
        <v>ミレーナは予約なしでも相談できますか？</v>
      </c>
      <c r="B343" s="31" t="str">
        <f>IFERROR(__xludf.DUMMYFUNCTION("""COMPUTED_VALUE"""),"ミレーナは検査や装着の準備が必要なため、事前予約をお願いしています。")</f>
        <v>ミレーナは検査や装着の準備が必要なため、事前予約をお願いしています。</v>
      </c>
      <c r="C343" s="31" t="str">
        <f>IFERROR(__xludf.DUMMYFUNCTION("""COMPUTED_VALUE"""),"ミレーナ")</f>
        <v>ミレーナ</v>
      </c>
      <c r="D343" s="31" t="str">
        <f>IFERROR(__xludf.DUMMYFUNCTION("""COMPUTED_VALUE"""),"予約なし,受診,ミレーナ")</f>
        <v>予約なし,受診,ミレーナ</v>
      </c>
      <c r="E343" s="32" t="str">
        <f>IFERROR(__xludf.DUMMYFUNCTION("""COMPUTED_VALUE"""),"https://luna-dr.com/subjects/ius-treatment/")</f>
        <v>https://luna-dr.com/subjects/ius-treatment/</v>
      </c>
    </row>
    <row r="344">
      <c r="A344" s="31" t="str">
        <f>IFERROR(__xludf.DUMMYFUNCTION("""COMPUTED_VALUE"""),"ミレーナの予約前に準備しておくことはありますか？")</f>
        <v>ミレーナの予約前に準備しておくことはありますか？</v>
      </c>
      <c r="B344" s="31" t="str">
        <f>IFERROR(__xludf.DUMMYFUNCTION("""COMPUTED_VALUE"""),"ルナレディースクリニックでは、ミレーナの診察前にWEB問診の入力をお願いしています。事前に入力することで、診察がスムーズになります。みます。")</f>
        <v>ルナレディースクリニックでは、ミレーナの診察前にWEB問診の入力をお願いしています。事前に入力することで、診察がスムーズになります。みます。</v>
      </c>
      <c r="C344" s="31" t="str">
        <f>IFERROR(__xludf.DUMMYFUNCTION("""COMPUTED_VALUE"""),"ミレーナ")</f>
        <v>ミレーナ</v>
      </c>
      <c r="D344" s="31" t="str">
        <f>IFERROR(__xludf.DUMMYFUNCTION("""COMPUTED_VALUE"""),"WEB問診,事前準備,ミレーナ")</f>
        <v>WEB問診,事前準備,ミレーナ</v>
      </c>
      <c r="E344" s="32" t="str">
        <f>IFERROR(__xludf.DUMMYFUNCTION("""COMPUTED_VALUE"""),"https://luna-dr.com/subjects/ius-treatment/")</f>
        <v>https://luna-dr.com/subjects/ius-treatment/</v>
      </c>
    </row>
    <row r="345">
      <c r="A345" s="31" t="str">
        <f>IFERROR(__xludf.DUMMYFUNCTION("""COMPUTED_VALUE"""),"ミレーナは初診でも予約できますか？")</f>
        <v>ミレーナは初診でも予約できますか？</v>
      </c>
      <c r="B345" s="31" t="str">
        <f>IFERROR(__xludf.DUMMYFUNCTION("""COMPUTED_VALUE"""),"ミレーナは初診の方もご予約いただけます。ご予約は公式LINEから受け付けておりますので、友だち追加の上ご利用ください。メニューは「一般婦人科診療」をご選択いただき、ご予約ください。
LINEはこちら→https://cline-app.com/qr-codes/98ad6f149bfa20f4f2a9a2e91aac4187/preview")</f>
        <v>ミレーナは初診の方もご予約いただけます。ご予約は公式LINEから受け付けておりますので、友だち追加の上ご利用ください。メニューは「一般婦人科診療」をご選択いただき、ご予約ください。
LINEはこちら→https://cline-app.com/qr-codes/98ad6f149bfa20f4f2a9a2e91aac4187/preview</v>
      </c>
      <c r="C345" s="31" t="str">
        <f>IFERROR(__xludf.DUMMYFUNCTION("""COMPUTED_VALUE"""),"ミレーナ")</f>
        <v>ミレーナ</v>
      </c>
      <c r="D345" s="31" t="str">
        <f>IFERROR(__xludf.DUMMYFUNCTION("""COMPUTED_VALUE"""),"初診,予約,ミレーナ")</f>
        <v>初診,予約,ミレーナ</v>
      </c>
      <c r="E345" s="32" t="str">
        <f>IFERROR(__xludf.DUMMYFUNCTION("""COMPUTED_VALUE"""),"https://luna-dr.com/subjects/ius-treatment/")</f>
        <v>https://luna-dr.com/subjects/ius-treatment/</v>
      </c>
    </row>
    <row r="346">
      <c r="A346" s="31" t="str">
        <f>IFERROR(__xludf.DUMMYFUNCTION("""COMPUTED_VALUE"""),"ミレーナは来院とオンライン、どちらで予約できますか？")</f>
        <v>ミレーナは来院とオンライン、どちらで予約できますか？</v>
      </c>
      <c r="B346" s="31" t="str">
        <f>IFERROR(__xludf.DUMMYFUNCTION("""COMPUTED_VALUE"""),"ルナレディースクリニックでは、ミレーナのご相談は来院診療のみで承っています。予約の際は、こちらのLINEをご利用ください→https://cline-app.com/qr-codes/98ad6f149bfa20f4f2a9a2e91aac4187/preview　メニューは「一般婦人科診療」をご選択いただき、ご予約ください。")</f>
        <v>ルナレディースクリニックでは、ミレーナのご相談は来院診療のみで承っています。予約の際は、こちらのLINEをご利用ください→https://cline-app.com/qr-codes/98ad6f149bfa20f4f2a9a2e91aac4187/preview　メニューは「一般婦人科診療」をご選択いただき、ご予約ください。</v>
      </c>
      <c r="C346" s="31" t="str">
        <f>IFERROR(__xludf.DUMMYFUNCTION("""COMPUTED_VALUE"""),"ミレーナ")</f>
        <v>ミレーナ</v>
      </c>
      <c r="D346" s="31" t="str">
        <f>IFERROR(__xludf.DUMMYFUNCTION("""COMPUTED_VALUE"""),"来院診療,オンライン診療,ミレーナ")</f>
        <v>来院診療,オンライン診療,ミレーナ</v>
      </c>
      <c r="E346" s="32" t="str">
        <f>IFERROR(__xludf.DUMMYFUNCTION("""COMPUTED_VALUE"""),"https://luna-dr.com/subjects/ius-treatment/")</f>
        <v>https://luna-dr.com/subjects/ius-treatment/</v>
      </c>
    </row>
    <row r="347">
      <c r="A347" s="31" t="str">
        <f>IFERROR(__xludf.DUMMYFUNCTION("""COMPUTED_VALUE"""),"おりものの異常とは何ですか？")</f>
        <v>おりものの異常とは何ですか？</v>
      </c>
      <c r="B347" s="31" t="str">
        <f>IFERROR(__xludf.DUMMYFUNCTION("""COMPUTED_VALUE"""),"おりものの異常とは、色・量・臭い・性状が普段と異なる状態を指します。感染症や膣内環境の乱れが原因となることがあります。")</f>
        <v>おりものの異常とは、色・量・臭い・性状が普段と異なる状態を指します。感染症や膣内環境の乱れが原因となることがあります。</v>
      </c>
      <c r="C347" s="31" t="str">
        <f>IFERROR(__xludf.DUMMYFUNCTION("""COMPUTED_VALUE"""),"おりもの検査")</f>
        <v>おりもの検査</v>
      </c>
      <c r="D347" s="31" t="str">
        <f>IFERROR(__xludf.DUMMYFUNCTION("""COMPUTED_VALUE"""),"おりもの異常,膣分泌物異常,おりもの,色,臭い")</f>
        <v>おりもの異常,膣分泌物異常,おりもの,色,臭い</v>
      </c>
      <c r="E347" s="32" t="str">
        <f>IFERROR(__xludf.DUMMYFUNCTION("""COMPUTED_VALUE"""),"https://luna-dr.com/subjects/abnormal-vaginal-discharge/")</f>
        <v>https://luna-dr.com/subjects/abnormal-vaginal-discharge/</v>
      </c>
    </row>
    <row r="348">
      <c r="A348" s="31" t="str">
        <f>IFERROR(__xludf.DUMMYFUNCTION("""COMPUTED_VALUE"""),"おりものが白くポロポロしていますが大丈夫ですか？")</f>
        <v>おりものが白くポロポロしていますが大丈夫ですか？</v>
      </c>
      <c r="B348" s="31" t="str">
        <f>IFERROR(__xludf.DUMMYFUNCTION("""COMPUTED_VALUE"""),"白くポロポロしたおりもの（カッテージチーズや酒粕のような状態）は、おりものの異常のサインの一つです。おりものの変化は多くの女性が経験する身近な悩みであり、その多くは適切な治療によって改善できます。大切なのは、そのサインを見逃さずに専門医へ相談することです。当院では患者さまの不安に寄り添い、一緒に解決策を見つけていきます。お気軽にご相談ください。")</f>
        <v>白くポロポロしたおりもの（カッテージチーズや酒粕のような状態）は、おりものの異常のサインの一つです。おりものの変化は多くの女性が経験する身近な悩みであり、その多くは適切な治療によって改善できます。大切なのは、そのサインを見逃さずに専門医へ相談することです。当院では患者さまの不安に寄り添い、一緒に解決策を見つけていきます。お気軽にご相談ください。</v>
      </c>
      <c r="C348" s="31" t="str">
        <f>IFERROR(__xludf.DUMMYFUNCTION("""COMPUTED_VALUE"""),"おりもの異常")</f>
        <v>おりもの異常</v>
      </c>
      <c r="D348" s="31" t="str">
        <f>IFERROR(__xludf.DUMMYFUNCTION("""COMPUTED_VALUE"""),"おりもの異常,白いおりもの,ポロポロ,カンジダ")</f>
        <v>おりもの異常,白いおりもの,ポロポロ,カンジダ</v>
      </c>
      <c r="E348" s="32" t="str">
        <f>IFERROR(__xludf.DUMMYFUNCTION("""COMPUTED_VALUE"""),"https://luna-dr.com/subjects/abnormal-vaginal-discharge/")</f>
        <v>https://luna-dr.com/subjects/abnormal-vaginal-discharge/</v>
      </c>
    </row>
    <row r="349">
      <c r="A349" s="31" t="str">
        <f>IFERROR(__xludf.DUMMYFUNCTION("""COMPUTED_VALUE"""),"おりものが黄色や緑色っぽいのは異常ですか？")</f>
        <v>おりものが黄色や緑色っぽいのは異常ですか？</v>
      </c>
      <c r="B349" s="31" t="str">
        <f>IFERROR(__xludf.DUMMYFUNCTION("""COMPUTED_VALUE"""),"黄色〜緑色がかったおりものは、感染症などが原因で起こることがあります。自己判断せず、専門医による診察を受けることで原因を確認し、適切な治療につなげることができます。おりものの変化は多くの女性が経験する身近な悩みであり、その多くは適切な治療によって改善できます。大切なのは、そのサインを見逃さずに専門医へ相談することです。当院では患者さまの不安に寄り添い、一緒に解決策を見つけていきます。お気軽にご相談ください。")</f>
        <v>黄色〜緑色がかったおりものは、感染症などが原因で起こることがあります。自己判断せず、専門医による診察を受けることで原因を確認し、適切な治療につなげることができます。おりものの変化は多くの女性が経験する身近な悩みであり、その多くは適切な治療によって改善できます。大切なのは、そのサインを見逃さずに専門医へ相談することです。当院では患者さまの不安に寄り添い、一緒に解決策を見つけていきます。お気軽にご相談ください。</v>
      </c>
      <c r="C349" s="31" t="str">
        <f>IFERROR(__xludf.DUMMYFUNCTION("""COMPUTED_VALUE"""),"おりもの異常")</f>
        <v>おりもの異常</v>
      </c>
      <c r="D349" s="31" t="str">
        <f>IFERROR(__xludf.DUMMYFUNCTION("""COMPUTED_VALUE"""),"おりもの異常,黄色のおりもの,緑色のおりもの")</f>
        <v>おりもの異常,黄色のおりもの,緑色のおりもの</v>
      </c>
      <c r="E349" s="32" t="str">
        <f>IFERROR(__xludf.DUMMYFUNCTION("""COMPUTED_VALUE"""),"https://luna-dr.com/subjects/abnormal-vaginal-discharge/")</f>
        <v>https://luna-dr.com/subjects/abnormal-vaginal-discharge/</v>
      </c>
    </row>
    <row r="350">
      <c r="A350" s="31" t="str">
        <f>IFERROR(__xludf.DUMMYFUNCTION("""COMPUTED_VALUE"""),"泡立つおりものが出ていますが問題ありますか？")</f>
        <v>泡立つおりものが出ていますが問題ありますか？</v>
      </c>
      <c r="B350" s="31" t="str">
        <f>IFERROR(__xludf.DUMMYFUNCTION("""COMPUTED_VALUE"""),"泡立つおりものは、おりもの異常のサインの一つとされています。原因によって治療法が異なるため、気になる場合は専門医への相談をおすすめします。おりものの変化は多くの女性が経験する身近な悩みであり、その多くは適切な治療によって改善できます。大切なのは、そのサインを見逃さずに専門医へ相談することです。当院では患者さまの不安に寄り添い、一緒に解決策を見つけていきます。お気軽にご相談ください。")</f>
        <v>泡立つおりものは、おりもの異常のサインの一つとされています。原因によって治療法が異なるため、気になる場合は専門医への相談をおすすめします。おりものの変化は多くの女性が経験する身近な悩みであり、その多くは適切な治療によって改善できます。大切なのは、そのサインを見逃さずに専門医へ相談することです。当院では患者さまの不安に寄り添い、一緒に解決策を見つけていきます。お気軽にご相談ください。</v>
      </c>
      <c r="C350" s="31" t="str">
        <f>IFERROR(__xludf.DUMMYFUNCTION("""COMPUTED_VALUE"""),"おりもの異常")</f>
        <v>おりもの異常</v>
      </c>
      <c r="D350" s="31" t="str">
        <f>IFERROR(__xludf.DUMMYFUNCTION("""COMPUTED_VALUE"""),"おりもの異常,泡立つおりもの")</f>
        <v>おりもの異常,泡立つおりもの</v>
      </c>
      <c r="E350" s="32" t="str">
        <f>IFERROR(__xludf.DUMMYFUNCTION("""COMPUTED_VALUE"""),"https://luna-dr.com/subjects/abnormal-vaginal-discharge/")</f>
        <v>https://luna-dr.com/subjects/abnormal-vaginal-discharge/</v>
      </c>
    </row>
    <row r="351">
      <c r="A351" s="31" t="str">
        <f>IFERROR(__xludf.DUMMYFUNCTION("""COMPUTED_VALUE"""),"おりものが灰色っぽいのですが受診した方がいいですか？")</f>
        <v>おりものが灰色っぽいのですが受診した方がいいですか？</v>
      </c>
      <c r="B351" s="31" t="str">
        <f>IFERROR(__xludf.DUMMYFUNCTION("""COMPUTED_VALUE"""),"灰色がかったおりものは、膣内環境の乱れなどが関係している場合があります。おりものの色の変化に気づいたら、早めに専門医へご相談ください。おりものの変化は多くの女性が経験する身近な悩みであり、その多くは適切な治療によって改善できます。大切なのは、そのサインを見逃さずに専門医へ相談することです。当院では患者さまの不安に寄り添い、一緒に解決策を見つけていきます。お気軽にご相談ください。")</f>
        <v>灰色がかったおりものは、膣内環境の乱れなどが関係している場合があります。おりものの色の変化に気づいたら、早めに専門医へご相談ください。おりものの変化は多くの女性が経験する身近な悩みであり、その多くは適切な治療によって改善できます。大切なのは、そのサインを見逃さずに専門医へ相談することです。当院では患者さまの不安に寄り添い、一緒に解決策を見つけていきます。お気軽にご相談ください。</v>
      </c>
      <c r="C351" s="31" t="str">
        <f>IFERROR(__xludf.DUMMYFUNCTION("""COMPUTED_VALUE"""),"おりもの異常")</f>
        <v>おりもの異常</v>
      </c>
      <c r="D351" s="31" t="str">
        <f>IFERROR(__xludf.DUMMYFUNCTION("""COMPUTED_VALUE"""),"おりもの異常,灰色のおりもの")</f>
        <v>おりもの異常,灰色のおりもの</v>
      </c>
      <c r="E351" s="32" t="str">
        <f>IFERROR(__xludf.DUMMYFUNCTION("""COMPUTED_VALUE"""),"https://luna-dr.com/subjects/abnormal-vaginal-discharge/")</f>
        <v>https://luna-dr.com/subjects/abnormal-vaginal-discharge/</v>
      </c>
    </row>
    <row r="352">
      <c r="A352" s="31" t="str">
        <f>IFERROR(__xludf.DUMMYFUNCTION("""COMPUTED_VALUE"""),"おりものに血が混じっていますが大丈夫ですか？")</f>
        <v>おりものに血が混じっていますが大丈夫ですか？</v>
      </c>
      <c r="B352" s="31" t="str">
        <f>IFERROR(__xludf.DUMMYFUNCTION("""COMPUTED_VALUE"""),"茶色いおりものや血液が混じる場合、体の変化や病気が隠れている可能性があります。おりものの変化は多くの女性が経験する身近な悩みであり、その多くは適切な治療によって改善できます。大切なのは、そのサインを見逃さずに専門医へ相談することです。当院では患者さまの不安に寄り添い、一緒に解決策を見つけていきます。お気軽にご相談ください。")</f>
        <v>茶色いおりものや血液が混じる場合、体の変化や病気が隠れている可能性があります。おりものの変化は多くの女性が経験する身近な悩みであり、その多くは適切な治療によって改善できます。大切なのは、そのサインを見逃さずに専門医へ相談することです。当院では患者さまの不安に寄り添い、一緒に解決策を見つけていきます。お気軽にご相談ください。</v>
      </c>
      <c r="C352" s="31" t="str">
        <f>IFERROR(__xludf.DUMMYFUNCTION("""COMPUTED_VALUE"""),"おりもの異常")</f>
        <v>おりもの異常</v>
      </c>
      <c r="D352" s="31" t="str">
        <f>IFERROR(__xludf.DUMMYFUNCTION("""COMPUTED_VALUE"""),"おりもの異常,血の混じったおりもの")</f>
        <v>おりもの異常,血の混じったおりもの</v>
      </c>
      <c r="E352" s="32" t="str">
        <f>IFERROR(__xludf.DUMMYFUNCTION("""COMPUTED_VALUE"""),"https://luna-dr.com/subjects/abnormal-vaginal-discharge/")</f>
        <v>https://luna-dr.com/subjects/abnormal-vaginal-discharge/</v>
      </c>
    </row>
    <row r="353">
      <c r="A353" s="31" t="str">
        <f>IFERROR(__xludf.DUMMYFUNCTION("""COMPUTED_VALUE"""),"おりものの量が急に増えましたが異常ですか？")</f>
        <v>おりものの量が急に増えましたが異常ですか？</v>
      </c>
      <c r="B353" s="31" t="str">
        <f>IFERROR(__xludf.DUMMYFUNCTION("""COMPUTED_VALUE"""),"明らかにおりものの量が増えた場合は、体調や膣内環境の変化が影響していることがあります。おりものの変化は多くの女性が経験する身近な悩みであり、その多くは適切な治療によって改善できます。大切なのは、そのサインを見逃さずに専門医へ相談することです。当院では患者さまの不安に寄り添い、一緒に解決策を見つけていきます。お気軽にご相談ください。")</f>
        <v>明らかにおりものの量が増えた場合は、体調や膣内環境の変化が影響していることがあります。おりものの変化は多くの女性が経験する身近な悩みであり、その多くは適切な治療によって改善できます。大切なのは、そのサインを見逃さずに専門医へ相談することです。当院では患者さまの不安に寄り添い、一緒に解決策を見つけていきます。お気軽にご相談ください。</v>
      </c>
      <c r="C353" s="31" t="str">
        <f>IFERROR(__xludf.DUMMYFUNCTION("""COMPUTED_VALUE"""),"おりもの異常")</f>
        <v>おりもの異常</v>
      </c>
      <c r="D353" s="31" t="str">
        <f>IFERROR(__xludf.DUMMYFUNCTION("""COMPUTED_VALUE"""),"おりもの異常,おりもの量が多い")</f>
        <v>おりもの異常,おりもの量が多い</v>
      </c>
      <c r="E353" s="32" t="str">
        <f>IFERROR(__xludf.DUMMYFUNCTION("""COMPUTED_VALUE"""),"https://luna-dr.com/subjects/abnormal-vaginal-discharge/")</f>
        <v>https://luna-dr.com/subjects/abnormal-vaginal-discharge/</v>
      </c>
    </row>
    <row r="354">
      <c r="A354" s="31" t="str">
        <f>IFERROR(__xludf.DUMMYFUNCTION("""COMPUTED_VALUE"""),"水のようにサラサラしたおりものは問題ありますか？")</f>
        <v>水のようにサラサラしたおりものは問題ありますか？</v>
      </c>
      <c r="B354" s="31" t="str">
        <f>IFERROR(__xludf.DUMMYFUNCTION("""COMPUTED_VALUE"""),"水のようにサラサラしたおりものも、状態によっては検査が必要な場合があります。おりものの変化は多くの女性が経験する身近な悩みであり、その多くは適切な治療によって改善できます。大切なのは、そのサインを見逃さずに専門医へ相談することです。当院では患者さまの不安に寄り添い、一緒に解決策を見つけていきます。お気軽にご相談ください。")</f>
        <v>水のようにサラサラしたおりものも、状態によっては検査が必要な場合があります。おりものの変化は多くの女性が経験する身近な悩みであり、その多くは適切な治療によって改善できます。大切なのは、そのサインを見逃さずに専門医へ相談することです。当院では患者さまの不安に寄り添い、一緒に解決策を見つけていきます。お気軽にご相談ください。</v>
      </c>
      <c r="C354" s="31" t="str">
        <f>IFERROR(__xludf.DUMMYFUNCTION("""COMPUTED_VALUE"""),"おりもの異常")</f>
        <v>おりもの異常</v>
      </c>
      <c r="D354" s="31" t="str">
        <f>IFERROR(__xludf.DUMMYFUNCTION("""COMPUTED_VALUE"""),"おりもの異常,水っぽいおりもの")</f>
        <v>おりもの異常,水っぽいおりもの</v>
      </c>
      <c r="E354" s="32" t="str">
        <f>IFERROR(__xludf.DUMMYFUNCTION("""COMPUTED_VALUE"""),"https://luna-dr.com/subjects/abnormal-vaginal-discharge/")</f>
        <v>https://luna-dr.com/subjects/abnormal-vaginal-discharge/</v>
      </c>
    </row>
    <row r="355">
      <c r="A355" s="31" t="str">
        <f>IFERROR(__xludf.DUMMYFUNCTION("""COMPUTED_VALUE"""),"おりものが魚が腐ったような臭いがします")</f>
        <v>おりものが魚が腐ったような臭いがします</v>
      </c>
      <c r="B355" s="31" t="str">
        <f>IFERROR(__xludf.DUMMYFUNCTION("""COMPUTED_VALUE"""),"魚が腐ったような生臭い臭いは、おりもの異常のサインの一つです。おりものの変化は多くの女性が経験する身近な悩みであり、その多くは適切な治療によって改善できます。大切なのは、そのサインを見逃さずに専門医へ相談することです。当院では患者さまの不安に寄り添い、一緒に解決策を見つけていきます。お気軽にご相談ください。")</f>
        <v>魚が腐ったような生臭い臭いは、おりもの異常のサインの一つです。おりものの変化は多くの女性が経験する身近な悩みであり、その多くは適切な治療によって改善できます。大切なのは、そのサインを見逃さずに専門医へ相談することです。当院では患者さまの不安に寄り添い、一緒に解決策を見つけていきます。お気軽にご相談ください。</v>
      </c>
      <c r="C355" s="31" t="str">
        <f>IFERROR(__xludf.DUMMYFUNCTION("""COMPUTED_VALUE"""),"おりもの異常")</f>
        <v>おりもの異常</v>
      </c>
      <c r="D355" s="31" t="str">
        <f>IFERROR(__xludf.DUMMYFUNCTION("""COMPUTED_VALUE"""),"おりもの異常,生臭い臭い,魚の臭い")</f>
        <v>おりもの異常,生臭い臭い,魚の臭い</v>
      </c>
      <c r="E355" s="32" t="str">
        <f>IFERROR(__xludf.DUMMYFUNCTION("""COMPUTED_VALUE"""),"https://luna-dr.com/subjects/abnormal-vaginal-discharge/")</f>
        <v>https://luna-dr.com/subjects/abnormal-vaginal-discharge/</v>
      </c>
    </row>
    <row r="356">
      <c r="A356" s="31" t="str">
        <f>IFERROR(__xludf.DUMMYFUNCTION("""COMPUTED_VALUE"""),"おりものの臭いがいつもと違いますが受診すべきですか？")</f>
        <v>おりものの臭いがいつもと違いますが受診すべきですか？</v>
      </c>
      <c r="B356" s="31" t="str">
        <f>IFERROR(__xludf.DUMMYFUNCTION("""COMPUTED_VALUE"""),"いつもと違う酸っぱい臭いや悪臭がする場合は、膣内環境の乱れや感染症が関係していることがあります。おりものの変化は多くの女性が経験する身近な悩みであり、その多くは適切な治療によって改善できます。大切なのは、そのサインを見逃さずに専門医へ相談することです。当院では患者さまの不安に寄り添い、一緒に解決策を見つけていきます。お気軽にご相談ください。")</f>
        <v>いつもと違う酸っぱい臭いや悪臭がする場合は、膣内環境の乱れや感染症が関係していることがあります。おりものの変化は多くの女性が経験する身近な悩みであり、その多くは適切な治療によって改善できます。大切なのは、そのサインを見逃さずに専門医へ相談することです。当院では患者さまの不安に寄り添い、一緒に解決策を見つけていきます。お気軽にご相談ください。</v>
      </c>
      <c r="C356" s="31" t="str">
        <f>IFERROR(__xludf.DUMMYFUNCTION("""COMPUTED_VALUE"""),"おりもの異常")</f>
        <v>おりもの異常</v>
      </c>
      <c r="D356" s="31" t="str">
        <f>IFERROR(__xludf.DUMMYFUNCTION("""COMPUTED_VALUE"""),"おりもの異常,おりものの臭い,悪臭")</f>
        <v>おりもの異常,おりものの臭い,悪臭</v>
      </c>
      <c r="E356" s="32" t="str">
        <f>IFERROR(__xludf.DUMMYFUNCTION("""COMPUTED_VALUE"""),"https://luna-dr.com/subjects/abnormal-vaginal-discharge/")</f>
        <v>https://luna-dr.com/subjects/abnormal-vaginal-discharge/</v>
      </c>
    </row>
    <row r="357">
      <c r="A357" s="31" t="str">
        <f>IFERROR(__xludf.DUMMYFUNCTION("""COMPUTED_VALUE"""),"外陰部に強いかゆみがありますが関係ありますか？")</f>
        <v>外陰部に強いかゆみがありますが関係ありますか？</v>
      </c>
      <c r="B357" s="31" t="str">
        <f>IFERROR(__xludf.DUMMYFUNCTION("""COMPUTED_VALUE"""),"外陰部（デリケートゾーン）の強いかゆみは、おりもの異常と関連して起こることがあります。自己判断せず、医師の診察を受けることをおすすめします。おりものの変化は多くの女性が経験する身近な悩みであり、その多くは適切な治療によって改善できます。大切なのは、そのサインを見逃さずに専門医へ相談することです。当院では患者さまの不安に寄り添い、一緒に解決策を見つけていきます。お気軽にご相談ください。")</f>
        <v>外陰部（デリケートゾーン）の強いかゆみは、おりもの異常と関連して起こることがあります。自己判断せず、医師の診察を受けることをおすすめします。おりものの変化は多くの女性が経験する身近な悩みであり、その多くは適切な治療によって改善できます。大切なのは、そのサインを見逃さずに専門医へ相談することです。当院では患者さまの不安に寄り添い、一緒に解決策を見つけていきます。お気軽にご相談ください。</v>
      </c>
      <c r="C357" s="31" t="str">
        <f>IFERROR(__xludf.DUMMYFUNCTION("""COMPUTED_VALUE"""),"おりもの異常")</f>
        <v>おりもの異常</v>
      </c>
      <c r="D357" s="31" t="str">
        <f>IFERROR(__xludf.DUMMYFUNCTION("""COMPUTED_VALUE"""),"おりもの異常,外陰部のかゆみ")</f>
        <v>おりもの異常,外陰部のかゆみ</v>
      </c>
      <c r="E357" s="32" t="str">
        <f>IFERROR(__xludf.DUMMYFUNCTION("""COMPUTED_VALUE"""),"https://luna-dr.com/subjects/abnormal-vaginal-discharge/")</f>
        <v>https://luna-dr.com/subjects/abnormal-vaginal-discharge/</v>
      </c>
    </row>
    <row r="358">
      <c r="A358" s="31" t="str">
        <f>IFERROR(__xludf.DUMMYFUNCTION("""COMPUTED_VALUE"""),"性交時に痛みがありますが相談できますか？")</f>
        <v>性交時に痛みがありますが相談できますか？</v>
      </c>
      <c r="B358" s="31" t="str">
        <f>IFERROR(__xludf.DUMMYFUNCTION("""COMPUTED_VALUE"""),"性交時の痛みは、おりもの異常や膣内のトラブルが関係している場合があります。不安な症状がある場合は、専門医にご相談ください。おりものの変化は多くの女性が経験する身近な悩みであり、その多くは適切な治療によって改善できます。大切なのは、そのサインを見逃さずに専門医へ相談することです。当院では患者さまの不安に寄り添い、一緒に解決策を見つけていきます。お気軽にご相談ください。")</f>
        <v>性交時の痛みは、おりもの異常や膣内のトラブルが関係している場合があります。不安な症状がある場合は、専門医にご相談ください。おりものの変化は多くの女性が経験する身近な悩みであり、その多くは適切な治療によって改善できます。大切なのは、そのサインを見逃さずに専門医へ相談することです。当院では患者さまの不安に寄り添い、一緒に解決策を見つけていきます。お気軽にご相談ください。</v>
      </c>
      <c r="C358" s="31" t="str">
        <f>IFERROR(__xludf.DUMMYFUNCTION("""COMPUTED_VALUE"""),"おりもの異常")</f>
        <v>おりもの異常</v>
      </c>
      <c r="D358" s="31" t="str">
        <f>IFERROR(__xludf.DUMMYFUNCTION("""COMPUTED_VALUE"""),"おりもの異常,性交痛")</f>
        <v>おりもの異常,性交痛</v>
      </c>
      <c r="E358" s="32" t="str">
        <f>IFERROR(__xludf.DUMMYFUNCTION("""COMPUTED_VALUE"""),"https://luna-dr.com/subjects/abnormal-vaginal-discharge/")</f>
        <v>https://luna-dr.com/subjects/abnormal-vaginal-discharge/</v>
      </c>
    </row>
    <row r="359">
      <c r="A359" s="31" t="str">
        <f>IFERROR(__xludf.DUMMYFUNCTION("""COMPUTED_VALUE"""),"下腹部に痛みがありますが受診の目安ですか？")</f>
        <v>下腹部に痛みがありますが受診の目安ですか？</v>
      </c>
      <c r="B359" s="31" t="str">
        <f>IFERROR(__xludf.DUMMYFUNCTION("""COMPUTED_VALUE"""),"下腹部の痛みや出血がある場合、症状の内容によって受診可否やご案内が異なります。
個別の確認が必要となるため、恐れ入りますがお電話にてご相談ください。お電話は 050-1730-2768 となります。")</f>
        <v>下腹部の痛みや出血がある場合、症状の内容によって受診可否やご案内が異なります。
個別の確認が必要となるため、恐れ入りますがお電話にてご相談ください。お電話は 050-1730-2768 となります。</v>
      </c>
      <c r="C359" s="31" t="str">
        <f>IFERROR(__xludf.DUMMYFUNCTION("""COMPUTED_VALUE"""),"おりもの異常")</f>
        <v>おりもの異常</v>
      </c>
      <c r="D359" s="31" t="str">
        <f>IFERROR(__xludf.DUMMYFUNCTION("""COMPUTED_VALUE"""),"おりもの異常,下腹部痛")</f>
        <v>おりもの異常,下腹部痛</v>
      </c>
      <c r="E359" s="32" t="str">
        <f>IFERROR(__xludf.DUMMYFUNCTION("""COMPUTED_VALUE"""),"https://luna-dr.com/subjects/abnormal-vaginal-discharge/")</f>
        <v>https://luna-dr.com/subjects/abnormal-vaginal-discharge/</v>
      </c>
    </row>
    <row r="360">
      <c r="A360" s="31" t="str">
        <f>IFERROR(__xludf.DUMMYFUNCTION("""COMPUTED_VALUE"""),"おりものの変化はよくあることですか？")</f>
        <v>おりものの変化はよくあることですか？</v>
      </c>
      <c r="B360" s="31" t="str">
        <f>IFERROR(__xludf.DUMMYFUNCTION("""COMPUTED_VALUE"""),"おりものの変化は多くの女性が経験する身近な悩みであり、その多くは適切な治療によって改善できます。大切なのは、そのサインを見逃さずに専門医へ相談することです。当院では患者さまの不安に寄り添い、一緒に解決策を見つけていきます。お気軽にご相談ください。")</f>
        <v>おりものの変化は多くの女性が経験する身近な悩みであり、その多くは適切な治療によって改善できます。大切なのは、そのサインを見逃さずに専門医へ相談することです。当院では患者さまの不安に寄り添い、一緒に解決策を見つけていきます。お気軽にご相談ください。</v>
      </c>
      <c r="C360" s="31" t="str">
        <f>IFERROR(__xludf.DUMMYFUNCTION("""COMPUTED_VALUE"""),"おりもの異常")</f>
        <v>おりもの異常</v>
      </c>
      <c r="D360" s="31" t="str">
        <f>IFERROR(__xludf.DUMMYFUNCTION("""COMPUTED_VALUE"""),"おりもの異常,よくある症状")</f>
        <v>おりもの異常,よくある症状</v>
      </c>
      <c r="E360" s="32" t="str">
        <f>IFERROR(__xludf.DUMMYFUNCTION("""COMPUTED_VALUE"""),"https://luna-dr.com/subjects/abnormal-vaginal-discharge/")</f>
        <v>https://luna-dr.com/subjects/abnormal-vaginal-discharge/</v>
      </c>
    </row>
    <row r="361">
      <c r="A361" s="31" t="str">
        <f>IFERROR(__xludf.DUMMYFUNCTION("""COMPUTED_VALUE"""),"おりものに異変を感じたらどうすればいいですか？")</f>
        <v>おりものに異変を感じたらどうすればいいですか？</v>
      </c>
      <c r="B361" s="31" t="str">
        <f>IFERROR(__xludf.DUMMYFUNCTION("""COMPUTED_VALUE"""),"大切なのは、そのサインを見逃さずに専門医へ相談することです。当院では患者さまの不安に寄り添い、一緒に解決策を見つけていきます。お気軽にご相談ください。")</f>
        <v>大切なのは、そのサインを見逃さずに専門医へ相談することです。当院では患者さまの不安に寄り添い、一緒に解決策を見つけていきます。お気軽にご相談ください。</v>
      </c>
      <c r="C361" s="31" t="str">
        <f>IFERROR(__xludf.DUMMYFUNCTION("""COMPUTED_VALUE"""),"おりもの異常")</f>
        <v>おりもの異常</v>
      </c>
      <c r="D361" s="31" t="str">
        <f>IFERROR(__xludf.DUMMYFUNCTION("""COMPUTED_VALUE"""),"おりもの異常,相談,婦人科")</f>
        <v>おりもの異常,相談,婦人科</v>
      </c>
      <c r="E361" s="32" t="str">
        <f>IFERROR(__xludf.DUMMYFUNCTION("""COMPUTED_VALUE"""),"https://luna-dr.com/subjects/abnormal-vaginal-discharge/")</f>
        <v>https://luna-dr.com/subjects/abnormal-vaginal-discharge/</v>
      </c>
    </row>
    <row r="362">
      <c r="A362" s="31" t="str">
        <f>IFERROR(__xludf.DUMMYFUNCTION("""COMPUTED_VALUE"""),"おりものの異常はどんな人が対象ですか？")</f>
        <v>おりものの異常はどんな人が対象ですか？</v>
      </c>
      <c r="B362" s="31" t="str">
        <f>IFERROR(__xludf.DUMMYFUNCTION("""COMPUTED_VALUE"""),"年齢に関係なく、おりものの変化や違和感に気づいた方が対象です。")</f>
        <v>年齢に関係なく、おりものの変化や違和感に気づいた方が対象です。</v>
      </c>
      <c r="C362" s="31" t="str">
        <f>IFERROR(__xludf.DUMMYFUNCTION("""COMPUTED_VALUE"""),"おりもの検査")</f>
        <v>おりもの検査</v>
      </c>
      <c r="D362" s="31" t="str">
        <f>IFERROR(__xludf.DUMMYFUNCTION("""COMPUTED_VALUE"""),"おりもの異常,対象,婦人科")</f>
        <v>おりもの異常,対象,婦人科</v>
      </c>
      <c r="E362" s="32" t="str">
        <f>IFERROR(__xludf.DUMMYFUNCTION("""COMPUTED_VALUE"""),"https://luna-dr.com/subjects/abnormal-vaginal-discharge/")</f>
        <v>https://luna-dr.com/subjects/abnormal-vaginal-discharge/</v>
      </c>
    </row>
    <row r="363">
      <c r="A363" s="31" t="str">
        <f>IFERROR(__xludf.DUMMYFUNCTION("""COMPUTED_VALUE"""),"おりものの異常はなぜ起こりますか？")</f>
        <v>おりものの異常はなぜ起こりますか？</v>
      </c>
      <c r="B363" s="31" t="str">
        <f>IFERROR(__xludf.DUMMYFUNCTION("""COMPUTED_VALUE"""),"細菌や真菌の増殖、性感染症、膣内の善玉菌バランスの乱れなどが原因で起こります。")</f>
        <v>細菌や真菌の増殖、性感染症、膣内の善玉菌バランスの乱れなどが原因で起こります。</v>
      </c>
      <c r="C363" s="31" t="str">
        <f>IFERROR(__xludf.DUMMYFUNCTION("""COMPUTED_VALUE"""),"おりもの検査")</f>
        <v>おりもの検査</v>
      </c>
      <c r="D363" s="31" t="str">
        <f>IFERROR(__xludf.DUMMYFUNCTION("""COMPUTED_VALUE"""),"おりもの異常,原因,細菌,真菌,性感染症")</f>
        <v>おりもの異常,原因,細菌,真菌,性感染症</v>
      </c>
      <c r="E363" s="32" t="str">
        <f>IFERROR(__xludf.DUMMYFUNCTION("""COMPUTED_VALUE"""),"https://luna-dr.com/subjects/abnormal-vaginal-discharge/")</f>
        <v>https://luna-dr.com/subjects/abnormal-vaginal-discharge/</v>
      </c>
    </row>
    <row r="364">
      <c r="A364" s="31" t="str">
        <f>IFERROR(__xludf.DUMMYFUNCTION("""COMPUTED_VALUE"""),"治療するとどんな効果がありますか？")</f>
        <v>治療するとどんな効果がありますか？</v>
      </c>
      <c r="B364" s="31" t="str">
        <f>IFERROR(__xludf.DUMMYFUNCTION("""COMPUTED_VALUE"""),"原因に応じた治療により、かゆみや臭い、おりものの異常は改善が期待できます。")</f>
        <v>原因に応じた治療により、かゆみや臭い、おりものの異常は改善が期待できます。</v>
      </c>
      <c r="C364" s="31" t="str">
        <f>IFERROR(__xludf.DUMMYFUNCTION("""COMPUTED_VALUE"""),"おりもの検査")</f>
        <v>おりもの検査</v>
      </c>
      <c r="D364" s="31" t="str">
        <f>IFERROR(__xludf.DUMMYFUNCTION("""COMPUTED_VALUE"""),"おりもの異常,治療効果,改善")</f>
        <v>おりもの異常,治療効果,改善</v>
      </c>
      <c r="E364" s="32" t="str">
        <f>IFERROR(__xludf.DUMMYFUNCTION("""COMPUTED_VALUE"""),"https://luna-dr.com/subjects/abnormal-vaginal-discharge/")</f>
        <v>https://luna-dr.com/subjects/abnormal-vaginal-discharge/</v>
      </c>
    </row>
    <row r="365">
      <c r="A365" s="31" t="str">
        <f>IFERROR(__xludf.DUMMYFUNCTION("""COMPUTED_VALUE"""),"おりもの異常で考えられる病気には何がありますか？")</f>
        <v>おりもの異常で考えられる病気には何がありますか？</v>
      </c>
      <c r="B365" s="31" t="str">
        <f>IFERROR(__xludf.DUMMYFUNCTION("""COMPUTED_VALUE"""),"膣カンジダ症、細菌性膣症、トリコモナス膣炎、クラミジア感染症、淋菌感染症などがあります。")</f>
        <v>膣カンジダ症、細菌性膣症、トリコモナス膣炎、クラミジア感染症、淋菌感染症などがあります。</v>
      </c>
      <c r="C365" s="31" t="str">
        <f>IFERROR(__xludf.DUMMYFUNCTION("""COMPUTED_VALUE"""),"おりもの検査")</f>
        <v>おりもの検査</v>
      </c>
      <c r="D365" s="31" t="str">
        <f>IFERROR(__xludf.DUMMYFUNCTION("""COMPUTED_VALUE"""),"おりもの異常,膣カンジダ,細菌性膣症,性感染症")</f>
        <v>おりもの異常,膣カンジダ,細菌性膣症,性感染症</v>
      </c>
      <c r="E365" s="32" t="str">
        <f>IFERROR(__xludf.DUMMYFUNCTION("""COMPUTED_VALUE"""),"https://luna-dr.com/subjects/abnormal-vaginal-discharge/")</f>
        <v>https://luna-dr.com/subjects/abnormal-vaginal-discharge/</v>
      </c>
    </row>
    <row r="366">
      <c r="A366" s="31" t="str">
        <f>IFERROR(__xludf.DUMMYFUNCTION("""COMPUTED_VALUE"""),"おりもの検査でどの病気かはどうやって判断しますか？")</f>
        <v>おりもの検査でどの病気かはどうやって判断しますか？</v>
      </c>
      <c r="B366" s="31" t="str">
        <f>IFERROR(__xludf.DUMMYFUNCTION("""COMPUTED_VALUE"""),"内診でのおりもの検査や顕微鏡検査、培養検査、遺伝子検査などで原因を特定します。")</f>
        <v>内診でのおりもの検査や顕微鏡検査、培養検査、遺伝子検査などで原因を特定します。</v>
      </c>
      <c r="C366" s="31" t="str">
        <f>IFERROR(__xludf.DUMMYFUNCTION("""COMPUTED_VALUE"""),"おりもの検査")</f>
        <v>おりもの検査</v>
      </c>
      <c r="D366" s="31" t="str">
        <f>IFERROR(__xludf.DUMMYFUNCTION("""COMPUTED_VALUE"""),"おりもの検査,原因特定,顕微鏡検査")</f>
        <v>おりもの検査,原因特定,顕微鏡検査</v>
      </c>
      <c r="E366" s="32" t="str">
        <f>IFERROR(__xludf.DUMMYFUNCTION("""COMPUTED_VALUE"""),"https://luna-dr.com/subjects/abnormal-vaginal-discharge/")</f>
        <v>https://luna-dr.com/subjects/abnormal-vaginal-discharge/</v>
      </c>
    </row>
    <row r="367">
      <c r="A367" s="31" t="str">
        <f>IFERROR(__xludf.DUMMYFUNCTION("""COMPUTED_VALUE"""),"膣カンジダ症とはどんな病気ですか？")</f>
        <v>膣カンジダ症とはどんな病気ですか？</v>
      </c>
      <c r="B367" s="31" t="str">
        <f>IFERROR(__xludf.DUMMYFUNCTION("""COMPUTED_VALUE"""),"膣カンジダ症とは、常在菌であるカンジダ真菌が増殖することで起こる病気です。白くポロポロしたカッテージチーズ状のおりものや、強いかゆみが特徴です。大切なのは、そのサインを見逃さずに専門医へ相談することです。当院では患者さまの不安に寄り添い、一緒に解決策を見つけていきます。お気軽にご相談ください。")</f>
        <v>膣カンジダ症とは、常在菌であるカンジダ真菌が増殖することで起こる病気です。白くポロポロしたカッテージチーズ状のおりものや、強いかゆみが特徴です。大切なのは、そのサインを見逃さずに専門医へ相談することです。当院では患者さまの不安に寄り添い、一緒に解決策を見つけていきます。お気軽にご相談ください。</v>
      </c>
      <c r="C367" s="31" t="str">
        <f>IFERROR(__xludf.DUMMYFUNCTION("""COMPUTED_VALUE"""),"おりもの異常")</f>
        <v>おりもの異常</v>
      </c>
      <c r="D367" s="31" t="str">
        <f>IFERROR(__xludf.DUMMYFUNCTION("""COMPUTED_VALUE"""),"膣カンジダ症,白いおりもの,かゆみ")</f>
        <v>膣カンジダ症,白いおりもの,かゆみ</v>
      </c>
      <c r="E367" s="32" t="str">
        <f>IFERROR(__xludf.DUMMYFUNCTION("""COMPUTED_VALUE"""),"https://luna-dr.com/subjects/abnormal-vaginal-discharge/")</f>
        <v>https://luna-dr.com/subjects/abnormal-vaginal-discharge/</v>
      </c>
    </row>
    <row r="368">
      <c r="A368" s="31" t="str">
        <f>IFERROR(__xludf.DUMMYFUNCTION("""COMPUTED_VALUE"""),"白くポロポロしたおりものは何の病気の可能性がありますか？")</f>
        <v>白くポロポロしたおりものは何の病気の可能性がありますか？</v>
      </c>
      <c r="B368" s="31" t="str">
        <f>IFERROR(__xludf.DUMMYFUNCTION("""COMPUTED_VALUE"""),"白くポロポロしたカッテージチーズ状のおりものが見られる場合、膣カンジダ症が考えられます。強いかゆみを伴うことが多いのが特徴です。大切なのは、そのサインを見逃さずに専門医へ相談することです。当院では患者さまの不安に寄り添い、一緒に解決策を見つけていきます。お気軽にご相談ください。")</f>
        <v>白くポロポロしたカッテージチーズ状のおりものが見られる場合、膣カンジダ症が考えられます。強いかゆみを伴うことが多いのが特徴です。大切なのは、そのサインを見逃さずに専門医へ相談することです。当院では患者さまの不安に寄り添い、一緒に解決策を見つけていきます。お気軽にご相談ください。</v>
      </c>
      <c r="C368" s="31" t="str">
        <f>IFERROR(__xludf.DUMMYFUNCTION("""COMPUTED_VALUE"""),"おりもの異常")</f>
        <v>おりもの異常</v>
      </c>
      <c r="D368" s="31" t="str">
        <f>IFERROR(__xludf.DUMMYFUNCTION("""COMPUTED_VALUE"""),"白いおりもの,ポロポロ,膣カンジダ症")</f>
        <v>白いおりもの,ポロポロ,膣カンジダ症</v>
      </c>
      <c r="E368" s="32" t="str">
        <f>IFERROR(__xludf.DUMMYFUNCTION("""COMPUTED_VALUE"""),"https://luna-dr.com/subjects/abnormal-vaginal-discharge/")</f>
        <v>https://luna-dr.com/subjects/abnormal-vaginal-discharge/</v>
      </c>
    </row>
    <row r="369">
      <c r="A369" s="31" t="str">
        <f>IFERROR(__xludf.DUMMYFUNCTION("""COMPUTED_VALUE"""),"細菌性膣症とはどんな病気ですか？")</f>
        <v>細菌性膣症とはどんな病気ですか？</v>
      </c>
      <c r="B369" s="31" t="str">
        <f>IFERROR(__xludf.DUMMYFUNCTION("""COMPUTED_VALUE"""),"細菌性膣症とは、膣内の善玉菌が減少し、悪玉菌が増えることで膣内環境が乱れる病気です。灰色っぽく水っぽいおりものや、魚の生臭い臭いが特徴です。大切なのは、そのサインを見逃さずに専門医へ相談することです。当院では患者さまの不安に寄り添い、一緒に解決策を見つけていきます。お気軽にご相談ください。")</f>
        <v>細菌性膣症とは、膣内の善玉菌が減少し、悪玉菌が増えることで膣内環境が乱れる病気です。灰色っぽく水っぽいおりものや、魚の生臭い臭いが特徴です。大切なのは、そのサインを見逃さずに専門医へ相談することです。当院では患者さまの不安に寄り添い、一緒に解決策を見つけていきます。お気軽にご相談ください。</v>
      </c>
      <c r="C369" s="31" t="str">
        <f>IFERROR(__xludf.DUMMYFUNCTION("""COMPUTED_VALUE"""),"おりもの異常")</f>
        <v>おりもの異常</v>
      </c>
      <c r="D369" s="31" t="str">
        <f>IFERROR(__xludf.DUMMYFUNCTION("""COMPUTED_VALUE"""),"細菌性膣症,灰色のおりもの,生臭い臭い")</f>
        <v>細菌性膣症,灰色のおりもの,生臭い臭い</v>
      </c>
      <c r="E369" s="32" t="str">
        <f>IFERROR(__xludf.DUMMYFUNCTION("""COMPUTED_VALUE"""),"https://luna-dr.com/subjects/abnormal-vaginal-discharge/")</f>
        <v>https://luna-dr.com/subjects/abnormal-vaginal-discharge/</v>
      </c>
    </row>
    <row r="370">
      <c r="A370" s="31" t="str">
        <f>IFERROR(__xludf.DUMMYFUNCTION("""COMPUTED_VALUE"""),"魚のような生臭い臭いのおりものは何が原因ですか？")</f>
        <v>魚のような生臭い臭いのおりものは何が原因ですか？</v>
      </c>
      <c r="B370" s="31" t="str">
        <f>IFERROR(__xludf.DUMMYFUNCTION("""COMPUTED_VALUE"""),"魚のような生臭い臭いを伴うおりものは、細菌性膣症が原因となっている場合があります。膣内環境の乱れが関係しています。大切なのは、そのサインを見逃さずに専門医へ相談することです。当院では患者さまの不安に寄り添い、一緒に解決策を見つけていきます。お気軽にご相談ください。")</f>
        <v>魚のような生臭い臭いを伴うおりものは、細菌性膣症が原因となっている場合があります。膣内環境の乱れが関係しています。大切なのは、そのサインを見逃さずに専門医へ相談することです。当院では患者さまの不安に寄り添い、一緒に解決策を見つけていきます。お気軽にご相談ください。</v>
      </c>
      <c r="C370" s="31" t="str">
        <f>IFERROR(__xludf.DUMMYFUNCTION("""COMPUTED_VALUE"""),"おりもの異常")</f>
        <v>おりもの異常</v>
      </c>
      <c r="D370" s="31" t="str">
        <f>IFERROR(__xludf.DUMMYFUNCTION("""COMPUTED_VALUE"""),"生臭い臭い,細菌性膣症")</f>
        <v>生臭い臭い,細菌性膣症</v>
      </c>
      <c r="E370" s="32" t="str">
        <f>IFERROR(__xludf.DUMMYFUNCTION("""COMPUTED_VALUE"""),"https://luna-dr.com/subjects/abnormal-vaginal-discharge/")</f>
        <v>https://luna-dr.com/subjects/abnormal-vaginal-discharge/</v>
      </c>
    </row>
    <row r="371">
      <c r="A371" s="31" t="str">
        <f>IFERROR(__xludf.DUMMYFUNCTION("""COMPUTED_VALUE"""),"トリコモナス膣炎とはどんな病気ですか？")</f>
        <v>トリコモナス膣炎とはどんな病気ですか？</v>
      </c>
      <c r="B371" s="31" t="str">
        <f>IFERROR(__xludf.DUMMYFUNCTION("""COMPUTED_VALUE"""),"トリコモナス膣炎とは、性感染症（STD）の一つで、原虫の一種が原因となる病気です。黄〜緑色で泡立つおりものや、悪臭、強いかゆみが特徴です。大切なのは、そのサインを見逃さずに専門医へ相談することです。当院では患者さまの不安に寄り添い、一緒に解決策を見つけていきます。お気軽にご相談ください。")</f>
        <v>トリコモナス膣炎とは、性感染症（STD）の一つで、原虫の一種が原因となる病気です。黄〜緑色で泡立つおりものや、悪臭、強いかゆみが特徴です。大切なのは、そのサインを見逃さずに専門医へ相談することです。当院では患者さまの不安に寄り添い、一緒に解決策を見つけていきます。お気軽にご相談ください。</v>
      </c>
      <c r="C371" s="31" t="str">
        <f>IFERROR(__xludf.DUMMYFUNCTION("""COMPUTED_VALUE"""),"おりもの異常")</f>
        <v>おりもの異常</v>
      </c>
      <c r="D371" s="31" t="str">
        <f>IFERROR(__xludf.DUMMYFUNCTION("""COMPUTED_VALUE"""),"トリコモナス膣炎,泡立つおりもの,性感染症")</f>
        <v>トリコモナス膣炎,泡立つおりもの,性感染症</v>
      </c>
      <c r="E371" s="32" t="str">
        <f>IFERROR(__xludf.DUMMYFUNCTION("""COMPUTED_VALUE"""),"https://luna-dr.com/subjects/abnormal-vaginal-discharge/")</f>
        <v>https://luna-dr.com/subjects/abnormal-vaginal-discharge/</v>
      </c>
    </row>
    <row r="372">
      <c r="A372" s="31" t="str">
        <f>IFERROR(__xludf.DUMMYFUNCTION("""COMPUTED_VALUE"""),"泡立つ黄緑色のおりものは性病ですか？")</f>
        <v>泡立つ黄緑色のおりものは性病ですか？</v>
      </c>
      <c r="B372" s="31" t="str">
        <f>IFERROR(__xludf.DUMMYFUNCTION("""COMPUTED_VALUE"""),"黄〜緑色で泡立つおりものが見られる場合、トリコモナス膣炎などの性感染症が考えられます。正確な診断のため、専門医への相談が必要です。大切なのは、そのサインを見逃さずに専門医へ相談することです。当院では患者さまの不安に寄り添い、一緒に解決策を見つけていきます。お気軽にご相談ください。")</f>
        <v>黄〜緑色で泡立つおりものが見られる場合、トリコモナス膣炎などの性感染症が考えられます。正確な診断のため、専門医への相談が必要です。大切なのは、そのサインを見逃さずに専門医へ相談することです。当院では患者さまの不安に寄り添い、一緒に解決策を見つけていきます。お気軽にご相談ください。</v>
      </c>
      <c r="C372" s="31" t="str">
        <f>IFERROR(__xludf.DUMMYFUNCTION("""COMPUTED_VALUE"""),"おりもの異常")</f>
        <v>おりもの異常</v>
      </c>
      <c r="D372" s="31" t="str">
        <f>IFERROR(__xludf.DUMMYFUNCTION("""COMPUTED_VALUE"""),"泡立つおりもの,黄緑色,トリコモナス")</f>
        <v>泡立つおりもの,黄緑色,トリコモナス</v>
      </c>
      <c r="E372" s="32" t="str">
        <f>IFERROR(__xludf.DUMMYFUNCTION("""COMPUTED_VALUE"""),"https://luna-dr.com/subjects/abnormal-vaginal-discharge/")</f>
        <v>https://luna-dr.com/subjects/abnormal-vaginal-discharge/</v>
      </c>
    </row>
    <row r="373">
      <c r="A373" s="31" t="str">
        <f>IFERROR(__xludf.DUMMYFUNCTION("""COMPUTED_VALUE"""),"クラミジア感染症とはどんな病気ですか？")</f>
        <v>クラミジア感染症とはどんな病気ですか？</v>
      </c>
      <c r="B373" s="31" t="str">
        <f>IFERROR(__xludf.DUMMYFUNCTION("""COMPUTED_VALUE"""),"クラミジア感染症とは、性感染症（STD）の一つで、日本で最も多いとされています。水っぽい、または黄色いおりものが増えることがあり、症状が出にくい場合もあります。大切なのは、そのサインを見逃さずに専門医へ相談することです。当院では患者さまの不安に寄り添い、一緒に解決策を見つけていきます。お気軽にご相談ください。")</f>
        <v>クラミジア感染症とは、性感染症（STD）の一つで、日本で最も多いとされています。水っぽい、または黄色いおりものが増えることがあり、症状が出にくい場合もあります。大切なのは、そのサインを見逃さずに専門医へ相談することです。当院では患者さまの不安に寄り添い、一緒に解決策を見つけていきます。お気軽にご相談ください。</v>
      </c>
      <c r="C373" s="31" t="str">
        <f>IFERROR(__xludf.DUMMYFUNCTION("""COMPUTED_VALUE"""),"おりもの異常")</f>
        <v>おりもの異常</v>
      </c>
      <c r="D373" s="31" t="str">
        <f>IFERROR(__xludf.DUMMYFUNCTION("""COMPUTED_VALUE"""),"クラミジア感染症,水っぽいおりもの,性感染症")</f>
        <v>クラミジア感染症,水っぽいおりもの,性感染症</v>
      </c>
      <c r="E373" s="32" t="str">
        <f>IFERROR(__xludf.DUMMYFUNCTION("""COMPUTED_VALUE"""),"https://luna-dr.com/subjects/abnormal-vaginal-discharge/")</f>
        <v>https://luna-dr.com/subjects/abnormal-vaginal-discharge/</v>
      </c>
    </row>
    <row r="374">
      <c r="A374" s="31" t="str">
        <f>IFERROR(__xludf.DUMMYFUNCTION("""COMPUTED_VALUE"""),"おりものが増えていますが自覚症状が少ない場合もありますか？")</f>
        <v>おりものが増えていますが自覚症状が少ない場合もありますか？</v>
      </c>
      <c r="B374" s="31" t="str">
        <f>IFERROR(__xludf.DUMMYFUNCTION("""COMPUTED_VALUE"""),"クラミジア感染症などでは、水っぽい、または黄色いおりものが増えても、自覚症状がほとんど出ない場合があります。下腹部痛を伴うこともあります。大切なのは、そのサインを見逃さずに専門医へ相談することです。当院では患者さまの不安に寄り添い、一緒に解決策を見つけていきます。お気軽にご相談ください。")</f>
        <v>クラミジア感染症などでは、水っぽい、または黄色いおりものが増えても、自覚症状がほとんど出ない場合があります。下腹部痛を伴うこともあります。大切なのは、そのサインを見逃さずに専門医へ相談することです。当院では患者さまの不安に寄り添い、一緒に解決策を見つけていきます。お気軽にご相談ください。</v>
      </c>
      <c r="C374" s="31" t="str">
        <f>IFERROR(__xludf.DUMMYFUNCTION("""COMPUTED_VALUE"""),"おりもの異常")</f>
        <v>おりもの異常</v>
      </c>
      <c r="D374" s="31" t="str">
        <f>IFERROR(__xludf.DUMMYFUNCTION("""COMPUTED_VALUE"""),"おりもの増加,クラミジア")</f>
        <v>おりもの増加,クラミジア</v>
      </c>
      <c r="E374" s="32" t="str">
        <f>IFERROR(__xludf.DUMMYFUNCTION("""COMPUTED_VALUE"""),"https://luna-dr.com/subjects/abnormal-vaginal-discharge/")</f>
        <v>https://luna-dr.com/subjects/abnormal-vaginal-discharge/</v>
      </c>
    </row>
    <row r="375">
      <c r="A375" s="31" t="str">
        <f>IFERROR(__xludf.DUMMYFUNCTION("""COMPUTED_VALUE"""),"淋菌感染症とはどんな病気ですか？")</f>
        <v>淋菌感染症とはどんな病気ですか？</v>
      </c>
      <c r="B375" s="31" t="str">
        <f>IFERROR(__xludf.DUMMYFUNCTION("""COMPUTED_VALUE"""),"淋菌感染症とは、性感染症（STD）の一つで、黄色く膿のようなおりものや、排尿時痛、下腹部痛が見られることがあります。大切なのは、そのサインを見逃さずに専門医へ相談することです。当院では患者さまの不安に寄り添い、一緒に解決策を見つけていきます。お気軽にご相談ください。")</f>
        <v>淋菌感染症とは、性感染症（STD）の一つで、黄色く膿のようなおりものや、排尿時痛、下腹部痛が見られることがあります。大切なのは、そのサインを見逃さずに専門医へ相談することです。当院では患者さまの不安に寄り添い、一緒に解決策を見つけていきます。お気軽にご相談ください。</v>
      </c>
      <c r="C375" s="31" t="str">
        <f>IFERROR(__xludf.DUMMYFUNCTION("""COMPUTED_VALUE"""),"おりもの異常")</f>
        <v>おりもの異常</v>
      </c>
      <c r="D375" s="31" t="str">
        <f>IFERROR(__xludf.DUMMYFUNCTION("""COMPUTED_VALUE"""),"淋菌感染症,黄色いおりもの,性感染症")</f>
        <v>淋菌感染症,黄色いおりもの,性感染症</v>
      </c>
      <c r="E375" s="32" t="str">
        <f>IFERROR(__xludf.DUMMYFUNCTION("""COMPUTED_VALUE"""),"https://luna-dr.com/subjects/abnormal-vaginal-discharge/")</f>
        <v>https://luna-dr.com/subjects/abnormal-vaginal-discharge/</v>
      </c>
    </row>
    <row r="376">
      <c r="A376" s="31" t="str">
        <f>IFERROR(__xludf.DUMMYFUNCTION("""COMPUTED_VALUE"""),"膿のような黄色いおりものが出ていますが原因は何ですか？")</f>
        <v>膿のような黄色いおりものが出ていますが原因は何ですか？</v>
      </c>
      <c r="B376" s="31" t="str">
        <f>IFERROR(__xludf.DUMMYFUNCTION("""COMPUTED_VALUE"""),"黄色く膿のようなおりものが見られる場合、淋菌感染症が原因となっている可能性があります。クラミジア感染症との合併も多いとされています。大切なのは、そのサインを見逃さずに専門医へ相談することです。当院では患者さまの不安に寄り添い、一緒に解決策を見つけていきます。お気軽にご相談ください。")</f>
        <v>黄色く膿のようなおりものが見られる場合、淋菌感染症が原因となっている可能性があります。クラミジア感染症との合併も多いとされています。大切なのは、そのサインを見逃さずに専門医へ相談することです。当院では患者さまの不安に寄り添い、一緒に解決策を見つけていきます。お気軽にご相談ください。</v>
      </c>
      <c r="C376" s="31" t="str">
        <f>IFERROR(__xludf.DUMMYFUNCTION("""COMPUTED_VALUE"""),"おりもの異常")</f>
        <v>おりもの異常</v>
      </c>
      <c r="D376" s="31" t="str">
        <f>IFERROR(__xludf.DUMMYFUNCTION("""COMPUTED_VALUE"""),"黄色いおりもの,膿,淋菌")</f>
        <v>黄色いおりもの,膿,淋菌</v>
      </c>
      <c r="E376" s="32" t="str">
        <f>IFERROR(__xludf.DUMMYFUNCTION("""COMPUTED_VALUE"""),"https://luna-dr.com/subjects/abnormal-vaginal-discharge/")</f>
        <v>https://luna-dr.com/subjects/abnormal-vaginal-discharge/</v>
      </c>
    </row>
    <row r="377">
      <c r="A377" s="31" t="str">
        <f>IFERROR(__xludf.DUMMYFUNCTION("""COMPUTED_VALUE"""),"おりものの異常は原因によって治療が変わりますか？")</f>
        <v>おりものの異常は原因によって治療が変わりますか？</v>
      </c>
      <c r="B377" s="31" t="str">
        <f>IFERROR(__xludf.DUMMYFUNCTION("""COMPUTED_VALUE"""),"おりものの異常は、原因となる病気によって治療法が異なります。そのため、専門医による正確な診断が重要です。大切なのは、そのサインを見逃さずに専門医へ相談することです。当院では患者さまの不安に寄り添い、一緒に解決策を見つけていきます。お気軽にご相談ください。")</f>
        <v>おりものの異常は、原因となる病気によって治療法が異なります。そのため、専門医による正確な診断が重要です。大切なのは、そのサインを見逃さずに専門医へ相談することです。当院では患者さまの不安に寄り添い、一緒に解決策を見つけていきます。お気軽にご相談ください。</v>
      </c>
      <c r="C377" s="31" t="str">
        <f>IFERROR(__xludf.DUMMYFUNCTION("""COMPUTED_VALUE"""),"おりもの異常")</f>
        <v>おりもの異常</v>
      </c>
      <c r="D377" s="31" t="str">
        <f>IFERROR(__xludf.DUMMYFUNCTION("""COMPUTED_VALUE"""),"おりもの異常,原因,治療")</f>
        <v>おりもの異常,原因,治療</v>
      </c>
      <c r="E377" s="32" t="str">
        <f>IFERROR(__xludf.DUMMYFUNCTION("""COMPUTED_VALUE"""),"https://luna-dr.com/subjects/abnormal-vaginal-discharge/")</f>
        <v>https://luna-dr.com/subjects/abnormal-vaginal-discharge/</v>
      </c>
    </row>
    <row r="378">
      <c r="A378" s="31" t="str">
        <f>IFERROR(__xludf.DUMMYFUNCTION("""COMPUTED_VALUE"""),"おりもの検査に市販薬を使ってもいいですか？")</f>
        <v>おりもの検査に市販薬を使ってもいいですか？</v>
      </c>
      <c r="B378" s="31" t="str">
        <f>IFERROR(__xludf.DUMMYFUNCTION("""COMPUTED_VALUE""")," 市販薬は主にカンジダ症を対象としていますが、原因が異なる場合は効果がなく、かえって診断を遅らせてしまう可能性があります。おりものの異常とかゆみがある場合、まずは婦人科を受診し、正確な診断を受けることをお勧めします。")</f>
        <v> 市販薬は主にカンジダ症を対象としていますが、原因が異なる場合は効果がなく、かえって診断を遅らせてしまう可能性があります。おりものの異常とかゆみがある場合、まずは婦人科を受診し、正確な診断を受けることをお勧めします。</v>
      </c>
      <c r="C378" s="31" t="str">
        <f>IFERROR(__xludf.DUMMYFUNCTION("""COMPUTED_VALUE"""),"おりもの検査")</f>
        <v>おりもの検査</v>
      </c>
      <c r="D378" s="31" t="str">
        <f>IFERROR(__xludf.DUMMYFUNCTION("""COMPUTED_VALUE"""),"おりもの異常,市販薬,注意")</f>
        <v>おりもの異常,市販薬,注意</v>
      </c>
      <c r="E378" s="32" t="str">
        <f>IFERROR(__xludf.DUMMYFUNCTION("""COMPUTED_VALUE"""),"https://luna-dr.com/subjects/abnormal-vaginal-discharge/")</f>
        <v>https://luna-dr.com/subjects/abnormal-vaginal-discharge/</v>
      </c>
    </row>
    <row r="379">
      <c r="A379" s="31" t="str">
        <f>IFERROR(__xludf.DUMMYFUNCTION("""COMPUTED_VALUE"""),"おりもの異常の検査はいつ受けますか？")</f>
        <v>おりもの異常の検査はいつ受けますか？</v>
      </c>
      <c r="B379" s="31" t="str">
        <f>IFERROR(__xludf.DUMMYFUNCTION("""COMPUTED_VALUE"""),"症状に気づいた時点で、できるだけ早めの受診が推奨されます。")</f>
        <v>症状に気づいた時点で、できるだけ早めの受診が推奨されます。</v>
      </c>
      <c r="C379" s="31" t="str">
        <f>IFERROR(__xludf.DUMMYFUNCTION("""COMPUTED_VALUE"""),"おりもの検査")</f>
        <v>おりもの検査</v>
      </c>
      <c r="D379" s="31" t="str">
        <f>IFERROR(__xludf.DUMMYFUNCTION("""COMPUTED_VALUE"""),"おりもの異常,検査タイミング")</f>
        <v>おりもの異常,検査タイミング</v>
      </c>
      <c r="E379" s="32" t="str">
        <f>IFERROR(__xludf.DUMMYFUNCTION("""COMPUTED_VALUE"""),"https://luna-dr.com/subjects/abnormal-vaginal-discharge/")</f>
        <v>https://luna-dr.com/subjects/abnormal-vaginal-discharge/</v>
      </c>
    </row>
    <row r="380">
      <c r="A380" s="31" t="str">
        <f>IFERROR(__xludf.DUMMYFUNCTION("""COMPUTED_VALUE"""),"FemCHECK（フェムチェック）は、市販の郵送検査キットと何が違うのですか？")</f>
        <v>FemCHECK（フェムチェック）は、市販の郵送検査キットと何が違うのですか？</v>
      </c>
      <c r="B380" s="31" t="str">
        <f>IFERROR(__xludf.DUMMYFUNCTION("""COMPUTED_VALUE"""),"一番の違いは、「検査後のサポート体制」と「安心感」です。市販のキットは「検査会社」が販売しており、陽性が出た後はご自身で病院を探さなくてはなりません。
一方、当院のフェムチェックは「医療機関」が提供しています。陽性の場合はもちろん、「陰性だけど症状が改善しない」といった場合でも、検査結果を把握した私たちが、そのまま治療や追加の診察まで責任を持ってサポートします。「検査だけで終わらない安心感」が、フェムチェックの最大の強みです。")</f>
        <v>一番の違いは、「検査後のサポート体制」と「安心感」です。市販のキットは「検査会社」が販売しており、陽性が出た後はご自身で病院を探さなくてはなりません。
一方、当院のフェムチェックは「医療機関」が提供しています。陽性の場合はもちろん、「陰性だけど症状が改善しない」といった場合でも、検査結果を把握した私たちが、そのまま治療や追加の診察まで責任を持ってサポートします。「検査だけで終わらない安心感」が、フェムチェックの最大の強みです。</v>
      </c>
      <c r="C380" s="31" t="str">
        <f>IFERROR(__xludf.DUMMYFUNCTION("""COMPUTED_VALUE"""),"おりもの検査")</f>
        <v>おりもの検査</v>
      </c>
      <c r="D380" s="31" t="str">
        <f>IFERROR(__xludf.DUMMYFUNCTION("""COMPUTED_VALUE"""),"FemCHECK,郵送検査,おりもの異常,違い")</f>
        <v>FemCHECK,郵送検査,おりもの異常,違い</v>
      </c>
      <c r="E380" s="32" t="str">
        <f>IFERROR(__xludf.DUMMYFUNCTION("""COMPUTED_VALUE"""),"https://luna-dr.com/subjects/abnormal-vaginal-discharge/")</f>
        <v>https://luna-dr.com/subjects/abnormal-vaginal-discharge/</v>
      </c>
    </row>
    <row r="381">
      <c r="A381" s="31" t="str">
        <f>IFERROR(__xludf.DUMMYFUNCTION("""COMPUTED_VALUE"""),"おりもの検査は痛いですか？/おりもの検査はどんな検査をしますか？")</f>
        <v>おりもの検査は痛いですか？/おりもの検査はどんな検査をしますか？</v>
      </c>
      <c r="B381" s="31" t="str">
        <f>IFERROR(__xludf.DUMMYFUNCTION("""COMPUTED_VALUE"""),"内診台で膣の中を拝見し、綿棒のようなものでおりものを採取する検査が主です。力を抜いていただければ、痛みはほとんどありません。医師やスタッフが丁寧にお声がけしながら進めますのでご安心ください。")</f>
        <v>内診台で膣の中を拝見し、綿棒のようなものでおりものを採取する検査が主です。力を抜いていただければ、痛みはほとんどありません。医師やスタッフが丁寧にお声がけしながら進めますのでご安心ください。</v>
      </c>
      <c r="C381" s="31" t="str">
        <f>IFERROR(__xludf.DUMMYFUNCTION("""COMPUTED_VALUE"""),"おりもの検査")</f>
        <v>おりもの検査</v>
      </c>
      <c r="D381" s="31" t="str">
        <f>IFERROR(__xludf.DUMMYFUNCTION("""COMPUTED_VALUE"""),"おりもの検査,痛み")</f>
        <v>おりもの検査,痛み</v>
      </c>
      <c r="E381" s="32" t="str">
        <f>IFERROR(__xludf.DUMMYFUNCTION("""COMPUTED_VALUE"""),"https://luna-dr.com/subjects/abnormal-vaginal-discharge/")</f>
        <v>https://luna-dr.com/subjects/abnormal-vaginal-discharge/</v>
      </c>
    </row>
    <row r="382">
      <c r="A382" s="31" t="str">
        <f>IFERROR(__xludf.DUMMYFUNCTION("""COMPUTED_VALUE"""),"おりもの検査では性病かどうかも分かりますか？")</f>
        <v>おりもの検査では性病かどうかも分かりますか？</v>
      </c>
      <c r="B382" s="31" t="str">
        <f>IFERROR(__xludf.DUMMYFUNCTION("""COMPUTED_VALUE"""),"わかります。クラミジア、淋菌、トリコモナスといった性感染症（STD）の検査も可能です。気になる症状があれば、診察時にご相談ください。")</f>
        <v>わかります。クラミジア、淋菌、トリコモナスといった性感染症（STD）の検査も可能です。気になる症状があれば、診察時にご相談ください。</v>
      </c>
      <c r="C382" s="31" t="str">
        <f>IFERROR(__xludf.DUMMYFUNCTION("""COMPUTED_VALUE"""),"おりもの検査")</f>
        <v>おりもの検査</v>
      </c>
      <c r="D382" s="31" t="str">
        <f>IFERROR(__xludf.DUMMYFUNCTION("""COMPUTED_VALUE"""),"おりもの検査,性病")</f>
        <v>おりもの検査,性病</v>
      </c>
      <c r="E382" s="32" t="str">
        <f>IFERROR(__xludf.DUMMYFUNCTION("""COMPUTED_VALUE"""),"https://luna-dr.com/subjects/abnormal-vaginal-discharge/")</f>
        <v>https://luna-dr.com/subjects/abnormal-vaginal-discharge/</v>
      </c>
    </row>
    <row r="383">
      <c r="A383" s="31" t="str">
        <f>IFERROR(__xludf.DUMMYFUNCTION("""COMPUTED_VALUE"""),"パートナーも治療が必要ですか？")</f>
        <v>パートナーも治療が必要ですか？</v>
      </c>
      <c r="B383" s="31" t="str">
        <f>IFERROR(__xludf.DUMMYFUNCTION("""COMPUTED_VALUE"""),"トリコモナスやクラミジア、淋菌などの性感染症と診断された場合は、ご自身が治療してもパートナーから再度うつされてしまう「ピンポン感染」を防ぐため、パートナーも同時に検査・治療を受けることが非常に重要です。")</f>
        <v>トリコモナスやクラミジア、淋菌などの性感染症と診断された場合は、ご自身が治療してもパートナーから再度うつされてしまう「ピンポン感染」を防ぐため、パートナーも同時に検査・治療を受けることが非常に重要です。</v>
      </c>
      <c r="C383" s="31" t="str">
        <f>IFERROR(__xludf.DUMMYFUNCTION("""COMPUTED_VALUE"""),"おりもの検査")</f>
        <v>おりもの検査</v>
      </c>
      <c r="D383" s="31" t="str">
        <f>IFERROR(__xludf.DUMMYFUNCTION("""COMPUTED_VALUE"""),"おりもの検査,性病,パートナー")</f>
        <v>おりもの検査,性病,パートナー</v>
      </c>
      <c r="E383" s="32" t="str">
        <f>IFERROR(__xludf.DUMMYFUNCTION("""COMPUTED_VALUE"""),"https://luna-dr.com/subjects/abnormal-vaginal-discharge/")</f>
        <v>https://luna-dr.com/subjects/abnormal-vaginal-discharge/</v>
      </c>
    </row>
    <row r="384">
      <c r="A384" s="31" t="str">
        <f>IFERROR(__xludf.DUMMYFUNCTION("""COMPUTED_VALUE"""),"おりもの異常は来院しないと診察できませんか？")</f>
        <v>おりもの異常は来院しないと診察できませんか？</v>
      </c>
      <c r="B384" s="31" t="str">
        <f>IFERROR(__xludf.DUMMYFUNCTION("""COMPUTED_VALUE"""),"ルナレディースクリニックでは、ライフスタイルに合わせて来院診療に加え、自宅で検査できる自己採取キット「FemCHECK（フェムチェック）」も利用できます。症状について直接医師に相談し、その日のうちに検査・診断・治療へ進みたい方は来院治療がおすすめです。「病院に行くのは少し勇気がいる」「忙しくてすぐには行けない」という方には、ご自宅で簡単に性感染症の検査ができる自己採取キット「FemCHECK（フェムチェック）」がおすすめです。FemCHECKはこちらをご参考ください→https://luna-dr.com"&amp;"/femcheck/?utm_source=lunamedia&amp;utm_medium=banner&amp;utm_campaign=femcheck_article_hpseo")</f>
        <v>ルナレディースクリニックでは、ライフスタイルに合わせて来院診療に加え、自宅で検査できる自己採取キット「FemCHECK（フェムチェック）」も利用できます。症状について直接医師に相談し、その日のうちに検査・診断・治療へ進みたい方は来院治療がおすすめです。「病院に行くのは少し勇気がいる」「忙しくてすぐには行けない」という方には、ご自宅で簡単に性感染症の検査ができる自己採取キット「FemCHECK（フェムチェック）」がおすすめです。FemCHECKはこちらをご参考ください→https://luna-dr.com/femcheck/?utm_source=lunamedia&amp;utm_medium=banner&amp;utm_campaign=femcheck_article_hpseo</v>
      </c>
      <c r="C384" s="31" t="str">
        <f>IFERROR(__xludf.DUMMYFUNCTION("""COMPUTED_VALUE"""),"おりもの検査")</f>
        <v>おりもの検査</v>
      </c>
      <c r="D384" s="31" t="str">
        <f>IFERROR(__xludf.DUMMYFUNCTION("""COMPUTED_VALUE"""),"FemCHECK,郵送検査,おりもの異常")</f>
        <v>FemCHECK,郵送検査,おりもの異常</v>
      </c>
      <c r="E384" s="32" t="str">
        <f>IFERROR(__xludf.DUMMYFUNCTION("""COMPUTED_VALUE"""),"https://luna-dr.com/subjects/abnormal-vaginal-discharge/")</f>
        <v>https://luna-dr.com/subjects/abnormal-vaginal-discharge/</v>
      </c>
    </row>
    <row r="385">
      <c r="A385" s="31" t="str">
        <f>IFERROR(__xludf.DUMMYFUNCTION("""COMPUTED_VALUE"""),"おりもの異常はオンライン診療だけで完結しますか？")</f>
        <v>おりもの異常はオンライン診療だけで完結しますか？</v>
      </c>
      <c r="B385" s="31" t="str">
        <f>IFERROR(__xludf.DUMMYFUNCTION("""COMPUTED_VALUE"""),"FemCHECKで検査は可能ですが、検査結果で陽性が出た場合、または陰性でも症状が続く場合は、治療や詳しい診察が必要です。フェムチェックの検査結果をもとに、医師が診察を行い、最適な治療が開始できますので、事前に検査結果が分かっているとスムーズに治療へと進むことができます。")</f>
        <v>FemCHECKで検査は可能ですが、検査結果で陽性が出た場合、または陰性でも症状が続く場合は、治療や詳しい診察が必要です。フェムチェックの検査結果をもとに、医師が診察を行い、最適な治療が開始できますので、事前に検査結果が分かっているとスムーズに治療へと進むことができます。</v>
      </c>
      <c r="C385" s="31" t="str">
        <f>IFERROR(__xludf.DUMMYFUNCTION("""COMPUTED_VALUE"""),"おりもの検査")</f>
        <v>おりもの検査</v>
      </c>
      <c r="D385" s="31" t="str">
        <f>IFERROR(__xludf.DUMMYFUNCTION("""COMPUTED_VALUE"""),"おりもの異常,オンライン診療,来院")</f>
        <v>おりもの異常,オンライン診療,来院</v>
      </c>
      <c r="E385" s="32" t="str">
        <f>IFERROR(__xludf.DUMMYFUNCTION("""COMPUTED_VALUE"""),"https://luna-dr.com/subjects/abnormal-vaginal-discharge/")</f>
        <v>https://luna-dr.com/subjects/abnormal-vaginal-discharge/</v>
      </c>
    </row>
    <row r="386">
      <c r="A386" s="31" t="str">
        <f>IFERROR(__xludf.DUMMYFUNCTION("""COMPUTED_VALUE"""),"おりもの異常は初診でも診察できますか？")</f>
        <v>おりもの異常は初診でも診察できますか？</v>
      </c>
      <c r="B386" s="31" t="str">
        <f>IFERROR(__xludf.DUMMYFUNCTION("""COMPUTED_VALUE"""),"おりものの異常は初診の方でも診察可能です。当院では、ライフスタイルに合わせて来院診療に加え、自宅で検査できる自己採取キット「FemCHECK（フェムチェック）」も利用できます。FemCHECKはこちらをご参考ください→https://luna-dr.com/femcheck/?utm_source=lunamedia&amp;utm_medium=banner&amp;utm_campaign=femcheck_article_hpseo")</f>
        <v>おりものの異常は初診の方でも診察可能です。当院では、ライフスタイルに合わせて来院診療に加え、自宅で検査できる自己採取キット「FemCHECK（フェムチェック）」も利用できます。FemCHECKはこちらをご参考ください→https://luna-dr.com/femcheck/?utm_source=lunamedia&amp;utm_medium=banner&amp;utm_campaign=femcheck_article_hpseo</v>
      </c>
      <c r="C386" s="31" t="str">
        <f>IFERROR(__xludf.DUMMYFUNCTION("""COMPUTED_VALUE"""),"おりもの検査")</f>
        <v>おりもの検査</v>
      </c>
      <c r="D386" s="31" t="str">
        <f>IFERROR(__xludf.DUMMYFUNCTION("""COMPUTED_VALUE"""),"おりもの異常,初診,婦人科")</f>
        <v>おりもの異常,初診,婦人科</v>
      </c>
      <c r="E386" s="32" t="str">
        <f>IFERROR(__xludf.DUMMYFUNCTION("""COMPUTED_VALUE"""),"https://luna-dr.com/subjects/abnormal-vaginal-discharge/")</f>
        <v>https://luna-dr.com/subjects/abnormal-vaginal-discharge/</v>
      </c>
    </row>
    <row r="387">
      <c r="A387" s="31" t="str">
        <f>IFERROR(__xludf.DUMMYFUNCTION("""COMPUTED_VALUE"""),"当日の診察ではどこまで進みますか？")</f>
        <v>当日の診察ではどこまで進みますか？</v>
      </c>
      <c r="B387" s="31" t="str">
        <f>IFERROR(__xludf.DUMMYFUNCTION("""COMPUTED_VALUE"""),"来院の場合、問診・内診・検査まで行い、必要に応じてその日のうちに治療を開始します。")</f>
        <v>来院の場合、問診・内診・検査まで行い、必要に応じてその日のうちに治療を開始します。</v>
      </c>
      <c r="C387" s="31" t="str">
        <f>IFERROR(__xludf.DUMMYFUNCTION("""COMPUTED_VALUE"""),"おりもの検査")</f>
        <v>おりもの検査</v>
      </c>
      <c r="D387" s="31" t="str">
        <f>IFERROR(__xludf.DUMMYFUNCTION("""COMPUTED_VALUE"""),"おりもの異常,当日,検査,治療")</f>
        <v>おりもの異常,当日,検査,治療</v>
      </c>
      <c r="E387" s="32" t="str">
        <f>IFERROR(__xludf.DUMMYFUNCTION("""COMPUTED_VALUE"""),"https://luna-dr.com/subjects/abnormal-vaginal-discharge/")</f>
        <v>https://luna-dr.com/subjects/abnormal-vaginal-discharge/</v>
      </c>
    </row>
    <row r="388">
      <c r="A388" s="31" t="str">
        <f>IFERROR(__xludf.DUMMYFUNCTION("""COMPUTED_VALUE"""),"おりもの異常の診察は保険適用ですか？")</f>
        <v>おりもの異常の診察は保険適用ですか？</v>
      </c>
      <c r="B388" s="31" t="str">
        <f>IFERROR(__xludf.DUMMYFUNCTION("""COMPUTED_VALUE"""),"おりものの異常に関する診察・検査・治療は基本的に健康保険が適用されます。")</f>
        <v>おりものの異常に関する診察・検査・治療は基本的に健康保険が適用されます。</v>
      </c>
      <c r="C388" s="31" t="str">
        <f>IFERROR(__xludf.DUMMYFUNCTION("""COMPUTED_VALUE"""),"おりもの検査")</f>
        <v>おりもの検査</v>
      </c>
      <c r="D388" s="31" t="str">
        <f>IFERROR(__xludf.DUMMYFUNCTION("""COMPUTED_VALUE"""),"おりもの異常,保険適用")</f>
        <v>おりもの異常,保険適用</v>
      </c>
      <c r="E388" s="32" t="str">
        <f>IFERROR(__xludf.DUMMYFUNCTION("""COMPUTED_VALUE"""),"https://luna-dr.com/subjects/abnormal-vaginal-discharge/")</f>
        <v>https://luna-dr.com/subjects/abnormal-vaginal-discharge/</v>
      </c>
    </row>
    <row r="389">
      <c r="A389" s="31" t="str">
        <f>IFERROR(__xludf.DUMMYFUNCTION("""COMPUTED_VALUE"""),"おりもの異常の診察や検査は保険適用されますか？")</f>
        <v>おりもの異常の診察や検査は保険適用されますか？</v>
      </c>
      <c r="B389" s="31" t="str">
        <f>IFERROR(__xludf.DUMMYFUNCTION("""COMPUTED_VALUE"""),"おりものの異常に関する診察・検査・治療は、基本的に健康保険が適用されます。")</f>
        <v>おりものの異常に関する診察・検査・治療は、基本的に健康保険が適用されます。</v>
      </c>
      <c r="C389" s="31" t="str">
        <f>IFERROR(__xludf.DUMMYFUNCTION("""COMPUTED_VALUE"""),"料金・保険")</f>
        <v>料金・保険</v>
      </c>
      <c r="D389" s="31" t="str">
        <f>IFERROR(__xludf.DUMMYFUNCTION("""COMPUTED_VALUE"""),"おりもの異常,保険適用,婦人科")</f>
        <v>おりもの異常,保険適用,婦人科</v>
      </c>
      <c r="E389" s="32" t="str">
        <f>IFERROR(__xludf.DUMMYFUNCTION("""COMPUTED_VALUE"""),"https://luna-dr.com/subjects/abnormal-vaginal-discharge/")</f>
        <v>https://luna-dr.com/subjects/abnormal-vaginal-discharge/</v>
      </c>
    </row>
    <row r="390">
      <c r="A390" s="31" t="str">
        <f>IFERROR(__xludf.DUMMYFUNCTION("""COMPUTED_VALUE"""),"おりもの異常の検査費用はいくらくらいですか？")</f>
        <v>おりもの異常の検査費用はいくらくらいですか？</v>
      </c>
      <c r="B390" s="31" t="str">
        <f>IFERROR(__xludf.DUMMYFUNCTION("""COMPUTED_VALUE"""),"雑菌・真菌の検査は、約1,100円（税込）が目安です。
※上記はあくまで目安の料金です。別途、初診料・再診料がかかります。
※診察内容や検査項目によって料金は変動いたします。正確な料金はチャットやお電話ではお答えできかねますので、ご了承ください。
")</f>
        <v>雑菌・真菌の検査は、約1,100円（税込）が目安です。
※上記はあくまで目安の料金です。別途、初診料・再診料がかかります。
※診察内容や検査項目によって料金は変動いたします。正確な料金はチャットやお電話ではお答えできかねますので、ご了承ください。
</v>
      </c>
      <c r="C390" s="31" t="str">
        <f>IFERROR(__xludf.DUMMYFUNCTION("""COMPUTED_VALUE"""),"料金・保険")</f>
        <v>料金・保険</v>
      </c>
      <c r="D390" s="31" t="str">
        <f>IFERROR(__xludf.DUMMYFUNCTION("""COMPUTED_VALUE"""),"おりもの異常,検査費用,雑菌検査,真菌検査")</f>
        <v>おりもの異常,検査費用,雑菌検査,真菌検査</v>
      </c>
      <c r="E390" s="32" t="str">
        <f>IFERROR(__xludf.DUMMYFUNCTION("""COMPUTED_VALUE"""),"https://luna-dr.com/subjects/abnormal-vaginal-discharge/")</f>
        <v>https://luna-dr.com/subjects/abnormal-vaginal-discharge/</v>
      </c>
    </row>
    <row r="391">
      <c r="A391" s="31" t="str">
        <f>IFERROR(__xludf.DUMMYFUNCTION("""COMPUTED_VALUE"""),"おりもの異常の治療費用はいくらくらいですか？")</f>
        <v>おりもの異常の治療費用はいくらくらいですか？</v>
      </c>
      <c r="B391" s="31" t="str">
        <f>IFERROR(__xludf.DUMMYFUNCTION("""COMPUTED_VALUE"""),"雑菌・真菌によるおりもの異常の治療費は、約400円（税込）が目安です。
※上記はあくまで目安の料金です。別途、初診料・再診料がかかります。
※診察内容や検査項目によって料金は変動いたします。正確な料金はチャットやお電話ではお答えできかねますので、ご了承ください。
")</f>
        <v>雑菌・真菌によるおりもの異常の治療費は、約400円（税込）が目安です。
※上記はあくまで目安の料金です。別途、初診料・再診料がかかります。
※診察内容や検査項目によって料金は変動いたします。正確な料金はチャットやお電話ではお答えできかねますので、ご了承ください。
</v>
      </c>
      <c r="C391" s="31" t="str">
        <f>IFERROR(__xludf.DUMMYFUNCTION("""COMPUTED_VALUE"""),"料金・保険")</f>
        <v>料金・保険</v>
      </c>
      <c r="D391" s="31" t="str">
        <f>IFERROR(__xludf.DUMMYFUNCTION("""COMPUTED_VALUE"""),"おりもの異常,治療費用,膣炎治療")</f>
        <v>おりもの異常,治療費用,膣炎治療</v>
      </c>
      <c r="E391" s="32" t="str">
        <f>IFERROR(__xludf.DUMMYFUNCTION("""COMPUTED_VALUE"""),"https://luna-dr.com/subjects/abnormal-vaginal-discharge/")</f>
        <v>https://luna-dr.com/subjects/abnormal-vaginal-discharge/</v>
      </c>
    </row>
    <row r="392">
      <c r="A392" s="31" t="str">
        <f>IFERROR(__xludf.DUMMYFUNCTION("""COMPUTED_VALUE"""),"おりもの異常で性病検査をする場合、費用はいくらですか？")</f>
        <v>おりもの異常で性病検査をする場合、費用はいくらですか？</v>
      </c>
      <c r="B392" s="31" t="str">
        <f>IFERROR(__xludf.DUMMYFUNCTION("""COMPUTED_VALUE"""),"おりもの異常に関連する性病検査は、約1,500円（税込）が目安です。検査内容により費用は前後します。
※上記はあくまで目安の料金です。別途、初診料・再診料がかかります。
※診察内容や検査項目によって料金は変動いたします。正確な料金はチャットやお電話ではお答えできかねますので、ご了承ください。
")</f>
        <v>おりもの異常に関連する性病検査は、約1,500円（税込）が目安です。検査内容により費用は前後します。
※上記はあくまで目安の料金です。別途、初診料・再診料がかかります。
※診察内容や検査項目によって料金は変動いたします。正確な料金はチャットやお電話ではお答えできかねますので、ご了承ください。
</v>
      </c>
      <c r="C392" s="31" t="str">
        <f>IFERROR(__xludf.DUMMYFUNCTION("""COMPUTED_VALUE"""),"料金・保険")</f>
        <v>料金・保険</v>
      </c>
      <c r="D392" s="31" t="str">
        <f>IFERROR(__xludf.DUMMYFUNCTION("""COMPUTED_VALUE"""),"おりもの異常,性病検査,STD検査")</f>
        <v>おりもの異常,性病検査,STD検査</v>
      </c>
      <c r="E392" s="32" t="str">
        <f>IFERROR(__xludf.DUMMYFUNCTION("""COMPUTED_VALUE"""),"https://luna-dr.com/subjects/abnormal-vaginal-discharge/")</f>
        <v>https://luna-dr.com/subjects/abnormal-vaginal-discharge/</v>
      </c>
    </row>
    <row r="393">
      <c r="A393" s="31" t="str">
        <f>IFERROR(__xludf.DUMMYFUNCTION("""COMPUTED_VALUE"""),"おりもの検査は診察前に正確な料金を電話で教えてもらえますか？")</f>
        <v>おりもの検査は診察前に正確な料金を電話で教えてもらえますか？</v>
      </c>
      <c r="B393" s="31" t="str">
        <f>IFERROR(__xludf.DUMMYFUNCTION("""COMPUTED_VALUE"""),"診察内容や検査項目によって料金が変動するため、正確な料金はチャットやお電話ではお答えできません。ご了承ください。")</f>
        <v>診察内容や検査項目によって料金が変動するため、正確な料金はチャットやお電話ではお答えできません。ご了承ください。</v>
      </c>
      <c r="C393" s="31" t="str">
        <f>IFERROR(__xludf.DUMMYFUNCTION("""COMPUTED_VALUE"""),"料金・保険")</f>
        <v>料金・保険</v>
      </c>
      <c r="D393" s="31" t="str">
        <f>IFERROR(__xludf.DUMMYFUNCTION("""COMPUTED_VALUE"""),"おりもの異常,料金,問い合わせ")</f>
        <v>おりもの異常,料金,問い合わせ</v>
      </c>
      <c r="E393" s="32" t="str">
        <f>IFERROR(__xludf.DUMMYFUNCTION("""COMPUTED_VALUE"""),"https://luna-dr.com/subjects/abnormal-vaginal-discharge/")</f>
        <v>https://luna-dr.com/subjects/abnormal-vaginal-discharge/</v>
      </c>
    </row>
    <row r="394">
      <c r="A394" s="31" t="str">
        <f>IFERROR(__xludf.DUMMYFUNCTION("""COMPUTED_VALUE"""),"FemCHECKは何回使えますか？")</f>
        <v>FemCHECKは何回使えますか？</v>
      </c>
      <c r="B394" s="31" t="str">
        <f>IFERROR(__xludf.DUMMYFUNCTION("""COMPUTED_VALUE"""),"FemCHECKは1回の検査ごとに購入して使用します。")</f>
        <v>FemCHECKは1回の検査ごとに購入して使用します。</v>
      </c>
      <c r="C394" s="31" t="str">
        <f>IFERROR(__xludf.DUMMYFUNCTION("""COMPUTED_VALUE"""),"おりもの検査")</f>
        <v>おりもの検査</v>
      </c>
      <c r="D394" s="31" t="str">
        <f>IFERROR(__xludf.DUMMYFUNCTION("""COMPUTED_VALUE"""),"FemCHECK,郵送検査,回数")</f>
        <v>FemCHECK,郵送検査,回数</v>
      </c>
      <c r="E394" s="32" t="str">
        <f>IFERROR(__xludf.DUMMYFUNCTION("""COMPUTED_VALUE"""),"https://luna-dr.com/subjects/abnormal-vaginal-discharge/")</f>
        <v>https://luna-dr.com/subjects/abnormal-vaginal-discharge/</v>
      </c>
    </row>
    <row r="395">
      <c r="A395" s="31" t="str">
        <f>IFERROR(__xludf.DUMMYFUNCTION("""COMPUTED_VALUE"""),"おりもの治療が終わった後はどうしますか？")</f>
        <v>おりもの治療が終わった後はどうしますか？</v>
      </c>
      <c r="B395" s="31" t="str">
        <f>IFERROR(__xludf.DUMMYFUNCTION("""COMPUTED_VALUE"""),"症状が改善しない場合や再発時は再度受診が必要です。")</f>
        <v>症状が改善しない場合や再発時は再度受診が必要です。</v>
      </c>
      <c r="C395" s="31" t="str">
        <f>IFERROR(__xludf.DUMMYFUNCTION("""COMPUTED_VALUE"""),"おりもの検査")</f>
        <v>おりもの検査</v>
      </c>
      <c r="D395" s="31" t="str">
        <f>IFERROR(__xludf.DUMMYFUNCTION("""COMPUTED_VALUE"""),"おりもの異常,再診")</f>
        <v>おりもの異常,再診</v>
      </c>
      <c r="E395" s="32" t="str">
        <f>IFERROR(__xludf.DUMMYFUNCTION("""COMPUTED_VALUE"""),"https://luna-dr.com/subjects/abnormal-vaginal-discharge/")</f>
        <v>https://luna-dr.com/subjects/abnormal-vaginal-discharge/</v>
      </c>
    </row>
    <row r="396">
      <c r="A396" s="31" t="str">
        <f>IFERROR(__xludf.DUMMYFUNCTION("""COMPUTED_VALUE"""),"おりもの異常の予約はどうすればいいですか？")</f>
        <v>おりもの異常の予約はどうすればいいですか？</v>
      </c>
      <c r="B396" s="31" t="str">
        <f>IFERROR(__xludf.DUMMYFUNCTION("""COMPUTED_VALUE"""),"おりもの異常のご相談は公式LINEからご予約いただけます。「一般婦人科診療」のメニューでご予約ください。事前にWEB問診票に症状のご入力をお願いいたします。→https://cline-app.com/qr-codes/98ad6f149bfa20f4f2a9a2e91aac4187/preview
「病院に行くのは少し勇気がいる」「忙しくてすぐには行けない」という方には、ご自宅で簡単に性感染症の検査ができる自己採取キット「FemCHECK（フェムチェック）」という方法もございます。詳細はこちら→htt"&amp;"ps://luna-dr.com/femcheck/?utm_source=lunamedia&amp;utm_medium=banner&amp;utm_campaign=femcheck_article_hpseo")</f>
        <v>おりもの異常のご相談は公式LINEからご予約いただけます。「一般婦人科診療」のメニューでご予約ください。事前にWEB問診票に症状のご入力をお願いいたします。→https://cline-app.com/qr-codes/98ad6f149bfa20f4f2a9a2e91aac4187/preview
「病院に行くのは少し勇気がいる」「忙しくてすぐには行けない」という方には、ご自宅で簡単に性感染症の検査ができる自己採取キット「FemCHECK（フェムチェック）」という方法もございます。詳細はこちら→https://luna-dr.com/femcheck/?utm_source=lunamedia&amp;utm_medium=banner&amp;utm_campaign=femcheck_article_hpseo</v>
      </c>
      <c r="C396" s="31" t="str">
        <f>IFERROR(__xludf.DUMMYFUNCTION("""COMPUTED_VALUE"""),"おりもの検査")</f>
        <v>おりもの検査</v>
      </c>
      <c r="D396" s="31" t="str">
        <f>IFERROR(__xludf.DUMMYFUNCTION("""COMPUTED_VALUE"""),"おりもの異常,予約,LINE予約")</f>
        <v>おりもの異常,予約,LINE予約</v>
      </c>
      <c r="E396" s="32" t="str">
        <f>IFERROR(__xludf.DUMMYFUNCTION("""COMPUTED_VALUE"""),"https://luna-dr.com/subjects/abnormal-vaginal-discharge/")</f>
        <v>https://luna-dr.com/subjects/abnormal-vaginal-discharge/</v>
      </c>
    </row>
    <row r="397">
      <c r="A397" s="31" t="str">
        <f>IFERROR(__xludf.DUMMYFUNCTION("""COMPUTED_VALUE"""),"アフターピルはLINEから予約できますか？")</f>
        <v>アフターピルはLINEから予約できますか？</v>
      </c>
      <c r="B397" s="31" t="str">
        <f>IFERROR(__xludf.DUMMYFUNCTION("""COMPUTED_VALUE"""),"ルナレディースクリニックでは、公式LINEからおりもの異常の検査の診察予約が可能です。24時間いつでもご自身のタイミングで予約できます。
予約の際は、こちらのLINEをご利用ください→https://cline-app.com/qr-codes/98ad6f149bfa20f4f2a9a2e91aac4187/preview")</f>
        <v>ルナレディースクリニックでは、公式LINEからおりもの異常の検査の診察予約が可能です。24時間いつでもご自身のタイミングで予約できます。
予約の際は、こちらのLINEをご利用ください→https://cline-app.com/qr-codes/98ad6f149bfa20f4f2a9a2e91aac4187/preview</v>
      </c>
      <c r="C397" s="31" t="str">
        <f>IFERROR(__xludf.DUMMYFUNCTION("""COMPUTED_VALUE"""),"アフターピル")</f>
        <v>アフターピル</v>
      </c>
      <c r="D397" s="31" t="str">
        <f>IFERROR(__xludf.DUMMYFUNCTION("""COMPUTED_VALUE"""),"LINE予約,婦人科予約,アフターピル")</f>
        <v>LINE予約,婦人科予約,アフターピル</v>
      </c>
      <c r="E397" s="32" t="str">
        <f>IFERROR(__xludf.DUMMYFUNCTION("""COMPUTED_VALUE"""),"https://luna-dr.com/subjects/abnormal-vaginal-discharge/")</f>
        <v>https://luna-dr.com/subjects/abnormal-vaginal-discharge/</v>
      </c>
    </row>
    <row r="398">
      <c r="A398" s="31" t="str">
        <f>IFERROR(__xludf.DUMMYFUNCTION("""COMPUTED_VALUE"""),"おりもの検査は電話で予約できますか？")</f>
        <v>おりもの検査は電話で予約できますか？</v>
      </c>
      <c r="B398" s="31" t="str">
        <f>IFERROR(__xludf.DUMMYFUNCTION("""COMPUTED_VALUE"""),"LINEでの予約後、事前問診等もLINEから行うことができ、スムーズに受診ができるため、当院ではLINEでのご予約を推奨しております。
おりもの検査の予約は「一般婦人科診療」のメニューでご予約ください。事前にWEB問診票に症状のご入力をお願いいたします。→https://cline-app.com/qr-codes/98ad6f149bfa20f4f2a9a2e91aac4187/preview
「病院に行くのは少し勇気がいる」「忙しくてすぐには行けない」という方には、ご自宅で簡単に性感染症の検査ができ"&amp;"る自己採取キット「FemCHECK（フェムチェック）」という方法もございます。詳細はこちら→https://luna-dr.com/femcheck/?utm_source=lunamedia&amp;utm_medium=banner&amp;utm_campaign=femcheck_article_hpseo")</f>
        <v>LINEでの予約後、事前問診等もLINEから行うことができ、スムーズに受診ができるため、当院ではLINEでのご予約を推奨しております。
おりもの検査の予約は「一般婦人科診療」のメニューでご予約ください。事前にWEB問診票に症状のご入力をお願いいたします。→https://cline-app.com/qr-codes/98ad6f149bfa20f4f2a9a2e91aac4187/preview
「病院に行くのは少し勇気がいる」「忙しくてすぐには行けない」という方には、ご自宅で簡単に性感染症の検査ができる自己採取キット「FemCHECK（フェムチェック）」という方法もございます。詳細はこちら→https://luna-dr.com/femcheck/?utm_source=lunamedia&amp;utm_medium=banner&amp;utm_campaign=femcheck_article_hpseo</v>
      </c>
      <c r="C398" s="31" t="str">
        <f>IFERROR(__xludf.DUMMYFUNCTION("""COMPUTED_VALUE"""),"おりもの検査")</f>
        <v>おりもの検査</v>
      </c>
      <c r="D398" s="31" t="str">
        <f>IFERROR(__xludf.DUMMYFUNCTION("""COMPUTED_VALUE"""),"おりもの異常,電話予約")</f>
        <v>おりもの異常,電話予約</v>
      </c>
      <c r="E398" s="32" t="str">
        <f>IFERROR(__xludf.DUMMYFUNCTION("""COMPUTED_VALUE"""),"https://luna-dr.com/subjects/abnormal-vaginal-discharge/")</f>
        <v>https://luna-dr.com/subjects/abnormal-vaginal-discharge/</v>
      </c>
    </row>
    <row r="399">
      <c r="A399" s="31" t="str">
        <f>IFERROR(__xludf.DUMMYFUNCTION("""COMPUTED_VALUE"""),"おりもの検査はWEB問診は必要ですか？")</f>
        <v>おりもの検査はWEB問診は必要ですか？</v>
      </c>
      <c r="B399" s="31" t="str">
        <f>IFERROR(__xludf.DUMMYFUNCTION("""COMPUTED_VALUE"""),"来院治療の場合、WEB問診に事前にご協力いただくことで、受付でデリケートな内容を話す必要がなく、プライバシーを守りながら診察までスムーズに進めます。")</f>
        <v>来院治療の場合、WEB問診に事前にご協力いただくことで、受付でデリケートな内容を話す必要がなく、プライバシーを守りながら診察までスムーズに進めます。</v>
      </c>
      <c r="C399" s="31" t="str">
        <f>IFERROR(__xludf.DUMMYFUNCTION("""COMPUTED_VALUE"""),"おりもの検査")</f>
        <v>おりもの検査</v>
      </c>
      <c r="D399" s="31" t="str">
        <f>IFERROR(__xludf.DUMMYFUNCTION("""COMPUTED_VALUE"""),"おりもの異常,WEB問診")</f>
        <v>おりもの異常,WEB問診</v>
      </c>
      <c r="E399" s="32" t="str">
        <f>IFERROR(__xludf.DUMMYFUNCTION("""COMPUTED_VALUE"""),"https://luna-dr.com/subjects/abnormal-vaginal-discharge/")</f>
        <v>https://luna-dr.com/subjects/abnormal-vaginal-discharge/</v>
      </c>
    </row>
    <row r="400">
      <c r="A400" s="31" t="str">
        <f>IFERROR(__xludf.DUMMYFUNCTION("""COMPUTED_VALUE"""),"おりもの検査は予約なしでも相談できますか？")</f>
        <v>おりもの検査は予約なしでも相談できますか？</v>
      </c>
      <c r="B400" s="31" t="str">
        <f>IFERROR(__xludf.DUMMYFUNCTION("""COMPUTED_VALUE"""),"来院治療の場合、予約外来院も可能です。スムーズなご案内のため、事前予約をおすすめしています。")</f>
        <v>来院治療の場合、予約外来院も可能です。スムーズなご案内のため、事前予約をおすすめしています。</v>
      </c>
      <c r="C400" s="31" t="str">
        <f>IFERROR(__xludf.DUMMYFUNCTION("""COMPUTED_VALUE"""),"おりもの検査")</f>
        <v>おりもの検査</v>
      </c>
      <c r="D400" s="31" t="str">
        <f>IFERROR(__xludf.DUMMYFUNCTION("""COMPUTED_VALUE"""),"予約なし,受診,アおりもの異常")</f>
        <v>予約なし,受診,アおりもの異常</v>
      </c>
      <c r="E400" s="32" t="str">
        <f>IFERROR(__xludf.DUMMYFUNCTION("""COMPUTED_VALUE"""),"https://luna-dr.com/subjects/abnormal-vaginal-discharge/")</f>
        <v>https://luna-dr.com/subjects/abnormal-vaginal-discharge/</v>
      </c>
    </row>
    <row r="401">
      <c r="A401" s="31" t="str">
        <f>IFERROR(__xludf.DUMMYFUNCTION("""COMPUTED_VALUE"""),"おりもの異常の検査の予約前に準備しておくことはありますか？")</f>
        <v>おりもの異常の検査の予約前に準備しておくことはありますか？</v>
      </c>
      <c r="B401" s="31" t="str">
        <f>IFERROR(__xludf.DUMMYFUNCTION("""COMPUTED_VALUE"""),"ルナレディースクリニックでは、おりもの異常の検査の診察前にWEB問診の入力をお願いしています。最終月経日や性行為の日時などを事前に入力することで、診察がスムーズになります。みます。")</f>
        <v>ルナレディースクリニックでは、おりもの異常の検査の診察前にWEB問診の入力をお願いしています。最終月経日や性行為の日時などを事前に入力することで、診察がスムーズになります。みます。</v>
      </c>
      <c r="C401" s="31" t="str">
        <f>IFERROR(__xludf.DUMMYFUNCTION("""COMPUTED_VALUE"""),"おりもの異常の検査")</f>
        <v>おりもの異常の検査</v>
      </c>
      <c r="D401" s="31" t="str">
        <f>IFERROR(__xludf.DUMMYFUNCTION("""COMPUTED_VALUE"""),"WEB問診,事前準備,おりもの異常の検査")</f>
        <v>WEB問診,事前準備,おりもの異常の検査</v>
      </c>
      <c r="E401" s="32" t="str">
        <f>IFERROR(__xludf.DUMMYFUNCTION("""COMPUTED_VALUE"""),"https://luna-dr.com/subjects/abnormal-vaginal-discharge/")</f>
        <v>https://luna-dr.com/subjects/abnormal-vaginal-discharge/</v>
      </c>
    </row>
    <row r="402">
      <c r="A402" s="31" t="str">
        <f>IFERROR(__xludf.DUMMYFUNCTION("""COMPUTED_VALUE"""),"おりもの異常の検査は初診でも予約できますか？")</f>
        <v>おりもの異常の検査は初診でも予約できますか？</v>
      </c>
      <c r="B402" s="31" t="str">
        <f>IFERROR(__xludf.DUMMYFUNCTION("""COMPUTED_VALUE"""),"おりもの異常の検査は初診の方もご予約いただけます。ご予約は公式LINEから受け付けておりますので、友だち追加の上ご利用ください。
おりもの検査の予約は「一般婦人科診療」のメニューでご予約ください。事前にWEB問診票に症状のご入力をお願いいたします。→https://cline-app.com/qr-codes/98ad6f149bfa20f4f2a9a2e91aac4187/preview
「病院に行くのは少し勇気がいる」「忙しくてすぐには行けない」という方には、ご自宅で簡単に性感染症の検査ができる自"&amp;"己採取キット「FemCHECK（フェムチェック）」という方法もございます。詳細はこちら→https://luna-dr.com/femcheck/?utm_source=lunamedia&amp;utm_medium=banner&amp;utm_campaign=femcheck_article_hpseo")</f>
        <v>おりもの異常の検査は初診の方もご予約いただけます。ご予約は公式LINEから受け付けておりますので、友だち追加の上ご利用ください。
おりもの検査の予約は「一般婦人科診療」のメニューでご予約ください。事前にWEB問診票に症状のご入力をお願いいたします。→https://cline-app.com/qr-codes/98ad6f149bfa20f4f2a9a2e91aac4187/preview
「病院に行くのは少し勇気がいる」「忙しくてすぐには行けない」という方には、ご自宅で簡単に性感染症の検査ができる自己採取キット「FemCHECK（フェムチェック）」という方法もございます。詳細はこちら→https://luna-dr.com/femcheck/?utm_source=lunamedia&amp;utm_medium=banner&amp;utm_campaign=femcheck_article_hpseo</v>
      </c>
      <c r="C402" s="31" t="str">
        <f>IFERROR(__xludf.DUMMYFUNCTION("""COMPUTED_VALUE"""),"おりもの異常の検査")</f>
        <v>おりもの異常の検査</v>
      </c>
      <c r="D402" s="31" t="str">
        <f>IFERROR(__xludf.DUMMYFUNCTION("""COMPUTED_VALUE"""),"初診,予約,おりもの異常の検査")</f>
        <v>初診,予約,おりもの異常の検査</v>
      </c>
      <c r="E402" s="32" t="str">
        <f>IFERROR(__xludf.DUMMYFUNCTION("""COMPUTED_VALUE"""),"https://luna-dr.com/subjects/abnormal-vaginal-discharge/")</f>
        <v>https://luna-dr.com/subjects/abnormal-vaginal-discharge/</v>
      </c>
    </row>
    <row r="403">
      <c r="A403" s="31" t="str">
        <f>IFERROR(__xludf.DUMMYFUNCTION("""COMPUTED_VALUE"""),"おりもの異常の検査は来院とオンライン、どちらで予約できますか？")</f>
        <v>おりもの異常の検査は来院とオンライン、どちらで予約できますか？</v>
      </c>
      <c r="B403" s="31" t="str">
        <f>IFERROR(__xludf.DUMMYFUNCTION("""COMPUTED_VALUE"""),"おりもの異常の検査のご相談は来院診療とオンライン診療のどちらでも予約が可能です。ご自身のライフスタイルに合わせて選べます。
おりもの検査の予約は「一般婦人科診療」のメニューでご予約ください。事前にWEB問診票に症状のご入力をお願いいたします。→https://cline-app.com/qr-codes/98ad6f149bfa20f4f2a9a2e91aac4187/preview
「病院に行くのは少し勇気がいる」「忙しくてすぐには行けない」という方には、ご自宅で簡単に性感染症の検査ができる自己採取"&amp;"キット「FemCHECK（フェムチェック）」という方法もございます。詳細はこちら→https://luna-dr.com/femcheck/?utm_source=lunamedia&amp;utm_medium=banner&amp;utm_campaign=femcheck_article_hpseo")</f>
        <v>おりもの異常の検査のご相談は来院診療とオンライン診療のどちらでも予約が可能です。ご自身のライフスタイルに合わせて選べます。
おりもの検査の予約は「一般婦人科診療」のメニューでご予約ください。事前にWEB問診票に症状のご入力をお願いいたします。→https://cline-app.com/qr-codes/98ad6f149bfa20f4f2a9a2e91aac4187/preview
「病院に行くのは少し勇気がいる」「忙しくてすぐには行けない」という方には、ご自宅で簡単に性感染症の検査ができる自己採取キット「FemCHECK（フェムチェック）」という方法もございます。詳細はこちら→https://luna-dr.com/femcheck/?utm_source=lunamedia&amp;utm_medium=banner&amp;utm_campaign=femcheck_article_hpseo</v>
      </c>
      <c r="C403" s="31" t="str">
        <f>IFERROR(__xludf.DUMMYFUNCTION("""COMPUTED_VALUE"""),"おりもの異常の検査")</f>
        <v>おりもの異常の検査</v>
      </c>
      <c r="D403" s="31" t="str">
        <f>IFERROR(__xludf.DUMMYFUNCTION("""COMPUTED_VALUE"""),"来院診療,オンライン診療,おりもの異常の検査")</f>
        <v>来院診療,オンライン診療,おりもの異常の検査</v>
      </c>
      <c r="E403" s="32" t="str">
        <f>IFERROR(__xludf.DUMMYFUNCTION("""COMPUTED_VALUE"""),"https://luna-dr.com/subjects/abnormal-vaginal-discharge/")</f>
        <v>https://luna-dr.com/subjects/abnormal-vaginal-discharge/</v>
      </c>
    </row>
    <row r="404">
      <c r="A404" s="31" t="str">
        <f>IFERROR(__xludf.DUMMYFUNCTION("""COMPUTED_VALUE"""),"不正出血とは何ですか？")</f>
        <v>不正出血とは何ですか？</v>
      </c>
      <c r="B404" s="31" t="str">
        <f>IFERROR(__xludf.DUMMYFUNCTION("""COMPUTED_VALUE"""),"不正出血とは、生理期間以外に起こる出血や、おりものに血が混じる状態を指します。一時的なホルモンバランスの乱れによるものから、治療が必要な病気が原因の場合まで、さまざまな可能性があります。下腹部の痛みや出血がある場合、症状の内容によって受診可否やご案内が異なります。個別の確認が必要となるため、恐れ入りますがお電話にてご相談ください。お電話は 050-1730-2768 となります。")</f>
        <v>不正出血とは、生理期間以外に起こる出血や、おりものに血が混じる状態を指します。一時的なホルモンバランスの乱れによるものから、治療が必要な病気が原因の場合まで、さまざまな可能性があります。下腹部の痛みや出血がある場合、症状の内容によって受診可否やご案内が異なります。個別の確認が必要となるため、恐れ入りますがお電話にてご相談ください。お電話は 050-1730-2768 となります。</v>
      </c>
      <c r="C404" s="31" t="str">
        <f>IFERROR(__xludf.DUMMYFUNCTION("""COMPUTED_VALUE"""),"不正出血・概要")</f>
        <v>不正出血・概要</v>
      </c>
      <c r="D404" s="31" t="str">
        <f>IFERROR(__xludf.DUMMYFUNCTION("""COMPUTED_VALUE"""),"不正出血,生理以外の出血,おりもの血,婦人科")</f>
        <v>不正出血,生理以外の出血,おりもの血,婦人科</v>
      </c>
      <c r="E404" s="32" t="str">
        <f>IFERROR(__xludf.DUMMYFUNCTION("""COMPUTED_VALUE"""),"https://luna-dr.com/subjects/irregular-genital-bleeding/")</f>
        <v>https://luna-dr.com/subjects/irregular-genital-bleeding/</v>
      </c>
    </row>
    <row r="405">
      <c r="A405" s="31" t="str">
        <f>IFERROR(__xludf.DUMMYFUNCTION("""COMPUTED_VALUE"""),"不正出血はどんな悩みのときに起こりますか？")</f>
        <v>不正出血はどんな悩みのときに起こりますか？</v>
      </c>
      <c r="B405" s="31" t="str">
        <f>IFERROR(__xludf.DUMMYFUNCTION("""COMPUTED_VALUE"""),"「生理でもないのに出血がある」「おりものに血が混じる」といった症状が見られる場合に、不正出血が疑われます。ルナレディースクリニックでは、出血の原因を的確に診断し、最適な治療をご提案します。")</f>
        <v>「生理でもないのに出血がある」「おりものに血が混じる」といった症状が見られる場合に、不正出血が疑われます。ルナレディースクリニックでは、出血の原因を的確に診断し、最適な治療をご提案します。</v>
      </c>
      <c r="C405" s="31" t="str">
        <f>IFERROR(__xludf.DUMMYFUNCTION("""COMPUTED_VALUE"""),"不正出血・概要")</f>
        <v>不正出血・概要</v>
      </c>
      <c r="D405" s="31" t="str">
        <f>IFERROR(__xludf.DUMMYFUNCTION("""COMPUTED_VALUE"""),"不正出血,生理じゃない出血,おりもの血")</f>
        <v>不正出血,生理じゃない出血,おりもの血</v>
      </c>
      <c r="E405" s="32" t="str">
        <f>IFERROR(__xludf.DUMMYFUNCTION("""COMPUTED_VALUE"""),"https://luna-dr.com/subjects/irregular-genital-bleeding/")</f>
        <v>https://luna-dr.com/subjects/irregular-genital-bleeding/</v>
      </c>
    </row>
    <row r="406">
      <c r="A406" s="31" t="str">
        <f>IFERROR(__xludf.DUMMYFUNCTION("""COMPUTED_VALUE"""),"不正出血の原因にはどんなものがありますか？")</f>
        <v>不正出血の原因にはどんなものがありますか？</v>
      </c>
      <c r="B406" s="31" t="str">
        <f>IFERROR(__xludf.DUMMYFUNCTION("""COMPUTED_VALUE"""),"不正出血は、ホルモンバランスの乱れによる一時的なものから、治療が必要な病気が原因の場合まで、さまざまな原因が考えられます。ルナレディースクリニックでは、出血の原因を的確に診断し、最適な治療をご提案します。
")</f>
        <v>不正出血は、ホルモンバランスの乱れによる一時的なものから、治療が必要な病気が原因の場合まで、さまざまな原因が考えられます。ルナレディースクリニックでは、出血の原因を的確に診断し、最適な治療をご提案します。
</v>
      </c>
      <c r="C406" s="31" t="str">
        <f>IFERROR(__xludf.DUMMYFUNCTION("""COMPUTED_VALUE"""),"不正出血・原因")</f>
        <v>不正出血・原因</v>
      </c>
      <c r="D406" s="31" t="str">
        <f>IFERROR(__xludf.DUMMYFUNCTION("""COMPUTED_VALUE"""),"不正出血,原因,ホルモンバランス")</f>
        <v>不正出血,原因,ホルモンバランス</v>
      </c>
      <c r="E406" s="32" t="str">
        <f>IFERROR(__xludf.DUMMYFUNCTION("""COMPUTED_VALUE"""),"https://luna-dr.com/subjects/irregular-genital-bleeding/")</f>
        <v>https://luna-dr.com/subjects/irregular-genital-bleeding/</v>
      </c>
    </row>
    <row r="407">
      <c r="A407" s="31" t="str">
        <f>IFERROR(__xludf.DUMMYFUNCTION("""COMPUTED_VALUE"""),"不正出血は重大な病気のサインのこともありますか？")</f>
        <v>不正出血は重大な病気のサインのこともありますか？</v>
      </c>
      <c r="B407" s="31" t="str">
        <f>IFERROR(__xludf.DUMMYFUNCTION("""COMPUTED_VALUE"""),"あります。不正出血は、子宮頸がんや子宮体がんといった重大な病気の、唯一の初期症状であるケースも少なくありません。ルナレディースクリニックでは、出血の原因を的確に診断し、最適な治療をご提案します。")</f>
        <v>あります。不正出血は、子宮頸がんや子宮体がんといった重大な病気の、唯一の初期症状であるケースも少なくありません。ルナレディースクリニックでは、出血の原因を的確に診断し、最適な治療をご提案します。</v>
      </c>
      <c r="C407" s="31" t="str">
        <f>IFERROR(__xludf.DUMMYFUNCTION("""COMPUTED_VALUE"""),"不正出血・リスク")</f>
        <v>不正出血・リスク</v>
      </c>
      <c r="D407" s="31" t="str">
        <f>IFERROR(__xludf.DUMMYFUNCTION("""COMPUTED_VALUE"""),"不正出血,子宮頸がん,子宮体がん,初期症状")</f>
        <v>不正出血,子宮頸がん,子宮体がん,初期症状</v>
      </c>
      <c r="E407" s="32" t="str">
        <f>IFERROR(__xludf.DUMMYFUNCTION("""COMPUTED_VALUE"""),"https://luna-dr.com/subjects/irregular-genital-bleeding/")</f>
        <v>https://luna-dr.com/subjects/irregular-genital-bleeding/</v>
      </c>
    </row>
    <row r="408">
      <c r="A408" s="31" t="str">
        <f>IFERROR(__xludf.DUMMYFUNCTION("""COMPUTED_VALUE"""),"不正出血は放置しても大丈夫ですか？")</f>
        <v>不正出血は放置しても大丈夫ですか？</v>
      </c>
      <c r="B408" s="31" t="str">
        <f>IFERROR(__xludf.DUMMYFUNCTION("""COMPUTED_VALUE"""),"不正出血は、自己判断で「大丈夫だろう」と放置せず、必ず専門医に相談することが大切です。早期に原因を確認することが、体を守るために重要です。ルナレディースクリニックでは、出血の原因を的確に診断し、最適な治療をご提案します。")</f>
        <v>不正出血は、自己判断で「大丈夫だろう」と放置せず、必ず専門医に相談することが大切です。早期に原因を確認することが、体を守るために重要です。ルナレディースクリニックでは、出血の原因を的確に診断し、最適な治療をご提案します。</v>
      </c>
      <c r="C408" s="31" t="str">
        <f>IFERROR(__xludf.DUMMYFUNCTION("""COMPUTED_VALUE"""),"不正出血・注意点")</f>
        <v>不正出血・注意点</v>
      </c>
      <c r="D408" s="31" t="str">
        <f>IFERROR(__xludf.DUMMYFUNCTION("""COMPUTED_VALUE"""),"不正出血,放置,婦人科受診")</f>
        <v>不正出血,放置,婦人科受診</v>
      </c>
      <c r="E408" s="32" t="str">
        <f>IFERROR(__xludf.DUMMYFUNCTION("""COMPUTED_VALUE"""),"https://luna-dr.com/subjects/irregular-genital-bleeding/")</f>
        <v>https://luna-dr.com/subjects/irregular-genital-bleeding/</v>
      </c>
    </row>
    <row r="409">
      <c r="A409" s="31" t="str">
        <f>IFERROR(__xludf.DUMMYFUNCTION("""COMPUTED_VALUE"""),"不正出血で、すぐに受診したほうがいいのはどんな場合ですか？/血が出ているのですが大丈夫ですか？/出血しているのですが受診できますか？/血が出ていても行っていいですか？")</f>
        <v>不正出血で、すぐに受診したほうがいいのはどんな場合ですか？/血が出ているのですが大丈夫ですか？/出血しているのですが受診できますか？/血が出ていても行っていいですか？</v>
      </c>
      <c r="B409" s="31" t="str">
        <f>IFERROR(__xludf.DUMMYFUNCTION("""COMPUTED_VALUE"""),"生理期間以外に出血が続く場合、性交渉の後に必ず出血する場合、閉経後の出血、血の塊が出る、出血量が増えている、鮮血が出る、下腹部痛や発熱を伴う場合は、放置せずにご相談ください。ルナレディースクリニックでは、出血の原因を的確に診断し、最適な治療をご提案します。ご予約は公式LINEで受け付けています。「一般婦人科診療」のメニューでご予約ください。事前にWEB問診票に症状のご入力をお願いいたします。→https://cline-app.com/qr-codes/98ad6f149bfa20f4f2a9a2e91a"&amp;"ac4187/preview
")</f>
        <v>生理期間以外に出血が続く場合、性交渉の後に必ず出血する場合、閉経後の出血、血の塊が出る、出血量が増えている、鮮血が出る、下腹部痛や発熱を伴う場合は、放置せずにご相談ください。ルナレディースクリニックでは、出血の原因を的確に診断し、最適な治療をご提案します。ご予約は公式LINEで受け付けています。「一般婦人科診療」のメニューでご予約ください。事前にWEB問診票に症状のご入力をお願いいたします。→https://cline-app.com/qr-codes/98ad6f149bfa20f4f2a9a2e91aac4187/preview
</v>
      </c>
      <c r="C409" s="31" t="str">
        <f>IFERROR(__xludf.DUMMYFUNCTION("""COMPUTED_VALUE"""),"不正出血・受診目安")</f>
        <v>不正出血・受診目安</v>
      </c>
      <c r="D409" s="31" t="str">
        <f>IFERROR(__xludf.DUMMYFUNCTION("""COMPUTED_VALUE"""),"不正出血,受診目安,鮮血,血の塊")</f>
        <v>不正出血,受診目安,鮮血,血の塊</v>
      </c>
      <c r="E409" s="32" t="str">
        <f>IFERROR(__xludf.DUMMYFUNCTION("""COMPUTED_VALUE"""),"https://luna-dr.com/subjects/irregular-genital-bleeding/")</f>
        <v>https://luna-dr.com/subjects/irregular-genital-bleeding/</v>
      </c>
    </row>
    <row r="410">
      <c r="A410" s="31" t="str">
        <f>IFERROR(__xludf.DUMMYFUNCTION("""COMPUTED_VALUE"""),"性交後に出血がある場合も受診が必要ですか？/性交後に出血があった")</f>
        <v>性交後に出血がある場合も受診が必要ですか？/性交後に出血があった</v>
      </c>
      <c r="B410" s="31" t="str">
        <f>IFERROR(__xludf.DUMMYFUNCTION("""COMPUTED_VALUE"""),"性交渉の後に必ず出血がある場合は、不正出血の可能性があるため、放置せずに専門医へ相談してください。下腹部の痛みや出血がある場合、症状の内容によって受診可否やご案内が異なります。個別の確認が必要となるため、恐れ入りますがお電話にてご相談ください。お電話は 050-1730-2768 となります。")</f>
        <v>性交渉の後に必ず出血がある場合は、不正出血の可能性があるため、放置せずに専門医へ相談してください。下腹部の痛みや出血がある場合、症状の内容によって受診可否やご案内が異なります。個別の確認が必要となるため、恐れ入りますがお電話にてご相談ください。お電話は 050-1730-2768 となります。</v>
      </c>
      <c r="C410" s="31" t="str">
        <f>IFERROR(__xludf.DUMMYFUNCTION("""COMPUTED_VALUE"""),"不正出血・受診目安")</f>
        <v>不正出血・受診目安</v>
      </c>
      <c r="D410" s="31" t="str">
        <f>IFERROR(__xludf.DUMMYFUNCTION("""COMPUTED_VALUE"""),"不正出血,性交後出血,婦人科")</f>
        <v>不正出血,性交後出血,婦人科</v>
      </c>
      <c r="E410" s="32" t="str">
        <f>IFERROR(__xludf.DUMMYFUNCTION("""COMPUTED_VALUE"""),"https://luna-dr.com/subjects/irregular-genital-bleeding/")</f>
        <v>https://luna-dr.com/subjects/irregular-genital-bleeding/</v>
      </c>
    </row>
    <row r="411">
      <c r="A411" s="31" t="str">
        <f>IFERROR(__xludf.DUMMYFUNCTION("""COMPUTED_VALUE"""),"閉経後の出血は問題ありますか？")</f>
        <v>閉経後の出血は問題ありますか？</v>
      </c>
      <c r="B411" s="31" t="str">
        <f>IFERROR(__xludf.DUMMYFUNCTION("""COMPUTED_VALUE"""),"閉経したはずなのに出血があった場合は、不正出血にあたり、重大な病気が隠れている可能性もあるため、必ず受診してください。ルナレディースクリニックでは、出血の原因を的確に診断し、最適な治療をご提案します。")</f>
        <v>閉経したはずなのに出血があった場合は、不正出血にあたり、重大な病気が隠れている可能性もあるため、必ず受診してください。ルナレディースクリニックでは、出血の原因を的確に診断し、最適な治療をご提案します。</v>
      </c>
      <c r="C411" s="31" t="str">
        <f>IFERROR(__xludf.DUMMYFUNCTION("""COMPUTED_VALUE"""),"不正出血・受診目安")</f>
        <v>不正出血・受診目安</v>
      </c>
      <c r="D411" s="31" t="str">
        <f>IFERROR(__xludf.DUMMYFUNCTION("""COMPUTED_VALUE"""),"不正出血,閉経後出血,婦人科")</f>
        <v>不正出血,閉経後出血,婦人科</v>
      </c>
      <c r="E411" s="32" t="str">
        <f>IFERROR(__xludf.DUMMYFUNCTION("""COMPUTED_VALUE"""),"https://luna-dr.com/subjects/irregular-genital-bleeding/")</f>
        <v>https://luna-dr.com/subjects/irregular-genital-bleeding/</v>
      </c>
    </row>
    <row r="412">
      <c r="A412" s="31" t="str">
        <f>IFERROR(__xludf.DUMMYFUNCTION("""COMPUTED_VALUE"""),"不正出血の診察では何をしてもらえますか？")</f>
        <v>不正出血の診察では何をしてもらえますか？</v>
      </c>
      <c r="B412" s="31" t="str">
        <f>IFERROR(__xludf.DUMMYFUNCTION("""COMPUTED_VALUE"""),"ルナレディースクリニックでは、不正出血の原因を的確に診断し、症状や原因に応じた最適な治療をご提案します。")</f>
        <v>ルナレディースクリニックでは、不正出血の原因を的確に診断し、症状や原因に応じた最適な治療をご提案します。</v>
      </c>
      <c r="C412" s="31" t="str">
        <f>IFERROR(__xludf.DUMMYFUNCTION("""COMPUTED_VALUE"""),"不正出血・診療内容")</f>
        <v>不正出血・診療内容</v>
      </c>
      <c r="D412" s="31" t="str">
        <f>IFERROR(__xludf.DUMMYFUNCTION("""COMPUTED_VALUE"""),"不正出血,診察,治療,婦人科")</f>
        <v>不正出血,診察,治療,婦人科</v>
      </c>
      <c r="E412" s="32" t="str">
        <f>IFERROR(__xludf.DUMMYFUNCTION("""COMPUTED_VALUE"""),"https://luna-dr.com/subjects/irregular-genital-bleeding/")</f>
        <v>https://luna-dr.com/subjects/irregular-genital-bleeding/</v>
      </c>
    </row>
    <row r="413">
      <c r="A413" s="31" t="str">
        <f>IFERROR(__xludf.DUMMYFUNCTION("""COMPUTED_VALUE"""),"不正出血の診察や検査は保険適用ですか？")</f>
        <v>不正出血の診察や検査は保険適用ですか？</v>
      </c>
      <c r="B413" s="31" t="str">
        <f>IFERROR(__xludf.DUMMYFUNCTION("""COMPUTED_VALUE"""),"当院では、不正出血の診察・検査について保険診療を基本としております。症状や検査内容に応じて、健康保険が適用されます。")</f>
        <v>当院では、不正出血の診察・検査について保険診療を基本としております。症状や検査内容に応じて、健康保険が適用されます。</v>
      </c>
      <c r="C413" s="31" t="str">
        <f>IFERROR(__xludf.DUMMYFUNCTION("""COMPUTED_VALUE"""),"不正出血・費用保険")</f>
        <v>不正出血・費用保険</v>
      </c>
      <c r="D413" s="31" t="str">
        <f>IFERROR(__xludf.DUMMYFUNCTION("""COMPUTED_VALUE"""),"不正出血,保険適用,婦人科検査")</f>
        <v>不正出血,保険適用,婦人科検査</v>
      </c>
      <c r="E413" s="32" t="str">
        <f>IFERROR(__xludf.DUMMYFUNCTION("""COMPUTED_VALUE"""),"https://luna-dr.com/subjects/irregular-genital-bleeding/")</f>
        <v>https://luna-dr.com/subjects/irregular-genital-bleeding/</v>
      </c>
    </row>
    <row r="414">
      <c r="A414" s="31" t="str">
        <f>IFERROR(__xludf.DUMMYFUNCTION("""COMPUTED_VALUE"""),"不正出血の検査費用はいくらくらいですか？")</f>
        <v>不正出血の検査費用はいくらくらいですか？</v>
      </c>
      <c r="B414" s="31" t="str">
        <f>IFERROR(__xludf.DUMMYFUNCTION("""COMPUTED_VALUE"""),"不正出血の検査費用は、3割負担の場合、子宮の超音波検査が約1,600円、子宮頸がん検査が約1,100円、子宮体がん検査が約2,100円、性病検査が約1,500円が目安です。
※※料金表はあくまで目安(3割負担の場合)となります。別途初診料・再診料がかかります。")</f>
        <v>不正出血の検査費用は、3割負担の場合、子宮の超音波検査が約1,600円、子宮頸がん検査が約1,100円、子宮体がん検査が約2,100円、性病検査が約1,500円が目安です。
※※料金表はあくまで目安(3割負担の場合)となります。別途初診料・再診料がかかります。</v>
      </c>
      <c r="C414" s="31" t="str">
        <f>IFERROR(__xludf.DUMMYFUNCTION("""COMPUTED_VALUE"""),"不正出血・費用保険")</f>
        <v>不正出血・費用保険</v>
      </c>
      <c r="D414" s="31" t="str">
        <f>IFERROR(__xludf.DUMMYFUNCTION("""COMPUTED_VALUE"""),"不正出血,検査費用,超音波検査,がん検査")</f>
        <v>不正出血,検査費用,超音波検査,がん検査</v>
      </c>
      <c r="E414" s="32" t="str">
        <f>IFERROR(__xludf.DUMMYFUNCTION("""COMPUTED_VALUE"""),"https://luna-dr.com/subjects/irregular-genital-bleeding/")</f>
        <v>https://luna-dr.com/subjects/irregular-genital-bleeding/</v>
      </c>
    </row>
    <row r="415">
      <c r="A415" s="31" t="str">
        <f>IFERROR(__xludf.DUMMYFUNCTION("""COMPUTED_VALUE"""),"不正出血の検査費用には初診料や再診料も含まれますか？")</f>
        <v>不正出血の検査費用には初診料や再診料も含まれますか？</v>
      </c>
      <c r="B415" s="31" t="str">
        <f>IFERROR(__xludf.DUMMYFUNCTION("""COMPUTED_VALUE"""),"検査費用はあくまで目安であり、別途初診料・再診料がかかります。")</f>
        <v>検査費用はあくまで目安であり、別途初診料・再診料がかかります。</v>
      </c>
      <c r="C415" s="31" t="str">
        <f>IFERROR(__xludf.DUMMYFUNCTION("""COMPUTED_VALUE"""),"不正出血・費用保険")</f>
        <v>不正出血・費用保険</v>
      </c>
      <c r="D415" s="31" t="str">
        <f>IFERROR(__xludf.DUMMYFUNCTION("""COMPUTED_VALUE"""),"不正出血,初診料,再診料,費用")</f>
        <v>不正出血,初診料,再診料,費用</v>
      </c>
      <c r="E415" s="32" t="str">
        <f>IFERROR(__xludf.DUMMYFUNCTION("""COMPUTED_VALUE"""),"https://luna-dr.com/subjects/irregular-genital-bleeding/")</f>
        <v>https://luna-dr.com/subjects/irregular-genital-bleeding/</v>
      </c>
    </row>
    <row r="416">
      <c r="A416" s="31" t="str">
        <f>IFERROR(__xludf.DUMMYFUNCTION("""COMPUTED_VALUE"""),"不正出血で行う子宮の超音波検査とは何ですか？")</f>
        <v>不正出血で行う子宮の超音波検査とは何ですか？</v>
      </c>
      <c r="B416" s="31" t="str">
        <f>IFERROR(__xludf.DUMMYFUNCTION("""COMPUTED_VALUE"""),"子宮の超音波検査は、子宮や卵巣の状態を確認する検査で、不正出血の原因となる病気がないかを調べるために行います。費用の目安は約1,600円です。
※料金表はあくまで目安(3割負担の場合)となります。別途初診料・再診料がかかります。")</f>
        <v>子宮の超音波検査は、子宮や卵巣の状態を確認する検査で、不正出血の原因となる病気がないかを調べるために行います。費用の目安は約1,600円です。
※料金表はあくまで目安(3割負担の場合)となります。別途初診料・再診料がかかります。</v>
      </c>
      <c r="C416" s="31" t="str">
        <f>IFERROR(__xludf.DUMMYFUNCTION("""COMPUTED_VALUE"""),"不正出血・検査内容")</f>
        <v>不正出血・検査内容</v>
      </c>
      <c r="D416" s="31" t="str">
        <f>IFERROR(__xludf.DUMMYFUNCTION("""COMPUTED_VALUE"""),"不正出血,超音波検査,エコー検査")</f>
        <v>不正出血,超音波検査,エコー検査</v>
      </c>
      <c r="E416" s="32" t="str">
        <f>IFERROR(__xludf.DUMMYFUNCTION("""COMPUTED_VALUE"""),"https://luna-dr.com/subjects/irregular-genital-bleeding/")</f>
        <v>https://luna-dr.com/subjects/irregular-genital-bleeding/</v>
      </c>
    </row>
    <row r="417">
      <c r="A417" s="31" t="str">
        <f>IFERROR(__xludf.DUMMYFUNCTION("""COMPUTED_VALUE"""),"不正出血で子宮頸がん検査は行いますか？")</f>
        <v>不正出血で子宮頸がん検査は行いますか？</v>
      </c>
      <c r="B417" s="31" t="str">
        <f>IFERROR(__xludf.DUMMYFUNCTION("""COMPUTED_VALUE"""),"不正出血の原因を調べるために、必要に応じて子宮頸がん検査を行います。費用の目安は約1,100円です。
※料金表はあくまで目安(3割負担の場合)となります。別途初診料・再診料がかかります。")</f>
        <v>不正出血の原因を調べるために、必要に応じて子宮頸がん検査を行います。費用の目安は約1,100円です。
※料金表はあくまで目安(3割負担の場合)となります。別途初診料・再診料がかかります。</v>
      </c>
      <c r="C417" s="31" t="str">
        <f>IFERROR(__xludf.DUMMYFUNCTION("""COMPUTED_VALUE"""),"不正出血・検査内容")</f>
        <v>不正出血・検査内容</v>
      </c>
      <c r="D417" s="31" t="str">
        <f>IFERROR(__xludf.DUMMYFUNCTION("""COMPUTED_VALUE"""),"不正出血,子宮頸がん検査,婦人科")</f>
        <v>不正出血,子宮頸がん検査,婦人科</v>
      </c>
      <c r="E417" s="32" t="str">
        <f>IFERROR(__xludf.DUMMYFUNCTION("""COMPUTED_VALUE"""),"https://luna-dr.com/subjects/irregular-genital-bleeding/")</f>
        <v>https://luna-dr.com/subjects/irregular-genital-bleeding/</v>
      </c>
    </row>
    <row r="418">
      <c r="A418" s="31" t="str">
        <f>IFERROR(__xludf.DUMMYFUNCTION("""COMPUTED_VALUE"""),"不正出血で子宮体がん検査が必要になるのはどんな時ですか？")</f>
        <v>不正出血で子宮体がん検査が必要になるのはどんな時ですか？</v>
      </c>
      <c r="B418" s="31" t="str">
        <f>IFERROR(__xludf.DUMMYFUNCTION("""COMPUTED_VALUE"""),"閉経後の出血など、症状に応じて子宮体がん検査を行うことがあります。費用の目安は約2,100円です。
※料金表はあくまで目安(3割負担の場合)となります。別途初診料・再診料がかかります。")</f>
        <v>閉経後の出血など、症状に応じて子宮体がん検査を行うことがあります。費用の目安は約2,100円です。
※料金表はあくまで目安(3割負担の場合)となります。別途初診料・再診料がかかります。</v>
      </c>
      <c r="C418" s="31" t="str">
        <f>IFERROR(__xludf.DUMMYFUNCTION("""COMPUTED_VALUE"""),"不正出血・検査内容")</f>
        <v>不正出血・検査内容</v>
      </c>
      <c r="D418" s="31" t="str">
        <f>IFERROR(__xludf.DUMMYFUNCTION("""COMPUTED_VALUE"""),"不正出血,子宮体がん検査,閉経後出血")</f>
        <v>不正出血,子宮体がん検査,閉経後出血</v>
      </c>
      <c r="E418" s="32" t="str">
        <f>IFERROR(__xludf.DUMMYFUNCTION("""COMPUTED_VALUE"""),"https://luna-dr.com/subjects/irregular-genital-bleeding/")</f>
        <v>https://luna-dr.com/subjects/irregular-genital-bleeding/</v>
      </c>
    </row>
    <row r="419">
      <c r="A419" s="31" t="str">
        <f>IFERROR(__xludf.DUMMYFUNCTION("""COMPUTED_VALUE"""),"不正出血の原因にはどんなものがありますか？")</f>
        <v>不正出血の原因にはどんなものがありますか？</v>
      </c>
      <c r="B419" s="31" t="str">
        <f>IFERROR(__xludf.DUMMYFUNCTION("""COMPUTED_VALUE"""),"不正出血の原因は、ホルモンバランスの乱れ、子宮・卵巣・膣の病気、性感染症、妊娠に伴う出血など多岐にわたります。")</f>
        <v>不正出血の原因は、ホルモンバランスの乱れ、子宮・卵巣・膣の病気、性感染症、妊娠に伴う出血など多岐にわたります。</v>
      </c>
      <c r="C419" s="31" t="str">
        <f>IFERROR(__xludf.DUMMYFUNCTION("""COMPUTED_VALUE"""),"不正出血・原因")</f>
        <v>不正出血・原因</v>
      </c>
      <c r="D419" s="31" t="str">
        <f>IFERROR(__xludf.DUMMYFUNCTION("""COMPUTED_VALUE"""),"不正出血,原因,婦人科疾患")</f>
        <v>不正出血,原因,婦人科疾患</v>
      </c>
      <c r="E419" s="32" t="str">
        <f>IFERROR(__xludf.DUMMYFUNCTION("""COMPUTED_VALUE"""),"https://luna-dr.com/subjects/irregular-genital-bleeding/")</f>
        <v>https://luna-dr.com/subjects/irregular-genital-bleeding/</v>
      </c>
    </row>
    <row r="420">
      <c r="A420" s="31" t="str">
        <f>IFERROR(__xludf.DUMMYFUNCTION("""COMPUTED_VALUE"""),"ホルモンバランスの乱れでも不正出血は起こりますか？")</f>
        <v>ホルモンバランスの乱れでも不正出血は起こりますか？</v>
      </c>
      <c r="B420" s="31" t="str">
        <f>IFERROR(__xludf.DUMMYFUNCTION("""COMPUTED_VALUE"""),"ストレスや疲れ、環境の変化などによるホルモンバランスの乱れで排卵がうまくいかない場合、不正出血が起こることがあります。気になる症状がある場合は、早めにご相談ください。")</f>
        <v>ストレスや疲れ、環境の変化などによるホルモンバランスの乱れで排卵がうまくいかない場合、不正出血が起こることがあります。気になる症状がある場合は、早めにご相談ください。</v>
      </c>
      <c r="C420" s="31" t="str">
        <f>IFERROR(__xludf.DUMMYFUNCTION("""COMPUTED_VALUE"""),"不正出血・原因")</f>
        <v>不正出血・原因</v>
      </c>
      <c r="D420" s="31" t="str">
        <f>IFERROR(__xludf.DUMMYFUNCTION("""COMPUTED_VALUE"""),"不正出血,ホルモンバランス,ストレス")</f>
        <v>不正出血,ホルモンバランス,ストレス</v>
      </c>
      <c r="E420" s="32" t="str">
        <f>IFERROR(__xludf.DUMMYFUNCTION("""COMPUTED_VALUE"""),"https://luna-dr.com/subjects/irregular-genital-bleeding/")</f>
        <v>https://luna-dr.com/subjects/irregular-genital-bleeding/</v>
      </c>
    </row>
    <row r="421">
      <c r="A421" s="31" t="str">
        <f>IFERROR(__xludf.DUMMYFUNCTION("""COMPUTED_VALUE"""),"不正出血の原因として子宮や卵巣の病気は考えられますか？")</f>
        <v>不正出血の原因として子宮や卵巣の病気は考えられますか？</v>
      </c>
      <c r="B421" s="31" t="str">
        <f>IFERROR(__xludf.DUMMYFUNCTION("""COMPUTED_VALUE"""),"子宮頸管ポリープ、子宮内膜ポリープ、子宮筋腫、子宮腺筋症などが、不正出血の原因となることがあります。ルナレディースクリニックでは、出血の原因を的確に診断し、最適な治療をご提案します。気になる症状がある場合は、早めにご相談ください。")</f>
        <v>子宮頸管ポリープ、子宮内膜ポリープ、子宮筋腫、子宮腺筋症などが、不正出血の原因となることがあります。ルナレディースクリニックでは、出血の原因を的確に診断し、最適な治療をご提案します。気になる症状がある場合は、早めにご相談ください。</v>
      </c>
      <c r="C421" s="31" t="str">
        <f>IFERROR(__xludf.DUMMYFUNCTION("""COMPUTED_VALUE"""),"不正出血・原因")</f>
        <v>不正出血・原因</v>
      </c>
      <c r="D421" s="31" t="str">
        <f>IFERROR(__xludf.DUMMYFUNCTION("""COMPUTED_VALUE"""),"不正出血,子宮筋腫,子宮内膜ポリープ")</f>
        <v>不正出血,子宮筋腫,子宮内膜ポリープ</v>
      </c>
      <c r="E421" s="32" t="str">
        <f>IFERROR(__xludf.DUMMYFUNCTION("""COMPUTED_VALUE"""),"https://luna-dr.com/subjects/irregular-genital-bleeding/")</f>
        <v>https://luna-dr.com/subjects/irregular-genital-bleeding/</v>
      </c>
    </row>
    <row r="422">
      <c r="A422" s="31" t="str">
        <f>IFERROR(__xludf.DUMMYFUNCTION("""COMPUTED_VALUE"""),"不正出血はがんが原因のこともありますか？")</f>
        <v>不正出血はがんが原因のこともありますか？</v>
      </c>
      <c r="B422" s="31" t="str">
        <f>IFERROR(__xludf.DUMMYFUNCTION("""COMPUTED_VALUE"""),"子宮頸がんや子宮体がんは、不正出血の原因となることがあります。性交渉後の出血は子宮頸がん、閉経後の出血は子宮体がんの重要なサインです。気になる症状がある場合は、早めにご相談ください。")</f>
        <v>子宮頸がんや子宮体がんは、不正出血の原因となることがあります。性交渉後の出血は子宮頸がん、閉経後の出血は子宮体がんの重要なサインです。気になる症状がある場合は、早めにご相談ください。</v>
      </c>
      <c r="C422" s="31" t="str">
        <f>IFERROR(__xludf.DUMMYFUNCTION("""COMPUTED_VALUE"""),"不正出血・原因")</f>
        <v>不正出血・原因</v>
      </c>
      <c r="D422" s="31" t="str">
        <f>IFERROR(__xludf.DUMMYFUNCTION("""COMPUTED_VALUE"""),"不正出血,子宮頸がん,子宮体がん")</f>
        <v>不正出血,子宮頸がん,子宮体がん</v>
      </c>
      <c r="E422" s="32" t="str">
        <f>IFERROR(__xludf.DUMMYFUNCTION("""COMPUTED_VALUE"""),"https://luna-dr.com/subjects/irregular-genital-bleeding/")</f>
        <v>https://luna-dr.com/subjects/irregular-genital-bleeding/</v>
      </c>
    </row>
    <row r="423">
      <c r="A423" s="31" t="str">
        <f>IFERROR(__xludf.DUMMYFUNCTION("""COMPUTED_VALUE"""),"性感染症でも不正出血は起こりますか？")</f>
        <v>性感染症でも不正出血は起こりますか？</v>
      </c>
      <c r="B423" s="31" t="str">
        <f>IFERROR(__xludf.DUMMYFUNCTION("""COMPUTED_VALUE"""),"クラミジアなどの性感染症による炎症で、子宮の入り口などがただれ、不正出血が起こることがあります。気になる症状がある場合は、早めにご相談ください。")</f>
        <v>クラミジアなどの性感染症による炎症で、子宮の入り口などがただれ、不正出血が起こることがあります。気になる症状がある場合は、早めにご相談ください。</v>
      </c>
      <c r="C423" s="31" t="str">
        <f>IFERROR(__xludf.DUMMYFUNCTION("""COMPUTED_VALUE"""),"不正出血・原因")</f>
        <v>不正出血・原因</v>
      </c>
      <c r="D423" s="31" t="str">
        <f>IFERROR(__xludf.DUMMYFUNCTION("""COMPUTED_VALUE"""),"不正出血,クラミジア,性病検査")</f>
        <v>不正出血,クラミジア,性病検査</v>
      </c>
      <c r="E423" s="32" t="str">
        <f>IFERROR(__xludf.DUMMYFUNCTION("""COMPUTED_VALUE"""),"https://luna-dr.com/subjects/irregular-genital-bleeding/")</f>
        <v>https://luna-dr.com/subjects/irregular-genital-bleeding/</v>
      </c>
    </row>
    <row r="424">
      <c r="A424" s="31" t="str">
        <f>IFERROR(__xludf.DUMMYFUNCTION("""COMPUTED_VALUE"""),"妊娠している場合の不正出血はありますか？")</f>
        <v>妊娠している場合の不正出血はありますか？</v>
      </c>
      <c r="B424" s="31" t="str">
        <f>IFERROR(__xludf.DUMMYFUNCTION("""COMPUTED_VALUE"""),"妊娠初期には着床出血や切迫流産の兆候として出血が見られることがあります。妊娠の可能性がある場合は、速やかに受診してください。")</f>
        <v>妊娠初期には着床出血や切迫流産の兆候として出血が見られることがあります。妊娠の可能性がある場合は、速やかに受診してください。</v>
      </c>
      <c r="C424" s="31" t="str">
        <f>IFERROR(__xludf.DUMMYFUNCTION("""COMPUTED_VALUE"""),"不正出血・原因")</f>
        <v>不正出血・原因</v>
      </c>
      <c r="D424" s="31" t="str">
        <f>IFERROR(__xludf.DUMMYFUNCTION("""COMPUTED_VALUE"""),"不正出血,妊娠初期,着床出血")</f>
        <v>不正出血,妊娠初期,着床出血</v>
      </c>
      <c r="E424" s="32" t="str">
        <f>IFERROR(__xludf.DUMMYFUNCTION("""COMPUTED_VALUE"""),"https://luna-dr.com/subjects/irregular-genital-bleeding/")</f>
        <v>https://luna-dr.com/subjects/irregular-genital-bleeding/</v>
      </c>
    </row>
    <row r="425">
      <c r="A425" s="31" t="str">
        <f>IFERROR(__xludf.DUMMYFUNCTION("""COMPUTED_VALUE"""),"不正出血の診察・検査の流れを教えてください")</f>
        <v>不正出血の診察・検査の流れを教えてください</v>
      </c>
      <c r="B425" s="31" t="str">
        <f>IFERROR(__xludf.DUMMYFUNCTION("""COMPUTED_VALUE"""),"不正出血の診察は、①予約・WEB問診 → ②医師による診察 → ③内診・検査 → ④診断・治療方針の説明 → ⑤処方・お会計、という流れで行います。まず公式LINEでご予約ください。予約後、WEB問診にて出血の時期・量・色、最終生理日、妊娠の可能性などをご入力いただくと受付がスムーズです。来院後は医師が問診内容をもとに詳しくお話を伺い、必要に応じて内診・超音波（エコー）検査、子宮頸がん・体がん検査、性感染症検査を行います。検査結果をもとに出血の原因と治療方針をご説明し、必要な治療やお薬の処方を行います。")</f>
        <v>不正出血の診察は、①予約・WEB問診 → ②医師による診察 → ③内診・検査 → ④診断・治療方針の説明 → ⑤処方・お会計、という流れで行います。まず公式LINEでご予約ください。予約後、WEB問診にて出血の時期・量・色、最終生理日、妊娠の可能性などをご入力いただくと受付がスムーズです。来院後は医師が問診内容をもとに詳しくお話を伺い、必要に応じて内診・超音波（エコー）検査、子宮頸がん・体がん検査、性感染症検査を行います。検査結果をもとに出血の原因と治療方針をご説明し、必要な治療やお薬の処方を行います。</v>
      </c>
      <c r="C425" s="31" t="str">
        <f>IFERROR(__xludf.DUMMYFUNCTION("""COMPUTED_VALUE"""),"不正出血")</f>
        <v>不正出血</v>
      </c>
      <c r="D425" s="31" t="str">
        <f>IFERROR(__xludf.DUMMYFUNCTION("""COMPUTED_VALUE"""),"不正出血,診察の流れ,検査,内診,エコー検査,予約方法,電話予約,LINE予約")</f>
        <v>不正出血,診察の流れ,検査,内診,エコー検査,予約方法,電話予約,LINE予約</v>
      </c>
      <c r="E425" s="32" t="str">
        <f>IFERROR(__xludf.DUMMYFUNCTION("""COMPUTED_VALUE"""),"https://luna-dr.com/subjects/abnormal-uterine-bleeding/")</f>
        <v>https://luna-dr.com/subjects/abnormal-uterine-bleeding/</v>
      </c>
    </row>
    <row r="426">
      <c r="A426" s="31" t="str">
        <f>IFERROR(__xludf.DUMMYFUNCTION("""COMPUTED_VALUE"""),"不正出血の予約はどうすればいいですか？/不正出血があり早めに受診したいです/不正出血があるため早めの受診を希望しています/不正出血が心配なので早く診てほしい")</f>
        <v>不正出血の予約はどうすればいいですか？/不正出血があり早めに受診したいです/不正出血があるため早めの受診を希望しています/不正出血が心配なので早く診てほしい</v>
      </c>
      <c r="B426" s="31" t="str">
        <f>IFERROR(__xludf.DUMMYFUNCTION("""COMPUTED_VALUE"""),"生理期間以外に出血が続く場合、性交渉の後に必ず出血する場合、閉経後の出血、血の塊が出る、出血量が増えている、鮮血が出る、下腹部痛や発熱を伴う場合は、放置せずにご相談ください。ルナレディースクリニックでは、出血の原因を的確に診断し、最適な治療をご提案します。ご予約は公式LINEから受け付けています。不正出血のご相談は「一般婦人科診療」のメニューでご予約ください。LINEはこちら→https://cline-app.com/qr-codes/98ad6f149bfa20f4f2a9a2e91aac4187/p"&amp;"review")</f>
        <v>生理期間以外に出血が続く場合、性交渉の後に必ず出血する場合、閉経後の出血、血の塊が出る、出血量が増えている、鮮血が出る、下腹部痛や発熱を伴う場合は、放置せずにご相談ください。ルナレディースクリニックでは、出血の原因を的確に診断し、最適な治療をご提案します。ご予約は公式LINEから受け付けています。不正出血のご相談は「一般婦人科診療」のメニューでご予約ください。LINEはこちら→https://cline-app.com/qr-codes/98ad6f149bfa20f4f2a9a2e91aac4187/preview</v>
      </c>
      <c r="C426" s="31" t="str">
        <f>IFERROR(__xludf.DUMMYFUNCTION("""COMPUTED_VALUE"""),"不正出血")</f>
        <v>不正出血</v>
      </c>
      <c r="D426" s="31" t="str">
        <f>IFERROR(__xludf.DUMMYFUNCTION("""COMPUTED_VALUE"""),"予約方法,LINE,電話,不正出血,早め,急ぎ,早く診てほしい")</f>
        <v>予約方法,LINE,電話,不正出血,早め,急ぎ,早く診てほしい</v>
      </c>
      <c r="E426" s="32" t="str">
        <f>IFERROR(__xludf.DUMMYFUNCTION("""COMPUTED_VALUE"""),"https://luna-dr.com/subjects/abnormal-uterine-bleeding/")</f>
        <v>https://luna-dr.com/subjects/abnormal-uterine-bleeding/</v>
      </c>
    </row>
    <row r="427">
      <c r="A427" s="31" t="str">
        <f>IFERROR(__xludf.DUMMYFUNCTION("""COMPUTED_VALUE"""),"不正出血はLINEから予約できますか？")</f>
        <v>不正出血はLINEから予約できますか？</v>
      </c>
      <c r="B427" s="31" t="str">
        <f>IFERROR(__xludf.DUMMYFUNCTION("""COMPUTED_VALUE"""),"ナレディースクリニックでは、公式LINEから不正出血の診察予約が可能です。24時間いつでもご自身のタイミングで予約できます。不正出血のご相談は「一般婦人科診療」のメニューでご予約ください。LINEはこちら→https://cline-app.com/qr-codes/98ad6f149bfa20f4f2a9a2e91aac4187/preview")</f>
        <v>ナレディースクリニックでは、公式LINEから不正出血の診察予約が可能です。24時間いつでもご自身のタイミングで予約できます。不正出血のご相談は「一般婦人科診療」のメニューでご予約ください。LINEはこちら→https://cline-app.com/qr-codes/98ad6f149bfa20f4f2a9a2e91aac4187/preview</v>
      </c>
      <c r="C427" s="31" t="str">
        <f>IFERROR(__xludf.DUMMYFUNCTION("""COMPUTED_VALUE"""),"不正出血")</f>
        <v>不正出血</v>
      </c>
      <c r="D427" s="31" t="str">
        <f>IFERROR(__xludf.DUMMYFUNCTION("""COMPUTED_VALUE"""),"LINE予約,婦人科予約,不正出血")</f>
        <v>LINE予約,婦人科予約,不正出血</v>
      </c>
      <c r="E427" s="32" t="str">
        <f>IFERROR(__xludf.DUMMYFUNCTION("""COMPUTED_VALUE"""),"https://luna-dr.com/subjects/abnormal-uterine-bleeding/")</f>
        <v>https://luna-dr.com/subjects/abnormal-uterine-bleeding/</v>
      </c>
    </row>
    <row r="428">
      <c r="A428" s="31" t="str">
        <f>IFERROR(__xludf.DUMMYFUNCTION("""COMPUTED_VALUE"""),"不正出血は電話でも予約できますか？")</f>
        <v>不正出血は電話でも予約できますか？</v>
      </c>
      <c r="B428" s="31" t="str">
        <f>IFERROR(__xludf.DUMMYFUNCTION("""COMPUTED_VALUE"""),"LINEでの予約後、事前問診等もLINEから行うことができ、スムーズに受診ができるため、当院ではLINEでのご予約を推奨しております。
ご予約は公式LINEから受け付けています。不正出血のご相談は「一般婦人科診療」のメニューでご予約ください。LINEはこちら→https://cline-app.com/qr-codes/98ad6f149bfa20f4f2a9a2e91aac4187/preview")</f>
        <v>LINEでの予約後、事前問診等もLINEから行うことができ、スムーズに受診ができるため、当院ではLINEでのご予約を推奨しております。
ご予約は公式LINEから受け付けています。不正出血のご相談は「一般婦人科診療」のメニューでご予約ください。LINEはこちら→https://cline-app.com/qr-codes/98ad6f149bfa20f4f2a9a2e91aac4187/preview</v>
      </c>
      <c r="C428" s="31" t="str">
        <f>IFERROR(__xludf.DUMMYFUNCTION("""COMPUTED_VALUE"""),"不正出血")</f>
        <v>不正出血</v>
      </c>
      <c r="D428" s="31" t="str">
        <f>IFERROR(__xludf.DUMMYFUNCTION("""COMPUTED_VALUE"""),"電話予約,問い合わせ,不正出血")</f>
        <v>電話予約,問い合わせ,不正出血</v>
      </c>
      <c r="E428" s="32" t="str">
        <f>IFERROR(__xludf.DUMMYFUNCTION("""COMPUTED_VALUE"""),"https://luna-dr.com/subjects/abnormal-uterine-bleeding/")</f>
        <v>https://luna-dr.com/subjects/abnormal-uterine-bleeding/</v>
      </c>
    </row>
    <row r="429">
      <c r="A429" s="31" t="str">
        <f>IFERROR(__xludf.DUMMYFUNCTION("""COMPUTED_VALUE"""),"不正出血の予約前に準備しておくことはありますか？")</f>
        <v>不正出血の予約前に準備しておくことはありますか？</v>
      </c>
      <c r="B429" s="31" t="str">
        <f>IFERROR(__xludf.DUMMYFUNCTION("""COMPUTED_VALUE"""),"ルナレディースクリニックでは、不正出血の診察前にWEB問診の入力をお願いしています。いつから出血があるか、量や色、他の症状などを事前にご入力いただくと診察がスムーズです。")</f>
        <v>ルナレディースクリニックでは、不正出血の診察前にWEB問診の入力をお願いしています。いつから出血があるか、量や色、他の症状などを事前にご入力いただくと診察がスムーズです。</v>
      </c>
      <c r="C429" s="31" t="str">
        <f>IFERROR(__xludf.DUMMYFUNCTION("""COMPUTED_VALUE"""),"不正出血")</f>
        <v>不正出血</v>
      </c>
      <c r="D429" s="31" t="str">
        <f>IFERROR(__xludf.DUMMYFUNCTION("""COMPUTED_VALUE"""),"WEB問診,事前準備,不正出血")</f>
        <v>WEB問診,事前準備,不正出血</v>
      </c>
      <c r="E429" s="32" t="str">
        <f>IFERROR(__xludf.DUMMYFUNCTION("""COMPUTED_VALUE"""),"https://luna-dr.com/subjects/abnormal-uterine-bleeding/")</f>
        <v>https://luna-dr.com/subjects/abnormal-uterine-bleeding/</v>
      </c>
    </row>
    <row r="430">
      <c r="A430" s="31" t="str">
        <f>IFERROR(__xludf.DUMMYFUNCTION("""COMPUTED_VALUE"""),"不正出血は初診でも予約できますか？")</f>
        <v>不正出血は初診でも予約できますか？</v>
      </c>
      <c r="B430" s="31" t="str">
        <f>IFERROR(__xludf.DUMMYFUNCTION("""COMPUTED_VALUE"""),"不正出血は初診の方もご予約いただけます。ご予約は公式LINEから受け付けておりますので、友だち追加の上ご利用ください。
不正出血のご相談は「一般婦人科診療」のメニューでご予約ください。LINEはこちら→https://cline-app.com/qr-codes/98ad6f149bfa20f4f2a9a2e91aac4187/preview")</f>
        <v>不正出血は初診の方もご予約いただけます。ご予約は公式LINEから受け付けておりますので、友だち追加の上ご利用ください。
不正出血のご相談は「一般婦人科診療」のメニューでご予約ください。LINEはこちら→https://cline-app.com/qr-codes/98ad6f149bfa20f4f2a9a2e91aac4187/preview</v>
      </c>
      <c r="C430" s="31" t="str">
        <f>IFERROR(__xludf.DUMMYFUNCTION("""COMPUTED_VALUE"""),"不正出血")</f>
        <v>不正出血</v>
      </c>
      <c r="D430" s="31" t="str">
        <f>IFERROR(__xludf.DUMMYFUNCTION("""COMPUTED_VALUE"""),"初診,予約,不正出血")</f>
        <v>初診,予約,不正出血</v>
      </c>
      <c r="E430" s="32" t="str">
        <f>IFERROR(__xludf.DUMMYFUNCTION("""COMPUTED_VALUE"""),"https://luna-dr.com/subjects/abnormal-uterine-bleeding/")</f>
        <v>https://luna-dr.com/subjects/abnormal-uterine-bleeding/</v>
      </c>
    </row>
    <row r="431">
      <c r="A431" s="31" t="str">
        <f>IFERROR(__xludf.DUMMYFUNCTION("""COMPUTED_VALUE"""),"不正出血は来院とオンライン、どちらで予約できますか？")</f>
        <v>不正出血は来院とオンライン、どちらで予約できますか？</v>
      </c>
      <c r="B431" s="31" t="str">
        <f>IFERROR(__xludf.DUMMYFUNCTION("""COMPUTED_VALUE"""),"ルナレディースクリニックでは、不正出血のご相談は【来院診療のみ】で承っています。
ご予約は公式LINEから受け付けています。不正出血のご相談は「一般婦人科診療」のメニューでご予約ください。LINEはこちら→https://cline-app.com/qr-codes/98ad6f149bfa20f4f2a9a2e91aac4187/preview")</f>
        <v>ルナレディースクリニックでは、不正出血のご相談は【来院診療のみ】で承っています。
ご予約は公式LINEから受け付けています。不正出血のご相談は「一般婦人科診療」のメニューでご予約ください。LINEはこちら→https://cline-app.com/qr-codes/98ad6f149bfa20f4f2a9a2e91aac4187/preview</v>
      </c>
      <c r="C431" s="31" t="str">
        <f>IFERROR(__xludf.DUMMYFUNCTION("""COMPUTED_VALUE"""),"不正出血")</f>
        <v>不正出血</v>
      </c>
      <c r="D431" s="31" t="str">
        <f>IFERROR(__xludf.DUMMYFUNCTION("""COMPUTED_VALUE"""),"来院診療,オンライン診療,不正出血")</f>
        <v>来院診療,オンライン診療,不正出血</v>
      </c>
      <c r="E431" s="32" t="str">
        <f>IFERROR(__xludf.DUMMYFUNCTION("""COMPUTED_VALUE"""),"https://luna-dr.com/subjects/abnormal-uterine-bleeding/")</f>
        <v>https://luna-dr.com/subjects/abnormal-uterine-bleeding/</v>
      </c>
    </row>
    <row r="432">
      <c r="A432" s="31" t="str">
        <f>IFERROR(__xludf.DUMMYFUNCTION("""COMPUTED_VALUE"""),"不正出血の診察は予約が必要ですか？")</f>
        <v>不正出血の診察は予約が必要ですか？</v>
      </c>
      <c r="B432" s="31" t="str">
        <f>IFERROR(__xludf.DUMMYFUNCTION("""COMPUTED_VALUE"""),"直接のご来院でも可能ですが、待ち時間が発生する場合があります。事前にご予約をいただくことでスムーズに診察に進むことができます。
ご予約は公式LINEから受け付けています。不正出血のご相談は「一般婦人科診療」のメニューでご予約ください。LINEはこちら→https://cline-app.com/qr-codes/98ad6f149bfa20f4f2a9a2e91aac4187/preview")</f>
        <v>直接のご来院でも可能ですが、待ち時間が発生する場合があります。事前にご予約をいただくことでスムーズに診察に進むことができます。
ご予約は公式LINEから受け付けています。不正出血のご相談は「一般婦人科診療」のメニューでご予約ください。LINEはこちら→https://cline-app.com/qr-codes/98ad6f149bfa20f4f2a9a2e91aac4187/preview</v>
      </c>
      <c r="C432" s="31" t="str">
        <f>IFERROR(__xludf.DUMMYFUNCTION("""COMPUTED_VALUE"""),"不正出血・予約")</f>
        <v>不正出血・予約</v>
      </c>
      <c r="D432" s="31" t="str">
        <f>IFERROR(__xludf.DUMMYFUNCTION("""COMPUTED_VALUE"""),"不正出血,予約,LINE予約,電話予約")</f>
        <v>不正出血,予約,LINE予約,電話予約</v>
      </c>
      <c r="E432" s="32" t="str">
        <f>IFERROR(__xludf.DUMMYFUNCTION("""COMPUTED_VALUE"""),"https://luna-dr.com/subjects/abnormal-uterine-bleeding/")</f>
        <v>https://luna-dr.com/subjects/abnormal-uterine-bleeding/</v>
      </c>
    </row>
    <row r="433">
      <c r="A433" s="31" t="str">
        <f>IFERROR(__xludf.DUMMYFUNCTION("""COMPUTED_VALUE"""),"不正出血の診察前にWEB問診は必要ですか？")</f>
        <v>不正出血の診察前にWEB問診は必要ですか？</v>
      </c>
      <c r="B433" s="31" t="str">
        <f>IFERROR(__xludf.DUMMYFUNCTION("""COMPUTED_VALUE"""),"必須ではありませんが、WEB問診で出血の時期や量、色、他の症状をご入力いただくと、診察がよりスムーズになります。")</f>
        <v>必須ではありませんが、WEB問診で出血の時期や量、色、他の症状をご入力いただくと、診察がよりスムーズになります。</v>
      </c>
      <c r="C433" s="31" t="str">
        <f>IFERROR(__xludf.DUMMYFUNCTION("""COMPUTED_VALUE"""),"不正出血・WEB問診")</f>
        <v>不正出血・WEB問診</v>
      </c>
      <c r="D433" s="31" t="str">
        <f>IFERROR(__xludf.DUMMYFUNCTION("""COMPUTED_VALUE"""),"不正出血,WEB問診,事前準備")</f>
        <v>不正出血,WEB問診,事前準備</v>
      </c>
      <c r="E433" s="32" t="str">
        <f>IFERROR(__xludf.DUMMYFUNCTION("""COMPUTED_VALUE"""),"https://luna-dr.com/subjects/abnormal-uterine-bleeding/")</f>
        <v>https://luna-dr.com/subjects/abnormal-uterine-bleeding/</v>
      </c>
    </row>
    <row r="434">
      <c r="A434" s="31" t="str">
        <f>IFERROR(__xludf.DUMMYFUNCTION("""COMPUTED_VALUE"""),"不正出血の診察ではどんなことを聞かれますか？")</f>
        <v>不正出血の診察ではどんなことを聞かれますか？</v>
      </c>
      <c r="B434" s="31" t="str">
        <f>IFERROR(__xludf.DUMMYFUNCTION("""COMPUTED_VALUE"""),"医師は、最終生理日、出血の状況、性交渉の有無、妊娠の可能性などを確認し、考えられる原因と必要な検査について説明します。")</f>
        <v>医師は、最終生理日、出血の状況、性交渉の有無、妊娠の可能性などを確認し、考えられる原因と必要な検査について説明します。</v>
      </c>
      <c r="C434" s="31" t="str">
        <f>IFERROR(__xludf.DUMMYFUNCTION("""COMPUTED_VALUE"""),"不正出血・診察内容")</f>
        <v>不正出血・診察内容</v>
      </c>
      <c r="D434" s="31" t="str">
        <f>IFERROR(__xludf.DUMMYFUNCTION("""COMPUTED_VALUE"""),"不正出血,問診内容,妊娠の可能性")</f>
        <v>不正出血,問診内容,妊娠の可能性</v>
      </c>
      <c r="E434" s="32" t="str">
        <f>IFERROR(__xludf.DUMMYFUNCTION("""COMPUTED_VALUE"""),"https://luna-dr.com/subjects/abnormal-uterine-bleeding/")</f>
        <v>https://luna-dr.com/subjects/abnormal-uterine-bleeding/</v>
      </c>
    </row>
    <row r="435">
      <c r="A435" s="31" t="str">
        <f>IFERROR(__xludf.DUMMYFUNCTION("""COMPUTED_VALUE"""),"不正出血の診察ではどんな検査をしますか？")</f>
        <v>不正出血の診察ではどんな検査をしますか？</v>
      </c>
      <c r="B435" s="31" t="str">
        <f>IFERROR(__xludf.DUMMYFUNCTION("""COMPUTED_VALUE"""),"不正出血の原因を特定するため、内診・超音波（エコー）検査、子宮頸がん・子宮体がん検査、必要に応じて性感染症検査を行います。")</f>
        <v>不正出血の原因を特定するため、内診・超音波（エコー）検査、子宮頸がん・子宮体がん検査、必要に応じて性感染症検査を行います。</v>
      </c>
      <c r="C435" s="31" t="str">
        <f>IFERROR(__xludf.DUMMYFUNCTION("""COMPUTED_VALUE"""),"不正出血・検査内容")</f>
        <v>不正出血・検査内容</v>
      </c>
      <c r="D435" s="31" t="str">
        <f>IFERROR(__xludf.DUMMYFUNCTION("""COMPUTED_VALUE"""),"不正出血,検査,エコー,がん検査,性病検査")</f>
        <v>不正出血,検査,エコー,がん検査,性病検査</v>
      </c>
      <c r="E435" s="32" t="str">
        <f>IFERROR(__xludf.DUMMYFUNCTION("""COMPUTED_VALUE"""),"https://luna-dr.com/subjects/abnormal-uterine-bleeding/")</f>
        <v>https://luna-dr.com/subjects/abnormal-uterine-bleeding/</v>
      </c>
    </row>
    <row r="436">
      <c r="A436" s="31" t="str">
        <f>IFERROR(__xludf.DUMMYFUNCTION("""COMPUTED_VALUE"""),"不正出血の内診・超音波検査では何を確認しますか？")</f>
        <v>不正出血の内診・超音波検査では何を確認しますか？</v>
      </c>
      <c r="B436" s="31" t="str">
        <f>IFERROR(__xludf.DUMMYFUNCTION("""COMPUTED_VALUE"""),"内診・超音波（エコー）検査では、子宮や卵巣にポリープや筋腫がないか、子宮内膜の厚さなどを確認します。")</f>
        <v>内診・超音波（エコー）検査では、子宮や卵巣にポリープや筋腫がないか、子宮内膜の厚さなどを確認します。</v>
      </c>
      <c r="C436" s="31" t="str">
        <f>IFERROR(__xludf.DUMMYFUNCTION("""COMPUTED_VALUE"""),"不正出血・検査内容")</f>
        <v>不正出血・検査内容</v>
      </c>
      <c r="D436" s="31" t="str">
        <f>IFERROR(__xludf.DUMMYFUNCTION("""COMPUTED_VALUE"""),"不正出血,内診,超音波検査,子宮内膜")</f>
        <v>不正出血,内診,超音波検査,子宮内膜</v>
      </c>
      <c r="E436" s="32" t="str">
        <f>IFERROR(__xludf.DUMMYFUNCTION("""COMPUTED_VALUE"""),"https://luna-dr.com/subjects/abnormal-uterine-bleeding/")</f>
        <v>https://luna-dr.com/subjects/abnormal-uterine-bleeding/</v>
      </c>
    </row>
    <row r="437">
      <c r="A437" s="31" t="str">
        <f>IFERROR(__xludf.DUMMYFUNCTION("""COMPUTED_VALUE"""),"不正出血の診察当日はどこまで進みますか？")</f>
        <v>不正出血の診察当日はどこまで進みますか？</v>
      </c>
      <c r="B437" s="31" t="str">
        <f>IFERROR(__xludf.DUMMYFUNCTION("""COMPUTED_VALUE"""),"診察当日は、医師の問診後、必要に応じて内診・超音波検査やがん検査、性感染症検査まで行い、その結果をもとに治療方針をご提案します。")</f>
        <v>診察当日は、医師の問診後、必要に応じて内診・超音波検査やがん検査、性感染症検査まで行い、その結果をもとに治療方針をご提案します。</v>
      </c>
      <c r="C437" s="31" t="str">
        <f>IFERROR(__xludf.DUMMYFUNCTION("""COMPUTED_VALUE"""),"不正出血・当日の流れ")</f>
        <v>不正出血・当日の流れ</v>
      </c>
      <c r="D437" s="31" t="str">
        <f>IFERROR(__xludf.DUMMYFUNCTION("""COMPUTED_VALUE"""),"不正出血,当日診察,検査,治療方針")</f>
        <v>不正出血,当日診察,検査,治療方針</v>
      </c>
      <c r="E437" s="32" t="str">
        <f>IFERROR(__xludf.DUMMYFUNCTION("""COMPUTED_VALUE"""),"https://luna-dr.com/subjects/abnormal-uterine-bleeding/")</f>
        <v>https://luna-dr.com/subjects/abnormal-uterine-bleeding/</v>
      </c>
    </row>
    <row r="438">
      <c r="A438" s="31" t="str">
        <f>IFERROR(__xludf.DUMMYFUNCTION("""COMPUTED_VALUE"""),"不正出血の検査後はどのような治療になりますか？")</f>
        <v>不正出血の検査後はどのような治療になりますか？</v>
      </c>
      <c r="B438" s="31" t="str">
        <f>IFERROR(__xludf.DUMMYFUNCTION("""COMPUTED_VALUE"""),"検査結果に基づき、ホルモン剤による治療、ポリープ切除、必要に応じて高度医療機関へのご紹介など、最適な治療方針をご提案します。")</f>
        <v>検査結果に基づき、ホルモン剤による治療、ポリープ切除、必要に応じて高度医療機関へのご紹介など、最適な治療方針をご提案します。</v>
      </c>
      <c r="C438" s="31" t="str">
        <f>IFERROR(__xludf.DUMMYFUNCTION("""COMPUTED_VALUE"""),"不正出血・治療")</f>
        <v>不正出血・治療</v>
      </c>
      <c r="D438" s="31" t="str">
        <f>IFERROR(__xludf.DUMMYFUNCTION("""COMPUTED_VALUE"""),"不正出血,治療方針,ホルモン治療")</f>
        <v>不正出血,治療方針,ホルモン治療</v>
      </c>
      <c r="E438" s="32" t="str">
        <f>IFERROR(__xludf.DUMMYFUNCTION("""COMPUTED_VALUE"""),"https://luna-dr.com/subjects/abnormal-uterine-bleeding/")</f>
        <v>https://luna-dr.com/subjects/abnormal-uterine-bleeding/</v>
      </c>
    </row>
    <row r="439">
      <c r="A439" s="31" t="str">
        <f>IFERROR(__xludf.DUMMYFUNCTION("""COMPUTED_VALUE"""),"不正出血と生理の見分けがつきません")</f>
        <v>不正出血と生理の見分けがつきません</v>
      </c>
      <c r="B439" s="31" t="str">
        <f>IFERROR(__xludf.DUMMYFUNCTION("""COMPUTED_VALUE"""),"生理予定日と大きくずれている、量が極端に少ない（または多い）、色がいつもと違う（鮮血、茶色など）、だらだらと長く続くといった場合は、不正出血の可能性が高いです。判断に迷う場合は、自己判断せずご相談ください。")</f>
        <v>生理予定日と大きくずれている、量が極端に少ない（または多い）、色がいつもと違う（鮮血、茶色など）、だらだらと長く続くといった場合は、不正出血の可能性が高いです。判断に迷う場合は、自己判断せずご相談ください。</v>
      </c>
      <c r="C439" s="31" t="str">
        <f>IFERROR(__xludf.DUMMYFUNCTION("""COMPUTED_VALUE"""),"不正出血・よくある質問")</f>
        <v>不正出血・よくある質問</v>
      </c>
      <c r="D439" s="31" t="str">
        <f>IFERROR(__xludf.DUMMYFUNCTION("""COMPUTED_VALUE"""),"不正出血,生理との違い,見分け方")</f>
        <v>不正出血,生理との違い,見分け方</v>
      </c>
      <c r="E439" s="32" t="str">
        <f>IFERROR(__xludf.DUMMYFUNCTION("""COMPUTED_VALUE"""),"https://luna-dr.com/subjects/abnormal-uterine-bleeding/")</f>
        <v>https://luna-dr.com/subjects/abnormal-uterine-bleeding/</v>
      </c>
    </row>
    <row r="440">
      <c r="A440" s="31" t="str">
        <f>IFERROR(__xludf.DUMMYFUNCTION("""COMPUTED_VALUE"""),"少量ですが、茶色い出血が続きます。大丈夫ですか？")</f>
        <v>少量ですが、茶色い出血が続きます。大丈夫ですか？</v>
      </c>
      <c r="B440" s="31" t="str">
        <f>IFERROR(__xludf.DUMMYFUNCTION("""COMPUTED_VALUE"""),"少量でも、だらだらと続く出血は異常のサインです。古い血液が酸化して茶色く見えることがありますが、子宮体がんなどでも見られる症状です。必ず一度、婦人科を受診してください。")</f>
        <v>少量でも、だらだらと続く出血は異常のサインです。古い血液が酸化して茶色く見えることがありますが、子宮体がんなどでも見られる症状です。必ず一度、婦人科を受診してください。</v>
      </c>
      <c r="C440" s="31" t="str">
        <f>IFERROR(__xludf.DUMMYFUNCTION("""COMPUTED_VALUE"""),"不正出血・よくある質問")</f>
        <v>不正出血・よくある質問</v>
      </c>
      <c r="D440" s="31" t="str">
        <f>IFERROR(__xludf.DUMMYFUNCTION("""COMPUTED_VALUE"""),"不正出血,茶色い出血,受診目安")</f>
        <v>不正出血,茶色い出血,受診目安</v>
      </c>
      <c r="E440" s="32" t="str">
        <f>IFERROR(__xludf.DUMMYFUNCTION("""COMPUTED_VALUE"""),"https://luna-dr.com/subjects/abnormal-uterine-bleeding/")</f>
        <v>https://luna-dr.com/subjects/abnormal-uterine-bleeding/</v>
      </c>
    </row>
    <row r="441">
      <c r="A441" s="31" t="str">
        <f>IFERROR(__xludf.DUMMYFUNCTION("""COMPUTED_VALUE"""),"不正出血は、がんの可能性が高いのでしょうか？")</f>
        <v>不正出血は、がんの可能性が高いのでしょうか？</v>
      </c>
      <c r="B441" s="31" t="str">
        <f>IFERROR(__xludf.DUMMYFUNCTION("""COMPUTED_VALUE"""),"不正出血の原因で最も多いのはホルモンバランスの乱れです。しかし、子宮頸がんや子宮体がんは、不正出血が唯一の自覚症状であることも事実です。「がんではない」ことを確認するためにも、検査を受けることが非常に重要です。")</f>
        <v>不正出血の原因で最も多いのはホルモンバランスの乱れです。しかし、子宮頸がんや子宮体がんは、不正出血が唯一の自覚症状であることも事実です。「がんではない」ことを確認するためにも、検査を受けることが非常に重要です。</v>
      </c>
      <c r="C441" s="31" t="str">
        <f>IFERROR(__xludf.DUMMYFUNCTION("""COMPUTED_VALUE"""),"不正出血・よくある質問")</f>
        <v>不正出血・よくある質問</v>
      </c>
      <c r="D441" s="31" t="str">
        <f>IFERROR(__xludf.DUMMYFUNCTION("""COMPUTED_VALUE"""),"不正出血,がんの可能性,検査")</f>
        <v>不正出血,がんの可能性,検査</v>
      </c>
      <c r="E441" s="32" t="str">
        <f>IFERROR(__xludf.DUMMYFUNCTION("""COMPUTED_VALUE"""),"https://luna-dr.com/subjects/abnormal-uterine-bleeding/")</f>
        <v>https://luna-dr.com/subjects/abnormal-uterine-bleeding/</v>
      </c>
    </row>
    <row r="442">
      <c r="A442" s="31" t="str">
        <f>IFERROR(__xludf.DUMMYFUNCTION("""COMPUTED_VALUE"""),"不正出血は生理不順や生理痛と関係がありますか？")</f>
        <v>不正出血は生理不順や生理痛と関係がありますか？</v>
      </c>
      <c r="B442" s="31" t="str">
        <f>IFERROR(__xludf.DUMMYFUNCTION("""COMPUTED_VALUE"""),"深く関係している場合があります。ホルモンバランスの乱れが原因で生理不順やひどい生理痛が起きている場合、同じ原因で不正出血（機能性出血）が起こることがよくあります。包括的に診断・治療することが大切です。")</f>
        <v>深く関係している場合があります。ホルモンバランスの乱れが原因で生理不順やひどい生理痛が起きている場合、同じ原因で不正出血（機能性出血）が起こることがよくあります。包括的に診断・治療することが大切です。</v>
      </c>
      <c r="C442" s="31" t="str">
        <f>IFERROR(__xludf.DUMMYFUNCTION("""COMPUTED_VALUE"""),"不正出血・関連症状")</f>
        <v>不正出血・関連症状</v>
      </c>
      <c r="D442" s="31" t="str">
        <f>IFERROR(__xludf.DUMMYFUNCTION("""COMPUTED_VALUE"""),"不正出血,生理不順,生理痛,ホルモン")</f>
        <v>不正出血,生理不順,生理痛,ホルモン</v>
      </c>
      <c r="E442" s="32" t="str">
        <f>IFERROR(__xludf.DUMMYFUNCTION("""COMPUTED_VALUE"""),"https://luna-dr.com/subjects/abnormal-uterine-bleeding/")</f>
        <v>https://luna-dr.com/subjects/abnormal-uterine-bleeding/</v>
      </c>
    </row>
    <row r="443">
      <c r="A443" s="31" t="str">
        <f>IFERROR(__xludf.DUMMYFUNCTION("""COMPUTED_VALUE"""),"性感染症（性病）とは何ですか？")</f>
        <v>性感染症（性病）とは何ですか？</v>
      </c>
      <c r="B443" s="31" t="str">
        <f>IFERROR(__xludf.DUMMYFUNCTION("""COMPUTED_VALUE"""),"性感染症（STD）とは、主に性的な接触によって感染する病気の総称です。原因となる病原体には、クラミジア、淋菌、トリコモナス、ヒトパピローマウイルス（尖圭コンジローマ）、ヘルペスウイルス、梅毒、HIVなど、様々な種類があります。これらの感染症は、おりものの異常やかゆみといった症状を引き起こすだけでなく、自覚症状がないまま進行するケースが非常に多いのが特徴です。放置してしまうと、炎症が卵管や腹腔内にまで広がり、不妊症や子宮外妊娠のリスクを高めることがあります。また、妊娠中に感染が判明すると、赤ちゃんに影響が及"&amp;"ぶ可能性もゼロではありません。 「もしかして？」と思ったら、早期に検査を受け、必要であれば正しい治療を開始することが、ご自身の健康と大切なパートナーを守るために何よりも重要です。少しでも気になることがあれば、お気軽にルナレディースクリニックへご相談ください。")</f>
        <v>性感染症（STD）とは、主に性的な接触によって感染する病気の総称です。原因となる病原体には、クラミジア、淋菌、トリコモナス、ヒトパピローマウイルス（尖圭コンジローマ）、ヘルペスウイルス、梅毒、HIVなど、様々な種類があります。これらの感染症は、おりものの異常やかゆみといった症状を引き起こすだけでなく、自覚症状がないまま進行するケースが非常に多いのが特徴です。放置してしまうと、炎症が卵管や腹腔内にまで広がり、不妊症や子宮外妊娠のリスクを高めることがあります。また、妊娠中に感染が判明すると、赤ちゃんに影響が及ぶ可能性もゼロではありません。 「もしかして？」と思ったら、早期に検査を受け、必要であれば正しい治療を開始することが、ご自身の健康と大切なパートナーを守るために何よりも重要です。少しでも気になることがあれば、お気軽にルナレディースクリニックへご相談ください。</v>
      </c>
      <c r="C443" s="31" t="str">
        <f>IFERROR(__xludf.DUMMYFUNCTION("""COMPUTED_VALUE"""),"性感染症検査")</f>
        <v>性感染症検査</v>
      </c>
      <c r="D443" s="31" t="str">
        <f>IFERROR(__xludf.DUMMYFUNCTION("""COMPUTED_VALUE"""),"性感染症,性病,STD,検査")</f>
        <v>性感染症,性病,STD,検査</v>
      </c>
      <c r="E443" s="32" t="str">
        <f>IFERROR(__xludf.DUMMYFUNCTION("""COMPUTED_VALUE"""),"https://luna-dr.com/subjects/std/")</f>
        <v>https://luna-dr.com/subjects/std/</v>
      </c>
    </row>
    <row r="444">
      <c r="A444" s="31" t="str">
        <f>IFERROR(__xludf.DUMMYFUNCTION("""COMPUTED_VALUE"""),"性感染症検査はどんな悩みのときに受けますか？")</f>
        <v>性感染症検査はどんな悩みのときに受けますか？</v>
      </c>
      <c r="B444" s="31" t="str">
        <f>IFERROR(__xludf.DUMMYFUNCTION("""COMPUTED_VALUE"""),"おりものの異常、かゆみ、性交時痛、できもの、不正出血、パートナーが性感染症と診断された場合などに検査を行います。症状がなくても感染していることがあるため、不安があれば検査をおすすめします。")</f>
        <v>おりものの異常、かゆみ、性交時痛、できもの、不正出血、パートナーが性感染症と診断された場合などに検査を行います。症状がなくても感染していることがあるため、不安があれば検査をおすすめします。</v>
      </c>
      <c r="C444" s="31" t="str">
        <f>IFERROR(__xludf.DUMMYFUNCTION("""COMPUTED_VALUE"""),"性感染症検査")</f>
        <v>性感染症検査</v>
      </c>
      <c r="D444" s="31" t="str">
        <f>IFERROR(__xludf.DUMMYFUNCTION("""COMPUTED_VALUE"""),"性感染症検査,おりもの異常,かゆみ,性交痛")</f>
        <v>性感染症検査,おりもの異常,かゆみ,性交痛</v>
      </c>
      <c r="E444" s="32" t="str">
        <f>IFERROR(__xludf.DUMMYFUNCTION("""COMPUTED_VALUE"""),"https://luna-dr.com/subjects/std/")</f>
        <v>https://luna-dr.com/subjects/std/</v>
      </c>
    </row>
    <row r="445">
      <c r="A445" s="31" t="str">
        <f>IFERROR(__xludf.DUMMYFUNCTION("""COMPUTED_VALUE"""),"症状がなくても性感染症検査は必要ですか？")</f>
        <v>症状がなくても性感染症検査は必要ですか？</v>
      </c>
      <c r="B445" s="31" t="str">
        <f>IFERROR(__xludf.DUMMYFUNCTION("""COMPUTED_VALUE"""),"はい。性感染症は無症状のまま進行することが多く、不妊やパートナーへの感染につながる場合があります。症状がなくても心配な機会があれば検査を受けることが大切です。")</f>
        <v>はい。性感染症は無症状のまま進行することが多く、不妊やパートナーへの感染につながる場合があります。症状がなくても心配な機会があれば検査を受けることが大切です。</v>
      </c>
      <c r="C445" s="31" t="str">
        <f>IFERROR(__xludf.DUMMYFUNCTION("""COMPUTED_VALUE"""),"性感染症検査")</f>
        <v>性感染症検査</v>
      </c>
      <c r="D445" s="31" t="str">
        <f>IFERROR(__xludf.DUMMYFUNCTION("""COMPUTED_VALUE"""),"性感染症,無症状,検査必要")</f>
        <v>性感染症,無症状,検査必要</v>
      </c>
      <c r="E445" s="32" t="str">
        <f>IFERROR(__xludf.DUMMYFUNCTION("""COMPUTED_VALUE"""),"https://luna-dr.com/subjects/std/")</f>
        <v>https://luna-dr.com/subjects/std/</v>
      </c>
    </row>
    <row r="446">
      <c r="A446" s="31" t="str">
        <f>IFERROR(__xludf.DUMMYFUNCTION("""COMPUTED_VALUE"""),"性感染症はどのような仕組みで感染しますか？")</f>
        <v>性感染症はどのような仕組みで感染しますか？</v>
      </c>
      <c r="B446" s="31" t="str">
        <f>IFERROR(__xludf.DUMMYFUNCTION("""COMPUTED_VALUE"""),"主に性行為（腟性交・口腔性交・肛門性交）を通じて、細菌やウイルス、原虫などの病原体が体内に侵入することで感染します。")</f>
        <v>主に性行為（腟性交・口腔性交・肛門性交）を通じて、細菌やウイルス、原虫などの病原体が体内に侵入することで感染します。</v>
      </c>
      <c r="C446" s="31" t="str">
        <f>IFERROR(__xludf.DUMMYFUNCTION("""COMPUTED_VALUE"""),"性感染症検査")</f>
        <v>性感染症検査</v>
      </c>
      <c r="D446" s="31" t="str">
        <f>IFERROR(__xludf.DUMMYFUNCTION("""COMPUTED_VALUE"""),"性感染症,感染経路,性行為")</f>
        <v>性感染症,感染経路,性行為</v>
      </c>
      <c r="E446" s="32" t="str">
        <f>IFERROR(__xludf.DUMMYFUNCTION("""COMPUTED_VALUE"""),"https://luna-dr.com/subjects/std/")</f>
        <v>https://luna-dr.com/subjects/std/</v>
      </c>
    </row>
    <row r="447">
      <c r="A447" s="31" t="str">
        <f>IFERROR(__xludf.DUMMYFUNCTION("""COMPUTED_VALUE"""),"性感染症は自然に治りますか？")</f>
        <v>性感染症は自然に治りますか？</v>
      </c>
      <c r="B447" s="31" t="str">
        <f>IFERROR(__xludf.DUMMYFUNCTION("""COMPUTED_VALUE"""),"自然に治ることはほとんどありません。放置すると症状が悪化したり、将来の不妊や合併症につながるため、検査と適切な治療が必要です。")</f>
        <v>自然に治ることはほとんどありません。放置すると症状が悪化したり、将来の不妊や合併症につながるため、検査と適切な治療が必要です。</v>
      </c>
      <c r="C447" s="31" t="str">
        <f>IFERROR(__xludf.DUMMYFUNCTION("""COMPUTED_VALUE"""),"性感染症検査")</f>
        <v>性感染症検査</v>
      </c>
      <c r="D447" s="31" t="str">
        <f>IFERROR(__xludf.DUMMYFUNCTION("""COMPUTED_VALUE"""),"性感染症,自然治癒,リスク")</f>
        <v>性感染症,自然治癒,リスク</v>
      </c>
      <c r="E447" s="32" t="str">
        <f>IFERROR(__xludf.DUMMYFUNCTION("""COMPUTED_VALUE"""),"https://luna-dr.com/subjects/std/")</f>
        <v>https://luna-dr.com/subjects/std/</v>
      </c>
    </row>
    <row r="448">
      <c r="A448" s="31" t="str">
        <f>IFERROR(__xludf.DUMMYFUNCTION("""COMPUTED_VALUE"""),"どんな性感染症を検査できますか？/性病検査のセットはありますか？/性感染症検査のセットメニュー/まとめて検査できますか？")</f>
        <v>どんな性感染症を検査できますか？/性病検査のセットはありますか？/性感染症検査のセットメニュー/まとめて検査できますか？</v>
      </c>
      <c r="B448" s="31" t="str">
        <f>IFERROR(__xludf.DUMMYFUNCTION("""COMPUTED_VALUE"""),"ルナレディースクリニックでは、クラミジア、淋菌、トリコモナス、カンジダ、梅毒、HIV、B型肝炎、C型肝炎などの検査に対応しています。来院での検査を推奨しておりますが、病院に行く時間がない方には当院では、ご自宅で簡単に検査ができる郵送検査キット「FemCHECK（フェムチェック）」をご用意しています。Webサイトやお近くのクリニックで購入でき、クラミジアや淋菌などを調べることが可能です。万が一、陽性だった場合は、そのままオンライン診療でお薬を処方することもできますので、ぜひご活用ください。詳細はこちらをご確"&amp;"認ください。https://luna-dr.com/femcheck/?utm_source=lunamedia&amp;utm_medium=banner&amp;utm_campaign=femcheck_article_hpseo")</f>
        <v>ルナレディースクリニックでは、クラミジア、淋菌、トリコモナス、カンジダ、梅毒、HIV、B型肝炎、C型肝炎などの検査に対応しています。来院での検査を推奨しておりますが、病院に行く時間がない方には当院では、ご自宅で簡単に検査ができる郵送検査キット「FemCHECK（フェムチェック）」をご用意しています。Webサイトやお近くのクリニックで購入でき、クラミジアや淋菌などを調べることが可能です。万が一、陽性だった場合は、そのままオンライン診療でお薬を処方することもできますので、ぜひご活用ください。詳細はこちらをご確認ください。https://luna-dr.com/femcheck/?utm_source=lunamedia&amp;utm_medium=banner&amp;utm_campaign=femcheck_article_hpseo</v>
      </c>
      <c r="C448" s="31" t="str">
        <f>IFERROR(__xludf.DUMMYFUNCTION("""COMPUTED_VALUE"""),"性感染症検査")</f>
        <v>性感染症検査</v>
      </c>
      <c r="D448" s="31" t="str">
        <f>IFERROR(__xludf.DUMMYFUNCTION("""COMPUTED_VALUE"""),"性感染症検査,クラミジア,淋菌,HIV")</f>
        <v>性感染症検査,クラミジア,淋菌,HIV</v>
      </c>
      <c r="E448" s="32" t="str">
        <f>IFERROR(__xludf.DUMMYFUNCTION("""COMPUTED_VALUE"""),"https://luna-dr.com/subjects/std/")</f>
        <v>https://luna-dr.com/subjects/std/</v>
      </c>
    </row>
    <row r="449">
      <c r="A449" s="31" t="str">
        <f>IFERROR(__xludf.DUMMYFUNCTION("""COMPUTED_VALUE"""),"性感染症検査の方法を教えてください")</f>
        <v>性感染症検査の方法を教えてください</v>
      </c>
      <c r="B449" s="31" t="str">
        <f>IFERROR(__xludf.DUMMYFUNCTION("""COMPUTED_VALUE"""),"内診台にて、医師が声かけをしながら丁寧に検査を進めます。綿棒などでおりものや分泌物を採取しますが、痛みはほとんどありませんのでご安心ください。必要に応じて、うがいによる喉の検査も行います。
※梅毒やHIV、B型肝炎など、血液で調べる必要がある項目については、腕から採血を行います。")</f>
        <v>内診台にて、医師が声かけをしながら丁寧に検査を進めます。綿棒などでおりものや分泌物を採取しますが、痛みはほとんどありませんのでご安心ください。必要に応じて、うがいによる喉の検査も行います。
※梅毒やHIV、B型肝炎など、血液で調べる必要がある項目については、腕から採血を行います。</v>
      </c>
      <c r="C449" s="31" t="str">
        <f>IFERROR(__xludf.DUMMYFUNCTION("""COMPUTED_VALUE"""),"性感染症検査")</f>
        <v>性感染症検査</v>
      </c>
      <c r="D449" s="31" t="str">
        <f>IFERROR(__xludf.DUMMYFUNCTION("""COMPUTED_VALUE"""),"性感染症検査方法,内診,血液検査")</f>
        <v>性感染症検査方法,内診,血液検査</v>
      </c>
      <c r="E449" s="32" t="str">
        <f>IFERROR(__xludf.DUMMYFUNCTION("""COMPUTED_VALUE"""),"https://luna-dr.com/subjects/std/")</f>
        <v>https://luna-dr.com/subjects/std/</v>
      </c>
    </row>
    <row r="450">
      <c r="A450" s="31" t="str">
        <f>IFERROR(__xludf.DUMMYFUNCTION("""COMPUTED_VALUE"""),"性感染症検査は来院が必要ですか？")</f>
        <v>性感染症検査は来院が必要ですか？</v>
      </c>
      <c r="B450" s="31" t="str">
        <f>IFERROR(__xludf.DUMMYFUNCTION("""COMPUTED_VALUE"""),"性感染症検査は基本的に来院で行います。医師の診察と検体採取が必要です。")</f>
        <v>性感染症検査は基本的に来院で行います。医師の診察と検体採取が必要です。</v>
      </c>
      <c r="C450" s="31" t="str">
        <f>IFERROR(__xludf.DUMMYFUNCTION("""COMPUTED_VALUE"""),"性感染症検査")</f>
        <v>性感染症検査</v>
      </c>
      <c r="D450" s="31" t="str">
        <f>IFERROR(__xludf.DUMMYFUNCTION("""COMPUTED_VALUE"""),"性感染症検査,来院診療")</f>
        <v>性感染症検査,来院診療</v>
      </c>
      <c r="E450" s="32" t="str">
        <f>IFERROR(__xludf.DUMMYFUNCTION("""COMPUTED_VALUE"""),"https://luna-dr.com/subjects/std/")</f>
        <v>https://luna-dr.com/subjects/std/</v>
      </c>
    </row>
    <row r="451">
      <c r="A451" s="31" t="str">
        <f>IFERROR(__xludf.DUMMYFUNCTION("""COMPUTED_VALUE"""),"性感染症検査はオンライン診療でできますか？")</f>
        <v>性感染症検査はオンライン診療でできますか？</v>
      </c>
      <c r="B451" s="31" t="str">
        <f>IFERROR(__xludf.DUMMYFUNCTION("""COMPUTED_VALUE"""),"来院での検査を推奨しておりますが、病院に行く時間がない方には当院では、ご自宅で簡単に検査ができる郵送検査キット「FemCHECK（フェムチェック）」をご用意しています。Webサイトやお近くのクリニックで購入でき、クラミジアや淋菌などを調べることが可能です。万が一、陽性だった場合は、そのままオンライン診療でお薬を処方することもできますので、ぜひご活用ください。")</f>
        <v>来院での検査を推奨しておりますが、病院に行く時間がない方には当院では、ご自宅で簡単に検査ができる郵送検査キット「FemCHECK（フェムチェック）」をご用意しています。Webサイトやお近くのクリニックで購入でき、クラミジアや淋菌などを調べることが可能です。万が一、陽性だった場合は、そのままオンライン診療でお薬を処方することもできますので、ぜひご活用ください。</v>
      </c>
      <c r="C451" s="31" t="str">
        <f>IFERROR(__xludf.DUMMYFUNCTION("""COMPUTED_VALUE"""),"性感染症検査")</f>
        <v>性感染症検査</v>
      </c>
      <c r="D451" s="31" t="str">
        <f>IFERROR(__xludf.DUMMYFUNCTION("""COMPUTED_VALUE"""),"性感染症,オンライン診療,検査")</f>
        <v>性感染症,オンライン診療,検査</v>
      </c>
      <c r="E451" s="32" t="str">
        <f>IFERROR(__xludf.DUMMYFUNCTION("""COMPUTED_VALUE"""),"https://luna-dr.com/subjects/std/")</f>
        <v>https://luna-dr.com/subjects/std/</v>
      </c>
    </row>
    <row r="452">
      <c r="A452" s="31" t="str">
        <f>IFERROR(__xludf.DUMMYFUNCTION("""COMPUTED_VALUE"""),"性感染症検査は初診でも受けられますか？")</f>
        <v>性感染症検査は初診でも受けられますか？</v>
      </c>
      <c r="B452" s="31" t="str">
        <f>IFERROR(__xludf.DUMMYFUNCTION("""COMPUTED_VALUE"""),"はい。初診の方でも性感染症検査を受けていただけます。")</f>
        <v>はい。初診の方でも性感染症検査を受けていただけます。</v>
      </c>
      <c r="C452" s="31" t="str">
        <f>IFERROR(__xludf.DUMMYFUNCTION("""COMPUTED_VALUE"""),"性感染症検査")</f>
        <v>性感染症検査</v>
      </c>
      <c r="D452" s="31" t="str">
        <f>IFERROR(__xludf.DUMMYFUNCTION("""COMPUTED_VALUE"""),"性感染症検査,初診")</f>
        <v>性感染症検査,初診</v>
      </c>
      <c r="E452" s="32" t="str">
        <f>IFERROR(__xludf.DUMMYFUNCTION("""COMPUTED_VALUE"""),"https://luna-dr.com/subjects/std/")</f>
        <v>https://luna-dr.com/subjects/std/</v>
      </c>
    </row>
    <row r="453">
      <c r="A453" s="31" t="str">
        <f>IFERROR(__xludf.DUMMYFUNCTION("""COMPUTED_VALUE"""),"性感染症検査では内診がありますか？")</f>
        <v>性感染症検査では内診がありますか？</v>
      </c>
      <c r="B453" s="31" t="str">
        <f>IFERROR(__xludf.DUMMYFUNCTION("""COMPUTED_VALUE"""),"内診台にて、医師が声かけをしながら丁寧に検査を進めます。綿棒などでおりものや分泌物を採取しますが、痛みはほとんどありませんのでご安心ください。必要に応じて、うがいによる喉の検査も行います。
※梅毒やHIV、B型肝炎など、血液で調べる必要がある項目については、腕から採血を行います。")</f>
        <v>内診台にて、医師が声かけをしながら丁寧に検査を進めます。綿棒などでおりものや分泌物を採取しますが、痛みはほとんどありませんのでご安心ください。必要に応じて、うがいによる喉の検査も行います。
※梅毒やHIV、B型肝炎など、血液で調べる必要がある項目については、腕から採血を行います。</v>
      </c>
      <c r="C453" s="31" t="str">
        <f>IFERROR(__xludf.DUMMYFUNCTION("""COMPUTED_VALUE"""),"性感染症検査")</f>
        <v>性感染症検査</v>
      </c>
      <c r="D453" s="31" t="str">
        <f>IFERROR(__xludf.DUMMYFUNCTION("""COMPUTED_VALUE"""),"性感染症検査,内診")</f>
        <v>性感染症検査,内診</v>
      </c>
      <c r="E453" s="32" t="str">
        <f>IFERROR(__xludf.DUMMYFUNCTION("""COMPUTED_VALUE"""),"https://luna-dr.com/subjects/std/")</f>
        <v>https://luna-dr.com/subjects/std/</v>
      </c>
    </row>
    <row r="454">
      <c r="A454" s="31" t="str">
        <f>IFERROR(__xludf.DUMMYFUNCTION("""COMPUTED_VALUE"""),"性感染症検査当日はどこまで進みますか？")</f>
        <v>性感染症検査当日はどこまで進みますか？</v>
      </c>
      <c r="B454" s="31" t="str">
        <f>IFERROR(__xludf.DUMMYFUNCTION("""COMPUTED_VALUE"""),"当日は問診、検査（内診・採血など）まで行います。
検査結果は、項目によって判明する時期やご説明方法が異なります。
・Webで確認できる検査（約4日～10日後）▶ クラミジア、淋菌、トリコモナスなど
・ご来院いただき医師から説明する検査 ▶︎ 血液検査
万が一、陽性だった場合は、お薬の処方など、速やかに治療を開始します。パートナーの治療の重要性や、完治までの注意点もしっかりとご説明しますのでご安心ください。
結果が当日出ない検査もあり、その場合は後日ご案内します。")</f>
        <v>当日は問診、検査（内診・採血など）まで行います。
検査結果は、項目によって判明する時期やご説明方法が異なります。
・Webで確認できる検査（約4日～10日後）▶ クラミジア、淋菌、トリコモナスなど
・ご来院いただき医師から説明する検査 ▶︎ 血液検査
万が一、陽性だった場合は、お薬の処方など、速やかに治療を開始します。パートナーの治療の重要性や、完治までの注意点もしっかりとご説明しますのでご安心ください。
結果が当日出ない検査もあり、その場合は後日ご案内します。</v>
      </c>
      <c r="C454" s="31" t="str">
        <f>IFERROR(__xludf.DUMMYFUNCTION("""COMPUTED_VALUE"""),"性感染症検査")</f>
        <v>性感染症検査</v>
      </c>
      <c r="D454" s="31" t="str">
        <f>IFERROR(__xludf.DUMMYFUNCTION("""COMPUTED_VALUE"""),"性感染症検査,当日の流れ")</f>
        <v>性感染症検査,当日の流れ</v>
      </c>
      <c r="E454" s="32" t="str">
        <f>IFERROR(__xludf.DUMMYFUNCTION("""COMPUTED_VALUE"""),"https://luna-dr.com/subjects/std/")</f>
        <v>https://luna-dr.com/subjects/std/</v>
      </c>
    </row>
    <row r="455">
      <c r="A455" s="31" t="str">
        <f>IFERROR(__xludf.DUMMYFUNCTION("""COMPUTED_VALUE"""),"性感染症検査の費用はいくらくらいですか？")</f>
        <v>性感染症検査の費用はいくらくらいですか？</v>
      </c>
      <c r="B455" s="31" t="str">
        <f>IFERROR(__xludf.DUMMYFUNCTION("""COMPUTED_VALUE"""),"クラミジア・淋菌・カンジダ・HIV・梅毒・トリコモナス・B型肺炎・C型肺炎などは1項目5,000円（税込）が目安です。")</f>
        <v>クラミジア・淋菌・カンジダ・HIV・梅毒・トリコモナス・B型肺炎・C型肺炎などは1項目5,000円（税込）が目安です。</v>
      </c>
      <c r="C455" s="31" t="str">
        <f>IFERROR(__xludf.DUMMYFUNCTION("""COMPUTED_VALUE"""),"性感染症検査")</f>
        <v>性感染症検査</v>
      </c>
      <c r="D455" s="31" t="str">
        <f>IFERROR(__xludf.DUMMYFUNCTION("""COMPUTED_VALUE"""),"性感染症検査,費用")</f>
        <v>性感染症検査,費用</v>
      </c>
      <c r="E455" s="32" t="str">
        <f>IFERROR(__xludf.DUMMYFUNCTION("""COMPUTED_VALUE"""),"https://luna-dr.com/subjects/std/")</f>
        <v>https://luna-dr.com/subjects/std/</v>
      </c>
    </row>
    <row r="456">
      <c r="A456" s="31" t="str">
        <f>IFERROR(__xludf.DUMMYFUNCTION("""COMPUTED_VALUE"""),"クラミジア検査の費用はいくらですか？/クラミジアの治療費はいくらですか？/クラミジア陽性の治療費用")</f>
        <v>クラミジア検査の費用はいくらですか？/クラミジアの治療費はいくらですか？/クラミジア陽性の治療費用</v>
      </c>
      <c r="B456" s="31" t="str">
        <f>IFERROR(__xludf.DUMMYFUNCTION("""COMPUTED_VALUE"""),"ルナレディースクリニックでは、クラミジア検査は1項目あたり5,000円（税込）です。")</f>
        <v>ルナレディースクリニックでは、クラミジア検査は1項目あたり5,000円（税込）です。</v>
      </c>
      <c r="C456" s="31" t="str">
        <f>IFERROR(__xludf.DUMMYFUNCTION("""COMPUTED_VALUE"""),"性感染症検査")</f>
        <v>性感染症検査</v>
      </c>
      <c r="D456" s="31" t="str">
        <f>IFERROR(__xludf.DUMMYFUNCTION("""COMPUTED_VALUE"""),"クラミジア検査,性感染症検査,費用")</f>
        <v>クラミジア検査,性感染症検査,費用</v>
      </c>
      <c r="E456" s="32" t="str">
        <f>IFERROR(__xludf.DUMMYFUNCTION("""COMPUTED_VALUE"""),"https://luna-dr.com/subjects/std/")</f>
        <v>https://luna-dr.com/subjects/std/</v>
      </c>
    </row>
    <row r="457">
      <c r="A457" s="31" t="str">
        <f>IFERROR(__xludf.DUMMYFUNCTION("""COMPUTED_VALUE"""),"淋病（淋菌）検査の費用はいくらですか？/淋病の治療費用はいくらですか？")</f>
        <v>淋病（淋菌）検査の費用はいくらですか？/淋病の治療費用はいくらですか？</v>
      </c>
      <c r="B457" s="31" t="str">
        <f>IFERROR(__xludf.DUMMYFUNCTION("""COMPUTED_VALUE"""),"淋病（淋菌）の検査費用は1項目5,000円（税込）です。治療費用については、保険適用か自費かは医師の判断となります。自費の場合の治療費は18,700円（税込）です。ご予約は「一般婦人科診療」のメニューからお取りください。→https://cline-app.com/qr-codes/98ad6f149bfa20f4f2a9a2e91aac4187/preview")</f>
        <v>淋病（淋菌）の検査費用は1項目5,000円（税込）です。治療費用については、保険適用か自費かは医師の判断となります。自費の場合の治療費は18,700円（税込）です。ご予約は「一般婦人科診療」のメニューからお取りください。→https://cline-app.com/qr-codes/98ad6f149bfa20f4f2a9a2e91aac4187/preview</v>
      </c>
      <c r="C457" s="31" t="str">
        <f>IFERROR(__xludf.DUMMYFUNCTION("""COMPUTED_VALUE"""),"性感染症検査")</f>
        <v>性感染症検査</v>
      </c>
      <c r="D457" s="31" t="str">
        <f>IFERROR(__xludf.DUMMYFUNCTION("""COMPUTED_VALUE"""),"淋病検査,淋菌,性感染症検査,費用")</f>
        <v>淋病検査,淋菌,性感染症検査,費用</v>
      </c>
      <c r="E457" s="32" t="str">
        <f>IFERROR(__xludf.DUMMYFUNCTION("""COMPUTED_VALUE"""),"https://luna-dr.com/subjects/std/")</f>
        <v>https://luna-dr.com/subjects/std/</v>
      </c>
    </row>
    <row r="458">
      <c r="A458" s="31" t="str">
        <f>IFERROR(__xludf.DUMMYFUNCTION("""COMPUTED_VALUE"""),"カンジダ検査の費用はいくらですか？")</f>
        <v>カンジダ検査の費用はいくらですか？</v>
      </c>
      <c r="B458" s="31" t="str">
        <f>IFERROR(__xludf.DUMMYFUNCTION("""COMPUTED_VALUE"""),"カンジダ検査は1項目5,000円（税込）です。")</f>
        <v>カンジダ検査は1項目5,000円（税込）です。</v>
      </c>
      <c r="C458" s="31" t="str">
        <f>IFERROR(__xludf.DUMMYFUNCTION("""COMPUTED_VALUE"""),"性感染症検査")</f>
        <v>性感染症検査</v>
      </c>
      <c r="D458" s="31" t="str">
        <f>IFERROR(__xludf.DUMMYFUNCTION("""COMPUTED_VALUE"""),"カンジダ検査,膣カンジダ,性感染症検査,費用")</f>
        <v>カンジダ検査,膣カンジダ,性感染症検査,費用</v>
      </c>
      <c r="E458" s="32" t="str">
        <f>IFERROR(__xludf.DUMMYFUNCTION("""COMPUTED_VALUE"""),"https://luna-dr.com/subjects/std/")</f>
        <v>https://luna-dr.com/subjects/std/</v>
      </c>
    </row>
    <row r="459">
      <c r="A459" s="31" t="str">
        <f>IFERROR(__xludf.DUMMYFUNCTION("""COMPUTED_VALUE"""),"HIV検査の費用はいくらですか？")</f>
        <v>HIV検査の費用はいくらですか？</v>
      </c>
      <c r="B459" s="31" t="str">
        <f>IFERROR(__xludf.DUMMYFUNCTION("""COMPUTED_VALUE"""),"ルナレディースクリニックでは、HIV検査は5,000円（税込）で実施しています。")</f>
        <v>ルナレディースクリニックでは、HIV検査は5,000円（税込）で実施しています。</v>
      </c>
      <c r="C459" s="31" t="str">
        <f>IFERROR(__xludf.DUMMYFUNCTION("""COMPUTED_VALUE"""),"性感染症検査")</f>
        <v>性感染症検査</v>
      </c>
      <c r="D459" s="31" t="str">
        <f>IFERROR(__xludf.DUMMYFUNCTION("""COMPUTED_VALUE"""),"HIV検査,性感染症検査,費用")</f>
        <v>HIV検査,性感染症検査,費用</v>
      </c>
      <c r="E459" s="32" t="str">
        <f>IFERROR(__xludf.DUMMYFUNCTION("""COMPUTED_VALUE"""),"https://luna-dr.com/subjects/std/")</f>
        <v>https://luna-dr.com/subjects/std/</v>
      </c>
    </row>
    <row r="460">
      <c r="A460" s="31" t="str">
        <f>IFERROR(__xludf.DUMMYFUNCTION("""COMPUTED_VALUE"""),"B型肝炎検査の費用はいくらですか？")</f>
        <v>B型肝炎検査の費用はいくらですか？</v>
      </c>
      <c r="B460" s="31" t="str">
        <f>IFERROR(__xludf.DUMMYFUNCTION("""COMPUTED_VALUE"""),"B型肝炎検査は5,000円（税込）です。")</f>
        <v>B型肝炎検査は5,000円（税込）です。</v>
      </c>
      <c r="C460" s="31" t="str">
        <f>IFERROR(__xludf.DUMMYFUNCTION("""COMPUTED_VALUE"""),"性感染症検査")</f>
        <v>性感染症検査</v>
      </c>
      <c r="D460" s="31" t="str">
        <f>IFERROR(__xludf.DUMMYFUNCTION("""COMPUTED_VALUE"""),"B型肝炎検査,性感染症検査,費用")</f>
        <v>B型肝炎検査,性感染症検査,費用</v>
      </c>
      <c r="E460" s="32" t="str">
        <f>IFERROR(__xludf.DUMMYFUNCTION("""COMPUTED_VALUE"""),"https://luna-dr.com/subjects/std/")</f>
        <v>https://luna-dr.com/subjects/std/</v>
      </c>
    </row>
    <row r="461">
      <c r="A461" s="31" t="str">
        <f>IFERROR(__xludf.DUMMYFUNCTION("""COMPUTED_VALUE"""),"C型肝炎検査の費用はいくらですか？")</f>
        <v>C型肝炎検査の費用はいくらですか？</v>
      </c>
      <c r="B461" s="31" t="str">
        <f>IFERROR(__xludf.DUMMYFUNCTION("""COMPUTED_VALUE"""),"C型肝炎検査は1項目5,000円（税込）です。")</f>
        <v>C型肝炎検査は1項目5,000円（税込）です。</v>
      </c>
      <c r="C461" s="31" t="str">
        <f>IFERROR(__xludf.DUMMYFUNCTION("""COMPUTED_VALUE"""),"性感染症検査")</f>
        <v>性感染症検査</v>
      </c>
      <c r="D461" s="31" t="str">
        <f>IFERROR(__xludf.DUMMYFUNCTION("""COMPUTED_VALUE"""),"C型肝炎検査,性感染症検査,費用")</f>
        <v>C型肝炎検査,性感染症検査,費用</v>
      </c>
      <c r="E461" s="32" t="str">
        <f>IFERROR(__xludf.DUMMYFUNCTION("""COMPUTED_VALUE"""),"https://luna-dr.com/subjects/std/")</f>
        <v>https://luna-dr.com/subjects/std/</v>
      </c>
    </row>
    <row r="462">
      <c r="A462" s="31" t="str">
        <f>IFERROR(__xludf.DUMMYFUNCTION("""COMPUTED_VALUE"""),"梅毒検査の費用はいくらですか？")</f>
        <v>梅毒検査の費用はいくらですか？</v>
      </c>
      <c r="B462" s="31" t="str">
        <f>IFERROR(__xludf.DUMMYFUNCTION("""COMPUTED_VALUE"""),"梅毒検査は5,000円（税込）です。")</f>
        <v>梅毒検査は5,000円（税込）です。</v>
      </c>
      <c r="C462" s="31" t="str">
        <f>IFERROR(__xludf.DUMMYFUNCTION("""COMPUTED_VALUE"""),"性感染症検査")</f>
        <v>性感染症検査</v>
      </c>
      <c r="D462" s="31" t="str">
        <f>IFERROR(__xludf.DUMMYFUNCTION("""COMPUTED_VALUE"""),"梅毒検査,性感染症検査,費用")</f>
        <v>梅毒検査,性感染症検査,費用</v>
      </c>
      <c r="E462" s="32" t="str">
        <f>IFERROR(__xludf.DUMMYFUNCTION("""COMPUTED_VALUE"""),"https://luna-dr.com/subjects/std/")</f>
        <v>https://luna-dr.com/subjects/std/</v>
      </c>
    </row>
    <row r="463">
      <c r="A463" s="31" t="str">
        <f>IFERROR(__xludf.DUMMYFUNCTION("""COMPUTED_VALUE"""),"トリコモナス検査の費用はいくらですか？")</f>
        <v>トリコモナス検査の費用はいくらですか？</v>
      </c>
      <c r="B463" s="31" t="str">
        <f>IFERROR(__xludf.DUMMYFUNCTION("""COMPUTED_VALUE"""),"トリコモナス検査は1項目5,000円（税込）です。")</f>
        <v>トリコモナス検査は1項目5,000円（税込）です。</v>
      </c>
      <c r="C463" s="31" t="str">
        <f>IFERROR(__xludf.DUMMYFUNCTION("""COMPUTED_VALUE"""),"性感染症検査")</f>
        <v>性感染症検査</v>
      </c>
      <c r="D463" s="31" t="str">
        <f>IFERROR(__xludf.DUMMYFUNCTION("""COMPUTED_VALUE"""),"トリコモナス検査,性感染症検査,費用")</f>
        <v>トリコモナス検査,性感染症検査,費用</v>
      </c>
      <c r="E463" s="32" t="str">
        <f>IFERROR(__xludf.DUMMYFUNCTION("""COMPUTED_VALUE"""),"https://luna-dr.com/subjects/std/")</f>
        <v>https://luna-dr.com/subjects/std/</v>
      </c>
    </row>
    <row r="464">
      <c r="A464" s="31" t="str">
        <f>IFERROR(__xludf.DUMMYFUNCTION("""COMPUTED_VALUE"""),"性感染症検査の結果が出た後はどうなりますか？")</f>
        <v>性感染症検査の結果が出た後はどうなりますか？</v>
      </c>
      <c r="B464" s="31" t="str">
        <f>IFERROR(__xludf.DUMMYFUNCTION("""COMPUTED_VALUE"""),"万が一、陽性だった場合は、お薬の処方など、速やかに治療を開始します。パートナーの治療の重要性や、完治までの注意点もしっかりとご説明しますのでご安心ください。")</f>
        <v>万が一、陽性だった場合は、お薬の処方など、速やかに治療を開始します。パートナーの治療の重要性や、完治までの注意点もしっかりとご説明しますのでご安心ください。</v>
      </c>
      <c r="C464" s="31" t="str">
        <f>IFERROR(__xludf.DUMMYFUNCTION("""COMPUTED_VALUE"""),"性感染症検査")</f>
        <v>性感染症検査</v>
      </c>
      <c r="D464" s="31" t="str">
        <f>IFERROR(__xludf.DUMMYFUNCTION("""COMPUTED_VALUE"""),"性感染症検査,治療")</f>
        <v>性感染症検査,治療</v>
      </c>
      <c r="E464" s="32" t="str">
        <f>IFERROR(__xludf.DUMMYFUNCTION("""COMPUTED_VALUE"""),"https://luna-dr.com/subjects/std/")</f>
        <v>https://luna-dr.com/subjects/std/</v>
      </c>
    </row>
    <row r="465">
      <c r="A465" s="31" t="str">
        <f>IFERROR(__xludf.DUMMYFUNCTION("""COMPUTED_VALUE"""),"パートナーも検査や治療が必要ですか？")</f>
        <v>パートナーも検査や治療が必要ですか？</v>
      </c>
      <c r="B465" s="31" t="str">
        <f>IFERROR(__xludf.DUMMYFUNCTION("""COMPUTED_VALUE"""),"性感染症と診断された場合、再感染を防ぐためパートナーも検査・治療を受けることが重要です。")</f>
        <v>性感染症と診断された場合、再感染を防ぐためパートナーも検査・治療を受けることが重要です。</v>
      </c>
      <c r="C465" s="31" t="str">
        <f>IFERROR(__xludf.DUMMYFUNCTION("""COMPUTED_VALUE"""),"性感染症検査")</f>
        <v>性感染症検査</v>
      </c>
      <c r="D465" s="31" t="str">
        <f>IFERROR(__xludf.DUMMYFUNCTION("""COMPUTED_VALUE"""),"性感染症,パートナー,治療")</f>
        <v>性感染症,パートナー,治療</v>
      </c>
      <c r="E465" s="32" t="str">
        <f>IFERROR(__xludf.DUMMYFUNCTION("""COMPUTED_VALUE"""),"https://luna-dr.com/subjects/std/")</f>
        <v>https://luna-dr.com/subjects/std/</v>
      </c>
    </row>
    <row r="466">
      <c r="A466" s="31" t="str">
        <f>IFERROR(__xludf.DUMMYFUNCTION("""COMPUTED_VALUE"""),"性感染症検査はどうやって予約しますか？")</f>
        <v>性感染症検査はどうやって予約しますか？</v>
      </c>
      <c r="B466" s="31" t="str">
        <f>IFERROR(__xludf.DUMMYFUNCTION("""COMPUTED_VALUE"""),"性感染症検査のご予約は公式LINEから24時間いつでも受け付けています。「一般婦人科診療」のメニューからお取りください。→https://cline-app.com/qr-codes/98ad6f149bfa20f4f2a9a2e91aac4187/preview")</f>
        <v>性感染症検査のご予約は公式LINEから24時間いつでも受け付けています。「一般婦人科診療」のメニューからお取りください。→https://cline-app.com/qr-codes/98ad6f149bfa20f4f2a9a2e91aac4187/preview</v>
      </c>
      <c r="C466" s="31" t="str">
        <f>IFERROR(__xludf.DUMMYFUNCTION("""COMPUTED_VALUE"""),"性感染症検査")</f>
        <v>性感染症検査</v>
      </c>
      <c r="D466" s="31" t="str">
        <f>IFERROR(__xludf.DUMMYFUNCTION("""COMPUTED_VALUE"""),"予約方法,LINE,電話,性感染症")</f>
        <v>予約方法,LINE,電話,性感染症</v>
      </c>
      <c r="E466" s="32" t="str">
        <f>IFERROR(__xludf.DUMMYFUNCTION("""COMPUTED_VALUE"""),"https://luna-dr.com/subjects/std/")</f>
        <v>https://luna-dr.com/subjects/std/</v>
      </c>
    </row>
    <row r="467">
      <c r="A467" s="31" t="str">
        <f>IFERROR(__xludf.DUMMYFUNCTION("""COMPUTED_VALUE"""),"性感染症検査はLINEから予約できますか？")</f>
        <v>性感染症検査はLINEから予約できますか？</v>
      </c>
      <c r="B467" s="31" t="str">
        <f>IFERROR(__xludf.DUMMYFUNCTION("""COMPUTED_VALUE"""),"性感染症検査のご予約は公式LINEから24時間いつでも受け付けています。「一般婦人科診療」のメニューからお取りください。→https://cline-app.com/qr-codes/98ad6f149bfa20f4f2a9a2e91aac4187/preview")</f>
        <v>性感染症検査のご予約は公式LINEから24時間いつでも受け付けています。「一般婦人科診療」のメニューからお取りください。→https://cline-app.com/qr-codes/98ad6f149bfa20f4f2a9a2e91aac4187/preview</v>
      </c>
      <c r="C467" s="31" t="str">
        <f>IFERROR(__xludf.DUMMYFUNCTION("""COMPUTED_VALUE"""),"性感染症検査")</f>
        <v>性感染症検査</v>
      </c>
      <c r="D467" s="31" t="str">
        <f>IFERROR(__xludf.DUMMYFUNCTION("""COMPUTED_VALUE"""),"LINE予約,婦人科予約,性感染症")</f>
        <v>LINE予約,婦人科予約,性感染症</v>
      </c>
      <c r="E467" s="32" t="str">
        <f>IFERROR(__xludf.DUMMYFUNCTION("""COMPUTED_VALUE"""),"https://luna-dr.com/subjects/std/")</f>
        <v>https://luna-dr.com/subjects/std/</v>
      </c>
    </row>
    <row r="468">
      <c r="A468" s="31" t="str">
        <f>IFERROR(__xludf.DUMMYFUNCTION("""COMPUTED_VALUE"""),"性感染症検査は電話でも予約できますか？")</f>
        <v>性感染症検査は電話でも予約できますか？</v>
      </c>
      <c r="B468" s="31" t="str">
        <f>IFERROR(__xludf.DUMMYFUNCTION("""COMPUTED_VALUE"""),"LINEでの予約後、事前問診等もLINEから行うことができ、スムーズに受診ができるため、当院ではLINEでのご予約を推奨しております。
ご予約は「一般婦人科診療」のメニューからお取りください。→https://cline-app.com/qr-codes/98ad6f149bfa20f4f2a9a2e91aac4187/preview")</f>
        <v>LINEでの予約後、事前問診等もLINEから行うことができ、スムーズに受診ができるため、当院ではLINEでのご予約を推奨しております。
ご予約は「一般婦人科診療」のメニューからお取りください。→https://cline-app.com/qr-codes/98ad6f149bfa20f4f2a9a2e91aac4187/preview</v>
      </c>
      <c r="C468" s="31" t="str">
        <f>IFERROR(__xludf.DUMMYFUNCTION("""COMPUTED_VALUE"""),"性感染症検査")</f>
        <v>性感染症検査</v>
      </c>
      <c r="D468" s="31" t="str">
        <f>IFERROR(__xludf.DUMMYFUNCTION("""COMPUTED_VALUE"""),"電話予約,問い合わせ,性感染症")</f>
        <v>電話予約,問い合わせ,性感染症</v>
      </c>
      <c r="E468" s="32" t="str">
        <f>IFERROR(__xludf.DUMMYFUNCTION("""COMPUTED_VALUE"""),"https://luna-dr.com/subjects/std/")</f>
        <v>https://luna-dr.com/subjects/std/</v>
      </c>
    </row>
    <row r="469">
      <c r="A469" s="31" t="str">
        <f>IFERROR(__xludf.DUMMYFUNCTION("""COMPUTED_VALUE"""),"性感染症検査の予約前に準備しておくことはありますか？")</f>
        <v>性感染症検査の予約前に準備しておくことはありますか？</v>
      </c>
      <c r="B469" s="31" t="str">
        <f>IFERROR(__xludf.DUMMYFUNCTION("""COMPUTED_VALUE"""),"ルナレディースクリニックでは、診察前にWEB問診の入力をお願いしています。事前にご入力いただくと診察がスムーズです。")</f>
        <v>ルナレディースクリニックでは、診察前にWEB問診の入力をお願いしています。事前にご入力いただくと診察がスムーズです。</v>
      </c>
      <c r="C469" s="31" t="str">
        <f>IFERROR(__xludf.DUMMYFUNCTION("""COMPUTED_VALUE"""),"性感染症検査")</f>
        <v>性感染症検査</v>
      </c>
      <c r="D469" s="31" t="str">
        <f>IFERROR(__xludf.DUMMYFUNCTION("""COMPUTED_VALUE"""),"WEB問診,事前準備,性感染症")</f>
        <v>WEB問診,事前準備,性感染症</v>
      </c>
      <c r="E469" s="32" t="str">
        <f>IFERROR(__xludf.DUMMYFUNCTION("""COMPUTED_VALUE"""),"https://luna-dr.com/subjects/std/")</f>
        <v>https://luna-dr.com/subjects/std/</v>
      </c>
    </row>
    <row r="470">
      <c r="A470" s="31" t="str">
        <f>IFERROR(__xludf.DUMMYFUNCTION("""COMPUTED_VALUE"""),"性感染症検査は初診でも予約できますか？")</f>
        <v>性感染症検査は初診でも予約できますか？</v>
      </c>
      <c r="B470" s="31" t="str">
        <f>IFERROR(__xludf.DUMMYFUNCTION("""COMPUTED_VALUE"""),"性感染症検査はは初診の方もご予約いただけます。ご予約は公式LINEから受け付けておりますので、友だち追加の上ご利用ください。
ご予約は「一般婦人科診療」のメニューからお取りください。→https://cline-app.com/qr-codes/98ad6f149bfa20f4f2a9a2e91aac4187/preview")</f>
        <v>性感染症検査はは初診の方もご予約いただけます。ご予約は公式LINEから受け付けておりますので、友だち追加の上ご利用ください。
ご予約は「一般婦人科診療」のメニューからお取りください。→https://cline-app.com/qr-codes/98ad6f149bfa20f4f2a9a2e91aac4187/preview</v>
      </c>
      <c r="C470" s="31" t="str">
        <f>IFERROR(__xludf.DUMMYFUNCTION("""COMPUTED_VALUE"""),"性感染症検査")</f>
        <v>性感染症検査</v>
      </c>
      <c r="D470" s="31" t="str">
        <f>IFERROR(__xludf.DUMMYFUNCTION("""COMPUTED_VALUE"""),"初診,予約,性感染症")</f>
        <v>初診,予約,性感染症</v>
      </c>
      <c r="E470" s="32" t="str">
        <f>IFERROR(__xludf.DUMMYFUNCTION("""COMPUTED_VALUE"""),"https://luna-dr.com/subjects/std/")</f>
        <v>https://luna-dr.com/subjects/std/</v>
      </c>
    </row>
    <row r="471">
      <c r="A471" s="31" t="str">
        <f>IFERROR(__xludf.DUMMYFUNCTION("""COMPUTED_VALUE"""),"性感染症検査は来院とオンライン、どちらで予約できますか？")</f>
        <v>性感染症検査は来院とオンライン、どちらで予約できますか？</v>
      </c>
      <c r="B471" s="31" t="str">
        <f>IFERROR(__xludf.DUMMYFUNCTION("""COMPUTED_VALUE"""),"ルナレディースクリニックでは、性感染症検査のご相談は来院診療のみで承っています。
ご予約は「一般婦人科診療」のメニューからお取りください。→https://cline-app.com/qr-codes/98ad6f149bfa20f4f2a9a2e91aac4187/preview")</f>
        <v>ルナレディースクリニックでは、性感染症検査のご相談は来院診療のみで承っています。
ご予約は「一般婦人科診療」のメニューからお取りください。→https://cline-app.com/qr-codes/98ad6f149bfa20f4f2a9a2e91aac4187/preview</v>
      </c>
      <c r="C471" s="31" t="str">
        <f>IFERROR(__xludf.DUMMYFUNCTION("""COMPUTED_VALUE"""),"性感染症検査")</f>
        <v>性感染症検査</v>
      </c>
      <c r="D471" s="31" t="str">
        <f>IFERROR(__xludf.DUMMYFUNCTION("""COMPUTED_VALUE"""),"来院診療,オンライン診療,性感染症")</f>
        <v>来院診療,オンライン診療,性感染症</v>
      </c>
      <c r="E471" s="32" t="str">
        <f>IFERROR(__xludf.DUMMYFUNCTION("""COMPUTED_VALUE"""),"https://luna-dr.com/subjects/std/")</f>
        <v>https://luna-dr.com/subjects/std/</v>
      </c>
    </row>
    <row r="472">
      <c r="A472" s="31" t="str">
        <f>IFERROR(__xludf.DUMMYFUNCTION("""COMPUTED_VALUE"""),"予約なしでも性感染症検査は受けられますか？")</f>
        <v>予約なしでも性感染症検査は受けられますか？</v>
      </c>
      <c r="B472" s="31" t="str">
        <f>IFERROR(__xludf.DUMMYFUNCTION("""COMPUTED_VALUE"""),"直接のご来院でも可能ですが、待ち時間が発生する場合があります。事前にご予約をいただくことでスムーズに診察に進むことができます。
ご予約は公式LINEから24時間いつでも受け付けています。「一般婦人科診療」のメニューからお取りください。→https://cline-app.com/qr-codes/98ad6f149bfa20f4f2a9a2e91aac4187/preview")</f>
        <v>直接のご来院でも可能ですが、待ち時間が発生する場合があります。事前にご予約をいただくことでスムーズに診察に進むことができます。
ご予約は公式LINEから24時間いつでも受け付けています。「一般婦人科診療」のメニューからお取りください。→https://cline-app.com/qr-codes/98ad6f149bfa20f4f2a9a2e91aac4187/preview</v>
      </c>
      <c r="C472" s="31" t="str">
        <f>IFERROR(__xludf.DUMMYFUNCTION("""COMPUTED_VALUE"""),"性感染症検査")</f>
        <v>性感染症検査</v>
      </c>
      <c r="D472" s="31" t="str">
        <f>IFERROR(__xludf.DUMMYFUNCTION("""COMPUTED_VALUE"""),"性感染症検査,予約なし")</f>
        <v>性感染症検査,予約なし</v>
      </c>
      <c r="E472" s="32" t="str">
        <f>IFERROR(__xludf.DUMMYFUNCTION("""COMPUTED_VALUE"""),"https://luna-dr.com/subjects/std/")</f>
        <v>https://luna-dr.com/subjects/std/</v>
      </c>
    </row>
    <row r="473">
      <c r="A473" s="31" t="str">
        <f>IFERROR(__xludf.DUMMYFUNCTION("""COMPUTED_VALUE"""),"性感染症検査後に相談はできますか？")</f>
        <v>性感染症検査後に相談はできますか？</v>
      </c>
      <c r="B473" s="31" t="str">
        <f>IFERROR(__xludf.DUMMYFUNCTION("""COMPUTED_VALUE"""),"検査結果や治療後の不安について、診察や相談が可能です。")</f>
        <v>検査結果や治療後の不安について、診察や相談が可能です。</v>
      </c>
      <c r="C473" s="31" t="str">
        <f>IFERROR(__xludf.DUMMYFUNCTION("""COMPUTED_VALUE"""),"性感染症検査")</f>
        <v>性感染症検査</v>
      </c>
      <c r="D473" s="31" t="str">
        <f>IFERROR(__xludf.DUMMYFUNCTION("""COMPUTED_VALUE"""),"性感染症検査,アフターケア,相談")</f>
        <v>性感染症検査,アフターケア,相談</v>
      </c>
      <c r="E473" s="32" t="str">
        <f>IFERROR(__xludf.DUMMYFUNCTION("""COMPUTED_VALUE"""),"https://luna-dr.com/subjects/std/")</f>
        <v>https://luna-dr.com/subjects/std/</v>
      </c>
    </row>
    <row r="474">
      <c r="A474" s="31" t="str">
        <f>IFERROR(__xludf.DUMMYFUNCTION("""COMPUTED_VALUE"""),"性感染症検査の診察・検査の流れを教えてください")</f>
        <v>性感染症検査の診察・検査の流れを教えてください</v>
      </c>
      <c r="B474" s="31" t="str">
        <f>IFERROR(__xludf.DUMMYFUNCTION("""COMPUTED_VALUE"""),"ルナレディースクリニックの性感染症検査は以下の流れで行います。①公式LINEでご予約・ご来院いただき、WEB問診に症状をご入力ください。②医師が症状や心配な点を詳しく確認し、必要な検査項目をご説明します。③内診台でおりものや分泌物を採取します。④必要に応じて採血を行います。⑤検査結果をご説明し、陽性の場合は速やかに治療を開始します。")</f>
        <v>ルナレディースクリニックの性感染症検査は以下の流れで行います。①公式LINEでご予約・ご来院いただき、WEB問診に症状をご入力ください。②医師が症状や心配な点を詳しく確認し、必要な検査項目をご説明します。③内診台でおりものや分泌物を採取します。④必要に応じて採血を行います。⑤検査結果をご説明し、陽性の場合は速やかに治療を開始します。</v>
      </c>
      <c r="C474" s="31" t="str">
        <f>IFERROR(__xludf.DUMMYFUNCTION("""COMPUTED_VALUE"""),"性感染症検査")</f>
        <v>性感染症検査</v>
      </c>
      <c r="D474" s="31" t="str">
        <f>IFERROR(__xludf.DUMMYFUNCTION("""COMPUTED_VALUE"""),"性感染症検査,診察の流れ,検査の流れ")</f>
        <v>性感染症検査,診察の流れ,検査の流れ</v>
      </c>
      <c r="E474" s="32" t="str">
        <f>IFERROR(__xludf.DUMMYFUNCTION("""COMPUTED_VALUE"""),"https://luna-dr.com/subjects/std/")</f>
        <v>https://luna-dr.com/subjects/std/</v>
      </c>
    </row>
    <row r="475">
      <c r="A475" s="31" t="str">
        <f>IFERROR(__xludf.DUMMYFUNCTION("""COMPUTED_VALUE"""),"性感染症検査の診察では何を聞かれますか？")</f>
        <v>性感染症検査の診察では何を聞かれますか？</v>
      </c>
      <c r="B475" s="31" t="str">
        <f>IFERROR(__xludf.DUMMYFUNCTION("""COMPUTED_VALUE"""),"診察では、症状が出始めた時期、内容、心配な性行為の有無、パートナーの状況、過去の性感染症歴などを確認します。その上で、必要な検査項目をご説明します。")</f>
        <v>診察では、症状が出始めた時期、内容、心配な性行為の有無、パートナーの状況、過去の性感染症歴などを確認します。その上で、必要な検査項目をご説明します。</v>
      </c>
      <c r="C475" s="31" t="str">
        <f>IFERROR(__xludf.DUMMYFUNCTION("""COMPUTED_VALUE"""),"性感染症検査")</f>
        <v>性感染症検査</v>
      </c>
      <c r="D475" s="31" t="str">
        <f>IFERROR(__xludf.DUMMYFUNCTION("""COMPUTED_VALUE"""),"性感染症検査,問診内容")</f>
        <v>性感染症検査,問診内容</v>
      </c>
      <c r="E475" s="32" t="str">
        <f>IFERROR(__xludf.DUMMYFUNCTION("""COMPUTED_VALUE"""),"https://luna-dr.com/subjects/std/")</f>
        <v>https://luna-dr.com/subjects/std/</v>
      </c>
    </row>
    <row r="476">
      <c r="A476" s="31" t="str">
        <f>IFERROR(__xludf.DUMMYFUNCTION("""COMPUTED_VALUE"""),"性感染症検査で採血はありますか？")</f>
        <v>性感染症検査で採血はありますか？</v>
      </c>
      <c r="B476" s="31" t="str">
        <f>IFERROR(__xludf.DUMMYFUNCTION("""COMPUTED_VALUE"""),"梅毒、HIV、B型肝炎などは血液検査が必要なため、腕から採血を行います。必要な検査項目は診察時に医師が判断します。")</f>
        <v>梅毒、HIV、B型肝炎などは血液検査が必要なため、腕から採血を行います。必要な検査項目は診察時に医師が判断します。</v>
      </c>
      <c r="C476" s="31" t="str">
        <f>IFERROR(__xludf.DUMMYFUNCTION("""COMPUTED_VALUE"""),"性感染症検査")</f>
        <v>性感染症検査</v>
      </c>
      <c r="D476" s="31" t="str">
        <f>IFERROR(__xludf.DUMMYFUNCTION("""COMPUTED_VALUE"""),"性感染症検査,採血,血液検査")</f>
        <v>性感染症検査,採血,血液検査</v>
      </c>
      <c r="E476" s="32" t="str">
        <f>IFERROR(__xludf.DUMMYFUNCTION("""COMPUTED_VALUE"""),"https://luna-dr.com/subjects/std/")</f>
        <v>https://luna-dr.com/subjects/std/</v>
      </c>
    </row>
    <row r="477">
      <c r="A477" s="31" t="str">
        <f>IFERROR(__xludf.DUMMYFUNCTION("""COMPUTED_VALUE"""),"性感染症検査の結果はいつわかりますか？カンジダ検査は即日でわかりますか？/カンジダの結果はすぐ出ますか？")</f>
        <v>性感染症検査の結果はいつわかりますか？カンジダ検査は即日でわかりますか？/カンジダの結果はすぐ出ますか？</v>
      </c>
      <c r="B477" s="31" t="str">
        <f>IFERROR(__xludf.DUMMYFUNCTION("""COMPUTED_VALUE"""),"検査結果は、項目によって判明する時期やご説明方法が異なります。
クラミジア・淋菌・マイコプラズマなどは約4～10日後にWebで確認できます。血液検査はご来院時に医師から直接結果をご説明します。")</f>
        <v>検査結果は、項目によって判明する時期やご説明方法が異なります。
クラミジア・淋菌・マイコプラズマなどは約4～10日後にWebで確認できます。血液検査はご来院時に医師から直接結果をご説明します。</v>
      </c>
      <c r="C477" s="31" t="str">
        <f>IFERROR(__xludf.DUMMYFUNCTION("""COMPUTED_VALUE"""),"性感染症検査")</f>
        <v>性感染症検査</v>
      </c>
      <c r="D477" s="31" t="str">
        <f>IFERROR(__xludf.DUMMYFUNCTION("""COMPUTED_VALUE"""),"性感染症検査,結果,判明時期")</f>
        <v>性感染症検査,結果,判明時期</v>
      </c>
      <c r="E477" s="32" t="str">
        <f>IFERROR(__xludf.DUMMYFUNCTION("""COMPUTED_VALUE"""),"https://luna-dr.com/subjects/std/")</f>
        <v>https://luna-dr.com/subjects/std/</v>
      </c>
    </row>
    <row r="478">
      <c r="A478" s="31" t="str">
        <f>IFERROR(__xludf.DUMMYFUNCTION("""COMPUTED_VALUE"""),"性感染症検査で陽性だった場合はどうなりますか？")</f>
        <v>性感染症検査で陽性だった場合はどうなりますか？</v>
      </c>
      <c r="B478" s="31" t="str">
        <f>IFERROR(__xludf.DUMMYFUNCTION("""COMPUTED_VALUE"""),"陽性の場合は、お薬の処方など速やかに治療を開始します。パートナーの治療の必要性や、完治までの注意点も医師が詳しくご説明します。")</f>
        <v>陽性の場合は、お薬の処方など速やかに治療を開始します。パートナーの治療の必要性や、完治までの注意点も医師が詳しくご説明します。</v>
      </c>
      <c r="C478" s="31" t="str">
        <f>IFERROR(__xludf.DUMMYFUNCTION("""COMPUTED_VALUE"""),"性感染症検査")</f>
        <v>性感染症検査</v>
      </c>
      <c r="D478" s="31" t="str">
        <f>IFERROR(__xludf.DUMMYFUNCTION("""COMPUTED_VALUE"""),"性感染症検査,陽性,治療")</f>
        <v>性感染症検査,陽性,治療</v>
      </c>
      <c r="E478" s="32" t="str">
        <f>IFERROR(__xludf.DUMMYFUNCTION("""COMPUTED_VALUE"""),"https://luna-dr.com/subjects/std/")</f>
        <v>https://luna-dr.com/subjects/std/</v>
      </c>
    </row>
    <row r="479">
      <c r="A479" s="31" t="str">
        <f>IFERROR(__xludf.DUMMYFUNCTION("""COMPUTED_VALUE"""),"性感染症検査に痛みはありますか？")</f>
        <v>性感染症検査に痛みはありますか？</v>
      </c>
      <c r="B479" s="31" t="str">
        <f>IFERROR(__xludf.DUMMYFUNCTION("""COMPUTED_VALUE"""),"内診台での検査は、綿棒でおりものをぬぐう程度ですので、強い痛みを感じることはほとんどありません。リラックスできるよう丁寧な声かけを心がけておりますので、ご安心ください。")</f>
        <v>内診台での検査は、綿棒でおりものをぬぐう程度ですので、強い痛みを感じることはほとんどありません。リラックスできるよう丁寧な声かけを心がけておりますので、ご安心ください。</v>
      </c>
      <c r="C479" s="31" t="str">
        <f>IFERROR(__xludf.DUMMYFUNCTION("""COMPUTED_VALUE"""),"性感染症検査")</f>
        <v>性感染症検査</v>
      </c>
      <c r="D479" s="31" t="str">
        <f>IFERROR(__xludf.DUMMYFUNCTION("""COMPUTED_VALUE"""),"性感染症検査,痛み,内診")</f>
        <v>性感染症検査,痛み,内診</v>
      </c>
      <c r="E479" s="32" t="str">
        <f>IFERROR(__xludf.DUMMYFUNCTION("""COMPUTED_VALUE"""),"https://luna-dr.com/subjects/std/")</f>
        <v>https://luna-dr.com/subjects/std/</v>
      </c>
    </row>
    <row r="480">
      <c r="A480" s="31" t="str">
        <f>IFERROR(__xludf.DUMMYFUNCTION("""COMPUTED_VALUE"""),"症状がなくても性感染症検査は受けられますか？")</f>
        <v>症状がなくても性感染症検査は受けられますか？</v>
      </c>
      <c r="B480" s="31" t="str">
        <f>IFERROR(__xludf.DUMMYFUNCTION("""COMPUTED_VALUE"""),"可能です。性感染症は自覚症状がない場合も多いため、ご不安な方や、パートナーが変わったタイミングなどで検査を受けていただくことは非常に重要です。その場合は、自費診療となります。")</f>
        <v>可能です。性感染症は自覚症状がない場合も多いため、ご不安な方や、パートナーが変わったタイミングなどで検査を受けていただくことは非常に重要です。その場合は、自費診療となります。</v>
      </c>
      <c r="C480" s="31" t="str">
        <f>IFERROR(__xludf.DUMMYFUNCTION("""COMPUTED_VALUE"""),"性感染症検査")</f>
        <v>性感染症検査</v>
      </c>
      <c r="D480" s="31" t="str">
        <f>IFERROR(__xludf.DUMMYFUNCTION("""COMPUTED_VALUE"""),"性感染症検査,無症状,自費診療")</f>
        <v>性感染症検査,無症状,自費診療</v>
      </c>
      <c r="E480" s="32" t="str">
        <f>IFERROR(__xludf.DUMMYFUNCTION("""COMPUTED_VALUE"""),"https://luna-dr.com/subjects/std/")</f>
        <v>https://luna-dr.com/subjects/std/</v>
      </c>
    </row>
    <row r="481">
      <c r="A481" s="31" t="str">
        <f>IFERROR(__xludf.DUMMYFUNCTION("""COMPUTED_VALUE"""),"性感染症検査はパートナーも一緒に検査を受けたほうがいいですか？")</f>
        <v>性感染症検査はパートナーも一緒に検査を受けたほうがいいですか？</v>
      </c>
      <c r="B481" s="31" t="str">
        <f>IFERROR(__xludf.DUMMYFUNCTION("""COMPUTED_VALUE"""),"パートナーとの検査を強くお勧めします。どちらか一方が治療しても、パートナーが感染したままだと再びうつし合ってしまう「ピンポン感染」に陥ってしまいます。ご自身に陽性が見つかった場合は、必ずパートナーにも検査と治療を受けていただくようお伝えください。当院ではオンラインのみ取り扱う男性向けの郵送検査キット「STDチェック」もご用意しております。")</f>
        <v>パートナーとの検査を強くお勧めします。どちらか一方が治療しても、パートナーが感染したままだと再びうつし合ってしまう「ピンポン感染」に陥ってしまいます。ご自身に陽性が見つかった場合は、必ずパートナーにも検査と治療を受けていただくようお伝えください。当院ではオンラインのみ取り扱う男性向けの郵送検査キット「STDチェック」もご用意しております。</v>
      </c>
      <c r="C481" s="31" t="str">
        <f>IFERROR(__xludf.DUMMYFUNCTION("""COMPUTED_VALUE"""),"性感染症検査")</f>
        <v>性感染症検査</v>
      </c>
      <c r="D481" s="31" t="str">
        <f>IFERROR(__xludf.DUMMYFUNCTION("""COMPUTED_VALUE"""),"性感染症検査,パートナー,ピンポン感染")</f>
        <v>性感染症検査,パートナー,ピンポン感染</v>
      </c>
      <c r="E481" s="32" t="str">
        <f>IFERROR(__xludf.DUMMYFUNCTION("""COMPUTED_VALUE"""),"https://luna-dr.com/subjects/std/")</f>
        <v>https://luna-dr.com/subjects/std/</v>
      </c>
    </row>
    <row r="482">
      <c r="A482" s="31" t="str">
        <f>IFERROR(__xludf.DUMMYFUNCTION("""COMPUTED_VALUE"""),"性病検査を受けたいけれど、忙しくて来院できない場合はどうすればいいですか？")</f>
        <v>性病検査を受けたいけれど、忙しくて来院できない場合はどうすればいいですか？</v>
      </c>
      <c r="B482" s="31" t="str">
        <f>IFERROR(__xludf.DUMMYFUNCTION("""COMPUTED_VALUE"""),"当院では、ご自宅で簡単に検査ができる郵送検査キット「FemCHECK（フェムチェック）」をご用意しています。Webサイトやお近くのクリニックで購入でき、クラミジアや淋菌などを調べることが可能です。万が一、陽性だった場合は、そのままオンライン診療でお薬を処方することもできますので、ぜひご活用ください。")</f>
        <v>当院では、ご自宅で簡単に検査ができる郵送検査キット「FemCHECK（フェムチェック）」をご用意しています。Webサイトやお近くのクリニックで購入でき、クラミジアや淋菌などを調べることが可能です。万が一、陽性だった場合は、そのままオンライン診療でお薬を処方することもできますので、ぜひご活用ください。</v>
      </c>
      <c r="C482" s="31" t="str">
        <f>IFERROR(__xludf.DUMMYFUNCTION("""COMPUTED_VALUE"""),"性感染症検査")</f>
        <v>性感染症検査</v>
      </c>
      <c r="D482" s="31" t="str">
        <f>IFERROR(__xludf.DUMMYFUNCTION("""COMPUTED_VALUE"""),"性感染症検査,郵送検査,FemCHECK")</f>
        <v>性感染症検査,郵送検査,FemCHECK</v>
      </c>
      <c r="E482" s="32" t="str">
        <f>IFERROR(__xludf.DUMMYFUNCTION("""COMPUTED_VALUE"""),"https://luna-dr.com/subjects/std/")</f>
        <v>https://luna-dr.com/subjects/std/</v>
      </c>
    </row>
    <row r="483">
      <c r="A483" s="31" t="str">
        <f>IFERROR(__xludf.DUMMYFUNCTION("""COMPUTED_VALUE"""),"性感染症はきちんと治りますか？")</f>
        <v>性感染症はきちんと治りますか？</v>
      </c>
      <c r="B483" s="31" t="str">
        <f>IFERROR(__xludf.DUMMYFUNCTION("""COMPUTED_VALUE"""),"ほとんどの性感染症は、お薬を正しく服用・使用することで完治します。例えばクラミジアの場合、1回の服用で治療できるお薬もあります。大切なのは、医師の指示通りに最後まで治療をやりきることと、治癒したことを確認する検査まできちんと受けることです。私たちが責任をもってサポートします。")</f>
        <v>ほとんどの性感染症は、お薬を正しく服用・使用することで完治します。例えばクラミジアの場合、1回の服用で治療できるお薬もあります。大切なのは、医師の指示通りに最後まで治療をやりきることと、治癒したことを確認する検査まできちんと受けることです。私たちが責任をもってサポートします。</v>
      </c>
      <c r="C483" s="31" t="str">
        <f>IFERROR(__xludf.DUMMYFUNCTION("""COMPUTED_VALUE"""),"性感染症検査")</f>
        <v>性感染症検査</v>
      </c>
      <c r="D483" s="31" t="str">
        <f>IFERROR(__xludf.DUMMYFUNCTION("""COMPUTED_VALUE"""),"性感染症,完治,治療")</f>
        <v>性感染症,完治,治療</v>
      </c>
      <c r="E483" s="32" t="str">
        <f>IFERROR(__xludf.DUMMYFUNCTION("""COMPUTED_VALUE"""),"https://luna-dr.com/subjects/std/")</f>
        <v>https://luna-dr.com/subjects/std/</v>
      </c>
    </row>
    <row r="484">
      <c r="A484" s="31" t="str">
        <f>IFERROR(__xludf.DUMMYFUNCTION("""COMPUTED_VALUE"""),"妊娠したかもしれない場合、いつ受診すればいいですか？")</f>
        <v>妊娠したかもしれない場合、いつ受診すればいいですか？</v>
      </c>
      <c r="B484" s="31" t="str">
        <f>IFERROR(__xludf.DUMMYFUNCTION("""COMPUTED_VALUE"""),"ルナレディースクリニックでは、市販の妊娠検査薬で陽性反応が出た後、または生理予定日から1〜2週間経過した頃の受診をおすすめしています。妊娠週数が早すぎると、超音波（エコー）検査で胎嚢が確認できない場合があるため、適切なタイミングでの受診がより正確な診断につながります。")</f>
        <v>ルナレディースクリニックでは、市販の妊娠検査薬で陽性反応が出た後、または生理予定日から1〜2週間経過した頃の受診をおすすめしています。妊娠週数が早すぎると、超音波（エコー）検査で胎嚢が確認できない場合があるため、適切なタイミングでの受診がより正確な診断につながります。</v>
      </c>
      <c r="C484" s="31" t="str">
        <f>IFERROR(__xludf.DUMMYFUNCTION("""COMPUTED_VALUE"""),"妊娠検査")</f>
        <v>妊娠検査</v>
      </c>
      <c r="D484" s="31" t="str">
        <f>IFERROR(__xludf.DUMMYFUNCTION("""COMPUTED_VALUE"""),"妊娠検査,妊娠したかも,受診タイミング")</f>
        <v>妊娠検査,妊娠したかも,受診タイミング</v>
      </c>
      <c r="E484" s="32" t="str">
        <f>IFERROR(__xludf.DUMMYFUNCTION("""COMPUTED_VALUE"""),"https://luna-dr.com/subjects/pregnancy-test/")</f>
        <v>https://luna-dr.com/subjects/pregnancy-test/</v>
      </c>
    </row>
    <row r="485">
      <c r="A485" s="31" t="str">
        <f>IFERROR(__xludf.DUMMYFUNCTION("""COMPUTED_VALUE"""),"市販の妊娠検査薬で陽性が出た")</f>
        <v>市販の妊娠検査薬で陽性が出た</v>
      </c>
      <c r="B485" s="31" t="str">
        <f>IFERROR(__xludf.DUMMYFUNCTION("""COMPUTED_VALUE"""),"ルナレディースクリニックでは、問診・尿検査・超音波（エコー）検査を行います。尿検査で妊娠反応を確認し、超音波検査では子宮内に胎嚢があるか、正常な妊娠かどうかを確認します。異所性妊娠（子宮外妊娠）の有無も確認できる重要な検査です。")</f>
        <v>ルナレディースクリニックでは、問診・尿検査・超音波（エコー）検査を行います。尿検査で妊娠反応を確認し、超音波検査では子宮内に胎嚢があるか、正常な妊娠かどうかを確認します。異所性妊娠（子宮外妊娠）の有無も確認できる重要な検査です。</v>
      </c>
      <c r="C485" s="31" t="str">
        <f>IFERROR(__xludf.DUMMYFUNCTION("""COMPUTED_VALUE"""),"妊娠検査")</f>
        <v>妊娠検査</v>
      </c>
      <c r="D485" s="31" t="str">
        <f>IFERROR(__xludf.DUMMYFUNCTION("""COMPUTED_VALUE"""),"妊娠検査,市販検査薬,エコー検査")</f>
        <v>妊娠検査,市販検査薬,エコー検査</v>
      </c>
      <c r="E485" s="32" t="str">
        <f>IFERROR(__xludf.DUMMYFUNCTION("""COMPUTED_VALUE"""),"https://luna-dr.com/subjects/pregnancy-test/")</f>
        <v>https://luna-dr.com/subjects/pregnancy-test/</v>
      </c>
    </row>
    <row r="486">
      <c r="A486" s="31" t="str">
        <f>IFERROR(__xludf.DUMMYFUNCTION("""COMPUTED_VALUE"""),"妊娠検査の費用はいくらですか？")</f>
        <v>妊娠検査の費用はいくらですか？</v>
      </c>
      <c r="B486" s="31" t="str">
        <f>IFERROR(__xludf.DUMMYFUNCTION("""COMPUTED_VALUE"""),"ルナレディースクリニックでの妊娠検査の費用は、妊娠判定（尿検査）が1,000円（税込）、超音波（エコー）検査が5,500円（税込）です。別途、初診料・再診料がかかります。")</f>
        <v>ルナレディースクリニックでの妊娠検査の費用は、妊娠判定（尿検査）が1,000円（税込）、超音波（エコー）検査が5,500円（税込）です。別途、初診料・再診料がかかります。</v>
      </c>
      <c r="C486" s="31" t="str">
        <f>IFERROR(__xludf.DUMMYFUNCTION("""COMPUTED_VALUE"""),"妊娠検査")</f>
        <v>妊娠検査</v>
      </c>
      <c r="D486" s="31" t="str">
        <f>IFERROR(__xludf.DUMMYFUNCTION("""COMPUTED_VALUE"""),"妊娠検査,費用,料金")</f>
        <v>妊娠検査,費用,料金</v>
      </c>
      <c r="E486" s="32" t="str">
        <f>IFERROR(__xludf.DUMMYFUNCTION("""COMPUTED_VALUE"""),"https://luna-dr.com/subjects/pregnancy-test/")</f>
        <v>https://luna-dr.com/subjects/pregnancy-test/</v>
      </c>
    </row>
    <row r="487">
      <c r="A487" s="31" t="str">
        <f>IFERROR(__xludf.DUMMYFUNCTION("""COMPUTED_VALUE"""),"妊娠検査は保険適用になりますか？")</f>
        <v>妊娠検査は保険適用になりますか？</v>
      </c>
      <c r="B487" s="31" t="str">
        <f>IFERROR(__xludf.DUMMYFUNCTION("""COMPUTED_VALUE"""),"ルナレディースクリニックでは、妊娠検査は原則として自費診療となります。診察内容や症状によって対応が異なる場合がありますので、医師の診察時にご説明します。")</f>
        <v>ルナレディースクリニックでは、妊娠検査は原則として自費診療となります。診察内容や症状によって対応が異なる場合がありますので、医師の診察時にご説明します。</v>
      </c>
      <c r="C487" s="31" t="str">
        <f>IFERROR(__xludf.DUMMYFUNCTION("""COMPUTED_VALUE"""),"妊娠検査")</f>
        <v>妊娠検査</v>
      </c>
      <c r="D487" s="31" t="str">
        <f>IFERROR(__xludf.DUMMYFUNCTION("""COMPUTED_VALUE"""),"妊娠検査,保険適用,自費診療")</f>
        <v>妊娠検査,保険適用,自費診療</v>
      </c>
      <c r="E487" s="32" t="str">
        <f>IFERROR(__xludf.DUMMYFUNCTION("""COMPUTED_VALUE"""),"https://luna-dr.com/subjects/pregnancy-test/")</f>
        <v>https://luna-dr.com/subjects/pregnancy-test/</v>
      </c>
    </row>
    <row r="488">
      <c r="A488" s="31" t="str">
        <f>IFERROR(__xludf.DUMMYFUNCTION("""COMPUTED_VALUE"""),"妊娠検査は初診でも受けられますか？")</f>
        <v>妊娠検査は初診でも受けられますか？</v>
      </c>
      <c r="B488" s="31" t="str">
        <f>IFERROR(__xludf.DUMMYFUNCTION("""COMPUTED_VALUE"""),"ルナレディースクリニックでは初診の方でも妊娠検査を受けていただけます。市販の妊娠検査薬で陽性が出た場合や、生理が来ない場合はお気軽にご相談ください。")</f>
        <v>ルナレディースクリニックでは初診の方でも妊娠検査を受けていただけます。市販の妊娠検査薬で陽性が出た場合や、生理が来ない場合はお気軽にご相談ください。</v>
      </c>
      <c r="C488" s="31" t="str">
        <f>IFERROR(__xludf.DUMMYFUNCTION("""COMPUTED_VALUE"""),"妊娠検査")</f>
        <v>妊娠検査</v>
      </c>
      <c r="D488" s="31" t="str">
        <f>IFERROR(__xludf.DUMMYFUNCTION("""COMPUTED_VALUE"""),"妊娠検査,初診OK,妊娠確認")</f>
        <v>妊娠検査,初診OK,妊娠確認</v>
      </c>
      <c r="E488" s="32" t="str">
        <f>IFERROR(__xludf.DUMMYFUNCTION("""COMPUTED_VALUE"""),"https://luna-dr.com/subjects/pregnancy-test/")</f>
        <v>https://luna-dr.com/subjects/pregnancy-test/</v>
      </c>
    </row>
    <row r="489">
      <c r="A489" s="31" t="str">
        <f>IFERROR(__xludf.DUMMYFUNCTION("""COMPUTED_VALUE"""),"妊娠検査はオンライン診療でもできますか？")</f>
        <v>妊娠検査はオンライン診療でもできますか？</v>
      </c>
      <c r="B489" s="31" t="str">
        <f>IFERROR(__xludf.DUMMYFUNCTION("""COMPUTED_VALUE"""),"妊娠の確定診断には超音波（エコー）検査が必要なため、ルナレディースクリニックでは妊娠検査は来院での診療のみ対応しています。")</f>
        <v>妊娠の確定診断には超音波（エコー）検査が必要なため、ルナレディースクリニックでは妊娠検査は来院での診療のみ対応しています。</v>
      </c>
      <c r="C489" s="31" t="str">
        <f>IFERROR(__xludf.DUMMYFUNCTION("""COMPUTED_VALUE"""),"妊娠検査")</f>
        <v>妊娠検査</v>
      </c>
      <c r="D489" s="31" t="str">
        <f>IFERROR(__xludf.DUMMYFUNCTION("""COMPUTED_VALUE"""),"妊娠検査,オンライン診療,来院必須")</f>
        <v>妊娠検査,オンライン診療,来院必須</v>
      </c>
      <c r="E489" s="32" t="str">
        <f>IFERROR(__xludf.DUMMYFUNCTION("""COMPUTED_VALUE"""),"https://luna-dr.com/subjects/pregnancy-test/")</f>
        <v>https://luna-dr.com/subjects/pregnancy-test/</v>
      </c>
    </row>
    <row r="490">
      <c r="A490" s="31" t="str">
        <f>IFERROR(__xludf.DUMMYFUNCTION("""COMPUTED_VALUE"""),"他院で妊娠の診察を受けていますが、こちらでも診てもらえますか？")</f>
        <v>他院で妊娠の診察を受けていますが、こちらでも診てもらえますか？</v>
      </c>
      <c r="B490" s="31" t="str">
        <f>IFERROR(__xludf.DUMMYFUNCTION("""COMPUTED_VALUE"""),"当院では妊娠12週までの方の診察を承っておりますが、すでに他の医療機関にて妊娠経過の診察を受けておられる方につきましては、当院で妊娠の経過を把握することが難しいため、原則として、これまで通院されている医療機関（かかりつけ医）でのご受診をお願いいたします。")</f>
        <v>当院では妊娠12週までの方の診察を承っておりますが、すでに他の医療機関にて妊娠経過の診察を受けておられる方につきましては、当院で妊娠の経過を把握することが難しいため、原則として、これまで通院されている医療機関（かかりつけ医）でのご受診をお願いいたします。</v>
      </c>
      <c r="C490" s="31" t="str">
        <f>IFERROR(__xludf.DUMMYFUNCTION("""COMPUTED_VALUE"""),"妊娠検査")</f>
        <v>妊娠検査</v>
      </c>
      <c r="D490" s="31" t="str">
        <f>IFERROR(__xludf.DUMMYFUNCTION("""COMPUTED_VALUE"""),"妊娠検査,転院,他院通院中")</f>
        <v>妊娠検査,転院,他院通院中</v>
      </c>
      <c r="E490" s="32" t="str">
        <f>IFERROR(__xludf.DUMMYFUNCTION("""COMPUTED_VALUE"""),"https://luna-dr.com/subjects/pregnancy-test/")</f>
        <v>https://luna-dr.com/subjects/pregnancy-test/</v>
      </c>
    </row>
    <row r="491">
      <c r="A491" s="31" t="str">
        <f>IFERROR(__xludf.DUMMYFUNCTION("""COMPUTED_VALUE"""),"妊娠検査の診察はどのような流れで行われますか？")</f>
        <v>妊娠検査の診察はどのような流れで行われますか？</v>
      </c>
      <c r="B491" s="31" t="str">
        <f>IFERROR(__xludf.DUMMYFUNCTION("""COMPUTED_VALUE"""),"当院での妊娠検査は、ご来院いただき、①ご予約・WEB問診、②受付・尿検査、③医師による診察・超音波（エコー）検査、④診断結果のご説明と今後のご案内、⑤お会計、という流れで行います。事前にWEB問診をご利用いただくことで、院内での待ち時間を短縮し、スムーズにご案内できます。")</f>
        <v>当院での妊娠検査は、ご来院いただき、①ご予約・WEB問診、②受付・尿検査、③医師による診察・超音波（エコー）検査、④診断結果のご説明と今後のご案内、⑤お会計、という流れで行います。事前にWEB問診をご利用いただくことで、院内での待ち時間を短縮し、スムーズにご案内できます。</v>
      </c>
      <c r="C491" s="31" t="str">
        <f>IFERROR(__xludf.DUMMYFUNCTION("""COMPUTED_VALUE"""),"妊娠検査")</f>
        <v>妊娠検査</v>
      </c>
      <c r="D491" s="31" t="str">
        <f>IFERROR(__xludf.DUMMYFUNCTION("""COMPUTED_VALUE"""),"妊娠検査,診察の流れ,エコー検査")</f>
        <v>妊娠検査,診察の流れ,エコー検査</v>
      </c>
      <c r="E491" s="32" t="str">
        <f>IFERROR(__xludf.DUMMYFUNCTION("""COMPUTED_VALUE"""),"https://luna-dr.com/subjects/pregnancy-test/")</f>
        <v>https://luna-dr.com/subjects/pregnancy-test/</v>
      </c>
    </row>
    <row r="492">
      <c r="A492" s="31" t="str">
        <f>IFERROR(__xludf.DUMMYFUNCTION("""COMPUTED_VALUE"""),"妊娠検査の予約はどうすればいいですか？")</f>
        <v>妊娠検査の予約はどうすればいいですか？</v>
      </c>
      <c r="B492" s="31" t="str">
        <f>IFERROR(__xludf.DUMMYFUNCTION("""COMPUTED_VALUE"""),"妊娠検査は、公式LINEからご予約ください。LINEはこちら→https://cline-app.com/qr-codes/98ad6f149bfa20f4f2a9a2e91aac4187/preview")</f>
        <v>妊娠検査は、公式LINEからご予約ください。LINEはこちら→https://cline-app.com/qr-codes/98ad6f149bfa20f4f2a9a2e91aac4187/preview</v>
      </c>
      <c r="C492" s="31" t="str">
        <f>IFERROR(__xludf.DUMMYFUNCTION("""COMPUTED_VALUE"""),"妊娠検査")</f>
        <v>妊娠検査</v>
      </c>
      <c r="D492" s="31" t="str">
        <f>IFERROR(__xludf.DUMMYFUNCTION("""COMPUTED_VALUE"""),"妊娠検査,予約方法,LINE予約")</f>
        <v>妊娠検査,予約方法,LINE予約</v>
      </c>
      <c r="E492" s="32" t="str">
        <f>IFERROR(__xludf.DUMMYFUNCTION("""COMPUTED_VALUE"""),"https://luna-dr.com/subjects/pregnancy-test/")</f>
        <v>https://luna-dr.com/subjects/pregnancy-test/</v>
      </c>
    </row>
    <row r="493">
      <c r="A493" s="31" t="str">
        <f>IFERROR(__xludf.DUMMYFUNCTION("""COMPUTED_VALUE"""),"妊娠検査はどうやって予約しますか？")</f>
        <v>妊娠検査はどうやって予約しますか？</v>
      </c>
      <c r="B493" s="31" t="str">
        <f>IFERROR(__xludf.DUMMYFUNCTION("""COMPUTED_VALUE"""),"妊娠検査のご予約は公式LINEから受け付けています。ご予約は「妊娠検査」のメニューからお取りください。→https://cline-app.com/qr-codes/5281ce9ad8d178106e15ddf61c996e66/previewpage?utm_customid=977137868.1765506771-176673049")</f>
        <v>妊娠検査のご予約は公式LINEから受け付けています。ご予約は「妊娠検査」のメニューからお取りください。→https://cline-app.com/qr-codes/5281ce9ad8d178106e15ddf61c996e66/previewpage?utm_customid=977137868.1765506771-176673049</v>
      </c>
      <c r="C493" s="31" t="str">
        <f>IFERROR(__xludf.DUMMYFUNCTION("""COMPUTED_VALUE"""),"妊娠検査")</f>
        <v>妊娠検査</v>
      </c>
      <c r="D493" s="31" t="str">
        <f>IFERROR(__xludf.DUMMYFUNCTION("""COMPUTED_VALUE"""),"予約方法,LINE,電話,妊娠検査")</f>
        <v>予約方法,LINE,電話,妊娠検査</v>
      </c>
      <c r="E493" s="32" t="str">
        <f>IFERROR(__xludf.DUMMYFUNCTION("""COMPUTED_VALUE"""),"https://luna-dr.com/subjects/pregnancy-test/")</f>
        <v>https://luna-dr.com/subjects/pregnancy-test/</v>
      </c>
    </row>
    <row r="494">
      <c r="A494" s="31" t="str">
        <f>IFERROR(__xludf.DUMMYFUNCTION("""COMPUTED_VALUE"""),"妊娠検査はLINEから予約できますか？")</f>
        <v>妊娠検査はLINEから予約できますか？</v>
      </c>
      <c r="B494" s="31" t="str">
        <f>IFERROR(__xludf.DUMMYFUNCTION("""COMPUTED_VALUE"""),"公式LINEから24時間いつでも予約できます。ご予約は「妊娠検査」のメニューからお取りください。→https://cline-app.com/qr-codes/5281ce9ad8d178106e15ddf61c996e66/previewpage?utm_customid=977137868.1765506771-176673049")</f>
        <v>公式LINEから24時間いつでも予約できます。ご予約は「妊娠検査」のメニューからお取りください。→https://cline-app.com/qr-codes/5281ce9ad8d178106e15ddf61c996e66/previewpage?utm_customid=977137868.1765506771-176673049</v>
      </c>
      <c r="C494" s="31" t="str">
        <f>IFERROR(__xludf.DUMMYFUNCTION("""COMPUTED_VALUE"""),"妊娠検査")</f>
        <v>妊娠検査</v>
      </c>
      <c r="D494" s="31" t="str">
        <f>IFERROR(__xludf.DUMMYFUNCTION("""COMPUTED_VALUE"""),"LINE予約,婦人科予約,妊娠検査")</f>
        <v>LINE予約,婦人科予約,妊娠検査</v>
      </c>
      <c r="E494" s="32" t="str">
        <f>IFERROR(__xludf.DUMMYFUNCTION("""COMPUTED_VALUE"""),"https://luna-dr.com/subjects/pregnancy-test/")</f>
        <v>https://luna-dr.com/subjects/pregnancy-test/</v>
      </c>
    </row>
    <row r="495">
      <c r="A495" s="31" t="str">
        <f>IFERROR(__xludf.DUMMYFUNCTION("""COMPUTED_VALUE"""),"妊娠検査は電話でも予約できますか？")</f>
        <v>妊娠検査は電話でも予約できますか？</v>
      </c>
      <c r="B495" s="31" t="str">
        <f>IFERROR(__xludf.DUMMYFUNCTION("""COMPUTED_VALUE"""),"LINEでの予約後、事前問診等もLINEから行うことができ、スムーズに受診ができるため、当院ではLINEでのご予約を推奨しております。
ご予約は「妊娠検査」のメニューからお取りください。→https://cline-app.com/qr-codes/5281ce9ad8d178106e15ddf61c996e66/previewpage?utm_customid=977137868.1765506771-176673049")</f>
        <v>LINEでの予約後、事前問診等もLINEから行うことができ、スムーズに受診ができるため、当院ではLINEでのご予約を推奨しております。
ご予約は「妊娠検査」のメニューからお取りください。→https://cline-app.com/qr-codes/5281ce9ad8d178106e15ddf61c996e66/previewpage?utm_customid=977137868.1765506771-176673049</v>
      </c>
      <c r="C495" s="31" t="str">
        <f>IFERROR(__xludf.DUMMYFUNCTION("""COMPUTED_VALUE"""),"妊娠検査")</f>
        <v>妊娠検査</v>
      </c>
      <c r="D495" s="31" t="str">
        <f>IFERROR(__xludf.DUMMYFUNCTION("""COMPUTED_VALUE"""),"電話予約,問い合わせ,妊娠検査")</f>
        <v>電話予約,問い合わせ,妊娠検査</v>
      </c>
      <c r="E495" s="32" t="str">
        <f>IFERROR(__xludf.DUMMYFUNCTION("""COMPUTED_VALUE"""),"https://luna-dr.com/subjects/pregnancy-test/")</f>
        <v>https://luna-dr.com/subjects/pregnancy-test/</v>
      </c>
    </row>
    <row r="496">
      <c r="A496" s="31" t="str">
        <f>IFERROR(__xludf.DUMMYFUNCTION("""COMPUTED_VALUE"""),"妊娠検査の予約前に準備しておくことはありますか？")</f>
        <v>妊娠検査の予約前に準備しておくことはありますか？</v>
      </c>
      <c r="B496" s="31" t="str">
        <f>IFERROR(__xludf.DUMMYFUNCTION("""COMPUTED_VALUE"""),"ルナレディースクリニックでは、診察前にWEB問診の入力をお願いしています。事前にご入力いただくと診察がスムーズです。")</f>
        <v>ルナレディースクリニックでは、診察前にWEB問診の入力をお願いしています。事前にご入力いただくと診察がスムーズです。</v>
      </c>
      <c r="C496" s="31" t="str">
        <f>IFERROR(__xludf.DUMMYFUNCTION("""COMPUTED_VALUE"""),"妊娠検査")</f>
        <v>妊娠検査</v>
      </c>
      <c r="D496" s="31" t="str">
        <f>IFERROR(__xludf.DUMMYFUNCTION("""COMPUTED_VALUE"""),"WEB問診,事前準備,妊娠検査")</f>
        <v>WEB問診,事前準備,妊娠検査</v>
      </c>
      <c r="E496" s="32" t="str">
        <f>IFERROR(__xludf.DUMMYFUNCTION("""COMPUTED_VALUE"""),"https://luna-dr.com/subjects/pregnancy-test/")</f>
        <v>https://luna-dr.com/subjects/pregnancy-test/</v>
      </c>
    </row>
    <row r="497">
      <c r="A497" s="31" t="str">
        <f>IFERROR(__xludf.DUMMYFUNCTION("""COMPUTED_VALUE"""),"妊娠検査は初診でも予約できますか？")</f>
        <v>妊娠検査は初診でも予約できますか？</v>
      </c>
      <c r="B497" s="31" t="str">
        <f>IFERROR(__xludf.DUMMYFUNCTION("""COMPUTED_VALUE"""),"妊娠検査は初診の方もご予約いただけます。ご予約は公式LINEから受け付けておりますので、友だち追加の上ご利用ください。
ご予約は「妊娠検査」のメニューからお取りください。→https://cline-app.com/qr-codes/5281ce9ad8d178106e15ddf61c996e66/previewpage?utm_customid=977137868.1765506771-176673049")</f>
        <v>妊娠検査は初診の方もご予約いただけます。ご予約は公式LINEから受け付けておりますので、友だち追加の上ご利用ください。
ご予約は「妊娠検査」のメニューからお取りください。→https://cline-app.com/qr-codes/5281ce9ad8d178106e15ddf61c996e66/previewpage?utm_customid=977137868.1765506771-176673049</v>
      </c>
      <c r="C497" s="31" t="str">
        <f>IFERROR(__xludf.DUMMYFUNCTION("""COMPUTED_VALUE"""),"妊娠検査")</f>
        <v>妊娠検査</v>
      </c>
      <c r="D497" s="31" t="str">
        <f>IFERROR(__xludf.DUMMYFUNCTION("""COMPUTED_VALUE"""),"初診,予約,妊娠検査")</f>
        <v>初診,予約,妊娠検査</v>
      </c>
      <c r="E497" s="32" t="str">
        <f>IFERROR(__xludf.DUMMYFUNCTION("""COMPUTED_VALUE"""),"https://luna-dr.com/subjects/pregnancy-test/")</f>
        <v>https://luna-dr.com/subjects/pregnancy-test/</v>
      </c>
    </row>
    <row r="498">
      <c r="A498" s="31" t="str">
        <f>IFERROR(__xludf.DUMMYFUNCTION("""COMPUTED_VALUE"""),"妊娠検査は来院とオンライン、どちらで予約できますか？")</f>
        <v>妊娠検査は来院とオンライン、どちらで予約できますか？</v>
      </c>
      <c r="B498" s="31" t="str">
        <f>IFERROR(__xludf.DUMMYFUNCTION("""COMPUTED_VALUE"""),"ルナレディースクリニックでは、妊娠検査のご相談は来院診療のみで承っています。
ご予約は「妊娠検査」のメニューからお取りください。→https://cline-app.com/qr-codes/5281ce9ad8d178106e15ddf61c996e66/previewpage?utm_customid=977137868.1765506771-176673049")</f>
        <v>ルナレディースクリニックでは、妊娠検査のご相談は来院診療のみで承っています。
ご予約は「妊娠検査」のメニューからお取りください。→https://cline-app.com/qr-codes/5281ce9ad8d178106e15ddf61c996e66/previewpage?utm_customid=977137868.1765506771-176673049</v>
      </c>
      <c r="C498" s="31" t="str">
        <f>IFERROR(__xludf.DUMMYFUNCTION("""COMPUTED_VALUE"""),"妊娠検査")</f>
        <v>妊娠検査</v>
      </c>
      <c r="D498" s="31" t="str">
        <f>IFERROR(__xludf.DUMMYFUNCTION("""COMPUTED_VALUE"""),"来院診療,オンライン診療,妊娠検査")</f>
        <v>来院診療,オンライン診療,妊娠検査</v>
      </c>
      <c r="E498" s="32" t="str">
        <f>IFERROR(__xludf.DUMMYFUNCTION("""COMPUTED_VALUE"""),"https://luna-dr.com/subjects/pregnancy-test/")</f>
        <v>https://luna-dr.com/subjects/pregnancy-test/</v>
      </c>
    </row>
    <row r="499">
      <c r="A499" s="31" t="str">
        <f>IFERROR(__xludf.DUMMYFUNCTION("""COMPUTED_VALUE"""),"予約なしでも妊娠検査は受けられますか？")</f>
        <v>予約なしでも妊娠検査は受けられますか？</v>
      </c>
      <c r="B499" s="31" t="str">
        <f>IFERROR(__xludf.DUMMYFUNCTION("""COMPUTED_VALUE"""),"直接のご来院でも可能ですが、待ち時間が発生する場合があります。事前にご予約をいただくことでスムーズに診察に進むことができます。
ご予約は公式LINEから受け付けています。ご予約は「妊娠検査」のメニューからお取りください。→https://cline-app.com/qr-codes/5281ce9ad8d178106e15ddf61c996e66/previewpage?utm_customid=977137868.1765506771-176673049")</f>
        <v>直接のご来院でも可能ですが、待ち時間が発生する場合があります。事前にご予約をいただくことでスムーズに診察に進むことができます。
ご予約は公式LINEから受け付けています。ご予約は「妊娠検査」のメニューからお取りください。→https://cline-app.com/qr-codes/5281ce9ad8d178106e15ddf61c996e66/previewpage?utm_customid=977137868.1765506771-176673049</v>
      </c>
      <c r="C499" s="31" t="str">
        <f>IFERROR(__xludf.DUMMYFUNCTION("""COMPUTED_VALUE"""),"妊娠検査")</f>
        <v>妊娠検査</v>
      </c>
      <c r="D499" s="31" t="str">
        <f>IFERROR(__xludf.DUMMYFUNCTION("""COMPUTED_VALUE"""),"妊娠検査検査,予約なし")</f>
        <v>妊娠検査検査,予約なし</v>
      </c>
      <c r="E499" s="32" t="str">
        <f>IFERROR(__xludf.DUMMYFUNCTION("""COMPUTED_VALUE"""),"https://luna-dr.com/subjects/pregnancy-test/")</f>
        <v>https://luna-dr.com/subjects/pregnancy-test/</v>
      </c>
    </row>
    <row r="500">
      <c r="A500" s="31" t="str">
        <f>IFERROR(__xludf.DUMMYFUNCTION("""COMPUTED_VALUE"""),"妊娠検査では最初に何をしますか？")</f>
        <v>妊娠検査では最初に何をしますか？</v>
      </c>
      <c r="B500" s="31" t="str">
        <f>IFERROR(__xludf.DUMMYFUNCTION("""COMPUTED_VALUE"""),"ご来院後、受付でご本人確認を行った後、妊娠反応を調べるために院内で尿検査を行います。")</f>
        <v>ご来院後、受付でご本人確認を行った後、妊娠反応を調べるために院内で尿検査を行います。</v>
      </c>
      <c r="C500" s="31" t="str">
        <f>IFERROR(__xludf.DUMMYFUNCTION("""COMPUTED_VALUE"""),"妊娠検査")</f>
        <v>妊娠検査</v>
      </c>
      <c r="D500" s="31" t="str">
        <f>IFERROR(__xludf.DUMMYFUNCTION("""COMPUTED_VALUE"""),"妊娠検査,尿検査,初診")</f>
        <v>妊娠検査,尿検査,初診</v>
      </c>
      <c r="E500" s="32" t="str">
        <f>IFERROR(__xludf.DUMMYFUNCTION("""COMPUTED_VALUE"""),"https://luna-dr.com/subjects/pregnancy-test/")</f>
        <v>https://luna-dr.com/subjects/pregnancy-test/</v>
      </c>
    </row>
    <row r="501">
      <c r="A501" s="31" t="str">
        <f>IFERROR(__xludf.DUMMYFUNCTION("""COMPUTED_VALUE"""),"妊娠検査ではエコー検査は行いますか？")</f>
        <v>妊娠検査ではエコー検査は行いますか？</v>
      </c>
      <c r="B501" s="31" t="str">
        <f>IFERROR(__xludf.DUMMYFUNCTION("""COMPUTED_VALUE"""),"問診内容と尿検査の結果をもとに、医師が膣からの超音波（エコー）検査を行い、子宮内の様子を確認します。正常な妊娠かどうか、異所性妊娠の可能性がないかを診断します。")</f>
        <v>問診内容と尿検査の結果をもとに、医師が膣からの超音波（エコー）検査を行い、子宮内の様子を確認します。正常な妊娠かどうか、異所性妊娠の可能性がないかを診断します。</v>
      </c>
      <c r="C501" s="31" t="str">
        <f>IFERROR(__xludf.DUMMYFUNCTION("""COMPUTED_VALUE"""),"妊娠検査")</f>
        <v>妊娠検査</v>
      </c>
      <c r="D501" s="31" t="str">
        <f>IFERROR(__xludf.DUMMYFUNCTION("""COMPUTED_VALUE"""),"妊娠検査,エコー検査,超音波")</f>
        <v>妊娠検査,エコー検査,超音波</v>
      </c>
      <c r="E501" s="32" t="str">
        <f>IFERROR(__xludf.DUMMYFUNCTION("""COMPUTED_VALUE"""),"https://luna-dr.com/subjects/pregnancy-test/")</f>
        <v>https://luna-dr.com/subjects/pregnancy-test/</v>
      </c>
    </row>
    <row r="502">
      <c r="A502" s="31" t="str">
        <f>IFERROR(__xludf.DUMMYFUNCTION("""COMPUTED_VALUE"""),"妊娠検査の結果はどのように説明されますか？")</f>
        <v>妊娠検査の結果はどのように説明されますか？</v>
      </c>
      <c r="B502" s="31" t="str">
        <f>IFERROR(__xludf.DUMMYFUNCTION("""COMPUTED_VALUE"""),"検査結果については、モニターの映像をお見せしながら、医師が分かりやすくご説明します。正常な妊娠が確認できた場合は、今後の妊婦健診のスケジュールについてもご案内します。")</f>
        <v>検査結果については、モニターの映像をお見せしながら、医師が分かりやすくご説明します。正常な妊娠が確認できた場合は、今後の妊婦健診のスケジュールについてもご案内します。</v>
      </c>
      <c r="C502" s="31" t="str">
        <f>IFERROR(__xludf.DUMMYFUNCTION("""COMPUTED_VALUE"""),"妊娠検査")</f>
        <v>妊娠検査</v>
      </c>
      <c r="D502" s="31" t="str">
        <f>IFERROR(__xludf.DUMMYFUNCTION("""COMPUTED_VALUE"""),"妊娠検査,結果説明,妊婦健診")</f>
        <v>妊娠検査,結果説明,妊婦健診</v>
      </c>
      <c r="E502" s="32" t="str">
        <f>IFERROR(__xludf.DUMMYFUNCTION("""COMPUTED_VALUE"""),"https://luna-dr.com/subjects/pregnancy-test/")</f>
        <v>https://luna-dr.com/subjects/pregnancy-test/</v>
      </c>
    </row>
    <row r="503">
      <c r="A503" s="31" t="str">
        <f>IFERROR(__xludf.DUMMYFUNCTION("""COMPUTED_VALUE"""),"妊娠検査の当日はどこまで進みますか？")</f>
        <v>妊娠検査の当日はどこまで進みますか？</v>
      </c>
      <c r="B503" s="31" t="str">
        <f>IFERROR(__xludf.DUMMYFUNCTION("""COMPUTED_VALUE"""),"妊娠検査当日は、尿検査と超音波（エコー）検査による妊娠の確認まで行います。正常な妊娠が確認できた場合は、今後の流れや妊婦健診についてご説明します。")</f>
        <v>妊娠検査当日は、尿検査と超音波（エコー）検査による妊娠の確認まで行います。正常な妊娠が確認できた場合は、今後の流れや妊婦健診についてご説明します。</v>
      </c>
      <c r="C503" s="31" t="str">
        <f>IFERROR(__xludf.DUMMYFUNCTION("""COMPUTED_VALUE"""),"妊娠検査")</f>
        <v>妊娠検査</v>
      </c>
      <c r="D503" s="31" t="str">
        <f>IFERROR(__xludf.DUMMYFUNCTION("""COMPUTED_VALUE"""),"妊娠検査,初診当日,どこまで")</f>
        <v>妊娠検査,初診当日,どこまで</v>
      </c>
      <c r="E503" s="32" t="str">
        <f>IFERROR(__xludf.DUMMYFUNCTION("""COMPUTED_VALUE"""),"https://luna-dr.com/subjects/pregnancy-test/")</f>
        <v>https://luna-dr.com/subjects/pregnancy-test/</v>
      </c>
    </row>
    <row r="504">
      <c r="A504" s="31" t="str">
        <f>IFERROR(__xludf.DUMMYFUNCTION("""COMPUTED_VALUE"""),"妊娠検査後のお会計はいつ行いますか？")</f>
        <v>妊娠検査後のお会計はいつ行いますか？</v>
      </c>
      <c r="B504" s="31" t="str">
        <f>IFERROR(__xludf.DUMMYFUNCTION("""COMPUTED_VALUE"""),"診察と結果説明が終了した後にお会計となります。母子手帳の受け取り方など、ご不明点があればお会計時にご相談いただけます。")</f>
        <v>診察と結果説明が終了した後にお会計となります。母子手帳の受け取り方など、ご不明点があればお会計時にご相談いただけます。</v>
      </c>
      <c r="C504" s="31" t="str">
        <f>IFERROR(__xludf.DUMMYFUNCTION("""COMPUTED_VALUE"""),"妊娠検査")</f>
        <v>妊娠検査</v>
      </c>
      <c r="D504" s="31" t="str">
        <f>IFERROR(__xludf.DUMMYFUNCTION("""COMPUTED_VALUE"""),"妊娠検査,支払い,会計")</f>
        <v>妊娠検査,支払い,会計</v>
      </c>
      <c r="E504" s="32" t="str">
        <f>IFERROR(__xludf.DUMMYFUNCTION("""COMPUTED_VALUE"""),"https://luna-dr.com/subjects/pregnancy-test/")</f>
        <v>https://luna-dr.com/subjects/pregnancy-test/</v>
      </c>
    </row>
    <row r="505">
      <c r="A505" s="31" t="str">
        <f>IFERROR(__xludf.DUMMYFUNCTION("""COMPUTED_VALUE"""),"妊娠検査で陽性だった場合、その後どうなりますか？")</f>
        <v>妊娠検査で陽性だった場合、その後どうなりますか？</v>
      </c>
      <c r="B505" s="31" t="str">
        <f>IFERROR(__xludf.DUMMYFUNCTION("""COMPUTED_VALUE"""),"当院で正常な妊娠が確認された後は、お住まいの市区町村で母子健康手帳を受け取り、その後、定期的な妊婦健診が始まります。当院では分娩は行っていないため、分娩施設への紹介状を作成いたします。紹介先の医療機関は患者さまご自身でお探しいただいております。")</f>
        <v>当院で正常な妊娠が確認された後は、お住まいの市区町村で母子健康手帳を受け取り、その後、定期的な妊婦健診が始まります。当院では分娩は行っていないため、分娩施設への紹介状を作成いたします。紹介先の医療機関は患者さまご自身でお探しいただいております。</v>
      </c>
      <c r="C505" s="31" t="str">
        <f>IFERROR(__xludf.DUMMYFUNCTION("""COMPUTED_VALUE"""),"妊娠検査")</f>
        <v>妊娠検査</v>
      </c>
      <c r="D505" s="31" t="str">
        <f>IFERROR(__xludf.DUMMYFUNCTION("""COMPUTED_VALUE"""),"妊娠検査,陽性後の流れ,母子手帳")</f>
        <v>妊娠検査,陽性後の流れ,母子手帳</v>
      </c>
      <c r="E505" s="32" t="str">
        <f>IFERROR(__xludf.DUMMYFUNCTION("""COMPUTED_VALUE"""),"https://luna-dr.com/subjects/pregnancy-test/")</f>
        <v>https://luna-dr.com/subjects/pregnancy-test/</v>
      </c>
    </row>
    <row r="506">
      <c r="A506" s="31" t="str">
        <f>IFERROR(__xludf.DUMMYFUNCTION("""COMPUTED_VALUE"""),"妊娠検査薬で陽性が出たら、いつ受診すればいいですか？")</f>
        <v>妊娠検査薬で陽性が出たら、いつ受診すればいいですか？</v>
      </c>
      <c r="B506" s="31" t="str">
        <f>IFERROR(__xludf.DUMMYFUNCTION("""COMPUTED_VALUE"""),"生理予定日から1〜2週間後が、超音波検査で胎嚢が確認しやすいタイミングです。ただし、出血や腹痛がある場合や不安が強い場合は、早めにご相談ください。")</f>
        <v>生理予定日から1〜2週間後が、超音波検査で胎嚢が確認しやすいタイミングです。ただし、出血や腹痛がある場合や不安が強い場合は、早めにご相談ください。</v>
      </c>
      <c r="C506" s="31" t="str">
        <f>IFERROR(__xludf.DUMMYFUNCTION("""COMPUTED_VALUE"""),"妊娠検査")</f>
        <v>妊娠検査</v>
      </c>
      <c r="D506" s="31" t="str">
        <f>IFERROR(__xludf.DUMMYFUNCTION("""COMPUTED_VALUE"""),"妊娠検査,受診タイミング,陽性")</f>
        <v>妊娠検査,受診タイミング,陽性</v>
      </c>
      <c r="E506" s="32" t="str">
        <f>IFERROR(__xludf.DUMMYFUNCTION("""COMPUTED_VALUE"""),"https://luna-dr.com/subjects/pregnancy-test/")</f>
        <v>https://luna-dr.com/subjects/pregnancy-test/</v>
      </c>
    </row>
    <row r="507">
      <c r="A507" s="31" t="str">
        <f>IFERROR(__xludf.DUMMYFUNCTION("""COMPUTED_VALUE"""),"妊娠検査の費用はいくらですか？保険は使えますか？")</f>
        <v>妊娠検査の費用はいくらですか？保険は使えますか？</v>
      </c>
      <c r="B507" s="31" t="str">
        <f>IFERROR(__xludf.DUMMYFUNCTION("""COMPUTED_VALUE"""),"妊娠検査は自費診療となり、健康保険は使用できません。費用は妊娠判定（尿検査）1,000円（税込）、超音波（エコー）検査5,500円（税込）が目安となります。万が一、異所性妊娠などの異常が見つかった場合は、その後の治療は保険適用となります。")</f>
        <v>妊娠検査は自費診療となり、健康保険は使用できません。費用は妊娠判定（尿検査）1,000円（税込）、超音波（エコー）検査5,500円（税込）が目安となります。万が一、異所性妊娠などの異常が見つかった場合は、その後の治療は保険適用となります。</v>
      </c>
      <c r="C507" s="31" t="str">
        <f>IFERROR(__xludf.DUMMYFUNCTION("""COMPUTED_VALUE"""),"妊娠検査")</f>
        <v>妊娠検査</v>
      </c>
      <c r="D507" s="31" t="str">
        <f>IFERROR(__xludf.DUMMYFUNCTION("""COMPUTED_VALUE"""),"妊娠検査,費用,保険適用")</f>
        <v>妊娠検査,費用,保険適用</v>
      </c>
      <c r="E507" s="32" t="str">
        <f>IFERROR(__xludf.DUMMYFUNCTION("""COMPUTED_VALUE"""),"https://luna-dr.com/subjects/pregnancy-test/")</f>
        <v>https://luna-dr.com/subjects/pregnancy-test/</v>
      </c>
    </row>
    <row r="508">
      <c r="A508" s="31" t="str">
        <f>IFERROR(__xludf.DUMMYFUNCTION("""COMPUTED_VALUE"""),"妊娠検査の診察では内診はありますか？痛みはありますか？")</f>
        <v>妊娠検査の診察では内診はありますか？痛みはありますか？</v>
      </c>
      <c r="B508" s="31" t="str">
        <f>IFERROR(__xludf.DUMMYFUNCTION("""COMPUTED_VALUE"""),"主に問診と、膣からの超音波（エコー）検査を行います。力を抜いてリラックスしていただければ、痛みはほとんどありません。医師やスタッフが丁寧にお声がけしながら進めますのでご安心ください。")</f>
        <v>主に問診と、膣からの超音波（エコー）検査を行います。力を抜いてリラックスしていただければ、痛みはほとんどありません。医師やスタッフが丁寧にお声がけしながら進めますのでご安心ください。</v>
      </c>
      <c r="C508" s="31" t="str">
        <f>IFERROR(__xludf.DUMMYFUNCTION("""COMPUTED_VALUE"""),"妊娠検査")</f>
        <v>妊娠検査</v>
      </c>
      <c r="D508" s="31" t="str">
        <f>IFERROR(__xludf.DUMMYFUNCTION("""COMPUTED_VALUE"""),"妊娠検査,内診,痛み")</f>
        <v>妊娠検査,内診,痛み</v>
      </c>
      <c r="E508" s="32" t="str">
        <f>IFERROR(__xludf.DUMMYFUNCTION("""COMPUTED_VALUE"""),"https://luna-dr.com/subjects/pregnancy-test/")</f>
        <v>https://luna-dr.com/subjects/pregnancy-test/</v>
      </c>
    </row>
    <row r="509">
      <c r="A509" s="31" t="str">
        <f>IFERROR(__xludf.DUMMYFUNCTION("""COMPUTED_VALUE"""),"妊娠検査の持ち物はありますか？")</f>
        <v>妊娠検査の持ち物はありますか？</v>
      </c>
      <c r="B509" s="31" t="str">
        <f>IFERROR(__xludf.DUMMYFUNCTION("""COMPUTED_VALUE"""),"健康保険証をご持参ください。また、基礎体温を測っている方は、基礎体温表をお持ちいただくと診察の参考になります。")</f>
        <v>健康保険証をご持参ください。また、基礎体温を測っている方は、基礎体温表をお持ちいただくと診察の参考になります。</v>
      </c>
      <c r="C509" s="31" t="str">
        <f>IFERROR(__xludf.DUMMYFUNCTION("""COMPUTED_VALUE"""),"妊娠検査")</f>
        <v>妊娠検査</v>
      </c>
      <c r="D509" s="31" t="str">
        <f>IFERROR(__xludf.DUMMYFUNCTION("""COMPUTED_VALUE"""),"妊娠検査,持ち物,初診準備")</f>
        <v>妊娠検査,持ち物,初診準備</v>
      </c>
      <c r="E509" s="32" t="str">
        <f>IFERROR(__xludf.DUMMYFUNCTION("""COMPUTED_VALUE"""),"https://luna-dr.com/subjects/pregnancy-test/")</f>
        <v>https://luna-dr.com/subjects/pregnancy-test/</v>
      </c>
    </row>
    <row r="510">
      <c r="A510" s="31" t="str">
        <f>IFERROR(__xludf.DUMMYFUNCTION("""COMPUTED_VALUE"""),"パートナーと一緒に妊娠検査を受けられますか？")</f>
        <v>パートナーと一緒に妊娠検査を受けられますか？</v>
      </c>
      <c r="B510" s="31" t="str">
        <f>IFERROR(__xludf.DUMMYFUNCTION("""COMPUTED_VALUE"""),"申し訳ございませんが、当院では男性の同伴をご遠慮いただいております。あらかじめご了承ください。")</f>
        <v>申し訳ございませんが、当院では男性の同伴をご遠慮いただいております。あらかじめご了承ください。</v>
      </c>
      <c r="C510" s="31" t="str">
        <f>IFERROR(__xludf.DUMMYFUNCTION("""COMPUTED_VALUE"""),"妊娠検査")</f>
        <v>妊娠検査</v>
      </c>
      <c r="D510" s="31" t="str">
        <f>IFERROR(__xludf.DUMMYFUNCTION("""COMPUTED_VALUE"""),"妊娠検査,同伴,パートナー")</f>
        <v>妊娠検査,同伴,パートナー</v>
      </c>
      <c r="E510" s="32" t="str">
        <f>IFERROR(__xludf.DUMMYFUNCTION("""COMPUTED_VALUE"""),"https://luna-dr.com/subjects/pregnancy-test/")</f>
        <v>https://luna-dr.com/subjects/pregnancy-test/</v>
      </c>
    </row>
    <row r="511">
      <c r="A511" s="31" t="str">
        <f>IFERROR(__xludf.DUMMYFUNCTION("""COMPUTED_VALUE"""),"ルナレディースクリニックでは中絶手術にどのように向き合っていますか？")</f>
        <v>ルナレディースクリニックでは中絶手術にどのように向き合っていますか？</v>
      </c>
      <c r="B511" s="31" t="str">
        <f>IFERROR(__xludf.DUMMYFUNCTION("""COMPUTED_VALUE"""),"ルナレディースクリニックでは、予期しない妊娠や望まない妊娠に気づいた際に生じる不安や葛藤に寄り添い、後悔のない決断ができるようサポートしています。どんな些細なことでもご相談いただける、身近で通いやすいクリニックを目指しています。")</f>
        <v>ルナレディースクリニックでは、予期しない妊娠や望まない妊娠に気づいた際に生じる不安や葛藤に寄り添い、後悔のない決断ができるようサポートしています。どんな些細なことでもご相談いただける、身近で通いやすいクリニックを目指しています。</v>
      </c>
      <c r="C511" s="31" t="str">
        <f>IFERROR(__xludf.DUMMYFUNCTION("""COMPUTED_VALUE"""),"中絶手術")</f>
        <v>中絶手術</v>
      </c>
      <c r="D511" s="31" t="str">
        <f>IFERROR(__xludf.DUMMYFUNCTION("""COMPUTED_VALUE"""),"中絶手術,人工妊娠中絶,相談")</f>
        <v>中絶手術,人工妊娠中絶,相談</v>
      </c>
      <c r="E511" s="32" t="str">
        <f>IFERROR(__xludf.DUMMYFUNCTION("""COMPUTED_VALUE"""),"https://luna-dr.com/subjects/abortion_page/")</f>
        <v>https://luna-dr.com/subjects/abortion_page/</v>
      </c>
    </row>
    <row r="512">
      <c r="A512" s="31" t="str">
        <f>IFERROR(__xludf.DUMMYFUNCTION("""COMPUTED_VALUE"""),"人工妊娠中絶手術は保険適用ですか？/中絶は保険適用ですか？")</f>
        <v>人工妊娠中絶手術は保険適用ですか？/中絶は保険適用ですか？</v>
      </c>
      <c r="B512" s="31" t="str">
        <f>IFERROR(__xludf.DUMMYFUNCTION("""COMPUTED_VALUE"""),"人工妊娠中絶手術は、健康保険が適用されない自費診療となります。")</f>
        <v>人工妊娠中絶手術は、健康保険が適用されない自費診療となります。</v>
      </c>
      <c r="C512" s="31" t="str">
        <f>IFERROR(__xludf.DUMMYFUNCTION("""COMPUTED_VALUE"""),"中絶手術")</f>
        <v>中絶手術</v>
      </c>
      <c r="D512" s="31" t="str">
        <f>IFERROR(__xludf.DUMMYFUNCTION("""COMPUTED_VALUE"""),"中絶手術,保険適用,自費診療")</f>
        <v>中絶手術,保険適用,自費診療</v>
      </c>
      <c r="E512" s="32" t="str">
        <f>IFERROR(__xludf.DUMMYFUNCTION("""COMPUTED_VALUE"""),"https://luna-dr.com/subjects/abortion_page/")</f>
        <v>https://luna-dr.com/subjects/abortion_page/</v>
      </c>
    </row>
    <row r="513">
      <c r="A513" s="31" t="str">
        <f>IFERROR(__xludf.DUMMYFUNCTION("""COMPUTED_VALUE"""),"ルナレディースクリニックの中絶手術の方法は何ですか？")</f>
        <v>ルナレディースクリニックの中絶手術の方法は何ですか？</v>
      </c>
      <c r="B513" s="31" t="str">
        <f>IFERROR(__xludf.DUMMYFUNCTION("""COMPUTED_VALUE"""),"当院では「手動真空吸引法（MVA）」による人工妊娠中絶手術を行っています。使いきりの器具を使用する方法で、術後の診察費用を含めた明確な料金体系となるよう努めています。")</f>
        <v>当院では「手動真空吸引法（MVA）」による人工妊娠中絶手術を行っています。使いきりの器具を使用する方法で、術後の診察費用を含めた明確な料金体系となるよう努めています。</v>
      </c>
      <c r="C513" s="31" t="str">
        <f>IFERROR(__xludf.DUMMYFUNCTION("""COMPUTED_VALUE"""),"中絶手術")</f>
        <v>中絶手術</v>
      </c>
      <c r="D513" s="31" t="str">
        <f>IFERROR(__xludf.DUMMYFUNCTION("""COMPUTED_VALUE"""),"中絶手術,MVA,手動真空吸引法")</f>
        <v>中絶手術,MVA,手動真空吸引法</v>
      </c>
      <c r="E513" s="32" t="str">
        <f>IFERROR(__xludf.DUMMYFUNCTION("""COMPUTED_VALUE"""),"https://luna-dr.com/subjects/abortion_page/")</f>
        <v>https://luna-dr.com/subjects/abortion_page/</v>
      </c>
    </row>
    <row r="514">
      <c r="A514" s="31" t="str">
        <f>IFERROR(__xludf.DUMMYFUNCTION("""COMPUTED_VALUE"""),"初期中絶手術の費用はいくらですか？/中絶の費用はいくら？/中絶にはどれぐらいお金がかかりますか？")</f>
        <v>初期中絶手術の費用はいくらですか？/中絶の費用はいくら？/中絶にはどれぐらいお金がかかりますか？</v>
      </c>
      <c r="B514" s="31" t="str">
        <f>IFERROR(__xludf.DUMMYFUNCTION("""COMPUTED_VALUE"""),"初期中絶手術の費用は92,400円（税込）からとなります。
当院で採用をしている「手動真空吸引法（MVA）」は使いきりの器具を使用するため高額になりやすい手術方法ですが、術後の診察費用を無料とし、明確な料金体系となるよう努めています。
※曜日と時間帯、経過週数によって手術料金が異なります。
※各種クレジットカードや電子マネーもご使用いただけます。
※当クリニックでは1回払いのみ対応しております。
※分割払いをご希望の場合は、患者様ご自身でクレジットカード会社に分割払いへの変更手続きを行っていただく必要があ"&amp;"りますので、予めご了承ください。
以下に該当する方は中絶手術をお受けできませんので予めご了承くださいませ・妊娠12週以降の方（当院では妊娠11週6日までの初期中絶のみ対応）・帝王切開歴のある方・喘息をお持ちの方で直近3ヶ月以内に発作がある場合・BMI32以上の方（BMI28以上は医師の判断）・日本語でのコミュニケーションが難しい方 ")</f>
        <v>初期中絶手術の費用は92,400円（税込）からとなります。
当院で採用をしている「手動真空吸引法（MVA）」は使いきりの器具を使用するため高額になりやすい手術方法ですが、術後の診察費用を無料とし、明確な料金体系となるよう努めています。
※曜日と時間帯、経過週数によって手術料金が異なります。
※各種クレジットカードや電子マネーもご使用いただけます。
※当クリニックでは1回払いのみ対応しております。
※分割払いをご希望の場合は、患者様ご自身でクレジットカード会社に分割払いへの変更手続きを行っていただく必要がありますので、予めご了承ください。
以下に該当する方は中絶手術をお受けできませんので予めご了承くださいませ・妊娠12週以降の方（当院では妊娠11週6日までの初期中絶のみ対応）・帝王切開歴のある方・喘息をお持ちの方で直近3ヶ月以内に発作がある場合・BMI32以上の方（BMI28以上は医師の判断）・日本語でのコミュニケーションが難しい方 </v>
      </c>
      <c r="C514" s="31" t="str">
        <f>IFERROR(__xludf.DUMMYFUNCTION("""COMPUTED_VALUE"""),"中絶手術")</f>
        <v>中絶手術</v>
      </c>
      <c r="D514" s="31" t="str">
        <f>IFERROR(__xludf.DUMMYFUNCTION("""COMPUTED_VALUE"""),"中絶手術,費用,初期中絶")</f>
        <v>中絶手術,費用,初期中絶</v>
      </c>
      <c r="E514" s="32" t="str">
        <f>IFERROR(__xludf.DUMMYFUNCTION("""COMPUTED_VALUE"""),"https://luna-dr.com/subjects/abortion_page/")</f>
        <v>https://luna-dr.com/subjects/abortion_page/</v>
      </c>
    </row>
    <row r="515">
      <c r="A515" s="31" t="str">
        <f>IFERROR(__xludf.DUMMYFUNCTION("""COMPUTED_VALUE"""),"中絶手術の支払いは分割でできますか？")</f>
        <v>中絶手術の支払いは分割でできますか？</v>
      </c>
      <c r="B515" s="31" t="str">
        <f>IFERROR(__xludf.DUMMYFUNCTION("""COMPUTED_VALUE"""),"クレジットカード会社と患者様のご契約内容によっては、中絶費用も分割でお支払いも可能です。")</f>
        <v>クレジットカード会社と患者様のご契約内容によっては、中絶費用も分割でお支払いも可能です。</v>
      </c>
      <c r="C515" s="31" t="str">
        <f>IFERROR(__xludf.DUMMYFUNCTION("""COMPUTED_VALUE"""),"中絶手術")</f>
        <v>中絶手術</v>
      </c>
      <c r="D515" s="31" t="str">
        <f>IFERROR(__xludf.DUMMYFUNCTION("""COMPUTED_VALUE"""),"中絶手術,費用,初期中絶,分割,分割払い")</f>
        <v>中絶手術,費用,初期中絶,分割,分割払い</v>
      </c>
      <c r="E515" s="32" t="str">
        <f>IFERROR(__xludf.DUMMYFUNCTION("""COMPUTED_VALUE"""),"https://luna-dr.com/subjects/abortion_page/")</f>
        <v>https://luna-dr.com/subjects/abortion_page/</v>
      </c>
    </row>
    <row r="516">
      <c r="A516" s="31" t="str">
        <f>IFERROR(__xludf.DUMMYFUNCTION("""COMPUTED_VALUE"""),"中絶手術後の診察には費用がかかりますか？")</f>
        <v>中絶手術後の診察には費用がかかりますか？</v>
      </c>
      <c r="B516" s="31" t="str">
        <f>IFERROR(__xludf.DUMMYFUNCTION("""COMPUTED_VALUE"""),"術後の診察は、1回目・2回目ともに無料で行っています。")</f>
        <v>術後の診察は、1回目・2回目ともに無料で行っています。</v>
      </c>
      <c r="C516" s="31" t="str">
        <f>IFERROR(__xludf.DUMMYFUNCTION("""COMPUTED_VALUE"""),"中絶手術")</f>
        <v>中絶手術</v>
      </c>
      <c r="D516" s="31" t="str">
        <f>IFERROR(__xludf.DUMMYFUNCTION("""COMPUTED_VALUE"""),"中絶手術,術後診察,費用")</f>
        <v>中絶手術,術後診察,費用</v>
      </c>
      <c r="E516" s="32" t="str">
        <f>IFERROR(__xludf.DUMMYFUNCTION("""COMPUTED_VALUE"""),"https://luna-dr.com/subjects/abortion_page/")</f>
        <v>https://luna-dr.com/subjects/abortion_page/</v>
      </c>
    </row>
    <row r="517">
      <c r="A517" s="31" t="str">
        <f>IFERROR(__xludf.DUMMYFUNCTION("""COMPUTED_VALUE"""),"中絶手術の初診時にはどのような検査を行いますか？")</f>
        <v>中絶手術の初診時にはどのような検査を行いますか？</v>
      </c>
      <c r="B517" s="31" t="str">
        <f>IFERROR(__xludf.DUMMYFUNCTION("""COMPUTED_VALUE"""),"初診時には、手術を安全に行うために、妊娠の確認や子宮口の状態確認に加え、感染症検査や血液検査を行います。")</f>
        <v>初診時には、手術を安全に行うために、妊娠の確認や子宮口の状態確認に加え、感染症検査や血液検査を行います。</v>
      </c>
      <c r="C517" s="31" t="str">
        <f>IFERROR(__xludf.DUMMYFUNCTION("""COMPUTED_VALUE"""),"中絶手術")</f>
        <v>中絶手術</v>
      </c>
      <c r="D517" s="31" t="str">
        <f>IFERROR(__xludf.DUMMYFUNCTION("""COMPUTED_VALUE"""),"中絶手術,初診,検査内容")</f>
        <v>中絶手術,初診,検査内容</v>
      </c>
      <c r="E517" s="32" t="str">
        <f>IFERROR(__xludf.DUMMYFUNCTION("""COMPUTED_VALUE"""),"https://luna-dr.com/subjects/abortion_page/")</f>
        <v>https://luna-dr.com/subjects/abortion_page/</v>
      </c>
    </row>
    <row r="518">
      <c r="A518" s="31" t="str">
        <f>IFERROR(__xludf.DUMMYFUNCTION("""COMPUTED_VALUE"""),"中絶手術の支払い方法には何がありますか？")</f>
        <v>中絶手術の支払い方法には何がありますか？</v>
      </c>
      <c r="B518" s="31" t="str">
        <f>IFERROR(__xludf.DUMMYFUNCTION("""COMPUTED_VALUE"""),"中絶手術のお支払いには、各種クレジットカードや電子マネーをご利用いただけます。")</f>
        <v>中絶手術のお支払いには、各種クレジットカードや電子マネーをご利用いただけます。</v>
      </c>
      <c r="C518" s="31" t="str">
        <f>IFERROR(__xludf.DUMMYFUNCTION("""COMPUTED_VALUE"""),"中絶手術")</f>
        <v>中絶手術</v>
      </c>
      <c r="D518" s="31" t="str">
        <f>IFERROR(__xludf.DUMMYFUNCTION("""COMPUTED_VALUE"""),"中絶手術,支払い方法,クレジットカード")</f>
        <v>中絶手術,支払い方法,クレジットカード</v>
      </c>
      <c r="E518" s="32" t="str">
        <f>IFERROR(__xludf.DUMMYFUNCTION("""COMPUTED_VALUE"""),"https://luna-dr.com/subjects/abortion_page/")</f>
        <v>https://luna-dr.com/subjects/abortion_page/</v>
      </c>
    </row>
    <row r="519">
      <c r="A519" s="31" t="str">
        <f>IFERROR(__xludf.DUMMYFUNCTION("""COMPUTED_VALUE"""),"中絶手術は分割払いに対応していますか？")</f>
        <v>中絶手術は分割払いに対応していますか？</v>
      </c>
      <c r="B519" s="31" t="str">
        <f>IFERROR(__xludf.DUMMYFUNCTION("""COMPUTED_VALUE"""),"当クリニックでは1回払いのみ対応しています。分割払いをご希望の場合は、患者様ご自身でクレジットカード会社へ分割払いへの変更手続きを行っていただく必要があります。")</f>
        <v>当クリニックでは1回払いのみ対応しています。分割払いをご希望の場合は、患者様ご自身でクレジットカード会社へ分割払いへの変更手続きを行っていただく必要があります。</v>
      </c>
      <c r="C519" s="31" t="str">
        <f>IFERROR(__xludf.DUMMYFUNCTION("""COMPUTED_VALUE"""),"中絶手術")</f>
        <v>中絶手術</v>
      </c>
      <c r="D519" s="31" t="str">
        <f>IFERROR(__xludf.DUMMYFUNCTION("""COMPUTED_VALUE"""),"中絶手術,分割払い,支払い方法")</f>
        <v>中絶手術,分割払い,支払い方法</v>
      </c>
      <c r="E519" s="32" t="str">
        <f>IFERROR(__xludf.DUMMYFUNCTION("""COMPUTED_VALUE"""),"https://luna-dr.com/subjects/abortion_page/")</f>
        <v>https://luna-dr.com/subjects/abortion_page/</v>
      </c>
    </row>
    <row r="520">
      <c r="A520" s="31" t="str">
        <f>IFERROR(__xludf.DUMMYFUNCTION("""COMPUTED_VALUE"""),"中絶手術の費用には何が含まれていますか？")</f>
        <v>中絶手術の費用には何が含まれていますか？</v>
      </c>
      <c r="B520" s="31" t="str">
        <f>IFERROR(__xludf.DUMMYFUNCTION("""COMPUTED_VALUE"""),"手動真空吸引法（MVA）による中絶手術費用には、手術費用に加え、術後の診察費用が含まれています。初診時の検査費用については、手術を安全に行うための検査として別途実施されます。")</f>
        <v>手動真空吸引法（MVA）による中絶手術費用には、手術費用に加え、術後の診察費用が含まれています。初診時の検査費用については、手術を安全に行うための検査として別途実施されます。</v>
      </c>
      <c r="C520" s="31" t="str">
        <f>IFERROR(__xludf.DUMMYFUNCTION("""COMPUTED_VALUE"""),"中絶手術")</f>
        <v>中絶手術</v>
      </c>
      <c r="D520" s="31" t="str">
        <f>IFERROR(__xludf.DUMMYFUNCTION("""COMPUTED_VALUE"""),"中絶手術,費用内訳,MVA")</f>
        <v>中絶手術,費用内訳,MVA</v>
      </c>
      <c r="E520" s="32" t="str">
        <f>IFERROR(__xludf.DUMMYFUNCTION("""COMPUTED_VALUE"""),"https://luna-dr.com/subjects/abortion_page/")</f>
        <v>https://luna-dr.com/subjects/abortion_page/</v>
      </c>
    </row>
    <row r="521">
      <c r="A521" s="31" t="str">
        <f>IFERROR(__xludf.DUMMYFUNCTION("""COMPUTED_VALUE"""),"妊婦のための支援給付制度とは何ですか？")</f>
        <v>妊婦のための支援給付制度とは何ですか？</v>
      </c>
      <c r="B521" s="31" t="str">
        <f>IFERROR(__xludf.DUMMYFUNCTION("""COMPUTED_VALUE"""),"妊婦のための支援給付制度は、妊娠期から出産・子育てまでを支援するために、自治体が実施している給付金制度です。妊娠届を提出した方を対象に、給付金が支給されます。公式LINEでは制度概要をご案内しておりますので、ご利用ください。https://cline-app.com/qr-codes/b243ab6a55e32b967cab9b2589de5aae/previewpage?utm_customid=977137868.1765506771-1767184286")</f>
        <v>妊婦のための支援給付制度は、妊娠期から出産・子育てまでを支援するために、自治体が実施している給付金制度です。妊娠届を提出した方を対象に、給付金が支給されます。公式LINEでは制度概要をご案内しておりますので、ご利用ください。https://cline-app.com/qr-codes/b243ab6a55e32b967cab9b2589de5aae/previewpage?utm_customid=977137868.1765506771-1767184286</v>
      </c>
      <c r="C521" s="31" t="str">
        <f>IFERROR(__xludf.DUMMYFUNCTION("""COMPUTED_VALUE"""),"中絶手術")</f>
        <v>中絶手術</v>
      </c>
      <c r="D521" s="31" t="str">
        <f>IFERROR(__xludf.DUMMYFUNCTION("""COMPUTED_VALUE"""),"妊婦支援給付制度,出産子育て応援給付金,給付金")</f>
        <v>妊婦支援給付制度,出産子育て応援給付金,給付金</v>
      </c>
      <c r="E521" s="32" t="str">
        <f>IFERROR(__xludf.DUMMYFUNCTION("""COMPUTED_VALUE"""),"https://luna-dr.com/subjects/abortion_page/")</f>
        <v>https://luna-dr.com/subjects/abortion_page/</v>
      </c>
    </row>
    <row r="522">
      <c r="A522" s="31" t="str">
        <f>IFERROR(__xludf.DUMMYFUNCTION("""COMPUTED_VALUE"""),"妊婦支援給付制度はいくらもらえますか？")</f>
        <v>妊婦支援給付制度はいくらもらえますか？</v>
      </c>
      <c r="B522" s="31" t="str">
        <f>IFERROR(__xludf.DUMMYFUNCTION("""COMPUTED_VALUE"""),"一般的には、妊娠届提出後に1回目として妊婦1人あたり5万円、出産後に2回目として胎児の数×5万円が支給されます。ただし金額は自治体によって異なります。公式LINEでは制度概要をご案内しておりますので、ご利用ください。https://cline-app.com/qr-codes/b243ab6a55e32b967cab9b2589de5aae/previewpage?utm_customid=977137868.1765506771-1767184286")</f>
        <v>一般的には、妊娠届提出後に1回目として妊婦1人あたり5万円、出産後に2回目として胎児の数×5万円が支給されます。ただし金額は自治体によって異なります。公式LINEでは制度概要をご案内しておりますので、ご利用ください。https://cline-app.com/qr-codes/b243ab6a55e32b967cab9b2589de5aae/previewpage?utm_customid=977137868.1765506771-1767184286</v>
      </c>
      <c r="C522" s="31" t="str">
        <f>IFERROR(__xludf.DUMMYFUNCTION("""COMPUTED_VALUE"""),"中絶手術")</f>
        <v>中絶手術</v>
      </c>
      <c r="D522" s="31" t="str">
        <f>IFERROR(__xludf.DUMMYFUNCTION("""COMPUTED_VALUE"""),"妊婦支援給付制度,給付額,5万円")</f>
        <v>妊婦支援給付制度,給付額,5万円</v>
      </c>
      <c r="E522" s="32" t="str">
        <f>IFERROR(__xludf.DUMMYFUNCTION("""COMPUTED_VALUE"""),"https://luna-dr.com/subjects/abortion_page/")</f>
        <v>https://luna-dr.com/subjects/abortion_page/</v>
      </c>
    </row>
    <row r="523">
      <c r="A523" s="31" t="str">
        <f>IFERROR(__xludf.DUMMYFUNCTION("""COMPUTED_VALUE"""),"妊婦支援給付制度は中絶した場合も対象になりますか？")</f>
        <v>妊婦支援給付制度は中絶した場合も対象になりますか？</v>
      </c>
      <c r="B523" s="31" t="str">
        <f>IFERROR(__xludf.DUMMYFUNCTION("""COMPUTED_VALUE"""),"妊娠届を提出している場合、自治体によっては中絶手術を受けた方も給付の対象となるケースがあります。ただし、支給条件は自治体ごとに異なるため、必ずお住まいの自治体へご確認ください。公式LINEでは制度概要をご案内しておりますので、ご利用ください。https://cline-app.com/qr-codes/b243ab6a55e32b967cab9b2589de5aae/previewpage?utm_customid=977137868.1765506771-1767184286")</f>
        <v>妊娠届を提出している場合、自治体によっては中絶手術を受けた方も給付の対象となるケースがあります。ただし、支給条件は自治体ごとに異なるため、必ずお住まいの自治体へご確認ください。公式LINEでは制度概要をご案内しておりますので、ご利用ください。https://cline-app.com/qr-codes/b243ab6a55e32b967cab9b2589de5aae/previewpage?utm_customid=977137868.1765506771-1767184286</v>
      </c>
      <c r="C523" s="31" t="str">
        <f>IFERROR(__xludf.DUMMYFUNCTION("""COMPUTED_VALUE"""),"中絶手術")</f>
        <v>中絶手術</v>
      </c>
      <c r="D523" s="31" t="str">
        <f>IFERROR(__xludf.DUMMYFUNCTION("""COMPUTED_VALUE"""),"妊婦支援給付制度,中絶,給付対象")</f>
        <v>妊婦支援給付制度,中絶,給付対象</v>
      </c>
      <c r="E523" s="32" t="str">
        <f>IFERROR(__xludf.DUMMYFUNCTION("""COMPUTED_VALUE"""),"https://luna-dr.com/subjects/abortion_page/")</f>
        <v>https://luna-dr.com/subjects/abortion_page/</v>
      </c>
    </row>
    <row r="524">
      <c r="A524" s="31" t="str">
        <f>IFERROR(__xludf.DUMMYFUNCTION("""COMPUTED_VALUE"""),"妊婦支援給付制度を受けるには何が必要ですか？")</f>
        <v>妊婦支援給付制度を受けるには何が必要ですか？</v>
      </c>
      <c r="B524" s="31" t="str">
        <f>IFERROR(__xludf.DUMMYFUNCTION("""COMPUTED_VALUE"""),"妊婦支援給付制度を受けるには、原則として妊娠届の提出が必要です。申請方法や必要書類は自治体によって異なります。公式LINEでは制度概要をご案内しておりますので、ご利用ください。https://cline-app.com/qr-codes/b243ab6a55e32b967cab9b2589de5aae/previewpage?utm_customid=977137868.1765506771-1767184286公式LINEでは制度概要をご案内しておりますので、ご利用ください。https://cline-"&amp;"app.com/qr-codes/b243ab6a55e32b967cab9b2589de5aae/previewpage?utm_customid=977137868.1765506771-1767184286")</f>
        <v>妊婦支援給付制度を受けるには、原則として妊娠届の提出が必要です。申請方法や必要書類は自治体によって異なります。公式LINEでは制度概要をご案内しておりますので、ご利用ください。https://cline-app.com/qr-codes/b243ab6a55e32b967cab9b2589de5aae/previewpage?utm_customid=977137868.1765506771-1767184286公式LINEでは制度概要をご案内しておりますので、ご利用ください。https://cline-app.com/qr-codes/b243ab6a55e32b967cab9b2589de5aae/previewpage?utm_customid=977137868.1765506771-1767184286</v>
      </c>
      <c r="C524" s="31" t="str">
        <f>IFERROR(__xludf.DUMMYFUNCTION("""COMPUTED_VALUE"""),"中絶手術")</f>
        <v>中絶手術</v>
      </c>
      <c r="D524" s="31" t="str">
        <f>IFERROR(__xludf.DUMMYFUNCTION("""COMPUTED_VALUE"""),"妊婦支援給付制度,妊娠届,申請方法")</f>
        <v>妊婦支援給付制度,妊娠届,申請方法</v>
      </c>
      <c r="E524" s="32" t="str">
        <f>IFERROR(__xludf.DUMMYFUNCTION("""COMPUTED_VALUE"""),"https://luna-dr.com/subjects/abortion_page/")</f>
        <v>https://luna-dr.com/subjects/abortion_page/</v>
      </c>
    </row>
    <row r="525">
      <c r="A525" s="31" t="str">
        <f>IFERROR(__xludf.DUMMYFUNCTION("""COMPUTED_VALUE"""),"妊婦支援給付制度は全国共通ですか？")</f>
        <v>妊婦支援給付制度は全国共通ですか？</v>
      </c>
      <c r="B525" s="31" t="str">
        <f>IFERROR(__xludf.DUMMYFUNCTION("""COMPUTED_VALUE"""),"制度の枠組みは国の事業に基づいていますが、給付の有無や金額、申請条件は自治体ごとに異なります。必ずお住まいの自治体の案内をご確認ください。公式LINEでは制度概要をご案内しておりますので、ご利用ください。https://cline-app.com/qr-codes/b243ab6a55e32b967cab9b2589de5aae/previewpage?utm_customid=977137868.1765506771-1767184286")</f>
        <v>制度の枠組みは国の事業に基づいていますが、給付の有無や金額、申請条件は自治体ごとに異なります。必ずお住まいの自治体の案内をご確認ください。公式LINEでは制度概要をご案内しておりますので、ご利用ください。https://cline-app.com/qr-codes/b243ab6a55e32b967cab9b2589de5aae/previewpage?utm_customid=977137868.1765506771-1767184286</v>
      </c>
      <c r="C525" s="31" t="str">
        <f>IFERROR(__xludf.DUMMYFUNCTION("""COMPUTED_VALUE"""),"中絶手術")</f>
        <v>中絶手術</v>
      </c>
      <c r="D525" s="31" t="str">
        <f>IFERROR(__xludf.DUMMYFUNCTION("""COMPUTED_VALUE"""),"妊婦支援給付制度,自治体,違い")</f>
        <v>妊婦支援給付制度,自治体,違い</v>
      </c>
      <c r="E525" s="32" t="str">
        <f>IFERROR(__xludf.DUMMYFUNCTION("""COMPUTED_VALUE"""),"https://luna-dr.com/subjects/abortion_page/")</f>
        <v>https://luna-dr.com/subjects/abortion_page/</v>
      </c>
    </row>
    <row r="526">
      <c r="A526" s="31" t="str">
        <f>IFERROR(__xludf.DUMMYFUNCTION("""COMPUTED_VALUE"""),"ルナレディースクリニックの中絶手術は安全ですか？/中絶はできますか？")</f>
        <v>ルナレディースクリニックの中絶手術は安全ですか？/中絶はできますか？</v>
      </c>
      <c r="B526" s="31" t="str">
        <f>IFERROR(__xludf.DUMMYFUNCTION("""COMPUTED_VALUE"""),"ルナレディースクリニックでは、WHO（世界保健機関）が推奨する安全性の高い「吸引法」の中でも、子宮に優しい手動真空吸引法（MVA）を採用し、中絶手術を行っています。柔らかく細い使い捨て器具を使用するため、子宮を傷つけるリスクや感染症のリスクを極めて低く抑えています。")</f>
        <v>ルナレディースクリニックでは、WHO（世界保健機関）が推奨する安全性の高い「吸引法」の中でも、子宮に優しい手動真空吸引法（MVA）を採用し、中絶手術を行っています。柔らかく細い使い捨て器具を使用するため、子宮を傷つけるリスクや感染症のリスクを極めて低く抑えています。</v>
      </c>
      <c r="C526" s="31" t="str">
        <f>IFERROR(__xludf.DUMMYFUNCTION("""COMPUTED_VALUE"""),"中絶手術")</f>
        <v>中絶手術</v>
      </c>
      <c r="D526" s="31" t="str">
        <f>IFERROR(__xludf.DUMMYFUNCTION("""COMPUTED_VALUE"""),"中絶手術,安全性,WHO,吸引法,MVA")</f>
        <v>中絶手術,安全性,WHO,吸引法,MVA</v>
      </c>
      <c r="E526" s="32" t="str">
        <f>IFERROR(__xludf.DUMMYFUNCTION("""COMPUTED_VALUE"""),"https://luna-dr.com/subjects/abortion_page/")</f>
        <v>https://luna-dr.com/subjects/abortion_page/</v>
      </c>
    </row>
    <row r="527">
      <c r="A527" s="31" t="str">
        <f>IFERROR(__xludf.DUMMYFUNCTION("""COMPUTED_VALUE"""),"中絶手術で採用している手術方法は何ですか？")</f>
        <v>中絶手術で採用している手術方法は何ですか？</v>
      </c>
      <c r="B527" s="31" t="str">
        <f>IFERROR(__xludf.DUMMYFUNCTION("""COMPUTED_VALUE"""),"当院ではWHOが推奨する吸引法の一つである「手動真空吸引法（MVA）」を採用しています。痛みが少なく、子宮への負担が少ないことが特長です。")</f>
        <v>当院ではWHOが推奨する吸引法の一つである「手動真空吸引法（MVA）」を採用しています。痛みが少なく、子宮への負担が少ないことが特長です。</v>
      </c>
      <c r="C527" s="31" t="str">
        <f>IFERROR(__xludf.DUMMYFUNCTION("""COMPUTED_VALUE"""),"中絶手術")</f>
        <v>中絶手術</v>
      </c>
      <c r="D527" s="31" t="str">
        <f>IFERROR(__xludf.DUMMYFUNCTION("""COMPUTED_VALUE"""),"中絶手術,MVA,吸引法,手動真空吸引法")</f>
        <v>中絶手術,MVA,吸引法,手動真空吸引法</v>
      </c>
      <c r="E527" s="32" t="str">
        <f>IFERROR(__xludf.DUMMYFUNCTION("""COMPUTED_VALUE"""),"https://luna-dr.com/subjects/abortion_page/")</f>
        <v>https://luna-dr.com/subjects/abortion_page/</v>
      </c>
    </row>
    <row r="528">
      <c r="A528" s="31" t="str">
        <f>IFERROR(__xludf.DUMMYFUNCTION("""COMPUTED_VALUE"""),"中絶手術はどの医師が担当しますか？")</f>
        <v>中絶手術はどの医師が担当しますか？</v>
      </c>
      <c r="B528" s="31" t="str">
        <f>IFERROR(__xludf.DUMMYFUNCTION("""COMPUTED_VALUE"""),"中絶手術は、産婦人科専門医の資格を持つ母体保護法指定医が担当します。豊富な経験と専門知識を持つ医師が、患者様一人ひとりの状態を丁寧に確認したうえで手術を行います。")</f>
        <v>中絶手術は、産婦人科専門医の資格を持つ母体保護法指定医が担当します。豊富な経験と専門知識を持つ医師が、患者様一人ひとりの状態を丁寧に確認したうえで手術を行います。</v>
      </c>
      <c r="C528" s="31" t="str">
        <f>IFERROR(__xludf.DUMMYFUNCTION("""COMPUTED_VALUE"""),"中絶手術")</f>
        <v>中絶手術</v>
      </c>
      <c r="D528" s="31" t="str">
        <f>IFERROR(__xludf.DUMMYFUNCTION("""COMPUTED_VALUE"""),"中絶手術,母体保護法指定医,産婦人科専門医")</f>
        <v>中絶手術,母体保護法指定医,産婦人科専門医</v>
      </c>
      <c r="E528" s="32" t="str">
        <f>IFERROR(__xludf.DUMMYFUNCTION("""COMPUTED_VALUE"""),"https://luna-dr.com/subjects/abortion_page/")</f>
        <v>https://luna-dr.com/subjects/abortion_page/</v>
      </c>
    </row>
    <row r="529">
      <c r="A529" s="31" t="str">
        <f>IFERROR(__xludf.DUMMYFUNCTION("""COMPUTED_VALUE"""),"中絶手術は日帰りで受けられますか？")</f>
        <v>中絶手術は日帰りで受けられますか？</v>
      </c>
      <c r="B529" s="31" t="str">
        <f>IFERROR(__xludf.DUMMYFUNCTION("""COMPUTED_VALUE"""),"中絶手術は日帰り手術です。来院からご帰宅までの目安は3〜4時間で、手術時間自体は約15分と短時間です。手術後は2時間ほど休息してからご帰宅いただきます。")</f>
        <v>中絶手術は日帰り手術です。来院からご帰宅までの目安は3〜4時間で、手術時間自体は約15分と短時間です。手術後は2時間ほど休息してからご帰宅いただきます。</v>
      </c>
      <c r="C529" s="31" t="str">
        <f>IFERROR(__xludf.DUMMYFUNCTION("""COMPUTED_VALUE"""),"中絶手術")</f>
        <v>中絶手術</v>
      </c>
      <c r="D529" s="31" t="str">
        <f>IFERROR(__xludf.DUMMYFUNCTION("""COMPUTED_VALUE"""),"中絶手術,日帰り手術,所要時間")</f>
        <v>中絶手術,日帰り手術,所要時間</v>
      </c>
      <c r="E529" s="32" t="str">
        <f>IFERROR(__xludf.DUMMYFUNCTION("""COMPUTED_VALUE"""),"https://luna-dr.com/subjects/abortion_page/")</f>
        <v>https://luna-dr.com/subjects/abortion_page/</v>
      </c>
    </row>
    <row r="530">
      <c r="A530" s="31" t="str">
        <f>IFERROR(__xludf.DUMMYFUNCTION("""COMPUTED_VALUE"""),"中絶手術中の痛みはありますか？")</f>
        <v>中絶手術中の痛みはありますか？</v>
      </c>
      <c r="B530" s="31" t="str">
        <f>IFERROR(__xludf.DUMMYFUNCTION("""COMPUTED_VALUE"""),"静脈麻酔と笑気麻酔を併用し手術を行うため、手術中はほとんど痛みを感じません。※医師判断で局所麻酔を使用する場合もあります。
手術時間が15分と短いため、麻酔が十分に効いている間に手術を終えられます。
不安や緊張で気分が悪くなる場合もありますので、些細なことでもぜひご相談ください。")</f>
        <v>静脈麻酔と笑気麻酔を併用し手術を行うため、手術中はほとんど痛みを感じません。※医師判断で局所麻酔を使用する場合もあります。
手術時間が15分と短いため、麻酔が十分に効いている間に手術を終えられます。
不安や緊張で気分が悪くなる場合もありますので、些細なことでもぜひご相談ください。</v>
      </c>
      <c r="C530" s="31" t="str">
        <f>IFERROR(__xludf.DUMMYFUNCTION("""COMPUTED_VALUE"""),"中絶手術")</f>
        <v>中絶手術</v>
      </c>
      <c r="D530" s="31" t="str">
        <f>IFERROR(__xludf.DUMMYFUNCTION("""COMPUTED_VALUE"""),"中絶手術,痛み,麻酔,静脈麻酔,笑気麻酔")</f>
        <v>中絶手術,痛み,麻酔,静脈麻酔,笑気麻酔</v>
      </c>
      <c r="E530" s="32" t="str">
        <f>IFERROR(__xludf.DUMMYFUNCTION("""COMPUTED_VALUE"""),"https://luna-dr.com/subjects/abortion_page/")</f>
        <v>https://luna-dr.com/subjects/abortion_page/</v>
      </c>
    </row>
    <row r="531">
      <c r="A531" s="31" t="str">
        <f>IFERROR(__xludf.DUMMYFUNCTION("""COMPUTED_VALUE"""),"中絶手術後の感染リスクは高くありませんか？")</f>
        <v>中絶手術後の感染リスクは高くありませんか？</v>
      </c>
      <c r="B531" s="31" t="str">
        <f>IFERROR(__xludf.DUMMYFUNCTION("""COMPUTED_VALUE"""),"当院では滅菌済みの使い捨て器具のみを使用しているため、手術器具を介した感染リスクを限りなくゼロに近づけています。")</f>
        <v>当院では滅菌済みの使い捨て器具のみを使用しているため、手術器具を介した感染リスクを限りなくゼロに近づけています。</v>
      </c>
      <c r="C531" s="31" t="str">
        <f>IFERROR(__xludf.DUMMYFUNCTION("""COMPUTED_VALUE"""),"中絶手術")</f>
        <v>中絶手術</v>
      </c>
      <c r="D531" s="31" t="str">
        <f>IFERROR(__xludf.DUMMYFUNCTION("""COMPUTED_VALUE"""),"中絶手術,感染リスク,使い捨て器具")</f>
        <v>中絶手術,感染リスク,使い捨て器具</v>
      </c>
      <c r="E531" s="32" t="str">
        <f>IFERROR(__xludf.DUMMYFUNCTION("""COMPUTED_VALUE"""),"https://luna-dr.com/subjects/abortion_page/")</f>
        <v>https://luna-dr.com/subjects/abortion_page/</v>
      </c>
    </row>
    <row r="532">
      <c r="A532" s="31" t="str">
        <f>IFERROR(__xludf.DUMMYFUNCTION("""COMPUTED_VALUE"""),"中絶手術後のアフターケアはありますか？")</f>
        <v>中絶手術後のアフターケアはありますか？</v>
      </c>
      <c r="B532" s="31" t="str">
        <f>IFERROR(__xludf.DUMMYFUNCTION("""COMPUTED_VALUE"""),"子宮と体調の回復を確認することはもちろん、望まない妊娠を繰り返さないためにも、中絶後のケアは大切です。
当クリニックでは術後1週間後と3週間後の2回の検診を無料で受けられますので、安心してご来院ください。")</f>
        <v>子宮と体調の回復を確認することはもちろん、望まない妊娠を繰り返さないためにも、中絶後のケアは大切です。
当クリニックでは術後1週間後と3週間後の2回の検診を無料で受けられますので、安心してご来院ください。</v>
      </c>
      <c r="C532" s="31" t="str">
        <f>IFERROR(__xludf.DUMMYFUNCTION("""COMPUTED_VALUE"""),"中絶手術")</f>
        <v>中絶手術</v>
      </c>
      <c r="D532" s="31" t="str">
        <f>IFERROR(__xludf.DUMMYFUNCTION("""COMPUTED_VALUE"""),"中絶後,アフターケア,術後検診")</f>
        <v>中絶後,アフターケア,術後検診</v>
      </c>
      <c r="E532" s="32" t="str">
        <f>IFERROR(__xludf.DUMMYFUNCTION("""COMPUTED_VALUE"""),"https://luna-dr.com/subjects/abortion_page/")</f>
        <v>https://luna-dr.com/subjects/abortion_page/</v>
      </c>
    </row>
    <row r="533">
      <c r="A533" s="31" t="str">
        <f>IFERROR(__xludf.DUMMYFUNCTION("""COMPUTED_VALUE"""),"中絶手術ではプライバシーには配慮されていますか？")</f>
        <v>中絶手術ではプライバシーには配慮されていますか？</v>
      </c>
      <c r="B533" s="31" t="str">
        <f>IFERROR(__xludf.DUMMYFUNCTION("""COMPUTED_VALUE"""),"手術前後は完全個室でお休みいただけます。プライバシーに十分配慮した環境でお過ごしいただけます。")</f>
        <v>手術前後は完全個室でお休みいただけます。プライバシーに十分配慮した環境でお過ごしいただけます。</v>
      </c>
      <c r="C533" s="31" t="str">
        <f>IFERROR(__xludf.DUMMYFUNCTION("""COMPUTED_VALUE"""),"中絶手術")</f>
        <v>中絶手術</v>
      </c>
      <c r="D533" s="31" t="str">
        <f>IFERROR(__xludf.DUMMYFUNCTION("""COMPUTED_VALUE"""),"中絶手術,プライバシー,個室")</f>
        <v>中絶手術,プライバシー,個室</v>
      </c>
      <c r="E533" s="32" t="str">
        <f>IFERROR(__xludf.DUMMYFUNCTION("""COMPUTED_VALUE"""),"https://luna-dr.com/subjects/abortion_page/")</f>
        <v>https://luna-dr.com/subjects/abortion_page/</v>
      </c>
    </row>
    <row r="534">
      <c r="A534" s="31" t="str">
        <f>IFERROR(__xludf.DUMMYFUNCTION("""COMPUTED_VALUE"""),"ルナレディースクリニックで対応している中絶の妊娠週数は？")</f>
        <v>ルナレディースクリニックで対応している中絶の妊娠週数は？</v>
      </c>
      <c r="B534" s="31" t="str">
        <f>IFERROR(__xludf.DUMMYFUNCTION("""COMPUTED_VALUE"""),"当院では妊娠11週6日までの初期中絶に対応しています。妊娠週数が進むほど身体的・精神的・経済的負担が大きくなるため、早めの受診をおすすめしています。")</f>
        <v>当院では妊娠11週6日までの初期中絶に対応しています。妊娠週数が進むほど身体的・精神的・経済的負担が大きくなるため、早めの受診をおすすめしています。</v>
      </c>
      <c r="C534" s="31" t="str">
        <f>IFERROR(__xludf.DUMMYFUNCTION("""COMPUTED_VALUE"""),"中絶手術")</f>
        <v>中絶手術</v>
      </c>
      <c r="D534" s="31" t="str">
        <f>IFERROR(__xludf.DUMMYFUNCTION("""COMPUTED_VALUE"""),"初期中絶,妊娠週数,中絶可能週数")</f>
        <v>初期中絶,妊娠週数,中絶可能週数</v>
      </c>
      <c r="E534" s="32" t="str">
        <f>IFERROR(__xludf.DUMMYFUNCTION("""COMPUTED_VALUE"""),"https://luna-dr.com/subjects/abortion_page/")</f>
        <v>https://luna-dr.com/subjects/abortion_page/</v>
      </c>
    </row>
    <row r="535">
      <c r="A535" s="31" t="str">
        <f>IFERROR(__xludf.DUMMYFUNCTION("""COMPUTED_VALUE"""),"当日中絶できますか？/中絶手術は当日できますか？")</f>
        <v>当日中絶できますか？/中絶手術は当日できますか？</v>
      </c>
      <c r="B535" s="31" t="str">
        <f>IFERROR(__xludf.DUMMYFUNCTION("""COMPUTED_VALUE"""),"大変恐縮ではありますが、当院では当日に中絶手術を行うことはできません。当クリニックでは、中絶手術の1回目としてカウンセリングと検査を行います。公式LINEからご予約のうえご来院いただき、問診・超音波（エコー）検査・血液検査を行い、妊娠週数やお身体の状態を確認します。その後、手術方法やリスク、費用について医師が詳しくご説明し、ご納得いただいた場合に手術日の予約を行います。患者様のご負担を軽減するため、「手術当日以外」はお近くのクリニックをご利用いただける体制を整えております。■初回相談・術前検査：川崎駅前院"&amp;"／横浜駅前院／町田駅前院→ご都合の良い院で受診可能 ■手術当日：横浜駅前院のみ→施術当日のみ横浜へご来院いただきます ■術後フォロー：川崎駅前院／横浜駅前院／町田駅前院→お近くの院で受診可能 ご予約は公式LINEから24時間承っております。LINEはこちら→https://cline-app.com/qr-codes/98ad6f149bfa20f4f2a9a2e91aac4187/preview
以下に該当する方は中絶手術をお受けできませんので予めご了承くださいませ・妊娠12週以降の方（当院では妊娠11"&amp;"週6日までの初期中絶のみ対応）・帝王切開歴のある方・喘息をお持ちの方で直近3ヶ月以内に発作がある場合・BMI32以上の方（BMI28以上は医師の判断）・日本語でのコミュニケーションが難しい方 ")</f>
        <v>大変恐縮ではありますが、当院では当日に中絶手術を行うことはできません。当クリニックでは、中絶手術の1回目としてカウンセリングと検査を行います。公式LINEからご予約のうえご来院いただき、問診・超音波（エコー）検査・血液検査を行い、妊娠週数やお身体の状態を確認します。その後、手術方法やリスク、費用について医師が詳しくご説明し、ご納得いただいた場合に手術日の予約を行います。患者様のご負担を軽減するため、「手術当日以外」はお近くのクリニックをご利用いただける体制を整えております。■初回相談・術前検査：川崎駅前院／横浜駅前院／町田駅前院→ご都合の良い院で受診可能 ■手術当日：横浜駅前院のみ→施術当日のみ横浜へご来院いただきます ■術後フォロー：川崎駅前院／横浜駅前院／町田駅前院→お近くの院で受診可能 ご予約は公式LINEから24時間承っております。LINEはこちら→https://cline-app.com/qr-codes/98ad6f149bfa20f4f2a9a2e91aac4187/preview
以下に該当する方は中絶手術をお受けできませんので予めご了承くださいませ・妊娠12週以降の方（当院では妊娠11週6日までの初期中絶のみ対応）・帝王切開歴のある方・喘息をお持ちの方で直近3ヶ月以内に発作がある場合・BMI32以上の方（BMI28以上は医師の判断）・日本語でのコミュニケーションが難しい方 </v>
      </c>
      <c r="C535" s="31" t="str">
        <f>IFERROR(__xludf.DUMMYFUNCTION("""COMPUTED_VALUE"""),"中絶手術")</f>
        <v>中絶手術</v>
      </c>
      <c r="D535" s="31" t="str">
        <f>IFERROR(__xludf.DUMMYFUNCTION("""COMPUTED_VALUE"""),"中絶手術,当日中絶,初回診療,手術日,横浜駅前院")</f>
        <v>中絶手術,当日中絶,初回診療,手術日,横浜駅前院</v>
      </c>
      <c r="E535" s="32" t="str">
        <f>IFERROR(__xludf.DUMMYFUNCTION("""COMPUTED_VALUE"""),"https://luna-dr.com/subjects/abortion_page/")</f>
        <v>https://luna-dr.com/subjects/abortion_page/</v>
      </c>
    </row>
    <row r="536">
      <c r="A536" s="31" t="str">
        <f>IFERROR(__xludf.DUMMYFUNCTION("""COMPUTED_VALUE"""),"中絶手術の初回診療はどのような流れですか？")</f>
        <v>中絶手術の初回診療はどのような流れですか？</v>
      </c>
      <c r="B536" s="31" t="str">
        <f>IFERROR(__xludf.DUMMYFUNCTION("""COMPUTED_VALUE"""),"当クリニックでは、中絶手術の1回目としてカウンセリングと検査を行います。公式LINEからご予約のうえご来院いただき、問診・超音波（エコー）検査・血液検査を行い、妊娠週数やお身体の状態を確認します。その後、手術方法やリスク、費用について医師が詳しくご説明し、ご納得いただいた場合に手術日の予約を行います。患者様のご負担を軽減するため、「手術当日以外」はお近くのクリニックをご利用いただける体制を整えております。
■ 初回相談・術前検査
川崎駅前院／横浜駅前院／町田駅前院
→ご都合の良い院で受診可能
■ 手術当"&amp;"日
横浜駅前院のみ
→施術当日のみ横浜へご来院いただきます
■ 術後フォロー
川崎駅前院／横浜駅前院／町田駅前院
→お近くの院で受診可能
ご予約は公式LINEから24時間承っております。LINEはこちら→https://cline-app.com/qr-codes/98ad6f149bfa20f4f2a9a2e91aac4187/preview")</f>
        <v>当クリニックでは、中絶手術の1回目としてカウンセリングと検査を行います。公式LINEからご予約のうえご来院いただき、問診・超音波（エコー）検査・血液検査を行い、妊娠週数やお身体の状態を確認します。その後、手術方法やリスク、費用について医師が詳しくご説明し、ご納得いただいた場合に手術日の予約を行います。患者様のご負担を軽減するため、「手術当日以外」はお近くのクリニックをご利用いただける体制を整えております。
■ 初回相談・術前検査
川崎駅前院／横浜駅前院／町田駅前院
→ご都合の良い院で受診可能
■ 手術当日
横浜駅前院のみ
→施術当日のみ横浜へご来院いただきます
■ 術後フォロー
川崎駅前院／横浜駅前院／町田駅前院
→お近くの院で受診可能
ご予約は公式LINEから24時間承っております。LINEはこちら→https://cline-app.com/qr-codes/98ad6f149bfa20f4f2a9a2e91aac4187/preview</v>
      </c>
      <c r="C536" s="31" t="str">
        <f>IFERROR(__xludf.DUMMYFUNCTION("""COMPUTED_VALUE"""),"中絶手術")</f>
        <v>中絶手術</v>
      </c>
      <c r="D536" s="31" t="str">
        <f>IFERROR(__xludf.DUMMYFUNCTION("""COMPUTED_VALUE"""),"中絶手術,初回診療,流れ,2日間")</f>
        <v>中絶手術,初回診療,流れ,2日間</v>
      </c>
      <c r="E536" s="32" t="str">
        <f>IFERROR(__xludf.DUMMYFUNCTION("""COMPUTED_VALUE"""),"https://luna-dr.com/subjects/abortion_page/")</f>
        <v>https://luna-dr.com/subjects/abortion_page/</v>
      </c>
    </row>
    <row r="537">
      <c r="A537" s="31" t="str">
        <f>IFERROR(__xludf.DUMMYFUNCTION("""COMPUTED_VALUE"""),"中絶の相談はどのように行いますか？")</f>
        <v>中絶の相談はどのように行いますか？</v>
      </c>
      <c r="B537" s="31" t="str">
        <f>IFERROR(__xludf.DUMMYFUNCTION("""COMPUTED_VALUE"""),"中絶相談の初回診療は予約制です。公式LINEからご予約のうえご来院いただき、問診・超音波（エコー）検査・血液検査を行い、妊娠週数やお身体の状態を確認します。その後、手術方法やリスク、費用について医師が詳しくご説明し、ご納得いただいた場合に手術日の予約を行います。患者様のご負担を軽減するため、「手術当日以外」はお近くのクリニックをご利用いただける体制を整えております。■初回相談・術前検査：川崎駅前院／横浜駅前院／町田駅前院→ご都合の良い院で受診可能 ■手術当日：横浜駅前院のみ→施術当日のみ横浜へご来院いただ"&amp;"きます ■術後フォロー：川崎駅前院／横浜駅前院／町田駅前院→お近くの院で受診可能 ご予約は公式LINEから24時間承っております。LINEはこちら→https://cline-app.com/qr-codes/98ad6f149bfa20f4f2a9a2e91aac4187/preview
以下に該当する方は中絶手術をお受けできませんので予めご了承くださいませ・妊娠12週以降の方（当院では妊娠11週6日までの初期中絶のみ対応）・帝王切開歴のある方・喘息をお持ちの方で直近3ヶ月以内に発作がある場合・BMI3"&amp;"2以上の方（BMI28以上は医師の判断）・日本語でのコミュニケーションが難しい方 ")</f>
        <v>中絶相談の初回診療は予約制です。公式LINEからご予約のうえご来院いただき、問診・超音波（エコー）検査・血液検査を行い、妊娠週数やお身体の状態を確認します。その後、手術方法やリスク、費用について医師が詳しくご説明し、ご納得いただいた場合に手術日の予約を行います。患者様のご負担を軽減するため、「手術当日以外」はお近くのクリニックをご利用いただける体制を整えております。■初回相談・術前検査：川崎駅前院／横浜駅前院／町田駅前院→ご都合の良い院で受診可能 ■手術当日：横浜駅前院のみ→施術当日のみ横浜へご来院いただきます ■術後フォロー：川崎駅前院／横浜駅前院／町田駅前院→お近くの院で受診可能 ご予約は公式LINEから24時間承っております。LINEはこちら→https://cline-app.com/qr-codes/98ad6f149bfa20f4f2a9a2e91aac4187/preview
以下に該当する方は中絶手術をお受けできませんので予めご了承くださいませ・妊娠12週以降の方（当院では妊娠11週6日までの初期中絶のみ対応）・帝王切開歴のある方・喘息をお持ちの方で直近3ヶ月以内に発作がある場合・BMI32以上の方（BMI28以上は医師の判断）・日本語でのコミュニケーションが難しい方 </v>
      </c>
      <c r="C537" s="31" t="str">
        <f>IFERROR(__xludf.DUMMYFUNCTION("""COMPUTED_VALUE"""),"中絶手術")</f>
        <v>中絶手術</v>
      </c>
      <c r="D537" s="31" t="str">
        <f>IFERROR(__xludf.DUMMYFUNCTION("""COMPUTED_VALUE"""),"中絶手術,予約,LINE予約,電話予約")</f>
        <v>中絶手術,予約,LINE予約,電話予約</v>
      </c>
      <c r="E537" s="32" t="str">
        <f>IFERROR(__xludf.DUMMYFUNCTION("""COMPUTED_VALUE"""),"https://luna-dr.com/subjects/abortion_page/")</f>
        <v>https://luna-dr.com/subjects/abortion_page/</v>
      </c>
    </row>
    <row r="538">
      <c r="A538" s="31" t="str">
        <f>IFERROR(__xludf.DUMMYFUNCTION("""COMPUTED_VALUE"""),"中絶手術の予約はどのように行いますか？")</f>
        <v>中絶手術の予約はどのように行いますか？</v>
      </c>
      <c r="B538" s="31" t="str">
        <f>IFERROR(__xludf.DUMMYFUNCTION("""COMPUTED_VALUE"""),"中絶手術の初回診療は予約制です。当院では患者様のご負担を軽減するため、「手術当日以外」はお近くのクリニックをご利用いただける体制を整えております。初回相談・術前検査はご都合が良いクリニックをご選択ください。手術当日のみ、横浜駅前院へご来院いただきます。術後フォローはお近くの院で受診可能となります。ご予約は公式LINEから24時間承っております。LINEはこちら→https://cline-app.com/qr-codes/98ad6f149bfa20f4f2a9a2e91aac4187/preview
以"&amp;"下に該当する方は中絶手術をお受けできませんので予めご了承くださいませ・妊娠12週以降の方（当院では妊娠11週6日までの初期中絶のみ対応）・帝王切開歴のある方・喘息をお持ちの方で直近3ヶ月以内に発作がある場合・BMI32以上の方（BMI28以上は医師の判断）・日本語でのコミュニケーションが難しい方 ")</f>
        <v>中絶手術の初回診療は予約制です。当院では患者様のご負担を軽減するため、「手術当日以外」はお近くのクリニックをご利用いただける体制を整えております。初回相談・術前検査はご都合が良いクリニックをご選択ください。手術当日のみ、横浜駅前院へご来院いただきます。術後フォローはお近くの院で受診可能となります。ご予約は公式LINEから24時間承っております。LINEはこちら→https://cline-app.com/qr-codes/98ad6f149bfa20f4f2a9a2e91aac4187/preview
以下に該当する方は中絶手術をお受けできませんので予めご了承くださいませ・妊娠12週以降の方（当院では妊娠11週6日までの初期中絶のみ対応）・帝王切開歴のある方・喘息をお持ちの方で直近3ヶ月以内に発作がある場合・BMI32以上の方（BMI28以上は医師の判断）・日本語でのコミュニケーションが難しい方 </v>
      </c>
      <c r="C538" s="31" t="str">
        <f>IFERROR(__xludf.DUMMYFUNCTION("""COMPUTED_VALUE"""),"中絶手術")</f>
        <v>中絶手術</v>
      </c>
      <c r="D538" s="31" t="str">
        <f>IFERROR(__xludf.DUMMYFUNCTION("""COMPUTED_VALUE"""),"中絶手術,予約,LINE予約,電話予約")</f>
        <v>中絶手術,予約,LINE予約,電話予約</v>
      </c>
      <c r="E538" s="32" t="str">
        <f>IFERROR(__xludf.DUMMYFUNCTION("""COMPUTED_VALUE"""),"https://luna-dr.com/subjects/abortion_page/")</f>
        <v>https://luna-dr.com/subjects/abortion_page/</v>
      </c>
    </row>
    <row r="539">
      <c r="A539" s="31" t="str">
        <f>IFERROR(__xludf.DUMMYFUNCTION("""COMPUTED_VALUE"""),"中絶手術の初回来院時に必要な持ち物は何ですか？")</f>
        <v>中絶手術の初回来院時に必要な持ち物は何ですか？</v>
      </c>
      <c r="B539" s="31" t="str">
        <f>IFERROR(__xludf.DUMMYFUNCTION("""COMPUTED_VALUE"""),"初回来院時は、保険証またはマイナンバーカード、お薬手帳（お持ちの方）、筆記用具をご持参ください。問診票記入のため、予約時間より10分ほど早めの来院をおすすめしています。")</f>
        <v>初回来院時は、保険証またはマイナンバーカード、お薬手帳（お持ちの方）、筆記用具をご持参ください。問診票記入のため、予約時間より10分ほど早めの来院をおすすめしています。</v>
      </c>
      <c r="C539" s="31" t="str">
        <f>IFERROR(__xludf.DUMMYFUNCTION("""COMPUTED_VALUE"""),"中絶手術")</f>
        <v>中絶手術</v>
      </c>
      <c r="D539" s="31" t="str">
        <f>IFERROR(__xludf.DUMMYFUNCTION("""COMPUTED_VALUE"""),"中絶手術,初診,持ち物")</f>
        <v>中絶手術,初診,持ち物</v>
      </c>
      <c r="E539" s="32" t="str">
        <f>IFERROR(__xludf.DUMMYFUNCTION("""COMPUTED_VALUE"""),"https://luna-dr.com/subjects/abortion_page/")</f>
        <v>https://luna-dr.com/subjects/abortion_page/</v>
      </c>
    </row>
    <row r="540">
      <c r="A540" s="31" t="str">
        <f>IFERROR(__xludf.DUMMYFUNCTION("""COMPUTED_VALUE"""),"中絶手術の1回目はどのような流れですか？/中絶手術の初回診療はどのような流れですか？")</f>
        <v>中絶手術の1回目はどのような流れですか？/中絶手術の初回診療はどのような流れですか？</v>
      </c>
      <c r="B540" s="31" t="str">
        <f>IFERROR(__xludf.DUMMYFUNCTION("""COMPUTED_VALUE"""),"当クリニックでは、中絶手術の1回目としてカウンセリングと検査を行います。公式LINEからご予約のうえご来院いただき、問診・超音波（エコー）検査・血液検査を行い、妊娠週数やお身体の状態を確認します。その後、手術方法やリスク、費用について医師が詳しくご説明し、ご納得いただいた場合に手術日の予約を行います。患者様のご負担を軽減するため、「手術当日以外」はお近くのクリニックをご利用いただける体制を整えております。■初回相談・術前検査：川崎駅前院／横浜駅前院／町田駅前院→ご都合の良い院で受診可能 ■手術当日：横浜駅"&amp;"前院のみ→施術当日のみ横浜へご来院いただきます ■術後フォロー：川崎駅前院／横浜駅前院／町田駅前院→お近くの院で受診可能 ご予約は公式LINEから24時間承っております。LINEはこちら→https://cline-app.com/qr-codes/98ad6f149bfa20f4f2a9a2e91aac4187/preview")</f>
        <v>当クリニックでは、中絶手術の1回目としてカウンセリングと検査を行います。公式LINEからご予約のうえご来院いただき、問診・超音波（エコー）検査・血液検査を行い、妊娠週数やお身体の状態を確認します。その後、手術方法やリスク、費用について医師が詳しくご説明し、ご納得いただいた場合に手術日の予約を行います。患者様のご負担を軽減するため、「手術当日以外」はお近くのクリニックをご利用いただける体制を整えております。■初回相談・術前検査：川崎駅前院／横浜駅前院／町田駅前院→ご都合の良い院で受診可能 ■手術当日：横浜駅前院のみ→施術当日のみ横浜へご来院いただきます ■術後フォロー：川崎駅前院／横浜駅前院／町田駅前院→お近くの院で受診可能 ご予約は公式LINEから24時間承っております。LINEはこちら→https://cline-app.com/qr-codes/98ad6f149bfa20f4f2a9a2e91aac4187/preview</v>
      </c>
      <c r="C540" s="31" t="str">
        <f>IFERROR(__xludf.DUMMYFUNCTION("""COMPUTED_VALUE"""),"中絶手術")</f>
        <v>中絶手術</v>
      </c>
      <c r="D540" s="31" t="str">
        <f>IFERROR(__xludf.DUMMYFUNCTION("""COMPUTED_VALUE"""),"中絶,初回診療,カウンセリング,検査,予約")</f>
        <v>中絶,初回診療,カウンセリング,検査,予約</v>
      </c>
      <c r="E540" s="32" t="str">
        <f>IFERROR(__xludf.DUMMYFUNCTION("""COMPUTED_VALUE"""),"https://luna-dr.com/subjects/abortion_page/")</f>
        <v>https://luna-dr.com/subjects/abortion_page/</v>
      </c>
    </row>
    <row r="541">
      <c r="A541" s="31" t="str">
        <f>IFERROR(__xludf.DUMMYFUNCTION("""COMPUTED_VALUE"""),"中絶手術の初回診療は予約が必要ですか？/町田院でも中絶手術はできますか？/川崎院でも中絶手術はできますか？")</f>
        <v>中絶手術の初回診療は予約が必要ですか？/町田院でも中絶手術はできますか？/川崎院でも中絶手術はできますか？</v>
      </c>
      <c r="B541" s="31" t="str">
        <f>IFERROR(__xludf.DUMMYFUNCTION("""COMPUTED_VALUE"""),"当クリニックではスムーズなご案内のため、初回診療は完全予約制としています。当院では患者様のご負担を軽減するため、「手術当日以外」はお近くのクリニックをご利用いただける体制を整えております。初回相談・術前検査はご都合が良いクリニックをご選択ください。手術当日のみ、横浜駅前院へご来院いただきます。術後フォローはお近くの院で受診可能となります。ご予約は公式LINEから24時間予約可能です。LINEはこちら→https://cline-app.com/qr-codes/98ad6f149bfa20f4f2a9a2"&amp;"e91aac4187/preview
以下に該当する方は中絶手術をお受けできませんので予めご了承くださいませ・妊娠12週以降の方（当院では妊娠11週6日までの初期中絶のみ対応）・帝王切開歴のある方・喘息をお持ちの方で直近3ヶ月以内に発作がある場合・BMI32以上の方（BMI28以上は医師の判断）・日本語でのコミュニケーションが難しい方 ")</f>
        <v>当クリニックではスムーズなご案内のため、初回診療は完全予約制としています。当院では患者様のご負担を軽減するため、「手術当日以外」はお近くのクリニックをご利用いただける体制を整えております。初回相談・術前検査はご都合が良いクリニックをご選択ください。手術当日のみ、横浜駅前院へご来院いただきます。術後フォローはお近くの院で受診可能となります。ご予約は公式LINEから24時間予約可能です。LINEはこちら→https://cline-app.com/qr-codes/98ad6f149bfa20f4f2a9a2e91aac4187/preview
以下に該当する方は中絶手術をお受けできませんので予めご了承くださいませ・妊娠12週以降の方（当院では妊娠11週6日までの初期中絶のみ対応）・帝王切開歴のある方・喘息をお持ちの方で直近3ヶ月以内に発作がある場合・BMI32以上の方（BMI28以上は医師の判断）・日本語でのコミュニケーションが難しい方 </v>
      </c>
      <c r="C541" s="31" t="str">
        <f>IFERROR(__xludf.DUMMYFUNCTION("""COMPUTED_VALUE"""),"中絶手術")</f>
        <v>中絶手術</v>
      </c>
      <c r="D541" s="31" t="str">
        <f>IFERROR(__xludf.DUMMYFUNCTION("""COMPUTED_VALUE"""),"中絶,初回,予約,LINE,電話")</f>
        <v>中絶,初回,予約,LINE,電話</v>
      </c>
      <c r="E541" s="32" t="str">
        <f>IFERROR(__xludf.DUMMYFUNCTION("""COMPUTED_VALUE"""),"https://luna-dr.com/subjects/abortion_page/")</f>
        <v>https://luna-dr.com/subjects/abortion_page/</v>
      </c>
    </row>
    <row r="542">
      <c r="A542" s="31" t="str">
        <f>IFERROR(__xludf.DUMMYFUNCTION("""COMPUTED_VALUE"""),"中絶手術はどうやって予約しますか？")</f>
        <v>中絶手術はどうやって予約しますか？</v>
      </c>
      <c r="B542" s="31" t="str">
        <f>IFERROR(__xludf.DUMMYFUNCTION("""COMPUTED_VALUE"""),"公式LINEでご予約ができます。LINEはこちら→https://cline-app.com/qr-codes/98ad6f149bfa20f4f2a9a2e91aac4187/preview
※当院では患者様のご負担を軽減するため、「手術当日以外」はお近くのクリニックをご利用いただける体制を整えております。初回相談・術前検査はご都合が良いクリニックをご選択ください。手術当日のみ、横浜駅前院へご来院いただきます。術後フォローはお近くの院で受診可能となります。
以下に該当する方は中絶手術をお受けできませんの"&amp;"で予めご了承くださいませ・妊娠12週以降の方（当院では妊娠11週6日までの初期中絶のみ対応）・帝王切開歴のある方・喘息をお持ちの方で直近3ヶ月以内に発作がある場合・BMI32以上の方（BMI28以上は医師の判断）・日本語でのコミュニケーションが難しい方 ")</f>
        <v>公式LINEでご予約ができます。LINEはこちら→https://cline-app.com/qr-codes/98ad6f149bfa20f4f2a9a2e91aac4187/preview
※当院では患者様のご負担を軽減するため、「手術当日以外」はお近くのクリニックをご利用いただける体制を整えております。初回相談・術前検査はご都合が良いクリニックをご選択ください。手術当日のみ、横浜駅前院へご来院いただきます。術後フォローはお近くの院で受診可能となります。
以下に該当する方は中絶手術をお受けできませんので予めご了承くださいませ・妊娠12週以降の方（当院では妊娠11週6日までの初期中絶のみ対応）・帝王切開歴のある方・喘息をお持ちの方で直近3ヶ月以内に発作がある場合・BMI32以上の方（BMI28以上は医師の判断）・日本語でのコミュニケーションが難しい方 </v>
      </c>
      <c r="C542" s="31" t="str">
        <f>IFERROR(__xludf.DUMMYFUNCTION("""COMPUTED_VALUE"""),"中絶手術")</f>
        <v>中絶手術</v>
      </c>
      <c r="D542" s="31" t="str">
        <f>IFERROR(__xludf.DUMMYFUNCTION("""COMPUTED_VALUE"""),"予約方法,LINE,電話,妊娠検査")</f>
        <v>予約方法,LINE,電話,妊娠検査</v>
      </c>
      <c r="E542" s="32" t="str">
        <f>IFERROR(__xludf.DUMMYFUNCTION("""COMPUTED_VALUE"""),"https://luna-dr.com/subjects/pregnancy-test/")</f>
        <v>https://luna-dr.com/subjects/pregnancy-test/</v>
      </c>
    </row>
    <row r="543">
      <c r="A543" s="31" t="str">
        <f>IFERROR(__xludf.DUMMYFUNCTION("""COMPUTED_VALUE"""),"中絶手術はLINEから予約できますか？")</f>
        <v>中絶手術はLINEから予約できますか？</v>
      </c>
      <c r="B543" s="31" t="str">
        <f>IFERROR(__xludf.DUMMYFUNCTION("""COMPUTED_VALUE"""),"公式LINEでご予約ができます。LINEはこちら→https://cline-app.com/qr-codes/98ad6f149bfa20f4f2a9a2e91aac4187/preview
※当院では患者様のご負担を軽減するため、「手術当日以外」はお近くのクリニックをご利用いただける体制を整えております。初回相談・術前検査はご都合が良いクリニックをご選択ください。手術当日のみ、横浜駅前院へご来院いただきます。術後フォローはお近くの院で受診可能となります。
以下に該当する方は中絶手術をお受けできませんの"&amp;"で予めご了承くださいませ・妊娠12週以降の方（当院では妊娠11週6日までの初期中絶のみ対応）・帝王切開歴のある方・喘息をお持ちの方で直近3ヶ月以内に発作がある場合・BMI32以上の方（BMI28以上は医師の判断）・日本語でのコミュニケーションが難しい方 ")</f>
        <v>公式LINEでご予約ができます。LINEはこちら→https://cline-app.com/qr-codes/98ad6f149bfa20f4f2a9a2e91aac4187/preview
※当院では患者様のご負担を軽減するため、「手術当日以外」はお近くのクリニックをご利用いただける体制を整えております。初回相談・術前検査はご都合が良いクリニックをご選択ください。手術当日のみ、横浜駅前院へご来院いただきます。術後フォローはお近くの院で受診可能となります。
以下に該当する方は中絶手術をお受けできませんので予めご了承くださいませ・妊娠12週以降の方（当院では妊娠11週6日までの初期中絶のみ対応）・帝王切開歴のある方・喘息をお持ちの方で直近3ヶ月以内に発作がある場合・BMI32以上の方（BMI28以上は医師の判断）・日本語でのコミュニケーションが難しい方 </v>
      </c>
      <c r="C543" s="31" t="str">
        <f>IFERROR(__xludf.DUMMYFUNCTION("""COMPUTED_VALUE"""),"中絶手術")</f>
        <v>中絶手術</v>
      </c>
      <c r="D543" s="31" t="str">
        <f>IFERROR(__xludf.DUMMYFUNCTION("""COMPUTED_VALUE"""),"LINE予約,婦人科予約,妊娠検査")</f>
        <v>LINE予約,婦人科予約,妊娠検査</v>
      </c>
      <c r="E543" s="32" t="str">
        <f>IFERROR(__xludf.DUMMYFUNCTION("""COMPUTED_VALUE"""),"https://luna-dr.com/subjects/pregnancy-test/")</f>
        <v>https://luna-dr.com/subjects/pregnancy-test/</v>
      </c>
    </row>
    <row r="544">
      <c r="A544" s="31" t="str">
        <f>IFERROR(__xludf.DUMMYFUNCTION("""COMPUTED_VALUE"""),"中絶手術は電話でも予約できますか？")</f>
        <v>中絶手術は電話でも予約できますか？</v>
      </c>
      <c r="B544" s="31" t="str">
        <f>IFERROR(__xludf.DUMMYFUNCTION("""COMPUTED_VALUE"""),"LINEでの予約後、事前問診等もLINEから行うことができ、スムーズに受診ができるため、当院ではLINEでのご予約を推奨しております。
来院診療のご予約：こちらのLINEをご利用ください→https://cline-app.com/qr-codes/98ad6f149bfa20f4f2a9a2e91aac4187/preview
※当院では患者様のご負担を軽減するため、「手術当日以外」はお近くのクリニックをご利用いただける体制を整えております。初回相談・術前検査はご都合が良いクリニックをご選択ください。手"&amp;"術当日のみ、横浜駅前院へご来院いただきます。術後フォローはお近くの院で受診可能となります。
以下に該当する方は中絶手術をお受けできませんので予めご了承くださいませ・妊娠12週以降の方（当院では妊娠11週6日までの初期中絶のみ対応）・帝王切開歴のある方・喘息をお持ちの方で直近3ヶ月以内に発作がある場合・BMI32以上の方（BMI28以上は医師の判断）・日本語でのコミュニケーションが難しい方 ")</f>
        <v>LINEでの予約後、事前問診等もLINEから行うことができ、スムーズに受診ができるため、当院ではLINEでのご予約を推奨しております。
来院診療のご予約：こちらのLINEをご利用ください→https://cline-app.com/qr-codes/98ad6f149bfa20f4f2a9a2e91aac4187/preview
※当院では患者様のご負担を軽減するため、「手術当日以外」はお近くのクリニックをご利用いただける体制を整えております。初回相談・術前検査はご都合が良いクリニックをご選択ください。手術当日のみ、横浜駅前院へご来院いただきます。術後フォローはお近くの院で受診可能となります。
以下に該当する方は中絶手術をお受けできませんので予めご了承くださいませ・妊娠12週以降の方（当院では妊娠11週6日までの初期中絶のみ対応）・帝王切開歴のある方・喘息をお持ちの方で直近3ヶ月以内に発作がある場合・BMI32以上の方（BMI28以上は医師の判断）・日本語でのコミュニケーションが難しい方 </v>
      </c>
      <c r="C544" s="31" t="str">
        <f>IFERROR(__xludf.DUMMYFUNCTION("""COMPUTED_VALUE"""),"中絶手術")</f>
        <v>中絶手術</v>
      </c>
      <c r="D544" s="31" t="str">
        <f>IFERROR(__xludf.DUMMYFUNCTION("""COMPUTED_VALUE"""),"電話予約,問い合わせ,妊娠検査")</f>
        <v>電話予約,問い合わせ,妊娠検査</v>
      </c>
      <c r="E544" s="32" t="str">
        <f>IFERROR(__xludf.DUMMYFUNCTION("""COMPUTED_VALUE"""),"https://luna-dr.com/subjects/pregnancy-test/")</f>
        <v>https://luna-dr.com/subjects/pregnancy-test/</v>
      </c>
    </row>
    <row r="545">
      <c r="A545" s="31" t="str">
        <f>IFERROR(__xludf.DUMMYFUNCTION("""COMPUTED_VALUE"""),"中絶手術の予約前に準備しておくことはありますか？")</f>
        <v>中絶手術の予約前に準備しておくことはありますか？</v>
      </c>
      <c r="B545" s="31" t="str">
        <f>IFERROR(__xludf.DUMMYFUNCTION("""COMPUTED_VALUE"""),"ルナレディースクリニックでは、診察前にWEB問診の入力をお願いしています。事前にご入力いただくと診察がスムーズです。")</f>
        <v>ルナレディースクリニックでは、診察前にWEB問診の入力をお願いしています。事前にご入力いただくと診察がスムーズです。</v>
      </c>
      <c r="C545" s="31" t="str">
        <f>IFERROR(__xludf.DUMMYFUNCTION("""COMPUTED_VALUE"""),"中絶手術")</f>
        <v>中絶手術</v>
      </c>
      <c r="D545" s="31" t="str">
        <f>IFERROR(__xludf.DUMMYFUNCTION("""COMPUTED_VALUE"""),"WEB問診,事前準備,妊娠検査")</f>
        <v>WEB問診,事前準備,妊娠検査</v>
      </c>
      <c r="E545" s="32" t="str">
        <f>IFERROR(__xludf.DUMMYFUNCTION("""COMPUTED_VALUE"""),"https://luna-dr.com/subjects/pregnancy-test/")</f>
        <v>https://luna-dr.com/subjects/pregnancy-test/</v>
      </c>
    </row>
    <row r="546">
      <c r="A546" s="31" t="str">
        <f>IFERROR(__xludf.DUMMYFUNCTION("""COMPUTED_VALUE"""),"中絶手術は初診でも予約できますか？")</f>
        <v>中絶手術は初診でも予約できますか？</v>
      </c>
      <c r="B546" s="31" t="str">
        <f>IFERROR(__xludf.DUMMYFUNCTION("""COMPUTED_VALUE"""),"中絶手術は初診の方もご予約いただけます。初回診療ではカウンセリングと検査を行い、その後、別日に中絶手術を実施します。初回診療後に十分な説明を行い、納得いただいた上で手術日を決定します。当院では患者様のご負担を軽減するため、「手術当日以外」はお近くのクリニックをご利用いただける体制を整えております。初回相談・術前検査はご都合が良いクリニックをご選択ください。手術当日のみ、横浜駅前院へご来院いただきます。術後フォローはお近くの院で受診可能となります。ご予約は公式LINEから受け付けておりますので、友だち追加の"&amp;"上ご利用ください。LINEはこちら→https://cline-app.com/qr-codes/98ad6f149bfa20f4f2a9a2e91aac4187/preview
以下に該当する方は中絶手術をお受けできませんので予めご了承くださいませ・妊娠12週以降の方（当院では妊娠11週6日までの初期中絶のみ対応）・帝王切開歴のある方・喘息をお持ちの方で直近3ヶ月以内に発作がある場合・BMI32以上の方（BMI28以上は医師の判断）・日本語でのコミュニケーションが難しい方 ")</f>
        <v>中絶手術は初診の方もご予約いただけます。初回診療ではカウンセリングと検査を行い、その後、別日に中絶手術を実施します。初回診療後に十分な説明を行い、納得いただいた上で手術日を決定します。当院では患者様のご負担を軽減するため、「手術当日以外」はお近くのクリニックをご利用いただける体制を整えております。初回相談・術前検査はご都合が良いクリニックをご選択ください。手術当日のみ、横浜駅前院へご来院いただきます。術後フォローはお近くの院で受診可能となります。ご予約は公式LINEから受け付けておりますので、友だち追加の上ご利用ください。LINEはこちら→https://cline-app.com/qr-codes/98ad6f149bfa20f4f2a9a2e91aac4187/preview
以下に該当する方は中絶手術をお受けできませんので予めご了承くださいませ・妊娠12週以降の方（当院では妊娠11週6日までの初期中絶のみ対応）・帝王切開歴のある方・喘息をお持ちの方で直近3ヶ月以内に発作がある場合・BMI32以上の方（BMI28以上は医師の判断）・日本語でのコミュニケーションが難しい方 </v>
      </c>
      <c r="C546" s="31" t="str">
        <f>IFERROR(__xludf.DUMMYFUNCTION("""COMPUTED_VALUE"""),"中絶手術")</f>
        <v>中絶手術</v>
      </c>
      <c r="D546" s="31" t="str">
        <f>IFERROR(__xludf.DUMMYFUNCTION("""COMPUTED_VALUE"""),"初診,予約,妊娠検査")</f>
        <v>初診,予約,妊娠検査</v>
      </c>
      <c r="E546" s="32" t="str">
        <f>IFERROR(__xludf.DUMMYFUNCTION("""COMPUTED_VALUE"""),"https://luna-dr.com/subjects/pregnancy-test/")</f>
        <v>https://luna-dr.com/subjects/pregnancy-test/</v>
      </c>
    </row>
    <row r="547">
      <c r="A547" s="31" t="str">
        <f>IFERROR(__xludf.DUMMYFUNCTION("""COMPUTED_VALUE"""),"中絶手術は来院とオンライン、どちらで予約できますか？")</f>
        <v>中絶手術は来院とオンライン、どちらで予約できますか？</v>
      </c>
      <c r="B547" s="31" t="str">
        <f>IFERROR(__xludf.DUMMYFUNCTION("""COMPUTED_VALUE"""),"ルナレディースクリニックでは、中絶手術のご相談は来院診療のみで承っています。初回診療ではカウンセリングと検査を行い、その後、別日に中絶手術を実施します。初回診療後に十分な説明を行い、納得いただいた上で手術日を決定します。当院では患者様のご負担を軽減するため、「手術当日以外」はお近くのクリニックをご利用いただける体制を整えております。初回相談・術前検査はご都合が良いクリニックをご選択ください。手術当日のみ、横浜駅前院へご来院いただきます。術後フォローはお近くの院で受診可能となります。ご予約は公式LINEから"&amp;"受け付けておりますので、友だち追加の上ご利用ください。LINEはこちら→https://cline-app.com/qr-codes/98ad6f149bfa20f4f2a9a2e91aac4187/preview
以下に該当する方は中絶手術をお受けできませんので予めご了承くださいませ・妊娠12週以降の方（当院では妊娠11週6日までの初期中絶のみ対応）・帝王切開歴のある方・喘息をお持ちの方で直近3ヶ月以内に発作がある場合・BMI32以上の方（BMI28以上は医師の判断）・日本語でのコミュニケーションが難し"&amp;"い方 ")</f>
        <v>ルナレディースクリニックでは、中絶手術のご相談は来院診療のみで承っています。初回診療ではカウンセリングと検査を行い、その後、別日に中絶手術を実施します。初回診療後に十分な説明を行い、納得いただいた上で手術日を決定します。当院では患者様のご負担を軽減するため、「手術当日以外」はお近くのクリニックをご利用いただける体制を整えております。初回相談・術前検査はご都合が良いクリニックをご選択ください。手術当日のみ、横浜駅前院へご来院いただきます。術後フォローはお近くの院で受診可能となります。ご予約は公式LINEから受け付けておりますので、友だち追加の上ご利用ください。LINEはこちら→https://cline-app.com/qr-codes/98ad6f149bfa20f4f2a9a2e91aac4187/preview
以下に該当する方は中絶手術をお受けできませんので予めご了承くださいませ・妊娠12週以降の方（当院では妊娠11週6日までの初期中絶のみ対応）・帝王切開歴のある方・喘息をお持ちの方で直近3ヶ月以内に発作がある場合・BMI32以上の方（BMI28以上は医師の判断）・日本語でのコミュニケーションが難しい方 </v>
      </c>
      <c r="C547" s="31" t="str">
        <f>IFERROR(__xludf.DUMMYFUNCTION("""COMPUTED_VALUE"""),"中絶手術")</f>
        <v>中絶手術</v>
      </c>
      <c r="D547" s="31" t="str">
        <f>IFERROR(__xludf.DUMMYFUNCTION("""COMPUTED_VALUE"""),"来院診療,オンライン診療,妊娠検査")</f>
        <v>来院診療,オンライン診療,妊娠検査</v>
      </c>
      <c r="E547" s="32" t="str">
        <f>IFERROR(__xludf.DUMMYFUNCTION("""COMPUTED_VALUE"""),"https://luna-dr.com/subjects/pregnancy-test/")</f>
        <v>https://luna-dr.com/subjects/pregnancy-test/</v>
      </c>
    </row>
    <row r="548">
      <c r="A548" s="31" t="str">
        <f>IFERROR(__xludf.DUMMYFUNCTION("""COMPUTED_VALUE"""),"予約なしでも中絶手術は受けられますか？")</f>
        <v>予約なしでも中絶手術は受けられますか？</v>
      </c>
      <c r="B548" s="31" t="str">
        <f>IFERROR(__xludf.DUMMYFUNCTION("""COMPUTED_VALUE"""),"中絶手術は完全予約制としています。初回診療ではカウンセリングと検査を行い、その後、別日に中絶手術を実施します。初回診療後に十分な説明を行い、納得いただいた上で手術日を決定します。当院では患者様のご負担を軽減するため、「手術当日以外」はお近くのクリニックをご利用いただける体制を整えております。初回相談・術前検査はご都合が良いクリニックをご選択ください。手術当日のみ、横浜駅前院へご来院いただきます。術後フォローはお近くの院で受診可能となります。ご予約は公式LINEから受け付けておりますので、友だち追加の上ご利"&amp;"用ください。LINEはこちら→https://cline-app.com/qr-codes/98ad6f149bfa20f4f2a9a2e91aac4187/preview
以下に該当する方は中絶手術をお受けできませんので予めご了承くださいませ・妊娠12週以降の方（当院では妊娠11週6日までの初期中絶のみ対応）・帝王切開歴のある方・喘息をお持ちの方で直近3ヶ月以内に発作がある場合・BMI32以上の方（BMI28以上は医師の判断）・日本語でのコミュニケーションが難しい方 ")</f>
        <v>中絶手術は完全予約制としています。初回診療ではカウンセリングと検査を行い、その後、別日に中絶手術を実施します。初回診療後に十分な説明を行い、納得いただいた上で手術日を決定します。当院では患者様のご負担を軽減するため、「手術当日以外」はお近くのクリニックをご利用いただける体制を整えております。初回相談・術前検査はご都合が良いクリニックをご選択ください。手術当日のみ、横浜駅前院へご来院いただきます。術後フォローはお近くの院で受診可能となります。ご予約は公式LINEから受け付けておりますので、友だち追加の上ご利用ください。LINEはこちら→https://cline-app.com/qr-codes/98ad6f149bfa20f4f2a9a2e91aac4187/preview
以下に該当する方は中絶手術をお受けできませんので予めご了承くださいませ・妊娠12週以降の方（当院では妊娠11週6日までの初期中絶のみ対応）・帝王切開歴のある方・喘息をお持ちの方で直近3ヶ月以内に発作がある場合・BMI32以上の方（BMI28以上は医師の判断）・日本語でのコミュニケーションが難しい方 </v>
      </c>
      <c r="C548" s="31" t="str">
        <f>IFERROR(__xludf.DUMMYFUNCTION("""COMPUTED_VALUE"""),"中絶手術")</f>
        <v>中絶手術</v>
      </c>
      <c r="D548" s="31" t="str">
        <f>IFERROR(__xludf.DUMMYFUNCTION("""COMPUTED_VALUE"""),"妊娠検査検査,予約なし")</f>
        <v>妊娠検査検査,予約なし</v>
      </c>
      <c r="E548" s="32" t="str">
        <f>IFERROR(__xludf.DUMMYFUNCTION("""COMPUTED_VALUE"""),"https://luna-dr.com/subjects/pregnancy-test/")</f>
        <v>https://luna-dr.com/subjects/pregnancy-test/</v>
      </c>
    </row>
    <row r="549">
      <c r="A549" s="31" t="str">
        <f>IFERROR(__xludf.DUMMYFUNCTION("""COMPUTED_VALUE"""),"中絶手術の初回診療では何をしますか？")</f>
        <v>中絶手術の初回診療では何をしますか？</v>
      </c>
      <c r="B549" s="31" t="str">
        <f>IFERROR(__xludf.DUMMYFUNCTION("""COMPUTED_VALUE"""),"当クリニックでは初回診療で、問診票の記入、医師による診察、膣からの超音波（エコー）検査、血液検査を行います。妊娠の有無や妊娠週数、子宮や体調の状態を確認し、安全に中絶手術が可能かを判断します。
※当院では患者様のご負担を軽減するため、「手術当日以外」はお近くのクリニックをご利用いただける体制を整えております。初回相談・術前検査はご都合が良いクリニックをご選択ください。手術当日のみ、横浜駅前院へご来院いただきます。術後フォローはお近くの院で受診可能となります。中絶手術のご相談のご予約は公式LINEで受け付け"&amp;"ています。LINEはこちら→https://cline-app.com/qr-codes/98ad6f149bfa20f4f2a9a2e91aac4187/preview
以下に該当する方は中絶手術をお受けできませんので予めご了承くださいませ・妊娠12週以降の方（当院では妊娠11週6日までの初期中絶のみ対応）・帝王切開歴のある方・喘息をお持ちの方で直近3ヶ月以内に発作がある場合・BMI32以上の方（BMI28以上は医師の判断）・日本語でのコミュニケーションが難しい方 ")</f>
        <v>当クリニックでは初回診療で、問診票の記入、医師による診察、膣からの超音波（エコー）検査、血液検査を行います。妊娠の有無や妊娠週数、子宮や体調の状態を確認し、安全に中絶手術が可能かを判断します。
※当院では患者様のご負担を軽減するため、「手術当日以外」はお近くのクリニックをご利用いただける体制を整えております。初回相談・術前検査はご都合が良いクリニックをご選択ください。手術当日のみ、横浜駅前院へご来院いただきます。術後フォローはお近くの院で受診可能となります。中絶手術のご相談のご予約は公式LINEで受け付けています。LINEはこちら→https://cline-app.com/qr-codes/98ad6f149bfa20f4f2a9a2e91aac4187/preview
以下に該当する方は中絶手術をお受けできませんので予めご了承くださいませ・妊娠12週以降の方（当院では妊娠11週6日までの初期中絶のみ対応）・帝王切開歴のある方・喘息をお持ちの方で直近3ヶ月以内に発作がある場合・BMI32以上の方（BMI28以上は医師の判断）・日本語でのコミュニケーションが難しい方 </v>
      </c>
      <c r="C549" s="31" t="str">
        <f>IFERROR(__xludf.DUMMYFUNCTION("""COMPUTED_VALUE"""),"中絶手術｜初回診療内容")</f>
        <v>中絶手術｜初回診療内容</v>
      </c>
      <c r="D549" s="31" t="str">
        <f>IFERROR(__xludf.DUMMYFUNCTION("""COMPUTED_VALUE"""),"中絶,初回,診察,エコー,血液検査")</f>
        <v>中絶,初回,診察,エコー,血液検査</v>
      </c>
      <c r="E549" s="32" t="str">
        <f>IFERROR(__xludf.DUMMYFUNCTION("""COMPUTED_VALUE"""),"https://luna-dr.com/subjects/abortion_page/")</f>
        <v>https://luna-dr.com/subjects/abortion_page/</v>
      </c>
    </row>
    <row r="550">
      <c r="A550" s="31" t="str">
        <f>IFERROR(__xludf.DUMMYFUNCTION("""COMPUTED_VALUE"""),"中絶手術の初回診療ではどのような検査を行いますか？")</f>
        <v>中絶手術の初回診療ではどのような検査を行いますか？</v>
      </c>
      <c r="B550" s="31" t="str">
        <f>IFERROR(__xludf.DUMMYFUNCTION("""COMPUTED_VALUE"""),"初回診療では、膣からの超音波検査で妊娠の有無や胎児の大きさを確認し、妊娠週数を算出します。また、採血により感染症の有無や貧血の程度を調べます。中絶手術のご相談のご予約は公式LINEで受け付けています。LINEはこちら→https://cline-app.com/qr-codes/98ad6f149bfa20f4f2a9a2e91aac4187/preview
※当院では患者様のご負担を軽減するため、「手術当日以外」はお近くのクリニックをご利用いただける体制を整えております。初回相談・術前検査はご都合が良い"&amp;"クリニックをご選択ください。手術当日のみ、横浜駅前院へご来院いただきます。術後フォローはお近くの院で受診可能となります。
以下に該当する方は中絶手術をお受けできませんので予めご了承くださいませ・妊娠12週以降の方（当院では妊娠11週6日までの初期中絶のみ対応）・帝王切開歴のある方・喘息をお持ちの方で直近3ヶ月以内に発作がある場合・BMI32以上の方（BMI28以上は医師の判断）・日本語でのコミュニケーションが難しい方 ")</f>
        <v>初回診療では、膣からの超音波検査で妊娠の有無や胎児の大きさを確認し、妊娠週数を算出します。また、採血により感染症の有無や貧血の程度を調べます。中絶手術のご相談のご予約は公式LINEで受け付けています。LINEはこちら→https://cline-app.com/qr-codes/98ad6f149bfa20f4f2a9a2e91aac4187/preview
※当院では患者様のご負担を軽減するため、「手術当日以外」はお近くのクリニックをご利用いただける体制を整えております。初回相談・術前検査はご都合が良いクリニックをご選択ください。手術当日のみ、横浜駅前院へご来院いただきます。術後フォローはお近くの院で受診可能となります。
以下に該当する方は中絶手術をお受けできませんので予めご了承くださいませ・妊娠12週以降の方（当院では妊娠11週6日までの初期中絶のみ対応）・帝王切開歴のある方・喘息をお持ちの方で直近3ヶ月以内に発作がある場合・BMI32以上の方（BMI28以上は医師の判断）・日本語でのコミュニケーションが難しい方 </v>
      </c>
      <c r="C550" s="31" t="str">
        <f>IFERROR(__xludf.DUMMYFUNCTION("""COMPUTED_VALUE"""),"中絶手術")</f>
        <v>中絶手術</v>
      </c>
      <c r="D550" s="31" t="str">
        <f>IFERROR(__xludf.DUMMYFUNCTION("""COMPUTED_VALUE"""),"中絶手術,超音波検査,血液検査,初診")</f>
        <v>中絶手術,超音波検査,血液検査,初診</v>
      </c>
      <c r="E550" s="32" t="str">
        <f>IFERROR(__xludf.DUMMYFUNCTION("""COMPUTED_VALUE"""),"https://luna-dr.com/subjects/abortion_page/")</f>
        <v>https://luna-dr.com/subjects/abortion_page/</v>
      </c>
    </row>
    <row r="551">
      <c r="A551" s="31" t="str">
        <f>IFERROR(__xludf.DUMMYFUNCTION("""COMPUTED_VALUE"""),"中絶手術の初回診療に必要な持ち物は何ですか？")</f>
        <v>中絶手術の初回診療に必要な持ち物は何ですか？</v>
      </c>
      <c r="B551" s="31" t="str">
        <f>IFERROR(__xludf.DUMMYFUNCTION("""COMPUTED_VALUE"""),"当クリニックでは初回診療時に、保険証またはマイナンバーカード、お薬手帳（お持ちの方）、筆記用具をご持参ください。問診票の記入がありますので、予約時間の10分前のご来院をおすすめしています。")</f>
        <v>当クリニックでは初回診療時に、保険証またはマイナンバーカード、お薬手帳（お持ちの方）、筆記用具をご持参ください。問診票の記入がありますので、予約時間の10分前のご来院をおすすめしています。</v>
      </c>
      <c r="C551" s="31" t="str">
        <f>IFERROR(__xludf.DUMMYFUNCTION("""COMPUTED_VALUE"""),"中絶手術｜持ち物")</f>
        <v>中絶手術｜持ち物</v>
      </c>
      <c r="D551" s="31" t="str">
        <f>IFERROR(__xludf.DUMMYFUNCTION("""COMPUTED_VALUE"""),"中絶,初回,持ち物,保険証")</f>
        <v>中絶,初回,持ち物,保険証</v>
      </c>
      <c r="E551" s="32" t="str">
        <f>IFERROR(__xludf.DUMMYFUNCTION("""COMPUTED_VALUE"""),"https://luna-dr.com/subjects/abortion_page/")</f>
        <v>https://luna-dr.com/subjects/abortion_page/</v>
      </c>
    </row>
    <row r="552">
      <c r="A552" s="31" t="str">
        <f>IFERROR(__xludf.DUMMYFUNCTION("""COMPUTED_VALUE"""),"中絶手術の同意書はいつ提出しますか？")</f>
        <v>中絶手術の同意書はいつ提出しますか？</v>
      </c>
      <c r="B552" s="31" t="str">
        <f>IFERROR(__xludf.DUMMYFUNCTION("""COMPUTED_VALUE"""),"手術内容やリスクについて十分に理解・納得いただいた後に、同意書をお渡しします。ご本人とパートナーの署名・捺印が必要です。")</f>
        <v>手術内容やリスクについて十分に理解・納得いただいた後に、同意書をお渡しします。ご本人とパートナーの署名・捺印が必要です。</v>
      </c>
      <c r="C552" s="31" t="str">
        <f>IFERROR(__xludf.DUMMYFUNCTION("""COMPUTED_VALUE"""),"中絶手術")</f>
        <v>中絶手術</v>
      </c>
      <c r="D552" s="31" t="str">
        <f>IFERROR(__xludf.DUMMYFUNCTION("""COMPUTED_VALUE"""),"中絶手術,同意書,母体保護法")</f>
        <v>中絶手術,同意書,母体保護法</v>
      </c>
      <c r="E552" s="32" t="str">
        <f>IFERROR(__xludf.DUMMYFUNCTION("""COMPUTED_VALUE"""),"https://luna-dr.com/subjects/abortion_page/")</f>
        <v>https://luna-dr.com/subjects/abortion_page/</v>
      </c>
    </row>
    <row r="553">
      <c r="A553" s="31" t="str">
        <f>IFERROR(__xludf.DUMMYFUNCTION("""COMPUTED_VALUE"""),"中絶手術日はどのように決まりますか？")</f>
        <v>中絶手術日はどのように決まりますか？</v>
      </c>
      <c r="B553" s="31" t="str">
        <f>IFERROR(__xludf.DUMMYFUNCTION("""COMPUTED_VALUE"""),"中絶手術の意思が固まった場合、妊娠週数や検査結果、患者様のご都合を考慮して手術日を決定します。身体への負担を軽減するため、可能な限り早い日程をご案内しています。
※当院では患者様のご負担を軽減するため、「手術当日以外」はお近くのクリニックをご利用いただける体制を整えております。初回相談・術前検査はご都合が良いクリニックをご選択ください。手術当日のみ、横浜駅前院へご来院いただきます。術後フォローはお近くの院で受診可能となります。")</f>
        <v>中絶手術の意思が固まった場合、妊娠週数や検査結果、患者様のご都合を考慮して手術日を決定します。身体への負担を軽減するため、可能な限り早い日程をご案内しています。
※当院では患者様のご負担を軽減するため、「手術当日以外」はお近くのクリニックをご利用いただける体制を整えております。初回相談・術前検査はご都合が良いクリニックをご選択ください。手術当日のみ、横浜駅前院へご来院いただきます。術後フォローはお近くの院で受診可能となります。</v>
      </c>
      <c r="C553" s="31" t="str">
        <f>IFERROR(__xludf.DUMMYFUNCTION("""COMPUTED_VALUE"""),"中絶手術")</f>
        <v>中絶手術</v>
      </c>
      <c r="D553" s="31" t="str">
        <f>IFERROR(__xludf.DUMMYFUNCTION("""COMPUTED_VALUE"""),"中絶手術,手術日,妊娠週数")</f>
        <v>中絶手術,手術日,妊娠週数</v>
      </c>
      <c r="E553" s="32" t="str">
        <f>IFERROR(__xludf.DUMMYFUNCTION("""COMPUTED_VALUE"""),"https://luna-dr.com/subjects/abortion_page/")</f>
        <v>https://luna-dr.com/subjects/abortion_page/</v>
      </c>
    </row>
    <row r="554">
      <c r="A554" s="31" t="str">
        <f>IFERROR(__xludf.DUMMYFUNCTION("""COMPUTED_VALUE"""),"中絶手術の初回診療時の費用はいくらですか？")</f>
        <v>中絶手術の初回診療時の費用はいくらですか？</v>
      </c>
      <c r="B554" s="31" t="str">
        <f>IFERROR(__xludf.DUMMYFUNCTION("""COMPUTED_VALUE"""),"初回診療では、超音波検査・血液検査を含む初診料として16,500円（税込）がかかります。中絶手術費用とは別途必要です。")</f>
        <v>初回診療では、超音波検査・血液検査を含む初診料として16,500円（税込）がかかります。中絶手術費用とは別途必要です。</v>
      </c>
      <c r="C554" s="31" t="str">
        <f>IFERROR(__xludf.DUMMYFUNCTION("""COMPUTED_VALUE"""),"中絶手術")</f>
        <v>中絶手術</v>
      </c>
      <c r="D554" s="31" t="str">
        <f>IFERROR(__xludf.DUMMYFUNCTION("""COMPUTED_VALUE"""),"中絶手術,初診料,費用")</f>
        <v>中絶手術,初診料,費用</v>
      </c>
      <c r="E554" s="32" t="str">
        <f>IFERROR(__xludf.DUMMYFUNCTION("""COMPUTED_VALUE"""),"https://luna-dr.com/subjects/abortion_page/")</f>
        <v>https://luna-dr.com/subjects/abortion_page/</v>
      </c>
    </row>
    <row r="555">
      <c r="A555" s="31" t="str">
        <f>IFERROR(__xludf.DUMMYFUNCTION("""COMPUTED_VALUE"""),"初回診療当日に中絶手術は行いますか？")</f>
        <v>初回診療当日に中絶手術は行いますか？</v>
      </c>
      <c r="B555" s="31" t="str">
        <f>IFERROR(__xludf.DUMMYFUNCTION("""COMPUTED_VALUE"""),"当クリニックでは初回診療と中絶手術は別日で行います。初回診療ではカウンセリングと検査を行い、その後、別日に中絶手術を実施します。初回診療後に十分な説明を行い、納得いただいた上で手術日を決定します。当院では患者様のご負担を軽減するため、「手術当日以外」はお近くのクリニックをご利用いただける体制を整えております。初回相談・術前検査はご都合が良いクリニックをご選択ください。手術当日のみ、横浜駅前院へご来院いただきます。術後フォローはお近くの院で受診可能となります。ご予約は公式LINEで受け付けています。LINE"&amp;"はこちら→https://cline-app.com/qr-codes/98ad6f149bfa20f4f2a9a2e91aac4187/preview")</f>
        <v>当クリニックでは初回診療と中絶手術は別日で行います。初回診療ではカウンセリングと検査を行い、その後、別日に中絶手術を実施します。初回診療後に十分な説明を行い、納得いただいた上で手術日を決定します。当院では患者様のご負担を軽減するため、「手術当日以外」はお近くのクリニックをご利用いただける体制を整えております。初回相談・術前検査はご都合が良いクリニックをご選択ください。手術当日のみ、横浜駅前院へご来院いただきます。術後フォローはお近くの院で受診可能となります。ご予約は公式LINEで受け付けています。LINEはこちら→https://cline-app.com/qr-codes/98ad6f149bfa20f4f2a9a2e91aac4187/preview</v>
      </c>
      <c r="C555" s="31" t="str">
        <f>IFERROR(__xludf.DUMMYFUNCTION("""COMPUTED_VALUE"""),"中絶手術｜診療スケジュール")</f>
        <v>中絶手術｜診療スケジュール</v>
      </c>
      <c r="D555" s="31" t="str">
        <f>IFERROR(__xludf.DUMMYFUNCTION("""COMPUTED_VALUE"""),"中絶,初回,当日手術,別日")</f>
        <v>中絶,初回,当日手術,別日</v>
      </c>
      <c r="E555" s="32" t="str">
        <f>IFERROR(__xludf.DUMMYFUNCTION("""COMPUTED_VALUE"""),"https://luna-dr.com/subjects/abortion_page/")</f>
        <v>https://luna-dr.com/subjects/abortion_page/</v>
      </c>
    </row>
    <row r="556">
      <c r="A556" s="31" t="str">
        <f>IFERROR(__xludf.DUMMYFUNCTION("""COMPUTED_VALUE"""),"中絶手術の初回診療後はどうなりますか？")</f>
        <v>中絶手術の初回診療後はどうなりますか？</v>
      </c>
      <c r="B556" s="31" t="str">
        <f>IFERROR(__xludf.DUMMYFUNCTION("""COMPUTED_VALUE"""),"当クリニックでは初回診療後、医師の説明を十分に理解・納得いただいた場合に手術同意書をお渡しし、妊娠週数や体調、ご希望を踏まえて中絶手術日を予約します。当院では患者様のご負担を軽減するため、「手術当日以外」はお近くのクリニックをご利用いただける体制を整えております。初回相談・術前検査はご都合が良いクリニックをご選択ください。手術当日のみ、横浜駅前院へご来院いただきます。術後フォローはお近くの院で受診可能となります。ご予約は公式LINEで受け付けています。LINEはこちら→https://cline-app."&amp;"com/qr-codes/98ad6f149bfa20f4f2a9a2e91aac4187/preview")</f>
        <v>当クリニックでは初回診療後、医師の説明を十分に理解・納得いただいた場合に手術同意書をお渡しし、妊娠週数や体調、ご希望を踏まえて中絶手術日を予約します。当院では患者様のご負担を軽減するため、「手術当日以外」はお近くのクリニックをご利用いただける体制を整えております。初回相談・術前検査はご都合が良いクリニックをご選択ください。手術当日のみ、横浜駅前院へご来院いただきます。術後フォローはお近くの院で受診可能となります。ご予約は公式LINEで受け付けています。LINEはこちら→https://cline-app.com/qr-codes/98ad6f149bfa20f4f2a9a2e91aac4187/preview</v>
      </c>
      <c r="C556" s="31" t="str">
        <f>IFERROR(__xludf.DUMMYFUNCTION("""COMPUTED_VALUE"""),"中絶手術｜初回後の流れ")</f>
        <v>中絶手術｜初回後の流れ</v>
      </c>
      <c r="D556" s="31" t="str">
        <f>IFERROR(__xludf.DUMMYFUNCTION("""COMPUTED_VALUE"""),"中絶,同意書,手術予約")</f>
        <v>中絶,同意書,手術予約</v>
      </c>
      <c r="E556" s="32" t="str">
        <f>IFERROR(__xludf.DUMMYFUNCTION("""COMPUTED_VALUE"""),"https://luna-dr.com/subjects/abortion_page/")</f>
        <v>https://luna-dr.com/subjects/abortion_page/</v>
      </c>
    </row>
    <row r="557">
      <c r="A557" s="31" t="str">
        <f>IFERROR(__xludf.DUMMYFUNCTION("""COMPUTED_VALUE"""),"中絶手術の2回目（手術当日）はどのような流れですか？/中絶手術当日はどのような流れですか？")</f>
        <v>中絶手術の2回目（手術当日）はどのような流れですか？/中絶手術当日はどのような流れですか？</v>
      </c>
      <c r="B557" s="31" t="str">
        <f>IFERROR(__xludf.DUMMYFUNCTION("""COMPUTED_VALUE"""),"当クリニックでは2回目に中絶手術を行います。ご来院後に受付とお会計を行い、点滴・麻酔準備をしたうえで、WHO推奨の手動真空吸引法（MVA）による手術を実施します。手術後は院内で約2時間安静にしていただき、体調確認後にご帰宅いただきます。
※当院では患者様のご負担を軽減するため、「手術当日以外」はお近くのクリニックをご利用いただける体制を整えております。初回相談・術前検査はご都合が良いクリニックをご選択ください。手術当日のみ、横浜駅前院へご来院いただきます。術後フォローはお近くの院で受診可能となります。
ご"&amp;"予約は公式LINEで受け付けています。LINEはこちら→https://cline-app.com/qr-codes/98ad6f149bfa20f4f2a9a2e91aac4187/preview")</f>
        <v>当クリニックでは2回目に中絶手術を行います。ご来院後に受付とお会計を行い、点滴・麻酔準備をしたうえで、WHO推奨の手動真空吸引法（MVA）による手術を実施します。手術後は院内で約2時間安静にしていただき、体調確認後にご帰宅いただきます。
※当院では患者様のご負担を軽減するため、「手術当日以外」はお近くのクリニックをご利用いただける体制を整えております。初回相談・術前検査はご都合が良いクリニックをご選択ください。手術当日のみ、横浜駅前院へご来院いただきます。術後フォローはお近くの院で受診可能となります。
ご予約は公式LINEで受け付けています。LINEはこちら→https://cline-app.com/qr-codes/98ad6f149bfa20f4f2a9a2e91aac4187/preview</v>
      </c>
      <c r="C557" s="31" t="str">
        <f>IFERROR(__xludf.DUMMYFUNCTION("""COMPUTED_VALUE"""),"中絶手術｜手術当日の流れ")</f>
        <v>中絶手術｜手術当日の流れ</v>
      </c>
      <c r="D557" s="31" t="str">
        <f>IFERROR(__xludf.DUMMYFUNCTION("""COMPUTED_VALUE"""),"中絶,手術当日,MVA,麻酔")</f>
        <v>中絶,手術当日,MVA,麻酔</v>
      </c>
      <c r="E557" s="32" t="str">
        <f>IFERROR(__xludf.DUMMYFUNCTION("""COMPUTED_VALUE"""),"https://luna-dr.com/subjects/abortion_page/")</f>
        <v>https://luna-dr.com/subjects/abortion_page/</v>
      </c>
    </row>
    <row r="558">
      <c r="A558" s="31" t="str">
        <f>IFERROR(__xludf.DUMMYFUNCTION("""COMPUTED_VALUE"""),"中絶手術当日の持ち物は何ですか？")</f>
        <v>中絶手術当日の持ち物は何ですか？</v>
      </c>
      <c r="B558" s="31" t="str">
        <f>IFERROR(__xludf.DUMMYFUNCTION("""COMPUTED_VALUE"""),"当クリニックでは手術当日に、身分証明書、署名・捺印済みの同意書、手術費用、夜用ナプキン、生理用ショーツ、お薬手帳（お持ちの方）をご持参ください。")</f>
        <v>当クリニックでは手術当日に、身分証明書、署名・捺印済みの同意書、手術費用、夜用ナプキン、生理用ショーツ、お薬手帳（お持ちの方）をご持参ください。</v>
      </c>
      <c r="C558" s="31" t="str">
        <f>IFERROR(__xludf.DUMMYFUNCTION("""COMPUTED_VALUE"""),"中絶手術｜当日の持ち物")</f>
        <v>中絶手術｜当日の持ち物</v>
      </c>
      <c r="D558" s="31" t="str">
        <f>IFERROR(__xludf.DUMMYFUNCTION("""COMPUTED_VALUE"""),"中絶,手術当日,持ち物")</f>
        <v>中絶,手術当日,持ち物</v>
      </c>
      <c r="E558" s="32" t="str">
        <f>IFERROR(__xludf.DUMMYFUNCTION("""COMPUTED_VALUE"""),"https://luna-dr.com/subjects/abortion_page/")</f>
        <v>https://luna-dr.com/subjects/abortion_page/</v>
      </c>
    </row>
    <row r="559">
      <c r="A559" s="31" t="str">
        <f>IFERROR(__xludf.DUMMYFUNCTION("""COMPUTED_VALUE"""),"中絶手術当日の手術時間はどれくらいですか？")</f>
        <v>中絶手術当日の手術時間はどれくらいですか？</v>
      </c>
      <c r="B559" s="31" t="str">
        <f>IFERROR(__xludf.DUMMYFUNCTION("""COMPUTED_VALUE"""),"当クリニックで行う中絶手術は、手動真空吸引法（MVA）を用い、手術自体は約15分で終了します。来院からご帰宅まではおよそ3〜4時間が目安です。
ご予約は公式LINEで受け付けています。LINEはこちら→https://cline-app.com/qr-codes/98ad6f149bfa20f4f2a9a2e91aac4187/preview
※当院では患者様のご負担を軽減するため、「手術当日以外」はお近くのクリニックをご利用いただける体制を整えております。初回相談・術前検査はご都合が良いクリニックをご選"&amp;"択ください。手術当日のみ、横浜駅前院へご来院いただきます。術後フォローはお近くの院で受診可能となります。")</f>
        <v>当クリニックで行う中絶手術は、手動真空吸引法（MVA）を用い、手術自体は約15分で終了します。来院からご帰宅まではおよそ3〜4時間が目安です。
ご予約は公式LINEで受け付けています。LINEはこちら→https://cline-app.com/qr-codes/98ad6f149bfa20f4f2a9a2e91aac4187/preview
※当院では患者様のご負担を軽減するため、「手術当日以外」はお近くのクリニックをご利用いただける体制を整えております。初回相談・術前検査はご都合が良いクリニックをご選択ください。手術当日のみ、横浜駅前院へご来院いただきます。術後フォローはお近くの院で受診可能となります。</v>
      </c>
      <c r="C559" s="31" t="str">
        <f>IFERROR(__xludf.DUMMYFUNCTION("""COMPUTED_VALUE"""),"中絶手術｜手術時間")</f>
        <v>中絶手術｜手術時間</v>
      </c>
      <c r="D559" s="31" t="str">
        <f>IFERROR(__xludf.DUMMYFUNCTION("""COMPUTED_VALUE"""),"中絶,手術時間,MVA")</f>
        <v>中絶,手術時間,MVA</v>
      </c>
      <c r="E559" s="32" t="str">
        <f>IFERROR(__xludf.DUMMYFUNCTION("""COMPUTED_VALUE"""),"https://luna-dr.com/subjects/abortion_page/")</f>
        <v>https://luna-dr.com/subjects/abortion_page/</v>
      </c>
    </row>
    <row r="560">
      <c r="A560" s="31" t="str">
        <f>IFERROR(__xludf.DUMMYFUNCTION("""COMPUTED_VALUE"""),"中絶手術の初回診療ではどのような説明がありますか？")</f>
        <v>中絶手術の初回診療ではどのような説明がありますか？</v>
      </c>
      <c r="B560" s="31" t="str">
        <f>IFERROR(__xludf.DUMMYFUNCTION("""COMPUTED_VALUE"""),"検査結果をもとに、医師から中絶手術の方法や流れ、リスク、費用、術後の注意点について詳しく説明します。特に、手動真空吸引法（MVA）の安全性やメリットについて丁寧にご説明します。")</f>
        <v>検査結果をもとに、医師から中絶手術の方法や流れ、リスク、費用、術後の注意点について詳しく説明します。特に、手動真空吸引法（MVA）の安全性やメリットについて丁寧にご説明します。</v>
      </c>
      <c r="C560" s="31" t="str">
        <f>IFERROR(__xludf.DUMMYFUNCTION("""COMPUTED_VALUE"""),"中絶手術")</f>
        <v>中絶手術</v>
      </c>
      <c r="D560" s="31" t="str">
        <f>IFERROR(__xludf.DUMMYFUNCTION("""COMPUTED_VALUE"""),"中絶手術,MVA,手動真空吸引法,説明")</f>
        <v>中絶手術,MVA,手動真空吸引法,説明</v>
      </c>
      <c r="E560" s="32" t="str">
        <f>IFERROR(__xludf.DUMMYFUNCTION("""COMPUTED_VALUE"""),"https://luna-dr.com/subjects/abortion_page/")</f>
        <v>https://luna-dr.com/subjects/abortion_page/</v>
      </c>
    </row>
    <row r="561">
      <c r="A561" s="31" t="str">
        <f>IFERROR(__xludf.DUMMYFUNCTION("""COMPUTED_VALUE"""),"中絶手術後はどのくらい休みますか？")</f>
        <v>中絶手術後はどのくらい休みますか？</v>
      </c>
      <c r="B561" s="31" t="str">
        <f>IFERROR(__xludf.DUMMYFUNCTION("""COMPUTED_VALUE"""),"手術後は個室で約2時間休息をとっていただきます。看護師が出血や体調を確認し、問題がなければ帰宅となります。")</f>
        <v>手術後は個室で約2時間休息をとっていただきます。看護師が出血や体調を確認し、問題がなければ帰宅となります。</v>
      </c>
      <c r="C561" s="31" t="str">
        <f>IFERROR(__xludf.DUMMYFUNCTION("""COMPUTED_VALUE"""),"中絶手術")</f>
        <v>中絶手術</v>
      </c>
      <c r="D561" s="31" t="str">
        <f>IFERROR(__xludf.DUMMYFUNCTION("""COMPUTED_VALUE"""),"中絶手術,術後,休息")</f>
        <v>中絶手術,術後,休息</v>
      </c>
      <c r="E561" s="32" t="str">
        <f>IFERROR(__xludf.DUMMYFUNCTION("""COMPUTED_VALUE"""),"https://luna-dr.com/subjects/abortion_page/")</f>
        <v>https://luna-dr.com/subjects/abortion_page/</v>
      </c>
    </row>
    <row r="562">
      <c r="A562" s="31" t="str">
        <f>IFERROR(__xludf.DUMMYFUNCTION("""COMPUTED_VALUE"""),"中絶手術の手術後に薬は処方されますか？")</f>
        <v>中絶手術の手術後に薬は処方されますか？</v>
      </c>
      <c r="B562" s="31" t="str">
        <f>IFERROR(__xludf.DUMMYFUNCTION("""COMPUTED_VALUE"""),"帰宅前に鎮痛剤、抗生剤、1ヶ月分の低用量ピルをお渡ししています。服用方法についても医師・スタッフが説明します。")</f>
        <v>帰宅前に鎮痛剤、抗生剤、1ヶ月分の低用量ピルをお渡ししています。服用方法についても医師・スタッフが説明します。</v>
      </c>
      <c r="C562" s="31" t="str">
        <f>IFERROR(__xludf.DUMMYFUNCTION("""COMPUTED_VALUE"""),"中絶手術")</f>
        <v>中絶手術</v>
      </c>
      <c r="D562" s="31" t="str">
        <f>IFERROR(__xludf.DUMMYFUNCTION("""COMPUTED_VALUE"""),"中絶手術,術後,薬,ピル")</f>
        <v>中絶手術,術後,薬,ピル</v>
      </c>
      <c r="E562" s="32" t="str">
        <f>IFERROR(__xludf.DUMMYFUNCTION("""COMPUTED_VALUE"""),"https://luna-dr.com/subjects/abortion_page/")</f>
        <v>https://luna-dr.com/subjects/abortion_page/</v>
      </c>
    </row>
    <row r="563">
      <c r="A563" s="31" t="str">
        <f>IFERROR(__xludf.DUMMYFUNCTION("""COMPUTED_VALUE"""),"中絶手術後の検診はありますか？/中絶手術後の検診の予約方法/術後検診の予約はどうすればいい？")</f>
        <v>中絶手術後の検診はありますか？/中絶手術後の検診の予約方法/術後検診の予約はどうすればいい？</v>
      </c>
      <c r="B563" s="31" t="str">
        <f>IFERROR(__xludf.DUMMYFUNCTION("""COMPUTED_VALUE"""),"当クリニックでは、術後1週間後と3週間後の2回、無料で検診を行っています。術後の回復確認とフォローを重視しています。術後検診のご予約は「術後検診」のメニューからお取りください。ご予約は公式LINEで受け付けています。LINEはこちら→https://cline-app.com/qr-codes/98ad6f149bfa20f4f2a9a2e91aac4187/preview")</f>
        <v>当クリニックでは、術後1週間後と3週間後の2回、無料で検診を行っています。術後の回復確認とフォローを重視しています。術後検診のご予約は「術後検診」のメニューからお取りください。ご予約は公式LINEで受け付けています。LINEはこちら→https://cline-app.com/qr-codes/98ad6f149bfa20f4f2a9a2e91aac4187/preview</v>
      </c>
      <c r="C563" s="31" t="str">
        <f>IFERROR(__xludf.DUMMYFUNCTION("""COMPUTED_VALUE"""),"中絶手術")</f>
        <v>中絶手術</v>
      </c>
      <c r="D563" s="31" t="str">
        <f>IFERROR(__xludf.DUMMYFUNCTION("""COMPUTED_VALUE"""),"中絶手術,術後検診,アフターケア")</f>
        <v>中絶手術,術後検診,アフターケア</v>
      </c>
      <c r="E563" s="32" t="str">
        <f>IFERROR(__xludf.DUMMYFUNCTION("""COMPUTED_VALUE"""),"https://luna-dr.com/subjects/abortion_page/")</f>
        <v>https://luna-dr.com/subjects/abortion_page/</v>
      </c>
    </row>
    <row r="564">
      <c r="A564" s="31" t="str">
        <f>IFERROR(__xludf.DUMMYFUNCTION("""COMPUTED_VALUE"""),"手術後に異常を感じた場合はどうすればいいですか？")</f>
        <v>手術後に異常を感じた場合はどうすればいいですか？</v>
      </c>
      <c r="B564" s="31" t="str">
        <f>IFERROR(__xludf.DUMMYFUNCTION("""COMPUTED_VALUE"""),"出血の増加、強い痛み、発熱などの異常を感じた場合は、速やかにクリニックへご連絡ください。電話は050-1730-2768で承っています。")</f>
        <v>出血の増加、強い痛み、発熱などの異常を感じた場合は、速やかにクリニックへご連絡ください。電話は050-1730-2768で承っています。</v>
      </c>
      <c r="C564" s="31" t="str">
        <f>IFERROR(__xludf.DUMMYFUNCTION("""COMPUTED_VALUE"""),"中絶手術")</f>
        <v>中絶手術</v>
      </c>
      <c r="D564" s="31" t="str">
        <f>IFERROR(__xludf.DUMMYFUNCTION("""COMPUTED_VALUE"""),"中絶手術,術後トラブル,相談")</f>
        <v>中絶手術,術後トラブル,相談</v>
      </c>
      <c r="E564" s="32" t="str">
        <f>IFERROR(__xludf.DUMMYFUNCTION("""COMPUTED_VALUE"""),"https://luna-dr.com/subjects/abortion_page/")</f>
        <v>https://luna-dr.com/subjects/abortion_page/</v>
      </c>
    </row>
    <row r="565">
      <c r="A565" s="31" t="str">
        <f>IFERROR(__xludf.DUMMYFUNCTION("""COMPUTED_VALUE"""),"中絶手術の費用は分割払いに対応していますか？")</f>
        <v>中絶手術の費用は分割払いに対応していますか？</v>
      </c>
      <c r="B565" s="31" t="str">
        <f>IFERROR(__xludf.DUMMYFUNCTION("""COMPUTED_VALUE"""),"当クリニックではクレジットカード決済をはじめ、各種キャッシュレス決済に対応しています。クレジットカード会社とのご契約内容によっては、中絶手術費用を分割でお支払いいただくことが可能です。分割回数や手数料については、ご利用のカード会社へ直接お問い合わせください。")</f>
        <v>当クリニックではクレジットカード決済をはじめ、各種キャッシュレス決済に対応しています。クレジットカード会社とのご契約内容によっては、中絶手術費用を分割でお支払いいただくことが可能です。分割回数や手数料については、ご利用のカード会社へ直接お問い合わせください。</v>
      </c>
      <c r="C565" s="31" t="str">
        <f>IFERROR(__xludf.DUMMYFUNCTION("""COMPUTED_VALUE"""),"中絶手術")</f>
        <v>中絶手術</v>
      </c>
      <c r="D565" s="31" t="str">
        <f>IFERROR(__xludf.DUMMYFUNCTION("""COMPUTED_VALUE"""),"中絶手術,分割払い,クレジットカード,支払い方法")</f>
        <v>中絶手術,分割払い,クレジットカード,支払い方法</v>
      </c>
      <c r="E565" s="32" t="str">
        <f>IFERROR(__xludf.DUMMYFUNCTION("""COMPUTED_VALUE"""),"https://luna-dr.com/subjects/abortion_page/")</f>
        <v>https://luna-dr.com/subjects/abortion_page/</v>
      </c>
    </row>
    <row r="566">
      <c r="A566" s="31" t="str">
        <f>IFERROR(__xludf.DUMMYFUNCTION("""COMPUTED_VALUE"""),"中絶手術は保険が適用されることはありますか？")</f>
        <v>中絶手術は保険が適用されることはありますか？</v>
      </c>
      <c r="B566" s="31" t="str">
        <f>IFERROR(__xludf.DUMMYFUNCTION("""COMPUTED_VALUE"""),"当クリニックで行う中絶手術は、原則として健康保険適用外の自費診療です。ただし、母体の健康上の理由がある場合には、健康保険が適用されるケースがあります。また、性被害による妊娠の場合は、自治体や警察などの公的機関から費用助成を受けられる場合があります。詳細は診察時に医師へご相談ください。")</f>
        <v>当クリニックで行う中絶手術は、原則として健康保険適用外の自費診療です。ただし、母体の健康上の理由がある場合には、健康保険が適用されるケースがあります。また、性被害による妊娠の場合は、自治体や警察などの公的機関から費用助成を受けられる場合があります。詳細は診察時に医師へご相談ください。</v>
      </c>
      <c r="C566" s="31" t="str">
        <f>IFERROR(__xludf.DUMMYFUNCTION("""COMPUTED_VALUE"""),"中絶手術")</f>
        <v>中絶手術</v>
      </c>
      <c r="D566" s="31" t="str">
        <f>IFERROR(__xludf.DUMMYFUNCTION("""COMPUTED_VALUE"""),"中絶手術,保険適用,自費診療,助成金")</f>
        <v>中絶手術,保険適用,自費診療,助成金</v>
      </c>
      <c r="E566" s="32" t="str">
        <f>IFERROR(__xludf.DUMMYFUNCTION("""COMPUTED_VALUE"""),"https://luna-dr.com/subjects/abortion_page/")</f>
        <v>https://luna-dr.com/subjects/abortion_page/</v>
      </c>
    </row>
    <row r="567">
      <c r="A567" s="31" t="str">
        <f>IFERROR(__xludf.DUMMYFUNCTION("""COMPUTED_VALUE"""),"中絶手術を受けられる時期はいつまでですか？")</f>
        <v>中絶手術を受けられる時期はいつまでですか？</v>
      </c>
      <c r="B567" s="31" t="str">
        <f>IFERROR(__xludf.DUMMYFUNCTION("""COMPUTED_VALUE"""),"人工妊娠中絶は母体保護法により妊娠21週6日まで認められています。当クリニックでは、妊娠11週6日までの初期中絶のみ対応しています。妊娠12週以降の中期中絶は入院が必要となり、身体的・精神的・経済的負担が大きくなります。妊娠に気づいたら、早めの受診をおすすめします。")</f>
        <v>人工妊娠中絶は母体保護法により妊娠21週6日まで認められています。当クリニックでは、妊娠11週6日までの初期中絶のみ対応しています。妊娠12週以降の中期中絶は入院が必要となり、身体的・精神的・経済的負担が大きくなります。妊娠に気づいたら、早めの受診をおすすめします。</v>
      </c>
      <c r="C567" s="31" t="str">
        <f>IFERROR(__xludf.DUMMYFUNCTION("""COMPUTED_VALUE"""),"中絶手術")</f>
        <v>中絶手術</v>
      </c>
      <c r="D567" s="31" t="str">
        <f>IFERROR(__xludf.DUMMYFUNCTION("""COMPUTED_VALUE"""),"中絶手術,妊娠週数,初期中絶,母体保護法")</f>
        <v>中絶手術,妊娠週数,初期中絶,母体保護法</v>
      </c>
      <c r="E567" s="32" t="str">
        <f>IFERROR(__xludf.DUMMYFUNCTION("""COMPUTED_VALUE"""),"https://luna-dr.com/subjects/abortion_page/")</f>
        <v>https://luna-dr.com/subjects/abortion_page/</v>
      </c>
    </row>
    <row r="568">
      <c r="A568" s="31" t="str">
        <f>IFERROR(__xludf.DUMMYFUNCTION("""COMPUTED_VALUE"""),"中絶手術の痛みはありますか？")</f>
        <v>中絶手術の痛みはありますか？</v>
      </c>
      <c r="B568" s="31" t="str">
        <f>IFERROR(__xludf.DUMMYFUNCTION("""COMPUTED_VALUE"""),"当クリニックでは静脈麻酔と笑気麻酔を併用するため、手術中の痛みはほとんどありません。
手術時間が15分ほどと短いため、麻酔でぼーっと眠っている間に終了します。
手術後は麻酔の効果がなくなってくると生理痛に似た痛みを感じることがありますが、一般的な鎮痛剤で抑えることができる程度です。
痛みに不安がある方は事前に医師にご相談ください。
※当院では患者様のご負担を軽減するため、「手術当日以外」はお近くのクリニックをご利用いただける体制を整えております。初回相談・術前検査はご都合が良いクリニックをご選択ください。"&amp;"手術当日のみ、横浜駅前院へご来院いただきます。術後フォローはお近くの院で受診可能となります。ご予約は公式LINEで受け付けています。LINEはこちら→https://cline-app.com/qr-codes/98ad6f149bfa20f4f2a9a2e91aac4187/preview")</f>
        <v>当クリニックでは静脈麻酔と笑気麻酔を併用するため、手術中の痛みはほとんどありません。
手術時間が15分ほどと短いため、麻酔でぼーっと眠っている間に終了します。
手術後は麻酔の効果がなくなってくると生理痛に似た痛みを感じることがありますが、一般的な鎮痛剤で抑えることができる程度です。
痛みに不安がある方は事前に医師にご相談ください。
※当院では患者様のご負担を軽減するため、「手術当日以外」はお近くのクリニックをご利用いただける体制を整えております。初回相談・術前検査はご都合が良いクリニックをご選択ください。手術当日のみ、横浜駅前院へご来院いただきます。術後フォローはお近くの院で受診可能となります。ご予約は公式LINEで受け付けています。LINEはこちら→https://cline-app.com/qr-codes/98ad6f149bfa20f4f2a9a2e91aac4187/preview</v>
      </c>
      <c r="C568" s="31" t="str">
        <f>IFERROR(__xludf.DUMMYFUNCTION("""COMPUTED_VALUE"""),"中絶手術")</f>
        <v>中絶手術</v>
      </c>
      <c r="D568" s="31" t="str">
        <f>IFERROR(__xludf.DUMMYFUNCTION("""COMPUTED_VALUE"""),"中絶手術,痛み,麻酔,静脈麻酔")</f>
        <v>中絶手術,痛み,麻酔,静脈麻酔</v>
      </c>
      <c r="E568" s="32" t="str">
        <f>IFERROR(__xludf.DUMMYFUNCTION("""COMPUTED_VALUE"""),"https://luna-dr.com/subjects/abortion_page/")</f>
        <v>https://luna-dr.com/subjects/abortion_page/</v>
      </c>
    </row>
    <row r="569">
      <c r="A569" s="31" t="str">
        <f>IFERROR(__xludf.DUMMYFUNCTION("""COMPUTED_VALUE"""),"中絶手術当日の必要な持ち物は何ですか？")</f>
        <v>中絶手術当日の必要な持ち物は何ですか？</v>
      </c>
      <c r="B569" s="31" t="str">
        <f>IFERROR(__xludf.DUMMYFUNCTION("""COMPUTED_VALUE"""),"中絶手術当日は以下のものをご持参ください。
・身分証明書（保険証・免許証など）
・同意書（パートナーのサイン・印鑑があるもの）
・手術費用（現金か当クリニックで決済可能なお支払い方法）
・夜用ナプキン3枚程度
・生理用ショーツ
・お薬手帳（お持ちの方）
着脱しやすい服装でお越しいただくとスムーズです。
アクセサリーは最小限にし、メイクはノーメイクか薄化粧での来院をお願いします。
※当院では患者様のご負担を軽減するため、「手術当日以外」はお近くのクリニックをご利用いただける体制を整えております。初回相談"&amp;"・術前検査はご都合が良いクリニックをご選択ください。手術当日のみ、横浜駅前院へご来院いただきます。術後フォローはお近くの院で受診可能となります。ご予約は公式LINEで受け付けています。LINEはこちら→https://cline-app.com/qr-codes/98ad6f149bfa20f4f2a9a2e91aac4187/preview")</f>
        <v>中絶手術当日は以下のものをご持参ください。
・身分証明書（保険証・免許証など）
・同意書（パートナーのサイン・印鑑があるもの）
・手術費用（現金か当クリニックで決済可能なお支払い方法）
・夜用ナプキン3枚程度
・生理用ショーツ
・お薬手帳（お持ちの方）
着脱しやすい服装でお越しいただくとスムーズです。
アクセサリーは最小限にし、メイクはノーメイクか薄化粧での来院をお願いします。
※当院では患者様のご負担を軽減するため、「手術当日以外」はお近くのクリニックをご利用いただける体制を整えております。初回相談・術前検査はご都合が良いクリニックをご選択ください。手術当日のみ、横浜駅前院へご来院いただきます。術後フォローはお近くの院で受診可能となります。ご予約は公式LINEで受け付けています。LINEはこちら→https://cline-app.com/qr-codes/98ad6f149bfa20f4f2a9a2e91aac4187/preview</v>
      </c>
      <c r="C569" s="31" t="str">
        <f>IFERROR(__xludf.DUMMYFUNCTION("""COMPUTED_VALUE"""),"中絶手術")</f>
        <v>中絶手術</v>
      </c>
      <c r="D569" s="31" t="str">
        <f>IFERROR(__xludf.DUMMYFUNCTION("""COMPUTED_VALUE"""),"中絶手術,持ち物,同意書,手術当日")</f>
        <v>中絶手術,持ち物,同意書,手術当日</v>
      </c>
      <c r="E569" s="32" t="str">
        <f>IFERROR(__xludf.DUMMYFUNCTION("""COMPUTED_VALUE"""),"https://luna-dr.com/subjects/abortion_page/")</f>
        <v>https://luna-dr.com/subjects/abortion_page/</v>
      </c>
    </row>
    <row r="570">
      <c r="A570" s="31" t="str">
        <f>IFERROR(__xludf.DUMMYFUNCTION("""COMPUTED_VALUE"""),"中絶手術後はどのように過ごせば良いですか？")</f>
        <v>中絶手術後はどのように過ごせば良いですか？</v>
      </c>
      <c r="B570" s="31" t="str">
        <f>IFERROR(__xludf.DUMMYFUNCTION("""COMPUTED_VALUE"""),"手術当日は運転や運動、飲酒を控え、ゆっくりと休息をとりましょう。
翌日以降の仕事や日常生活に制限はありませんが、心配なら2,3日休みを取っておくと安心でしょう。
術後の診察で医師の許可が出るまでは性交渉を控え、処方された薬は指示通りに服用してください。
術後1週間と3週間後の検診は必ず受診し、回復の状況を確認するとともに、避妊の相談をおすすめします。
多量の出血や悪臭を伴う出血、強い痛み、発熱などの症状がある場合は、すぐにクリニックへご連絡ください。")</f>
        <v>手術当日は運転や運動、飲酒を控え、ゆっくりと休息をとりましょう。
翌日以降の仕事や日常生活に制限はありませんが、心配なら2,3日休みを取っておくと安心でしょう。
術後の診察で医師の許可が出るまでは性交渉を控え、処方された薬は指示通りに服用してください。
術後1週間と3週間後の検診は必ず受診し、回復の状況を確認するとともに、避妊の相談をおすすめします。
多量の出血や悪臭を伴う出血、強い痛み、発熱などの症状がある場合は、すぐにクリニックへご連絡ください。</v>
      </c>
      <c r="C570" s="31" t="str">
        <f>IFERROR(__xludf.DUMMYFUNCTION("""COMPUTED_VALUE"""),"中絶手術")</f>
        <v>中絶手術</v>
      </c>
      <c r="D570" s="31" t="str">
        <f>IFERROR(__xludf.DUMMYFUNCTION("""COMPUTED_VALUE"""),"中絶手術,術後,生活,注意点")</f>
        <v>中絶手術,術後,生活,注意点</v>
      </c>
      <c r="E570" s="32" t="str">
        <f>IFERROR(__xludf.DUMMYFUNCTION("""COMPUTED_VALUE"""),"https://luna-dr.com/subjects/abortion_page/")</f>
        <v>https://luna-dr.com/subjects/abortion_page/</v>
      </c>
    </row>
    <row r="571">
      <c r="A571" s="31" t="str">
        <f>IFERROR(__xludf.DUMMYFUNCTION("""COMPUTED_VALUE"""),"中絶手術を受けたことが家族に知られる可能性はありますか？")</f>
        <v>中絶手術を受けたことが家族に知られる可能性はありますか？</v>
      </c>
      <c r="B571" s="31" t="str">
        <f>IFERROR(__xludf.DUMMYFUNCTION("""COMPUTED_VALUE"""),"当クリニックでは患者様のプライバシー保護を最優先しており、ご本人の同意なく家族や第三者に情報が漏れることはありません。
保険適用外の自費診療のため、健康保険の通知に記載されることもありません。
ただし、未成年の場合は保護者の同意が必要となりますのでご注意ください。
診察券や領収書の発行や連絡方法についてご希望がありましたら、受付までご相談ください。")</f>
        <v>当クリニックでは患者様のプライバシー保護を最優先しており、ご本人の同意なく家族や第三者に情報が漏れることはありません。
保険適用外の自費診療のため、健康保険の通知に記載されることもありません。
ただし、未成年の場合は保護者の同意が必要となりますのでご注意ください。
診察券や領収書の発行や連絡方法についてご希望がありましたら、受付までご相談ください。</v>
      </c>
      <c r="C571" s="31" t="str">
        <f>IFERROR(__xludf.DUMMYFUNCTION("""COMPUTED_VALUE"""),"中絶手術")</f>
        <v>中絶手術</v>
      </c>
      <c r="D571" s="31" t="str">
        <f>IFERROR(__xludf.DUMMYFUNCTION("""COMPUTED_VALUE"""),"中絶手術,プライバシー,家族,秘密")</f>
        <v>中絶手術,プライバシー,家族,秘密</v>
      </c>
      <c r="E571" s="32" t="str">
        <f>IFERROR(__xludf.DUMMYFUNCTION("""COMPUTED_VALUE"""),"https://luna-dr.com/subjects/abortion_page/")</f>
        <v>https://luna-dr.com/subjects/abortion_page/</v>
      </c>
    </row>
    <row r="572">
      <c r="A572" s="31" t="str">
        <f>IFERROR(__xludf.DUMMYFUNCTION("""COMPUTED_VALUE"""),"未成年でも中絶手術を受けられますか？")</f>
        <v>未成年でも中絶手術を受けられますか？</v>
      </c>
      <c r="B572" s="31" t="str">
        <f>IFERROR(__xludf.DUMMYFUNCTION("""COMPUTED_VALUE"""),"18歳未満の方が中絶手術を受ける場合、原則として保護者の同意が必要です。保護者の同意を得ることが難しい事情がある場合は、個別にご相談ください。")</f>
        <v>18歳未満の方が中絶手術を受ける場合、原則として保護者の同意が必要です。保護者の同意を得ることが難しい事情がある場合は、個別にご相談ください。</v>
      </c>
      <c r="C572" s="31" t="str">
        <f>IFERROR(__xludf.DUMMYFUNCTION("""COMPUTED_VALUE"""),"中絶手術")</f>
        <v>中絶手術</v>
      </c>
      <c r="D572" s="31" t="str">
        <f>IFERROR(__xludf.DUMMYFUNCTION("""COMPUTED_VALUE"""),"中絶手術,未成年,保護者同意")</f>
        <v>中絶手術,未成年,保護者同意</v>
      </c>
      <c r="E572" s="32" t="str">
        <f>IFERROR(__xludf.DUMMYFUNCTION("""COMPUTED_VALUE"""),"https://luna-dr.com/subjects/abortion_page/")</f>
        <v>https://luna-dr.com/subjects/abortion_page/</v>
      </c>
    </row>
    <row r="573">
      <c r="A573" s="31" t="str">
        <f>IFERROR(__xludf.DUMMYFUNCTION("""COMPUTED_VALUE"""),"未婚の場合、中絶手術の同意書に彼氏のサインは必要ですか？")</f>
        <v>未婚の場合、中絶手術の同意書に彼氏のサインは必要ですか？</v>
      </c>
      <c r="B573" s="31" t="str">
        <f>IFERROR(__xludf.DUMMYFUNCTION("""COMPUTED_VALUE"""),"母体保護法第14条に基づき、中絶手術にはご本人および胎児の父親の同意が必要とされています。未婚の場合も、原則としてパートナー（胎児の父親）の署名・捺印が必要です。ただし、同意を得ることが困難な事情がある場合はご相談ください。")</f>
        <v>母体保護法第14条に基づき、中絶手術にはご本人および胎児の父親の同意が必要とされています。未婚の場合も、原則としてパートナー（胎児の父親）の署名・捺印が必要です。ただし、同意を得ることが困難な事情がある場合はご相談ください。</v>
      </c>
      <c r="C573" s="31" t="str">
        <f>IFERROR(__xludf.DUMMYFUNCTION("""COMPUTED_VALUE"""),"中絶手術")</f>
        <v>中絶手術</v>
      </c>
      <c r="D573" s="31" t="str">
        <f>IFERROR(__xludf.DUMMYFUNCTION("""COMPUTED_VALUE"""),"中絶手術,同意書,未婚,母体保護法")</f>
        <v>中絶手術,同意書,未婚,母体保護法</v>
      </c>
      <c r="E573" s="32" t="str">
        <f>IFERROR(__xludf.DUMMYFUNCTION("""COMPUTED_VALUE"""),"https://luna-dr.com/subjects/abortion_page/")</f>
        <v>https://luna-dr.com/subjects/abortion_page/</v>
      </c>
    </row>
    <row r="574">
      <c r="A574" s="31" t="str">
        <f>IFERROR(__xludf.DUMMYFUNCTION("""COMPUTED_VALUE"""),"夫以外の相手との妊娠でも同意書なしで手術できますか？")</f>
        <v>夫以外の相手との妊娠でも同意書なしで手術できますか？</v>
      </c>
      <c r="B574" s="31" t="str">
        <f>IFERROR(__xludf.DUMMYFUNCTION("""COMPUTED_VALUE"""),"ルナレディースクリニックでは、中絶手術にあたり原則として配偶者または胎児の父親の同意書が必要です。患者様ご本人が未成年の場合は保護者の同意書も必要となります。ただし、やむを得ない事情がある場合には例外が認められることもありますので診察時にご相談ください。また、医学的条件によりお受けできない場合があります。帝王切開歴のある方はお受けできません。喘息の方は直近3ヶ月以内に発作がある場合はお受けできません。BMI32以上の方はお受けできません。BMI28以上の方は当院で体重測定を行い医師の判断となります。")</f>
        <v>ルナレディースクリニックでは、中絶手術にあたり原則として配偶者または胎児の父親の同意書が必要です。患者様ご本人が未成年の場合は保護者の同意書も必要となります。ただし、やむを得ない事情がある場合には例外が認められることもありますので診察時にご相談ください。また、医学的条件によりお受けできない場合があります。帝王切開歴のある方はお受けできません。喘息の方は直近3ヶ月以内に発作がある場合はお受けできません。BMI32以上の方はお受けできません。BMI28以上の方は当院で体重測定を行い医師の判断となります。</v>
      </c>
      <c r="C574" s="31" t="str">
        <f>IFERROR(__xludf.DUMMYFUNCTION("""COMPUTED_VALUE"""),"中絶手術")</f>
        <v>中絶手術</v>
      </c>
      <c r="D574" s="31" t="str">
        <f>IFERROR(__xludf.DUMMYFUNCTION("""COMPUTED_VALUE"""),"中絶手術,同意書,配偶者,父親,帝王切開歴,喘息,BMI,受け入れ不可条件")</f>
        <v>中絶手術,同意書,配偶者,父親,帝王切開歴,喘息,BMI,受け入れ不可条件</v>
      </c>
      <c r="E574" s="32" t="str">
        <f>IFERROR(__xludf.DUMMYFUNCTION("""COMPUTED_VALUE"""),"https://luna-dr.com/subjects/abortion_page/")</f>
        <v>https://luna-dr.com/subjects/abortion_page/</v>
      </c>
    </row>
    <row r="575">
      <c r="A575" s="31" t="str">
        <f>IFERROR(__xludf.DUMMYFUNCTION("""COMPUTED_VALUE"""),"中絶手術で受け入れできない条件はありますか？")</f>
        <v>中絶手術で受け入れできない条件はありますか？</v>
      </c>
      <c r="B575" s="31" t="str">
        <f>IFERROR(__xludf.DUMMYFUNCTION("""COMPUTED_VALUE"""),"当院では、中絶手術にあたり以下に該当する方はお受けできない場合がございます。
・妊娠12週以降の方（当院では妊娠11週6日までの初期中絶のみ対応しております）
・帝王切開歴のある方
・喘息をお持ちの方で、直近3ヶ月以内に発作がある場合
・BMI32以上の方（BMI28以上の方は当院で体重測定を行い、医師の判断となります）
・日本語でのコミュニケーションが難しい方")</f>
        <v>当院では、中絶手術にあたり以下に該当する方はお受けできない場合がございます。
・妊娠12週以降の方（当院では妊娠11週6日までの初期中絶のみ対応しております）
・帝王切開歴のある方
・喘息をお持ちの方で、直近3ヶ月以内に発作がある場合
・BMI32以上の方（BMI28以上の方は当院で体重測定を行い、医師の判断となります）
・日本語でのコミュニケーションが難しい方</v>
      </c>
      <c r="C575" s="31" t="str">
        <f>IFERROR(__xludf.DUMMYFUNCTION("""COMPUTED_VALUE"""),"中絶手術")</f>
        <v>中絶手術</v>
      </c>
      <c r="D575" s="31" t="str">
        <f>IFERROR(__xludf.DUMMYFUNCTION("""COMPUTED_VALUE"""),"中絶手術,受け入れ不可条件,帝王切開歴,喘息,BMI")</f>
        <v>中絶手術,受け入れ不可条件,帝王切開歴,喘息,BMI</v>
      </c>
      <c r="E575" s="32" t="str">
        <f>IFERROR(__xludf.DUMMYFUNCTION("""COMPUTED_VALUE"""),"https://luna-dr.com/subjects/abortion_page/")</f>
        <v>https://luna-dr.com/subjects/abortion_page/</v>
      </c>
    </row>
    <row r="576">
      <c r="A576" s="31" t="str">
        <f>IFERROR(__xludf.DUMMYFUNCTION("""COMPUTED_VALUE"""),"ブライダルチェックとは何ですか？")</f>
        <v>ブライダルチェックとは何ですか？</v>
      </c>
      <c r="B576" s="31" t="str">
        <f>IFERROR(__xludf.DUMMYFUNCTION("""COMPUTED_VALUE"""),"ブライダルチェックとは、妊娠や出産に影響しうる病気や感染症の有無を、妊娠前に調べる婦人科検診です。自覚症状のない病気を早期に発見し、必要であれば治療を行うことで、安心して妊娠・出産を迎える準備を整えることを目的とします。
ルナレディースクリニックでは、ブライダルチェックを「結婚前だけの検査」とは考えていません。結婚の有無にかかわらず、将来妊娠を望むすべての女性に受けていただきたい、ご自身の体を守るための大切な検査です。ルナレディースクリニックは健康と未来への第一歩をサポートします。ご受診をご検討ください。"&amp;"※当院では、不妊治療や妊活に関する専門的なご相談・治療は行っておりません。※当院では男性の院内への入室はできないため、パートナー様と一緒にご来院して検査を受けていただくことはできません。男性の方には、ご自宅で検査ができる郵送検査キット「FemCHECK（フェムチェック）」をご用意しております。詳細はこちらをご確認ください。https://luna-dr.com/femcheck/?utm_source=lunamedia&amp;utm_medium=banner&amp;utm_campaign=femcheck_ar"&amp;"ticle_hpseo")</f>
        <v>ブライダルチェックとは、妊娠や出産に影響しうる病気や感染症の有無を、妊娠前に調べる婦人科検診です。自覚症状のない病気を早期に発見し、必要であれば治療を行うことで、安心して妊娠・出産を迎える準備を整えることを目的とします。
ルナレディースクリニックでは、ブライダルチェックを「結婚前だけの検査」とは考えていません。結婚の有無にかかわらず、将来妊娠を望むすべての女性に受けていただきたい、ご自身の体を守るための大切な検査です。ルナレディースクリニックは健康と未来への第一歩をサポートします。ご受診をご検討ください。※当院では、不妊治療や妊活に関する専門的なご相談・治療は行っておりません。※当院では男性の院内への入室はできないため、パートナー様と一緒にご来院して検査を受けていただくことはできません。男性の方には、ご自宅で検査ができる郵送検査キット「FemCHECK（フェムチェック）」をご用意しております。詳細はこちらをご確認ください。https://luna-dr.com/femcheck/?utm_source=lunamedia&amp;utm_medium=banner&amp;utm_campaign=femcheck_article_hpseo</v>
      </c>
      <c r="C576" s="31" t="str">
        <f>IFERROR(__xludf.DUMMYFUNCTION("""COMPUTED_VALUE"""),"ブライダルチェック")</f>
        <v>ブライダルチェック</v>
      </c>
      <c r="D576" s="31" t="str">
        <f>IFERROR(__xludf.DUMMYFUNCTION("""COMPUTED_VALUE"""),"ブライダルチェック,妊娠前検査,婦人科検診")</f>
        <v>ブライダルチェック,妊娠前検査,婦人科検診</v>
      </c>
      <c r="E576" s="32" t="str">
        <f>IFERROR(__xludf.DUMMYFUNCTION("""COMPUTED_VALUE"""),"https://luna-dr.com/subjects/bridal-check/")</f>
        <v>https://luna-dr.com/subjects/bridal-check/</v>
      </c>
    </row>
    <row r="577">
      <c r="A577" s="31" t="str">
        <f>IFERROR(__xludf.DUMMYFUNCTION("""COMPUTED_VALUE"""),"結婚前でなくてもブライダルチェックは受けられますか？")</f>
        <v>結婚前でなくてもブライダルチェックは受けられますか？</v>
      </c>
      <c r="B577" s="31" t="str">
        <f>IFERROR(__xludf.DUMMYFUNCTION("""COMPUTED_VALUE"""),"当院では、結婚の有無にかかわらず、将来妊娠を希望するすべての女性にブライダルチェックをおすすめしています。「そろそろ赤ちゃんを考えたい」「自分の体の状態を知っておきたい」という方にも適した検査です。ぜひご受診をご検討ください。※当院では、不妊治療や妊活に関する専門的なご相談・治療は行っておりません。※当院では男性の院内への入室はできないため、パートナー様と一緒にご来院して検査を受けていただくことはできません。男性の方には、ご自宅で検査ができる郵送検査キット「FemCHECK（フェムチェック）」をご用意して"&amp;"おります。詳細はこちらをご確認ください。https://luna-dr.com/femcheck/?utm_source=lunamedia&amp;utm_medium=banner&amp;utm_campaign=femcheck_article_hpseo")</f>
        <v>当院では、結婚の有無にかかわらず、将来妊娠を希望するすべての女性にブライダルチェックをおすすめしています。「そろそろ赤ちゃんを考えたい」「自分の体の状態を知っておきたい」という方にも適した検査です。ぜひご受診をご検討ください。※当院では、不妊治療や妊活に関する専門的なご相談・治療は行っておりません。※当院では男性の院内への入室はできないため、パートナー様と一緒にご来院して検査を受けていただくことはできません。男性の方には、ご自宅で検査ができる郵送検査キット「FemCHECK（フェムチェック）」をご用意しております。詳細はこちらをご確認ください。https://luna-dr.com/femcheck/?utm_source=lunamedia&amp;utm_medium=banner&amp;utm_campaign=femcheck_article_hpseo</v>
      </c>
      <c r="C577" s="31" t="str">
        <f>IFERROR(__xludf.DUMMYFUNCTION("""COMPUTED_VALUE"""),"ブライダルチェック")</f>
        <v>ブライダルチェック</v>
      </c>
      <c r="D577" s="31" t="str">
        <f>IFERROR(__xludf.DUMMYFUNCTION("""COMPUTED_VALUE"""),"未婚,妊活準備,将来妊娠")</f>
        <v>未婚,妊活準備,将来妊娠</v>
      </c>
      <c r="E577" s="32" t="str">
        <f>IFERROR(__xludf.DUMMYFUNCTION("""COMPUTED_VALUE"""),"https://luna-dr.com/subjects/bridal-check/")</f>
        <v>https://luna-dr.com/subjects/bridal-check/</v>
      </c>
    </row>
    <row r="578">
      <c r="A578" s="31" t="str">
        <f>IFERROR(__xludf.DUMMYFUNCTION("""COMPUTED_VALUE"""),"ブライダルチェックでは何を調べますか？/ブライダルチェックの検査項目を教えてください/ブライダルチェックで何ができますか？")</f>
        <v>ブライダルチェックでは何を調べますか？/ブライダルチェックの検査項目を教えてください/ブライダルチェックで何ができますか？</v>
      </c>
      <c r="B578" s="31" t="str">
        <f>IFERROR(__xludf.DUMMYFUNCTION("""COMPUTED_VALUE"""),"当クリニックでは、ブライダルチェックとして以下の検査を行っています。①エコー検査：子宮筋腫や卵巣のう腫など、妊娠の妨げになる形態的な異常がないかを確認します。②子宮頸がん検査：初期症状のない子宮頸がんを早期に発見し、妊娠後の大きな問題を防ぎます。③クラミジア感染症検査：不妊症の原因にもなるクラミジア感染症の有無を調べ、赤ちゃんへの感染予防にもつなげます。④風疹抗体検査：妊娠中の感染で赤ちゃんに影響が出る先天性風疹症候群を防ぐため、免疫の有無を確認します。⑤甲状腺ホルモン検査：妊娠の成立や維持に影響する甲状"&amp;"腺ホルモンの異常がないかを調べます。⑥AMH検査：卵巣年齢の目安となる卵子の残存数を確認し、妊活のプランニングに役立てます。なお、各種性感染症検査などはオプションとして追加することも可能です。【料金】・基本検査ブライダルチェック 15,000円（エコー検査5,000円／クラミジア5,000円／子宮頸がん5,000円。場合によっては公費の子宮頸がんと組み合わせ可能）・血液ブライダルチェック 20,000円（風疹4,000円／甲状腺8,000円／AMH10,000円）※当院では妊活・不妊に関する診療は行ってお"&amp;"りませんので、検査項目によっては数値のみのお伝えとなる場合がございますので予めご了承くださいませ。詳しくはこちらをご覧ください。→https://luna-dr.com/subjects/bridal-check/　当院での検査はご予約をお取りの上、クリニックにご受診下さい。ご予約は、LINE予約画面の「一般婦人科診療」のメニューからお取りください。LINEはこちら→https://cline-app.com/qr-codes/98ad6f149bfa20f4f2a9a2e91aac4187/previe"&amp;"w")</f>
        <v>当クリニックでは、ブライダルチェックとして以下の検査を行っています。①エコー検査：子宮筋腫や卵巣のう腫など、妊娠の妨げになる形態的な異常がないかを確認します。②子宮頸がん検査：初期症状のない子宮頸がんを早期に発見し、妊娠後の大きな問題を防ぎます。③クラミジア感染症検査：不妊症の原因にもなるクラミジア感染症の有無を調べ、赤ちゃんへの感染予防にもつなげます。④風疹抗体検査：妊娠中の感染で赤ちゃんに影響が出る先天性風疹症候群を防ぐため、免疫の有無を確認します。⑤甲状腺ホルモン検査：妊娠の成立や維持に影響する甲状腺ホルモンの異常がないかを調べます。⑥AMH検査：卵巣年齢の目安となる卵子の残存数を確認し、妊活のプランニングに役立てます。なお、各種性感染症検査などはオプションとして追加することも可能です。【料金】・基本検査ブライダルチェック 15,000円（エコー検査5,000円／クラミジア5,000円／子宮頸がん5,000円。場合によっては公費の子宮頸がんと組み合わせ可能）・血液ブライダルチェック 20,000円（風疹4,000円／甲状腺8,000円／AMH10,000円）※当院では妊活・不妊に関する診療は行っておりませんので、検査項目によっては数値のみのお伝えとなる場合がございますので予めご了承くださいませ。詳しくはこちらをご覧ください。→https://luna-dr.com/subjects/bridal-check/　当院での検査はご予約をお取りの上、クリニックにご受診下さい。ご予約は、LINE予約画面の「一般婦人科診療」のメニューからお取りください。LINEはこちら→https://cline-app.com/qr-codes/98ad6f149bfa20f4f2a9a2e91aac4187/preview</v>
      </c>
      <c r="C578" s="31" t="str">
        <f>IFERROR(__xludf.DUMMYFUNCTION("""COMPUTED_VALUE"""),"ブライダルチェック")</f>
        <v>ブライダルチェック</v>
      </c>
      <c r="D578" s="31" t="str">
        <f>IFERROR(__xludf.DUMMYFUNCTION("""COMPUTED_VALUE"""),"ブライダルチェック,検査項目,何ができる,内容,項目,料金,妊娠前検査,エコー,子宮頸がん,クラミジア,風疹抗体,甲状腺,AMH")</f>
        <v>ブライダルチェック,検査項目,何ができる,内容,項目,料金,妊娠前検査,エコー,子宮頸がん,クラミジア,風疹抗体,甲状腺,AMH</v>
      </c>
      <c r="E578" s="32" t="str">
        <f>IFERROR(__xludf.DUMMYFUNCTION("""COMPUTED_VALUE"""),"https://luna-dr.com/subjects/bridal-check/")</f>
        <v>https://luna-dr.com/subjects/bridal-check/</v>
      </c>
    </row>
    <row r="579">
      <c r="A579" s="31" t="str">
        <f>IFERROR(__xludf.DUMMYFUNCTION("""COMPUTED_VALUE"""),"エコー検査では何を確認しますか？")</f>
        <v>エコー検査では何を確認しますか？</v>
      </c>
      <c r="B579" s="31" t="str">
        <f>IFERROR(__xludf.DUMMYFUNCTION("""COMPUTED_VALUE"""),"当クリニックでは経腟超音波（エコー）検査により、子宮筋腫や卵巣のう腫など、妊娠の妨げになる可能性がある形態的な異常がないかを確認します。")</f>
        <v>当クリニックでは経腟超音波（エコー）検査により、子宮筋腫や卵巣のう腫など、妊娠の妨げになる可能性がある形態的な異常がないかを確認します。</v>
      </c>
      <c r="C579" s="31" t="str">
        <f>IFERROR(__xludf.DUMMYFUNCTION("""COMPUTED_VALUE"""),"ブライダルチェック")</f>
        <v>ブライダルチェック</v>
      </c>
      <c r="D579" s="31" t="str">
        <f>IFERROR(__xludf.DUMMYFUNCTION("""COMPUTED_VALUE"""),"エコー,子宮筋腫,卵巣")</f>
        <v>エコー,子宮筋腫,卵巣</v>
      </c>
      <c r="E579" s="32" t="str">
        <f>IFERROR(__xludf.DUMMYFUNCTION("""COMPUTED_VALUE"""),"https://luna-dr.com/subjects/bridal-check/")</f>
        <v>https://luna-dr.com/subjects/bridal-check/</v>
      </c>
    </row>
    <row r="580">
      <c r="A580" s="31" t="str">
        <f>IFERROR(__xludf.DUMMYFUNCTION("""COMPUTED_VALUE"""),"子宮頸がん検査はなぜ必要ですか？")</f>
        <v>子宮頸がん検査はなぜ必要ですか？</v>
      </c>
      <c r="B580" s="31" t="str">
        <f>IFERROR(__xludf.DUMMYFUNCTION("""COMPUTED_VALUE"""),"当クリニックでは、初期症状がほとんどない子宮頸がんを早期に発見するため、ブライダルチェックに子宮頸がん検査を含めています。妊娠後の大きなトラブルを防ぐためにも重要な検査です。")</f>
        <v>当クリニックでは、初期症状がほとんどない子宮頸がんを早期に発見するため、ブライダルチェックに子宮頸がん検査を含めています。妊娠後の大きなトラブルを防ぐためにも重要な検査です。</v>
      </c>
      <c r="C580" s="31" t="str">
        <f>IFERROR(__xludf.DUMMYFUNCTION("""COMPUTED_VALUE"""),"ブライダルチェック")</f>
        <v>ブライダルチェック</v>
      </c>
      <c r="D580" s="31" t="str">
        <f>IFERROR(__xludf.DUMMYFUNCTION("""COMPUTED_VALUE"""),"子宮頸がん,がん検査,妊娠前")</f>
        <v>子宮頸がん,がん検査,妊娠前</v>
      </c>
      <c r="E580" s="32" t="str">
        <f>IFERROR(__xludf.DUMMYFUNCTION("""COMPUTED_VALUE"""),"https://luna-dr.com/subjects/bridal-check/")</f>
        <v>https://luna-dr.com/subjects/bridal-check/</v>
      </c>
    </row>
    <row r="581">
      <c r="A581" s="31" t="str">
        <f>IFERROR(__xludf.DUMMYFUNCTION("""COMPUTED_VALUE"""),"クラミジア検査は何のために行いますか？")</f>
        <v>クラミジア検査は何のために行いますか？</v>
      </c>
      <c r="B581" s="31" t="str">
        <f>IFERROR(__xludf.DUMMYFUNCTION("""COMPUTED_VALUE"""),"当クリニックでは、不妊の原因となることが多いクラミジア感染症の有無を確認します。自覚症状がないまま進行することが多いため、妊娠前の検査が重要です。")</f>
        <v>当クリニックでは、不妊の原因となることが多いクラミジア感染症の有無を確認します。自覚症状がないまま進行することが多いため、妊娠前の検査が重要です。</v>
      </c>
      <c r="C581" s="31" t="str">
        <f>IFERROR(__xludf.DUMMYFUNCTION("""COMPUTED_VALUE"""),"ブライダルチェック")</f>
        <v>ブライダルチェック</v>
      </c>
      <c r="D581" s="31" t="str">
        <f>IFERROR(__xludf.DUMMYFUNCTION("""COMPUTED_VALUE"""),"クラミジア,不妊,性感染症")</f>
        <v>クラミジア,不妊,性感染症</v>
      </c>
      <c r="E581" s="32" t="str">
        <f>IFERROR(__xludf.DUMMYFUNCTION("""COMPUTED_VALUE"""),"https://luna-dr.com/subjects/bridal-check/")</f>
        <v>https://luna-dr.com/subjects/bridal-check/</v>
      </c>
    </row>
    <row r="582">
      <c r="A582" s="31" t="str">
        <f>IFERROR(__xludf.DUMMYFUNCTION("""COMPUTED_VALUE"""),"風疹抗体検査はなぜ必要ですか？")</f>
        <v>風疹抗体検査はなぜ必要ですか？</v>
      </c>
      <c r="B582" s="31" t="str">
        <f>IFERROR(__xludf.DUMMYFUNCTION("""COMPUTED_VALUE"""),"当クリニックでは、妊娠中の風疹感染によって起こる先天性風疹症候群を防ぐため、風疹抗体検査を行い、免疫の有無を確認します。")</f>
        <v>当クリニックでは、妊娠中の風疹感染によって起こる先天性風疹症候群を防ぐため、風疹抗体検査を行い、免疫の有無を確認します。</v>
      </c>
      <c r="C582" s="31" t="str">
        <f>IFERROR(__xludf.DUMMYFUNCTION("""COMPUTED_VALUE"""),"ブライダルチェック")</f>
        <v>ブライダルチェック</v>
      </c>
      <c r="D582" s="31" t="str">
        <f>IFERROR(__xludf.DUMMYFUNCTION("""COMPUTED_VALUE"""),"風疹抗体,妊娠前検査")</f>
        <v>風疹抗体,妊娠前検査</v>
      </c>
      <c r="E582" s="32" t="str">
        <f>IFERROR(__xludf.DUMMYFUNCTION("""COMPUTED_VALUE"""),"https://luna-dr.com/subjects/bridal-check/")</f>
        <v>https://luna-dr.com/subjects/bridal-check/</v>
      </c>
    </row>
    <row r="583">
      <c r="A583" s="31" t="str">
        <f>IFERROR(__xludf.DUMMYFUNCTION("""COMPUTED_VALUE"""),"AMH検査とは何ですか？")</f>
        <v>AMH検査とは何ですか？</v>
      </c>
      <c r="B583" s="31" t="str">
        <f>IFERROR(__xludf.DUMMYFUNCTION("""COMPUTED_VALUE"""),"当クリニックではAMH検査を行い、卵巣内に残っている卵子数の目安（卵巣年齢）を確認します。将来の妊活やライフプランを考えるうえで参考になる検査です。")</f>
        <v>当クリニックではAMH検査を行い、卵巣内に残っている卵子数の目安（卵巣年齢）を確認します。将来の妊活やライフプランを考えるうえで参考になる検査です。</v>
      </c>
      <c r="C583" s="31" t="str">
        <f>IFERROR(__xludf.DUMMYFUNCTION("""COMPUTED_VALUE"""),"ブライダルチェック")</f>
        <v>ブライダルチェック</v>
      </c>
      <c r="D583" s="31" t="str">
        <f>IFERROR(__xludf.DUMMYFUNCTION("""COMPUTED_VALUE"""),"AMH,卵巣年齢,妊活")</f>
        <v>AMH,卵巣年齢,妊活</v>
      </c>
      <c r="E583" s="32" t="str">
        <f>IFERROR(__xludf.DUMMYFUNCTION("""COMPUTED_VALUE"""),"https://luna-dr.com/subjects/bridal-check/")</f>
        <v>https://luna-dr.com/subjects/bridal-check/</v>
      </c>
    </row>
    <row r="584">
      <c r="A584" s="31" t="str">
        <f>IFERROR(__xludf.DUMMYFUNCTION("""COMPUTED_VALUE"""),"ブライダルチェックの費用はいくらですか？")</f>
        <v>ブライダルチェックの費用はいくらですか？</v>
      </c>
      <c r="B584" s="31" t="str">
        <f>IFERROR(__xludf.DUMMYFUNCTION("""COMPUTED_VALUE"""),"当クリニックでは、ブライダルチェックの基本セットを15,500円（税込）からご案内しています。
※こちらの金額は基本セット（経膣超音波・クラミジア・子宮頸がん検診）の費用です。セット価格のため、一部の検査を外しても料金は変わりません。基本セットに含まれない性感染症検査などを追加希望の場合は、オプションとして別途費用がかかります。診察時にご相談ください。")</f>
        <v>当クリニックでは、ブライダルチェックの基本セットを15,500円（税込）からご案内しています。
※こちらの金額は基本セット（経膣超音波・クラミジア・子宮頸がん検診）の費用です。セット価格のため、一部の検査を外しても料金は変わりません。基本セットに含まれない性感染症検査などを追加希望の場合は、オプションとして別途費用がかかります。診察時にご相談ください。</v>
      </c>
      <c r="C584" s="31" t="str">
        <f>IFERROR(__xludf.DUMMYFUNCTION("""COMPUTED_VALUE"""),"ブライダルチェック")</f>
        <v>ブライダルチェック</v>
      </c>
      <c r="D584" s="31" t="str">
        <f>IFERROR(__xludf.DUMMYFUNCTION("""COMPUTED_VALUE"""),"料金,自費診療")</f>
        <v>料金,自費診療</v>
      </c>
      <c r="E584" s="32" t="str">
        <f>IFERROR(__xludf.DUMMYFUNCTION("""COMPUTED_VALUE"""),"https://luna-dr.com/subjects/bridal-check/")</f>
        <v>https://luna-dr.com/subjects/bridal-check/</v>
      </c>
    </row>
    <row r="585">
      <c r="A585" s="31" t="str">
        <f>IFERROR(__xludf.DUMMYFUNCTION("""COMPUTED_VALUE"""),"オプション検査は追加できますか？")</f>
        <v>オプション検査は追加できますか？</v>
      </c>
      <c r="B585" s="31" t="str">
        <f>IFERROR(__xludf.DUMMYFUNCTION("""COMPUTED_VALUE"""),"当クリニックでは、基本セットに含まれない各種性感染症検査などをオプションとして追加することが可能です。ご希望に応じて診察時にご相談ください。")</f>
        <v>当クリニックでは、基本セットに含まれない各種性感染症検査などをオプションとして追加することが可能です。ご希望に応じて診察時にご相談ください。</v>
      </c>
      <c r="C585" s="31" t="str">
        <f>IFERROR(__xludf.DUMMYFUNCTION("""COMPUTED_VALUE"""),"ブライダルチェック")</f>
        <v>ブライダルチェック</v>
      </c>
      <c r="D585" s="31" t="str">
        <f>IFERROR(__xludf.DUMMYFUNCTION("""COMPUTED_VALUE"""),"追加検査,性感染症")</f>
        <v>追加検査,性感染症</v>
      </c>
      <c r="E585" s="32" t="str">
        <f>IFERROR(__xludf.DUMMYFUNCTION("""COMPUTED_VALUE"""),"https://luna-dr.com/subjects/bridal-check/")</f>
        <v>https://luna-dr.com/subjects/bridal-check/</v>
      </c>
    </row>
    <row r="586">
      <c r="A586" s="31" t="str">
        <f>IFERROR(__xludf.DUMMYFUNCTION("""COMPUTED_VALUE"""),"ブライダルチェックは保険適用ですか？")</f>
        <v>ブライダルチェックは保険適用ですか？</v>
      </c>
      <c r="B586" s="31" t="str">
        <f>IFERROR(__xludf.DUMMYFUNCTION("""COMPUTED_VALUE"""),"当クリニックのブライダルチェックは、妊娠前の任意検査となるため、健康保険は適用されず自費診療となります。")</f>
        <v>当クリニックのブライダルチェックは、妊娠前の任意検査となるため、健康保険は適用されず自費診療となります。</v>
      </c>
      <c r="C586" s="31" t="str">
        <f>IFERROR(__xludf.DUMMYFUNCTION("""COMPUTED_VALUE"""),"ブライダルチェック")</f>
        <v>ブライダルチェック</v>
      </c>
      <c r="D586" s="31" t="str">
        <f>IFERROR(__xludf.DUMMYFUNCTION("""COMPUTED_VALUE"""),"自費,保険適用外")</f>
        <v>自費,保険適用外</v>
      </c>
      <c r="E586" s="32" t="str">
        <f>IFERROR(__xludf.DUMMYFUNCTION("""COMPUTED_VALUE"""),"https://luna-dr.com/subjects/bridal-check/")</f>
        <v>https://luna-dr.com/subjects/bridal-check/</v>
      </c>
    </row>
    <row r="587">
      <c r="A587" s="31" t="str">
        <f>IFERROR(__xludf.DUMMYFUNCTION("""COMPUTED_VALUE"""),"ブライダルチェックの予約はどうすればいいですか？")</f>
        <v>ブライダルチェックの予約はどうすればいいですか？</v>
      </c>
      <c r="B587" s="31" t="str">
        <f>IFERROR(__xludf.DUMMYFUNCTION("""COMPUTED_VALUE"""),"ブライダルチェックは、公式LINEからご予約ください。ご予約は、LINE予約画面の「一般婦人科診療」のメニューからお取りください。LINEはこちら→https://cline-app.com/qr-codes/98ad6f149bfa20f4f2a9a2e91aac4187/previewLINEはこちら→https://cline-app.com/qr-codes/98ad6f149bfa20f4f2a9a2e91aac4187/preview　※当院では、不妊治療や妊活に関する専門的なご相談・治療は行"&amp;"っておりません。※当院では男性の院内への入室はできないため、パートナー様と一緒にご来院して検査を受けていただくことはできません。男性の方には、ご自宅で検査ができる郵送検査キット「FemCHECK（フェムチェック）」をご用意しております。詳細はこちらをご確認ください。https://luna-dr.com/femcheck/?utm_source=lunamedia&amp;utm_medium=banner&amp;utm_campaign=femcheck_article_hpseo")</f>
        <v>ブライダルチェックは、公式LINEからご予約ください。ご予約は、LINE予約画面の「一般婦人科診療」のメニューからお取りください。LINEはこちら→https://cline-app.com/qr-codes/98ad6f149bfa20f4f2a9a2e91aac4187/previewLINEはこちら→https://cline-app.com/qr-codes/98ad6f149bfa20f4f2a9a2e91aac4187/preview　※当院では、不妊治療や妊活に関する専門的なご相談・治療は行っておりません。※当院では男性の院内への入室はできないため、パートナー様と一緒にご来院して検査を受けていただくことはできません。男性の方には、ご自宅で検査ができる郵送検査キット「FemCHECK（フェムチェック）」をご用意しております。詳細はこちらをご確認ください。https://luna-dr.com/femcheck/?utm_source=lunamedia&amp;utm_medium=banner&amp;utm_campaign=femcheck_article_hpseo</v>
      </c>
      <c r="C587" s="31" t="str">
        <f>IFERROR(__xludf.DUMMYFUNCTION("""COMPUTED_VALUE"""),"ブライダルチェック")</f>
        <v>ブライダルチェック</v>
      </c>
      <c r="D587" s="31" t="str">
        <f>IFERROR(__xludf.DUMMYFUNCTION("""COMPUTED_VALUE"""),"ブライダルチェック,予約方法,LINE予約")</f>
        <v>ブライダルチェック,予約方法,LINE予約</v>
      </c>
      <c r="E587" s="32" t="str">
        <f>IFERROR(__xludf.DUMMYFUNCTION("""COMPUTED_VALUE"""),"https://luna-dr.com/subjects/bridal-check/")</f>
        <v>https://luna-dr.com/subjects/bridal-check/</v>
      </c>
    </row>
    <row r="588">
      <c r="A588" s="31" t="str">
        <f>IFERROR(__xludf.DUMMYFUNCTION("""COMPUTED_VALUE"""),"ブライダルチェック検査はどうやって予約しますか？")</f>
        <v>ブライダルチェック検査はどうやって予約しますか？</v>
      </c>
      <c r="B588" s="31" t="str">
        <f>IFERROR(__xludf.DUMMYFUNCTION("""COMPUTED_VALUE"""),"公式LINEからご予約をお取りできます。ご予約は、LINE予約画面の「一般婦人科診療」のメニューからお取りください。LINEはこちら→https://cline-app.com/qr-codes/98ad6f149bfa20f4f2a9a2e91aac4187/preview　※当院では、不妊治療や妊活に関する専門的なご相談・治療は行っておりません。※当院では男性の院内への入室はできないため、パートナー様と一緒にご来院して検査を受けていただくことはできません。男性の方には、ご自宅で検査ができる郵送検査キッ"&amp;"ト「FemCHECK（フェムチェック）」をご用意しております。詳細はこちらをご確認ください。https://luna-dr.com/femcheck/?utm_source=lunamedia&amp;utm_medium=banner&amp;utm_campaign=femcheck_article_hpseo")</f>
        <v>公式LINEからご予約をお取りできます。ご予約は、LINE予約画面の「一般婦人科診療」のメニューからお取りください。LINEはこちら→https://cline-app.com/qr-codes/98ad6f149bfa20f4f2a9a2e91aac4187/preview　※当院では、不妊治療や妊活に関する専門的なご相談・治療は行っておりません。※当院では男性の院内への入室はできないため、パートナー様と一緒にご来院して検査を受けていただくことはできません。男性の方には、ご自宅で検査ができる郵送検査キット「FemCHECK（フェムチェック）」をご用意しております。詳細はこちらをご確認ください。https://luna-dr.com/femcheck/?utm_source=lunamedia&amp;utm_medium=banner&amp;utm_campaign=femcheck_article_hpseo</v>
      </c>
      <c r="C588" s="31" t="str">
        <f>IFERROR(__xludf.DUMMYFUNCTION("""COMPUTED_VALUE"""),"ブライダルチェック")</f>
        <v>ブライダルチェック</v>
      </c>
      <c r="D588" s="31" t="str">
        <f>IFERROR(__xludf.DUMMYFUNCTION("""COMPUTED_VALUE"""),"予約方法,LINE,電話,ブライダルチェック")</f>
        <v>予約方法,LINE,電話,ブライダルチェック</v>
      </c>
      <c r="E588" s="32" t="str">
        <f>IFERROR(__xludf.DUMMYFUNCTION("""COMPUTED_VALUE"""),"https://luna-dr.com/subjects/bridal-check/")</f>
        <v>https://luna-dr.com/subjects/bridal-check/</v>
      </c>
    </row>
    <row r="589">
      <c r="A589" s="31" t="str">
        <f>IFERROR(__xludf.DUMMYFUNCTION("""COMPUTED_VALUE"""),"ブライダルチェックはLINEから予約できますか？")</f>
        <v>ブライダルチェックはLINEから予約できますか？</v>
      </c>
      <c r="B589" s="31" t="str">
        <f>IFERROR(__xludf.DUMMYFUNCTION("""COMPUTED_VALUE"""),"公式LINEから24時間いつでも予約できます。ご予約は、LINE予約画面の「一般婦人科診療」のメニューからお取りください。LINEはこちら→https://cline-app.com/qr-codes/98ad6f149bfa20f4f2a9a2e91aac4187/preview　※当院では、不妊治療や妊活に関する専門的なご相談・治療は行っておりません。※当院では男性の院内への入室はできないため、パートナー様と一緒にご来院して検査を受けていただくことはできません。男性の方には、ご自宅で検査ができる郵送検"&amp;"査キット「FemCHECK（フェムチェック）」をご用意しております。詳細はこちらをご確認ください。https://luna-dr.com/femcheck/?utm_source=lunamedia&amp;utm_medium=banner&amp;utm_campaign=femcheck_article_hpseo")</f>
        <v>公式LINEから24時間いつでも予約できます。ご予約は、LINE予約画面の「一般婦人科診療」のメニューからお取りください。LINEはこちら→https://cline-app.com/qr-codes/98ad6f149bfa20f4f2a9a2e91aac4187/preview　※当院では、不妊治療や妊活に関する専門的なご相談・治療は行っておりません。※当院では男性の院内への入室はできないため、パートナー様と一緒にご来院して検査を受けていただくことはできません。男性の方には、ご自宅で検査ができる郵送検査キット「FemCHECK（フェムチェック）」をご用意しております。詳細はこちらをご確認ください。https://luna-dr.com/femcheck/?utm_source=lunamedia&amp;utm_medium=banner&amp;utm_campaign=femcheck_article_hpseo</v>
      </c>
      <c r="C589" s="31" t="str">
        <f>IFERROR(__xludf.DUMMYFUNCTION("""COMPUTED_VALUE"""),"ブライダルチェック")</f>
        <v>ブライダルチェック</v>
      </c>
      <c r="D589" s="31" t="str">
        <f>IFERROR(__xludf.DUMMYFUNCTION("""COMPUTED_VALUE"""),"LINE予約,婦人科予約,ブライダルチェック")</f>
        <v>LINE予約,婦人科予約,ブライダルチェック</v>
      </c>
      <c r="E589" s="32" t="str">
        <f>IFERROR(__xludf.DUMMYFUNCTION("""COMPUTED_VALUE"""),"https://luna-dr.com/subjects/bridal-check/")</f>
        <v>https://luna-dr.com/subjects/bridal-check/</v>
      </c>
    </row>
    <row r="590">
      <c r="A590" s="31" t="str">
        <f>IFERROR(__xludf.DUMMYFUNCTION("""COMPUTED_VALUE"""),"ブライダルチェックは電話でも予約できますか？")</f>
        <v>ブライダルチェックは電話でも予約できますか？</v>
      </c>
      <c r="B590" s="31" t="str">
        <f>IFERROR(__xludf.DUMMYFUNCTION("""COMPUTED_VALUE"""),"LINEでの予約後、事前問診等もLINEから行うことができ、スムーズに受診ができるため、当院ではLINEでのご予約を推奨しております。ご予約は、LINE予約画面の「一般婦人科診療」のメニューからお取りください。
来院診療のご予約：こちらのLINEをご利用ください→https://cline-app.com/qr-codes/98ad6f149bfa20f4f2a9a2e91aac4187/preview
※当院では、不妊治療や妊活に関する専門的なご相談・治療は行っておりません。※当院では男性の院内への入"&amp;"室はできないため、パートナー様と一緒にご来院して検査を受けていただくことはできません。男性の方には、ご自宅で検査ができる郵送検査キット「FemCHECK（フェムチェック）」をご用意しております。詳細はこちらをご確認ください。https://luna-dr.com/femcheck/?utm_source=lunamedia&amp;utm_medium=banner&amp;utm_campaign=femcheck_article_hpseo")</f>
        <v>LINEでの予約後、事前問診等もLINEから行うことができ、スムーズに受診ができるため、当院ではLINEでのご予約を推奨しております。ご予約は、LINE予約画面の「一般婦人科診療」のメニューからお取りください。
来院診療のご予約：こちらのLINEをご利用ください→https://cline-app.com/qr-codes/98ad6f149bfa20f4f2a9a2e91aac4187/preview
※当院では、不妊治療や妊活に関する専門的なご相談・治療は行っておりません。※当院では男性の院内への入室はできないため、パートナー様と一緒にご来院して検査を受けていただくことはできません。男性の方には、ご自宅で検査ができる郵送検査キット「FemCHECK（フェムチェック）」をご用意しております。詳細はこちらをご確認ください。https://luna-dr.com/femcheck/?utm_source=lunamedia&amp;utm_medium=banner&amp;utm_campaign=femcheck_article_hpseo</v>
      </c>
      <c r="C590" s="31" t="str">
        <f>IFERROR(__xludf.DUMMYFUNCTION("""COMPUTED_VALUE"""),"ブライダルチェック")</f>
        <v>ブライダルチェック</v>
      </c>
      <c r="D590" s="31" t="str">
        <f>IFERROR(__xludf.DUMMYFUNCTION("""COMPUTED_VALUE"""),"電話予約,問い合わせ,ブライダルチェック")</f>
        <v>電話予約,問い合わせ,ブライダルチェック</v>
      </c>
      <c r="E590" s="32" t="str">
        <f>IFERROR(__xludf.DUMMYFUNCTION("""COMPUTED_VALUE"""),"https://luna-dr.com/subjects/bridal-check/")</f>
        <v>https://luna-dr.com/subjects/bridal-check/</v>
      </c>
    </row>
    <row r="591">
      <c r="A591" s="31" t="str">
        <f>IFERROR(__xludf.DUMMYFUNCTION("""COMPUTED_VALUE"""),"ブライダルチェックの予約前に準備しておくことはありますか？")</f>
        <v>ブライダルチェックの予約前に準備しておくことはありますか？</v>
      </c>
      <c r="B591" s="31" t="str">
        <f>IFERROR(__xludf.DUMMYFUNCTION("""COMPUTED_VALUE"""),"ルナレディースクリニックでは、診察前にWEB問診の入力をお願いしています。事前にご入力いただくと診察がスムーズです。")</f>
        <v>ルナレディースクリニックでは、診察前にWEB問診の入力をお願いしています。事前にご入力いただくと診察がスムーズです。</v>
      </c>
      <c r="C591" s="31" t="str">
        <f>IFERROR(__xludf.DUMMYFUNCTION("""COMPUTED_VALUE"""),"ブライダルチェック")</f>
        <v>ブライダルチェック</v>
      </c>
      <c r="D591" s="31" t="str">
        <f>IFERROR(__xludf.DUMMYFUNCTION("""COMPUTED_VALUE"""),"WEB問診,事前準備,ブライダルチェック")</f>
        <v>WEB問診,事前準備,ブライダルチェック</v>
      </c>
      <c r="E591" s="32" t="str">
        <f>IFERROR(__xludf.DUMMYFUNCTION("""COMPUTED_VALUE"""),"https://luna-dr.com/subjects/bridal-check/")</f>
        <v>https://luna-dr.com/subjects/bridal-check/</v>
      </c>
    </row>
    <row r="592">
      <c r="A592" s="31" t="str">
        <f>IFERROR(__xludf.DUMMYFUNCTION("""COMPUTED_VALUE"""),"ブライダルチェックは初診でも予約できますか？")</f>
        <v>ブライダルチェックは初診でも予約できますか？</v>
      </c>
      <c r="B592" s="31" t="str">
        <f>IFERROR(__xludf.DUMMYFUNCTION("""COMPUTED_VALUE"""),"ブライダルチェックは初診の方もご予約いただけます。ご予約は公式LINEから受け付けておりますので、友だち追加の上ご利用ください。ご予約は、LINE予約画面の「一般婦人科診療」のメニューからお取りください。
LINEはこちら→https://cline-app.com/qr-codes/98ad6f149bfa20f4f2a9a2e91aac4187/preview　※当院では、不妊治療や妊活に関する専門的なご相談・治療は行っておりません。※当院では男性の院内への入室はできないため、パートナー様と一緒にご来"&amp;"院して検査を受けていただくことはできません。男性の方には、ご自宅で検査ができる郵送検査キット「FemCHECK（フェムチェック）」をご用意しております。詳細はこちらをご確認ください。https://luna-dr.com/femcheck/?utm_source=lunamedia&amp;utm_medium=banner&amp;utm_campaign=femcheck_article_hpseo")</f>
        <v>ブライダルチェックは初診の方もご予約いただけます。ご予約は公式LINEから受け付けておりますので、友だち追加の上ご利用ください。ご予約は、LINE予約画面の「一般婦人科診療」のメニューからお取りください。
LINEはこちら→https://cline-app.com/qr-codes/98ad6f149bfa20f4f2a9a2e91aac4187/preview　※当院では、不妊治療や妊活に関する専門的なご相談・治療は行っておりません。※当院では男性の院内への入室はできないため、パートナー様と一緒にご来院して検査を受けていただくことはできません。男性の方には、ご自宅で検査ができる郵送検査キット「FemCHECK（フェムチェック）」をご用意しております。詳細はこちらをご確認ください。https://luna-dr.com/femcheck/?utm_source=lunamedia&amp;utm_medium=banner&amp;utm_campaign=femcheck_article_hpseo</v>
      </c>
      <c r="C592" s="31" t="str">
        <f>IFERROR(__xludf.DUMMYFUNCTION("""COMPUTED_VALUE"""),"ブライダルチェック")</f>
        <v>ブライダルチェック</v>
      </c>
      <c r="D592" s="31" t="str">
        <f>IFERROR(__xludf.DUMMYFUNCTION("""COMPUTED_VALUE"""),"初診,予約,ブライダルチェック")</f>
        <v>初診,予約,ブライダルチェック</v>
      </c>
      <c r="E592" s="32" t="str">
        <f>IFERROR(__xludf.DUMMYFUNCTION("""COMPUTED_VALUE"""),"https://luna-dr.com/subjects/bridal-check/")</f>
        <v>https://luna-dr.com/subjects/bridal-check/</v>
      </c>
    </row>
    <row r="593">
      <c r="A593" s="31" t="str">
        <f>IFERROR(__xludf.DUMMYFUNCTION("""COMPUTED_VALUE"""),"ブライダルチェックは来院とオンライン、どちらで予約できますか？")</f>
        <v>ブライダルチェックは来院とオンライン、どちらで予約できますか？</v>
      </c>
      <c r="B593" s="31" t="str">
        <f>IFERROR(__xludf.DUMMYFUNCTION("""COMPUTED_VALUE"""),"ルナレディースクリニックでは、婦人科健診のご相談は来院診療のみで承っています。
予約の際は、こちらのLINEをご利用ください→https://cline-app.com/qr-codes/98ad6f149bfa20f4f2a9a2e91aac4187/preview　ご予約は、LINE予約画面の「一般婦人科診療」のメニューからお取りください。　※当院では、不妊治療や妊活に関する専門的なご相談・治療は行っておりません。※当院では男性の院内への入室はできないため、パートナー様と一緒にご来院して検査を受けて"&amp;"いただくことはできません。男性の方には、ご自宅で検査ができる郵送検査キット「FemCHECK（フェムチェック）」をご用意しております。詳細はこちらをご確認ください。https://luna-dr.com/femcheck/?utm_source=lunamedia&amp;utm_medium=banner&amp;utm_campaign=femcheck_article_hpseo")</f>
        <v>ルナレディースクリニックでは、婦人科健診のご相談は来院診療のみで承っています。
予約の際は、こちらのLINEをご利用ください→https://cline-app.com/qr-codes/98ad6f149bfa20f4f2a9a2e91aac4187/preview　ご予約は、LINE予約画面の「一般婦人科診療」のメニューからお取りください。　※当院では、不妊治療や妊活に関する専門的なご相談・治療は行っておりません。※当院では男性の院内への入室はできないため、パートナー様と一緒にご来院して検査を受けていただくことはできません。男性の方には、ご自宅で検査ができる郵送検査キット「FemCHECK（フェムチェック）」をご用意しております。詳細はこちらをご確認ください。https://luna-dr.com/femcheck/?utm_source=lunamedia&amp;utm_medium=banner&amp;utm_campaign=femcheck_article_hpseo</v>
      </c>
      <c r="C593" s="31" t="str">
        <f>IFERROR(__xludf.DUMMYFUNCTION("""COMPUTED_VALUE"""),"ブライダルチェック")</f>
        <v>ブライダルチェック</v>
      </c>
      <c r="D593" s="31" t="str">
        <f>IFERROR(__xludf.DUMMYFUNCTION("""COMPUTED_VALUE"""),"来院診療,オンライン診療,ブライダルチェック")</f>
        <v>来院診療,オンライン診療,ブライダルチェック</v>
      </c>
      <c r="E593" s="32" t="str">
        <f>IFERROR(__xludf.DUMMYFUNCTION("""COMPUTED_VALUE"""),"https://luna-dr.com/subjects/bridal-check/")</f>
        <v>https://luna-dr.com/subjects/bridal-check/</v>
      </c>
    </row>
    <row r="594">
      <c r="A594" s="31" t="str">
        <f>IFERROR(__xludf.DUMMYFUNCTION("""COMPUTED_VALUE"""),"予約なしでもブライダルチェックは受けられますか？")</f>
        <v>予約なしでもブライダルチェックは受けられますか？</v>
      </c>
      <c r="B594" s="31" t="str">
        <f>IFERROR(__xludf.DUMMYFUNCTION("""COMPUTED_VALUE"""),"直接のご来院でも可能ですが、待ち時間が発生する場合があります。事前にご予約をいただくことでスムーズに診察に進むことができます。
ご予約は公式LINEからお取りください。ご予約は、LINE予約画面の「一般婦人科診療」のメニューからお取りください。LINEはこちら→https://cline-app.com/qr-codes/98ad6f149bfa20f4f2a9a2e91aac4187/preview　※当院では、不妊治療や妊活に関する専門的なご相談・治療は行っておりません。※当院では男性の院内への入室は"&amp;"できないため、パートナー様と一緒にご来院して検査を受けていただくことはできません。男性の方には、ご自宅で検査ができる郵送検査キット「FemCHECK（フェムチェック）」をご用意しております。詳細はこちらをご確認ください。https://luna-dr.com/femcheck/?utm_source=lunamedia&amp;utm_medium=banner&amp;utm_campaign=femcheck_article_hpseo")</f>
        <v>直接のご来院でも可能ですが、待ち時間が発生する場合があります。事前にご予約をいただくことでスムーズに診察に進むことができます。
ご予約は公式LINEからお取りください。ご予約は、LINE予約画面の「一般婦人科診療」のメニューからお取りください。LINEはこちら→https://cline-app.com/qr-codes/98ad6f149bfa20f4f2a9a2e91aac4187/preview　※当院では、不妊治療や妊活に関する専門的なご相談・治療は行っておりません。※当院では男性の院内への入室はできないため、パートナー様と一緒にご来院して検査を受けていただくことはできません。男性の方には、ご自宅で検査ができる郵送検査キット「FemCHECK（フェムチェック）」をご用意しております。詳細はこちらをご確認ください。https://luna-dr.com/femcheck/?utm_source=lunamedia&amp;utm_medium=banner&amp;utm_campaign=femcheck_article_hpseo</v>
      </c>
      <c r="C594" s="31" t="str">
        <f>IFERROR(__xludf.DUMMYFUNCTION("""COMPUTED_VALUE"""),"ブライダルチェック")</f>
        <v>ブライダルチェック</v>
      </c>
      <c r="D594" s="31" t="str">
        <f>IFERROR(__xludf.DUMMYFUNCTION("""COMPUTED_VALUE"""),"ブライダルチェック検査,予約なし")</f>
        <v>ブライダルチェック検査,予約なし</v>
      </c>
      <c r="E594" s="32" t="str">
        <f>IFERROR(__xludf.DUMMYFUNCTION("""COMPUTED_VALUE"""),"https://luna-dr.com/subjects/bridal-check/")</f>
        <v>https://luna-dr.com/subjects/bridal-check/</v>
      </c>
    </row>
    <row r="595">
      <c r="A595" s="31" t="str">
        <f>IFERROR(__xludf.DUMMYFUNCTION("""COMPUTED_VALUE"""),"ブライダルチェックの診察・検査の流れを教えてください")</f>
        <v>ブライダルチェックの診察・検査の流れを教えてください</v>
      </c>
      <c r="B595" s="31" t="str">
        <f>IFERROR(__xludf.DUMMYFUNCTION("""COMPUTED_VALUE"""),"当クリニックのブライダルチェックは、以下の流れで行います。
①ご予約・ご来院：公式LINEでご予約のうえご来院ください。事前にWEB問診をご入力いただくと受付がスムーズです。
②カウンセリング：看護師が検査内容や流れをご説明し、不安や疑問にお答えします。
③医師による診察：医師が各検査の目的や方法を詳しく説明し、必要に応じてオプション検査の追加もご相談いただけます。
④内診台での検査：エコー検査、子宮頸がん検査、クラミジア検査を行います。声かけをしながら進め、検査時間は数分程度です。
⑤採血：風疹抗体、甲"&amp;"状腺ホルモン、AMH検査のために採血を行います。
⑥結果のご説明：検査結果は、項目によって判明する時期やご説明方法が異なります。
・Webで確認できる検査（約4日～2週間後）：子宮頸がん検査、クラミジア検査
・ご来院いただき医師から説明する検査（約1週間後）：血液検査（風疹抗体、甲状腺ホルモン、AMH）")</f>
        <v>当クリニックのブライダルチェックは、以下の流れで行います。
①ご予約・ご来院：公式LINEでご予約のうえご来院ください。事前にWEB問診をご入力いただくと受付がスムーズです。
②カウンセリング：看護師が検査内容や流れをご説明し、不安や疑問にお答えします。
③医師による診察：医師が各検査の目的や方法を詳しく説明し、必要に応じてオプション検査の追加もご相談いただけます。
④内診台での検査：エコー検査、子宮頸がん検査、クラミジア検査を行います。声かけをしながら進め、検査時間は数分程度です。
⑤採血：風疹抗体、甲状腺ホルモン、AMH検査のために採血を行います。
⑥結果のご説明：検査結果は、項目によって判明する時期やご説明方法が異なります。
・Webで確認できる検査（約4日～2週間後）：子宮頸がん検査、クラミジア検査
・ご来院いただき医師から説明する検査（約1週間後）：血液検査（風疹抗体、甲状腺ホルモン、AMH）</v>
      </c>
      <c r="C595" s="31" t="str">
        <f>IFERROR(__xludf.DUMMYFUNCTION("""COMPUTED_VALUE"""),"ブライダルチェック")</f>
        <v>ブライダルチェック</v>
      </c>
      <c r="D595" s="31" t="str">
        <f>IFERROR(__xludf.DUMMYFUNCTION("""COMPUTED_VALUE"""),"ブライダルチェック,診察の流れ,検査の流れ,妊娠前検査,婦人科健診")</f>
        <v>ブライダルチェック,診察の流れ,検査の流れ,妊娠前検査,婦人科健診</v>
      </c>
      <c r="E595" s="32" t="str">
        <f>IFERROR(__xludf.DUMMYFUNCTION("""COMPUTED_VALUE"""),"https://luna-dr.com/subjects/bridal-check/")</f>
        <v>https://luna-dr.com/subjects/bridal-check/</v>
      </c>
    </row>
    <row r="596">
      <c r="A596" s="31" t="str">
        <f>IFERROR(__xludf.DUMMYFUNCTION("""COMPUTED_VALUE"""),"ブライダルチェックの検査結果はいつ分かりますか？/ブライダルチェックの結果はLINEで確認できますか？")</f>
        <v>ブライダルチェックの検査結果はいつ分かりますか？/ブライダルチェックの結果はLINEで確認できますか？</v>
      </c>
      <c r="B596" s="31" t="str">
        <f>IFERROR(__xludf.DUMMYFUNCTION("""COMPUTED_VALUE"""),"検査結果は、医師から直接ご説明します。「検査結果説明」のメニューでご予約ください。https://cline-app.com/qr-codes/98ad6f149bfa20f4f2a9a2e91aac4187/preview")</f>
        <v>検査結果は、医師から直接ご説明します。「検査結果説明」のメニューでご予約ください。https://cline-app.com/qr-codes/98ad6f149bfa20f4f2a9a2e91aac4187/preview</v>
      </c>
      <c r="C596" s="31" t="str">
        <f>IFERROR(__xludf.DUMMYFUNCTION("""COMPUTED_VALUE"""),"ブライダルチェック")</f>
        <v>ブライダルチェック</v>
      </c>
      <c r="D596" s="31" t="str">
        <f>IFERROR(__xludf.DUMMYFUNCTION("""COMPUTED_VALUE"""),"ブライダルチェック,検査結果,結果はいつ,妊娠前検査")</f>
        <v>ブライダルチェック,検査結果,結果はいつ,妊娠前検査</v>
      </c>
      <c r="E596" s="32" t="str">
        <f>IFERROR(__xludf.DUMMYFUNCTION("""COMPUTED_VALUE"""),"https://luna-dr.com/subjects/bridal-check/")</f>
        <v>https://luna-dr.com/subjects/bridal-check/</v>
      </c>
    </row>
    <row r="597">
      <c r="A597" s="31" t="str">
        <f>IFERROR(__xludf.DUMMYFUNCTION("""COMPUTED_VALUE"""),"ブライダルチェックはどのくらい時間がかかりますか？")</f>
        <v>ブライダルチェックはどのくらい時間がかかりますか？</v>
      </c>
      <c r="B597" s="31" t="str">
        <f>IFERROR(__xludf.DUMMYFUNCTION("""COMPUTED_VALUE"""),"受付からお会計まで、全体で約30分～1時間ほどで完了します。
お忙しい方でもお気軽にお受けいただけます。")</f>
        <v>受付からお会計まで、全体で約30分～1時間ほどで完了します。
お忙しい方でもお気軽にお受けいただけます。</v>
      </c>
      <c r="C597" s="31" t="str">
        <f>IFERROR(__xludf.DUMMYFUNCTION("""COMPUTED_VALUE"""),"ブライダルチェック")</f>
        <v>ブライダルチェック</v>
      </c>
      <c r="D597" s="31" t="str">
        <f>IFERROR(__xludf.DUMMYFUNCTION("""COMPUTED_VALUE"""),"ブライダルチェック,所要時間,検査時間,妊娠前検査")</f>
        <v>ブライダルチェック,所要時間,検査時間,妊娠前検査</v>
      </c>
      <c r="E597" s="32" t="str">
        <f>IFERROR(__xludf.DUMMYFUNCTION("""COMPUTED_VALUE"""),"https://luna-dr.com/subjects/bridal-check/")</f>
        <v>https://luna-dr.com/subjects/bridal-check/</v>
      </c>
    </row>
    <row r="598">
      <c r="A598" s="31" t="str">
        <f>IFERROR(__xludf.DUMMYFUNCTION("""COMPUTED_VALUE"""),"ブライダルチェックの検査は痛みがありますか？")</f>
        <v>ブライダルチェックの検査は痛みがありますか？</v>
      </c>
      <c r="B598" s="31" t="str">
        <f>IFERROR(__xludf.DUMMYFUNCTION("""COMPUTED_VALUE"""),"内診や採血で多少の違和感を感じることはあるかもしれませんが、強い痛みを感じることはほとんどありません。
子宮頸がんの検査後に、少量の出血がみられることがありますが、自然に止まりますのでご安心ください。
私たちは、患者様がリラックスできるよう、常に丁寧な声かけを心がけています。")</f>
        <v>内診や採血で多少の違和感を感じることはあるかもしれませんが、強い痛みを感じることはほとんどありません。
子宮頸がんの検査後に、少量の出血がみられることがありますが、自然に止まりますのでご安心ください。
私たちは、患者様がリラックスできるよう、常に丁寧な声かけを心がけています。</v>
      </c>
      <c r="C598" s="31" t="str">
        <f>IFERROR(__xludf.DUMMYFUNCTION("""COMPUTED_VALUE"""),"ブライダルチェック")</f>
        <v>ブライダルチェック</v>
      </c>
      <c r="D598" s="31" t="str">
        <f>IFERROR(__xludf.DUMMYFUNCTION("""COMPUTED_VALUE"""),"ブライダルチェック,検査の痛み,内診,子宮頸がん検査")</f>
        <v>ブライダルチェック,検査の痛み,内診,子宮頸がん検査</v>
      </c>
      <c r="E598" s="32" t="str">
        <f>IFERROR(__xludf.DUMMYFUNCTION("""COMPUTED_VALUE"""),"https://luna-dr.com/subjects/bridal-check/")</f>
        <v>https://luna-dr.com/subjects/bridal-check/</v>
      </c>
    </row>
    <row r="599">
      <c r="A599" s="31" t="str">
        <f>IFERROR(__xludf.DUMMYFUNCTION("""COMPUTED_VALUE"""),"生理中でもブライダルチェックは受けられますか？")</f>
        <v>生理中でもブライダルチェックは受けられますか？</v>
      </c>
      <c r="B599" s="31" t="str">
        <f>IFERROR(__xludf.DUMMYFUNCTION("""COMPUTED_VALUE"""),"経血量が多い時期は、子宮頸がん検査などの結果が不正確になる可能性があるため、生理期間中を避けてご予約いただくのがおすすめです。
ご予約日の調整など、お気軽にご相談ください。")</f>
        <v>経血量が多い時期は、子宮頸がん検査などの結果が不正確になる可能性があるため、生理期間中を避けてご予約いただくのがおすすめです。
ご予約日の調整など、お気軽にご相談ください。</v>
      </c>
      <c r="C599" s="31" t="str">
        <f>IFERROR(__xludf.DUMMYFUNCTION("""COMPUTED_VALUE"""),"ブライダルチェック")</f>
        <v>ブライダルチェック</v>
      </c>
      <c r="D599" s="31" t="str">
        <f>IFERROR(__xludf.DUMMYFUNCTION("""COMPUTED_VALUE"""),"ブライダルチェック,生理中,受診できる,妊娠前検査")</f>
        <v>ブライダルチェック,生理中,受診できる,妊娠前検査</v>
      </c>
      <c r="E599" s="32" t="str">
        <f>IFERROR(__xludf.DUMMYFUNCTION("""COMPUTED_VALUE"""),"https://luna-dr.com/subjects/bridal-check/")</f>
        <v>https://luna-dr.com/subjects/bridal-check/</v>
      </c>
    </row>
    <row r="600">
      <c r="A600" s="31" t="str">
        <f>IFERROR(__xludf.DUMMYFUNCTION("""COMPUTED_VALUE"""),"ブライダルチェックはパートナーも一緒に検査を受けたほうが良いですか？")</f>
        <v>ブライダルチェックはパートナーも一緒に検査を受けたほうが良いですか？</v>
      </c>
      <c r="B600" s="31" t="str">
        <f>IFERROR(__xludf.DUMMYFUNCTION("""COMPUTED_VALUE"""),"妊娠はパートナーと二人で考えていくもののため、ブライダルチェックではパートナー様も検査を受けていただくことをおすすめしています。
ただ、大変恐縮ではございますが、当院では男性の院内への入室はできないため、パートナー様と一緒にご来院して検査を受けていただくことはできません。
男性の方には、ご自宅で検査ができる郵送検査キット「FemCHECK（フェムチェック）」をご用意しております。
詳細はこちらをご確認ください。
https://luna-dr.com/femcheck/?utm_source=lunam"&amp;"edia&amp;utm_medium=banner&amp;utm_campaign=femcheck_article_hpseo")</f>
        <v>妊娠はパートナーと二人で考えていくもののため、ブライダルチェックではパートナー様も検査を受けていただくことをおすすめしています。
ただ、大変恐縮ではございますが、当院では男性の院内への入室はできないため、パートナー様と一緒にご来院して検査を受けていただくことはできません。
男性の方には、ご自宅で検査ができる郵送検査キット「FemCHECK（フェムチェック）」をご用意しております。
詳細はこちらをご確認ください。
https://luna-dr.com/femcheck/?utm_source=lunamedia&amp;utm_medium=banner&amp;utm_campaign=femcheck_article_hpseo</v>
      </c>
      <c r="C600" s="31" t="str">
        <f>IFERROR(__xludf.DUMMYFUNCTION("""COMPUTED_VALUE"""),"ブライダルチェック")</f>
        <v>ブライダルチェック</v>
      </c>
      <c r="D600" s="31" t="str">
        <f>IFERROR(__xludf.DUMMYFUNCTION("""COMPUTED_VALUE"""),"ブライダルチェック,パートナー検査,男性検査,性感染症")</f>
        <v>ブライダルチェック,パートナー検査,男性検査,性感染症</v>
      </c>
      <c r="E600" s="32" t="str">
        <f>IFERROR(__xludf.DUMMYFUNCTION("""COMPUTED_VALUE"""),"https://luna-dr.com/subjects/bridal-check/")</f>
        <v>https://luna-dr.com/subjects/bridal-check/</v>
      </c>
    </row>
    <row r="601">
      <c r="A601" s="31" t="str">
        <f>IFERROR(__xludf.DUMMYFUNCTION("""COMPUTED_VALUE"""),"ブライダルチェックで異常が見つかった場合はどうなりますか？")</f>
        <v>ブライダルチェックで異常が見つかった場合はどうなりますか？</v>
      </c>
      <c r="B601" s="31" t="str">
        <f>IFERROR(__xludf.DUMMYFUNCTION("""COMPUTED_VALUE"""),"万が一、治療が必要な疾患や感染症が見つかった場合は、当院でそのまま治療を開始することが可能です。
今後の妊娠に向け、最適な治療プランをご提案し、しっかりとサポートさせていただきますのでご安心ください。")</f>
        <v>万が一、治療が必要な疾患や感染症が見つかった場合は、当院でそのまま治療を開始することが可能です。
今後の妊娠に向け、最適な治療プランをご提案し、しっかりとサポートさせていただきますのでご安心ください。</v>
      </c>
      <c r="C601" s="31" t="str">
        <f>IFERROR(__xludf.DUMMYFUNCTION("""COMPUTED_VALUE"""),"ブライダルチェック")</f>
        <v>ブライダルチェック</v>
      </c>
      <c r="D601" s="31" t="str">
        <f>IFERROR(__xludf.DUMMYFUNCTION("""COMPUTED_VALUE"""),"ブライダルチェック,異常が見つかった,治療,妊娠前検査")</f>
        <v>ブライダルチェック,異常が見つかった,治療,妊娠前検査</v>
      </c>
      <c r="E601" s="32" t="str">
        <f>IFERROR(__xludf.DUMMYFUNCTION("""COMPUTED_VALUE"""),"https://luna-dr.com/subjects/bridal-check/")</f>
        <v>https://luna-dr.com/subjects/bridal-check/</v>
      </c>
    </row>
    <row r="602">
      <c r="A602" s="31" t="str">
        <f>IFERROR(__xludf.DUMMYFUNCTION("""COMPUTED_VALUE"""),"婦人科検診とは何ですか？")</f>
        <v>婦人科検診とは何ですか？</v>
      </c>
      <c r="B602" s="31" t="str">
        <f>IFERROR(__xludf.DUMMYFUNCTION("""COMPUTED_VALUE"""),"婦人科検診とは、子宮や卵巣など女性特有の臓器に起こる病気を、症状が出る前に早期発見するための検査です。特に子宮のがんは初期には自覚症状がほとんどないため、定期的な検診がご自身の体と将来の安心を守ることにつながります。ルナレディースクリニックでは、代表的な婦人科検診である「子宮頸がん検診」と、不正出血などの症状がある場合に推奨される「子宮体がん検査」を実施しています。")</f>
        <v>婦人科検診とは、子宮や卵巣など女性特有の臓器に起こる病気を、症状が出る前に早期発見するための検査です。特に子宮のがんは初期には自覚症状がほとんどないため、定期的な検診がご自身の体と将来の安心を守ることにつながります。ルナレディースクリニックでは、代表的な婦人科検診である「子宮頸がん検診」と、不正出血などの症状がある場合に推奨される「子宮体がん検査」を実施しています。</v>
      </c>
      <c r="C602" s="31" t="str">
        <f>IFERROR(__xludf.DUMMYFUNCTION("""COMPUTED_VALUE"""),"婦人科健診")</f>
        <v>婦人科健診</v>
      </c>
      <c r="D602" s="31" t="str">
        <f>IFERROR(__xludf.DUMMYFUNCTION("""COMPUTED_VALUE"""),"婦人科検診,子宮がん検診,定期検診")</f>
        <v>婦人科検診,子宮がん検診,定期検診</v>
      </c>
      <c r="E602" s="32" t="str">
        <f>IFERROR(__xludf.DUMMYFUNCTION("""COMPUTED_VALUE"""),"https://luna-dr.com/subjects/medical-checkup/")</f>
        <v>https://luna-dr.com/subjects/medical-checkup/</v>
      </c>
    </row>
    <row r="603">
      <c r="A603" s="31" t="str">
        <f>IFERROR(__xludf.DUMMYFUNCTION("""COMPUTED_VALUE"""),"どんな人が婦人科検診を受けたほうがいいですか？")</f>
        <v>どんな人が婦人科検診を受けたほうがいいですか？</v>
      </c>
      <c r="B603" s="31" t="str">
        <f>IFERROR(__xludf.DUMMYFUNCTION("""COMPUTED_VALUE"""),"何年も婦人科検診を受けていない方、不正出血がある方、生理以外の出血が心配な方、将来の妊娠や健康に不安がある方は、症状がなくても婦人科検診を受けることをおすすめします。")</f>
        <v>何年も婦人科検診を受けていない方、不正出血がある方、生理以外の出血が心配な方、将来の妊娠や健康に不安がある方は、症状がなくても婦人科検診を受けることをおすすめします。</v>
      </c>
      <c r="C603" s="31" t="str">
        <f>IFERROR(__xludf.DUMMYFUNCTION("""COMPUTED_VALUE"""),"婦人科健診")</f>
        <v>婦人科健診</v>
      </c>
      <c r="D603" s="31" t="str">
        <f>IFERROR(__xludf.DUMMYFUNCTION("""COMPUTED_VALUE"""),"婦人科検診,不正出血,検診対象")</f>
        <v>婦人科検診,不正出血,検診対象</v>
      </c>
      <c r="E603" s="32" t="str">
        <f>IFERROR(__xludf.DUMMYFUNCTION("""COMPUTED_VALUE"""),"https://luna-dr.com/subjects/medical-checkup/")</f>
        <v>https://luna-dr.com/subjects/medical-checkup/</v>
      </c>
    </row>
    <row r="604">
      <c r="A604" s="31" t="str">
        <f>IFERROR(__xludf.DUMMYFUNCTION("""COMPUTED_VALUE"""),"子宮頸がん検診とは何ですか？/HPV検査は受けられますか？/HPV検査はやっていますか？/HPVの検査をしたい")</f>
        <v>子宮頸がん検診とは何ですか？/HPV検査は受けられますか？/HPV検査はやっていますか？/HPVの検査をしたい</v>
      </c>
      <c r="B604" s="31" t="str">
        <f>IFERROR(__xludf.DUMMYFUNCTION("""COMPUTED_VALUE"""),"子宮の入り口部分（子宮頸部）にできるがんを調べる検査です。主な原因は、性交渉によって感染するヒトパピローマウイルス（HPV）です。20代〜30代の若い世代に発症のピークがあり、「マザーキラー」とも呼ばれ、お子さんが小さいお母さんの命を奪うこともある病気です。しかし、定期的な検診で早期発見すれば、子宮を温存した治療が可能です。")</f>
        <v>子宮の入り口部分（子宮頸部）にできるがんを調べる検査です。主な原因は、性交渉によって感染するヒトパピローマウイルス（HPV）です。20代〜30代の若い世代に発症のピークがあり、「マザーキラー」とも呼ばれ、お子さんが小さいお母さんの命を奪うこともある病気です。しかし、定期的な検診で早期発見すれば、子宮を温存した治療が可能です。</v>
      </c>
      <c r="C604" s="31" t="str">
        <f>IFERROR(__xludf.DUMMYFUNCTION("""COMPUTED_VALUE"""),"婦人科健診")</f>
        <v>婦人科健診</v>
      </c>
      <c r="D604" s="31" t="str">
        <f>IFERROR(__xludf.DUMMYFUNCTION("""COMPUTED_VALUE"""),"子宮頸がん検診,HPV,若い世代,HPV検査")</f>
        <v>子宮頸がん検診,HPV,若い世代,HPV検査</v>
      </c>
      <c r="E604" s="32" t="str">
        <f>IFERROR(__xludf.DUMMYFUNCTION("""COMPUTED_VALUE"""),"https://luna-dr.com/subjects/medical-checkup/")</f>
        <v>https://luna-dr.com/subjects/medical-checkup/</v>
      </c>
    </row>
    <row r="605">
      <c r="A605" s="31" t="str">
        <f>IFERROR(__xludf.DUMMYFUNCTION("""COMPUTED_VALUE"""),"子宮体がん検査とは何ですか？")</f>
        <v>子宮体がん検査とは何ですか？</v>
      </c>
      <c r="B605" s="31" t="str">
        <f>IFERROR(__xludf.DUMMYFUNCTION("""COMPUTED_VALUE"""),"子宮の奥（子宮体部）の内膜にできるがんを調べる検査です。女性ホルモン（エストロゲン）が深く関わっており、食生活の欧米化などを背景に、近年、子宮頸がんよりも患者数が増加しています。50代以降の閉経前後に多く発症しますが、ストレスや不規則な生活によるホルモンバランスの乱れから、20代や30代で発症する方も増えています。不正出血がサインとなることが多いのが特徴です。")</f>
        <v>子宮の奥（子宮体部）の内膜にできるがんを調べる検査です。女性ホルモン（エストロゲン）が深く関わっており、食生活の欧米化などを背景に、近年、子宮頸がんよりも患者数が増加しています。50代以降の閉経前後に多く発症しますが、ストレスや不規則な生活によるホルモンバランスの乱れから、20代や30代で発症する方も増えています。不正出血がサインとなることが多いのが特徴です。</v>
      </c>
      <c r="C605" s="31" t="str">
        <f>IFERROR(__xludf.DUMMYFUNCTION("""COMPUTED_VALUE"""),"婦人科健診")</f>
        <v>婦人科健診</v>
      </c>
      <c r="D605" s="31" t="str">
        <f>IFERROR(__xludf.DUMMYFUNCTION("""COMPUTED_VALUE"""),"子宮体がん検査,不正出血,ホルモンバランス")</f>
        <v>子宮体がん検査,不正出血,ホルモンバランス</v>
      </c>
      <c r="E605" s="32" t="str">
        <f>IFERROR(__xludf.DUMMYFUNCTION("""COMPUTED_VALUE"""),"https://luna-dr.com/subjects/medical-checkup/")</f>
        <v>https://luna-dr.com/subjects/medical-checkup/</v>
      </c>
    </row>
    <row r="606">
      <c r="A606" s="31" t="str">
        <f>IFERROR(__xludf.DUMMYFUNCTION("""COMPUTED_VALUE"""),"子宮頸がんと子宮体がんの違いは何ですか？")</f>
        <v>子宮頸がんと子宮体がんの違いは何ですか？</v>
      </c>
      <c r="B606" s="31" t="str">
        <f>IFERROR(__xludf.DUMMYFUNCTION("""COMPUTED_VALUE"""),"子宮頸がんは子宮の入り口にでき、主な原因はHPV感染で20〜30代に多くみられます。一方、子宮体がんは子宮の奥にでき、女性ホルモンの影響が強く、閉経前後に多いのが特徴です。")</f>
        <v>子宮頸がんは子宮の入り口にでき、主な原因はHPV感染で20〜30代に多くみられます。一方、子宮体がんは子宮の奥にでき、女性ホルモンの影響が強く、閉経前後に多いのが特徴です。</v>
      </c>
      <c r="C606" s="31" t="str">
        <f>IFERROR(__xludf.DUMMYFUNCTION("""COMPUTED_VALUE"""),"婦人科健診")</f>
        <v>婦人科健診</v>
      </c>
      <c r="D606" s="31" t="str">
        <f>IFERROR(__xludf.DUMMYFUNCTION("""COMPUTED_VALUE"""),"子宮頸がん,子宮体がん,違い")</f>
        <v>子宮頸がん,子宮体がん,違い</v>
      </c>
      <c r="E606" s="32" t="str">
        <f>IFERROR(__xludf.DUMMYFUNCTION("""COMPUTED_VALUE"""),"https://luna-dr.com/subjects/medical-checkup/")</f>
        <v>https://luna-dr.com/subjects/medical-checkup/</v>
      </c>
    </row>
    <row r="607">
      <c r="A607" s="31" t="str">
        <f>IFERROR(__xludf.DUMMYFUNCTION("""COMPUTED_VALUE"""),"子宮頸がんはどこにできるがんですか？")</f>
        <v>子宮頸がんはどこにできるがんですか？</v>
      </c>
      <c r="B607" s="31" t="str">
        <f>IFERROR(__xludf.DUMMYFUNCTION("""COMPUTED_VALUE"""),"子宮頸がんは、子宮の入り口部分（子宮頸部）にできるがんです。性交渉によって感染するヒトパピローマウイルス（HPV）が主な原因とされています。")</f>
        <v>子宮頸がんは、子宮の入り口部分（子宮頸部）にできるがんです。性交渉によって感染するヒトパピローマウイルス（HPV）が主な原因とされています。</v>
      </c>
      <c r="C607" s="31" t="str">
        <f>IFERROR(__xludf.DUMMYFUNCTION("""COMPUTED_VALUE"""),"婦人科健診")</f>
        <v>婦人科健診</v>
      </c>
      <c r="D607" s="31" t="str">
        <f>IFERROR(__xludf.DUMMYFUNCTION("""COMPUTED_VALUE"""),"子宮頸がん,検査対象,HPV")</f>
        <v>子宮頸がん,検査対象,HPV</v>
      </c>
      <c r="E607" s="32" t="str">
        <f>IFERROR(__xludf.DUMMYFUNCTION("""COMPUTED_VALUE"""),"https://luna-dr.com/subjects/medical-checkup/")</f>
        <v>https://luna-dr.com/subjects/medical-checkup/</v>
      </c>
    </row>
    <row r="608">
      <c r="A608" s="31" t="str">
        <f>IFERROR(__xludf.DUMMYFUNCTION("""COMPUTED_VALUE"""),"子宮体がんはどこにできるがんですか？")</f>
        <v>子宮体がんはどこにできるがんですか？</v>
      </c>
      <c r="B608" s="31" t="str">
        <f>IFERROR(__xludf.DUMMYFUNCTION("""COMPUTED_VALUE"""),"子宮体がんは、子宮の奥（子宮体部）の内膜にできるがんです。女性ホルモン（エストロゲン）の影響を強く受けることが特徴です。")</f>
        <v>子宮体がんは、子宮の奥（子宮体部）の内膜にできるがんです。女性ホルモン（エストロゲン）の影響を強く受けることが特徴です。</v>
      </c>
      <c r="C608" s="31" t="str">
        <f>IFERROR(__xludf.DUMMYFUNCTION("""COMPUTED_VALUE"""),"婦人科健診")</f>
        <v>婦人科健診</v>
      </c>
      <c r="D608" s="31" t="str">
        <f>IFERROR(__xludf.DUMMYFUNCTION("""COMPUTED_VALUE"""),"子宮体がん,検査対象,子宮内膜")</f>
        <v>子宮体がん,検査対象,子宮内膜</v>
      </c>
      <c r="E608" s="32" t="str">
        <f>IFERROR(__xludf.DUMMYFUNCTION("""COMPUTED_VALUE"""),"https://luna-dr.com/subjects/medical-checkup/")</f>
        <v>https://luna-dr.com/subjects/medical-checkup/</v>
      </c>
    </row>
    <row r="609">
      <c r="A609" s="31" t="str">
        <f>IFERROR(__xludf.DUMMYFUNCTION("""COMPUTED_VALUE"""),"子宮頸がんはどの年代に多いですか？")</f>
        <v>子宮頸がんはどの年代に多いですか？</v>
      </c>
      <c r="B609" s="31" t="str">
        <f>IFERROR(__xludf.DUMMYFUNCTION("""COMPUTED_VALUE"""),"子宮頸がんは20代〜30代の比較的若い世代に多くみられます。近年は若年化の傾向もあり、定期的な検診が重要です。")</f>
        <v>子宮頸がんは20代〜30代の比較的若い世代に多くみられます。近年は若年化の傾向もあり、定期的な検診が重要です。</v>
      </c>
      <c r="C609" s="31" t="str">
        <f>IFERROR(__xludf.DUMMYFUNCTION("""COMPUTED_VALUE"""),"婦人科健診")</f>
        <v>婦人科健診</v>
      </c>
      <c r="D609" s="31" t="str">
        <f>IFERROR(__xludf.DUMMYFUNCTION("""COMPUTED_VALUE"""),"子宮頸がん,20代,30代,婦人科検診")</f>
        <v>子宮頸がん,20代,30代,婦人科検診</v>
      </c>
      <c r="E609" s="32" t="str">
        <f>IFERROR(__xludf.DUMMYFUNCTION("""COMPUTED_VALUE"""),"https://luna-dr.com/subjects/medical-checkup/")</f>
        <v>https://luna-dr.com/subjects/medical-checkup/</v>
      </c>
    </row>
    <row r="610">
      <c r="A610" s="31" t="str">
        <f>IFERROR(__xludf.DUMMYFUNCTION("""COMPUTED_VALUE"""),"子宮体がんはどの年代に多いですか？")</f>
        <v>子宮体がんはどの年代に多いですか？</v>
      </c>
      <c r="B610" s="31" t="str">
        <f>IFERROR(__xludf.DUMMYFUNCTION("""COMPUTED_VALUE"""),"子宮体がんは50代以降の閉経前後に多くみられますが、ホルモンバランスの乱れにより若い年代で発症することもあります。")</f>
        <v>子宮体がんは50代以降の閉経前後に多くみられますが、ホルモンバランスの乱れにより若い年代で発症することもあります。</v>
      </c>
      <c r="C610" s="31" t="str">
        <f>IFERROR(__xludf.DUMMYFUNCTION("""COMPUTED_VALUE"""),"婦人科健診")</f>
        <v>婦人科健診</v>
      </c>
      <c r="D610" s="31" t="str">
        <f>IFERROR(__xludf.DUMMYFUNCTION("""COMPUTED_VALUE"""),"子宮体がん,閉経後,50代")</f>
        <v>子宮体がん,閉経後,50代</v>
      </c>
      <c r="E610" s="32" t="str">
        <f>IFERROR(__xludf.DUMMYFUNCTION("""COMPUTED_VALUE"""),"https://luna-dr.com/subjects/medical-checkup/")</f>
        <v>https://luna-dr.com/subjects/medical-checkup/</v>
      </c>
    </row>
    <row r="611">
      <c r="A611" s="31" t="str">
        <f>IFERROR(__xludf.DUMMYFUNCTION("""COMPUTED_VALUE"""),"子宮頸がん検診はどのような方法で行いますか？/HPV検査はどのような方法で行いますか？")</f>
        <v>子宮頸がん検診はどのような方法で行いますか？/HPV検査はどのような方法で行いますか？</v>
      </c>
      <c r="B611" s="31" t="str">
        <f>IFERROR(__xludf.DUMMYFUNCTION("""COMPUTED_VALUE"""),"子宮頸がん検診では、ブラシのような器具で子宮の入り口を優しくこすり、細胞を採取します。検査時間は短く、痛みはほとんどありません。")</f>
        <v>子宮頸がん検診では、ブラシのような器具で子宮の入り口を優しくこすり、細胞を採取します。検査時間は短く、痛みはほとんどありません。</v>
      </c>
      <c r="C611" s="31" t="str">
        <f>IFERROR(__xludf.DUMMYFUNCTION("""COMPUTED_VALUE"""),"婦人科健診")</f>
        <v>婦人科健診</v>
      </c>
      <c r="D611" s="31" t="str">
        <f>IFERROR(__xludf.DUMMYFUNCTION("""COMPUTED_VALUE"""),"子宮頸がん検診,検査方法,痛み,HPV検査,HPV")</f>
        <v>子宮頸がん検診,検査方法,痛み,HPV検査,HPV</v>
      </c>
      <c r="E611" s="32" t="str">
        <f>IFERROR(__xludf.DUMMYFUNCTION("""COMPUTED_VALUE"""),"https://luna-dr.com/subjects/medical-checkup/")</f>
        <v>https://luna-dr.com/subjects/medical-checkup/</v>
      </c>
    </row>
    <row r="612">
      <c r="A612" s="31" t="str">
        <f>IFERROR(__xludf.DUMMYFUNCTION("""COMPUTED_VALUE"""),"子宮体がん検査はどのような方法で行いますか？")</f>
        <v>子宮体がん検査はどのような方法で行いますか？</v>
      </c>
      <c r="B612" s="31" t="str">
        <f>IFERROR(__xludf.DUMMYFUNCTION("""COMPUTED_VALUE"""),"子宮体がん検査では、細いストロー状の器具を子宮の奥に挿入し、内膜の細胞を採取します。生理痛に似た痛みを感じることがありますが、短時間で終了します。")</f>
        <v>子宮体がん検査では、細いストロー状の器具を子宮の奥に挿入し、内膜の細胞を採取します。生理痛に似た痛みを感じることがありますが、短時間で終了します。</v>
      </c>
      <c r="C612" s="31" t="str">
        <f>IFERROR(__xludf.DUMMYFUNCTION("""COMPUTED_VALUE"""),"婦人科健診")</f>
        <v>婦人科健診</v>
      </c>
      <c r="D612" s="31" t="str">
        <f>IFERROR(__xludf.DUMMYFUNCTION("""COMPUTED_VALUE"""),"子宮体がん検査,検査方法,痛み")</f>
        <v>子宮体がん検査,検査方法,痛み</v>
      </c>
      <c r="E612" s="32" t="str">
        <f>IFERROR(__xludf.DUMMYFUNCTION("""COMPUTED_VALUE"""),"https://luna-dr.com/subjects/medical-checkup/")</f>
        <v>https://luna-dr.com/subjects/medical-checkup/</v>
      </c>
    </row>
    <row r="613">
      <c r="A613" s="31" t="str">
        <f>IFERROR(__xludf.DUMMYFUNCTION("""COMPUTED_VALUE"""),"子宮頸がん検診は痛みがありますか？/HPV検査は痛みがありますか？")</f>
        <v>子宮頸がん検診は痛みがありますか？/HPV検査は痛みがありますか？</v>
      </c>
      <c r="B613" s="31" t="str">
        <f>IFERROR(__xludf.DUMMYFUNCTION("""COMPUTED_VALUE"""),"子宮頸がん検診は、痛みをほとんど感じない方が多く、違和感があってもごくわずかです。")</f>
        <v>子宮頸がん検診は、痛みをほとんど感じない方が多く、違和感があってもごくわずかです。</v>
      </c>
      <c r="C613" s="31" t="str">
        <f>IFERROR(__xludf.DUMMYFUNCTION("""COMPUTED_VALUE"""),"婦人科健診")</f>
        <v>婦人科健診</v>
      </c>
      <c r="D613" s="31" t="str">
        <f>IFERROR(__xludf.DUMMYFUNCTION("""COMPUTED_VALUE"""),"子宮頸がん検診,痛み,HPV検査,HPV")</f>
        <v>子宮頸がん検診,痛み,HPV検査,HPV</v>
      </c>
      <c r="E613" s="32" t="str">
        <f>IFERROR(__xludf.DUMMYFUNCTION("""COMPUTED_VALUE"""),"https://luna-dr.com/subjects/medical-checkup/")</f>
        <v>https://luna-dr.com/subjects/medical-checkup/</v>
      </c>
    </row>
    <row r="614">
      <c r="A614" s="31" t="str">
        <f>IFERROR(__xludf.DUMMYFUNCTION("""COMPUTED_VALUE"""),"子宮体がん検査は痛みがありますか？")</f>
        <v>子宮体がん検査は痛みがありますか？</v>
      </c>
      <c r="B614" s="31" t="str">
        <f>IFERROR(__xludf.DUMMYFUNCTION("""COMPUTED_VALUE"""),"子宮体がん検査は、生理痛に似た痛みを感じることがありますが、検査は1〜2分程度で終わります。")</f>
        <v>子宮体がん検査は、生理痛に似た痛みを感じることがありますが、検査は1〜2分程度で終わります。</v>
      </c>
      <c r="C614" s="31" t="str">
        <f>IFERROR(__xludf.DUMMYFUNCTION("""COMPUTED_VALUE"""),"婦人科健診")</f>
        <v>婦人科健診</v>
      </c>
      <c r="D614" s="31" t="str">
        <f>IFERROR(__xludf.DUMMYFUNCTION("""COMPUTED_VALUE"""),"子宮体がん検査,痛み")</f>
        <v>子宮体がん検査,痛み</v>
      </c>
      <c r="E614" s="32" t="str">
        <f>IFERROR(__xludf.DUMMYFUNCTION("""COMPUTED_VALUE"""),"https://luna-dr.com/subjects/medical-checkup/")</f>
        <v>https://luna-dr.com/subjects/medical-checkup/</v>
      </c>
    </row>
    <row r="615">
      <c r="A615" s="31" t="str">
        <f>IFERROR(__xludf.DUMMYFUNCTION("""COMPUTED_VALUE"""),"子宮頸がんを予防する方法はありますか？/HPVを予防する方法はありますか？")</f>
        <v>子宮頸がんを予防する方法はありますか？/HPVを予防する方法はありますか？</v>
      </c>
      <c r="B615" s="31" t="str">
        <f>IFERROR(__xludf.DUMMYFUNCTION("""COMPUTED_VALUE"""),"子宮頸がんは、HPVワクチン接種と定期的な検診が最も有効な予防方法です。")</f>
        <v>子宮頸がんは、HPVワクチン接種と定期的な検診が最も有効な予防方法です。</v>
      </c>
      <c r="C615" s="31" t="str">
        <f>IFERROR(__xludf.DUMMYFUNCTION("""COMPUTED_VALUE"""),"婦人科健診")</f>
        <v>婦人科健診</v>
      </c>
      <c r="D615" s="31" t="str">
        <f>IFERROR(__xludf.DUMMYFUNCTION("""COMPUTED_VALUE"""),"子宮頸がん,HPVワクチン,予防,HPV検査,HPV")</f>
        <v>子宮頸がん,HPVワクチン,予防,HPV検査,HPV</v>
      </c>
      <c r="E615" s="32" t="str">
        <f>IFERROR(__xludf.DUMMYFUNCTION("""COMPUTED_VALUE"""),"https://luna-dr.com/subjects/medical-checkup/")</f>
        <v>https://luna-dr.com/subjects/medical-checkup/</v>
      </c>
    </row>
    <row r="616">
      <c r="A616" s="31" t="str">
        <f>IFERROR(__xludf.DUMMYFUNCTION("""COMPUTED_VALUE"""),"子宮体がんを予防する方法はありますか？")</f>
        <v>子宮体がんを予防する方法はありますか？</v>
      </c>
      <c r="B616" s="31" t="str">
        <f>IFERROR(__xludf.DUMMYFUNCTION("""COMPUTED_VALUE"""),"子宮体がんは、適正体重の維持やバランスの取れた食生活など、生活習慣を整えることが予防につながります。")</f>
        <v>子宮体がんは、適正体重の維持やバランスの取れた食生活など、生活習慣を整えることが予防につながります。</v>
      </c>
      <c r="C616" s="31" t="str">
        <f>IFERROR(__xludf.DUMMYFUNCTION("""COMPUTED_VALUE"""),"婦人科健診")</f>
        <v>婦人科健診</v>
      </c>
      <c r="D616" s="31" t="str">
        <f>IFERROR(__xludf.DUMMYFUNCTION("""COMPUTED_VALUE"""),"子宮体がん,予防,生活習慣")</f>
        <v>子宮体がん,予防,生活習慣</v>
      </c>
      <c r="E616" s="32" t="str">
        <f>IFERROR(__xludf.DUMMYFUNCTION("""COMPUTED_VALUE"""),"https://luna-dr.com/subjects/medical-checkup/")</f>
        <v>https://luna-dr.com/subjects/medical-checkup/</v>
      </c>
    </row>
    <row r="617">
      <c r="A617" s="31" t="str">
        <f>IFERROR(__xludf.DUMMYFUNCTION("""COMPUTED_VALUE"""),"婦人科検診の痛みはありますか？")</f>
        <v>婦人科検診の痛みはありますか？</v>
      </c>
      <c r="B617" s="31" t="str">
        <f>IFERROR(__xludf.DUMMYFUNCTION("""COMPUTED_VALUE"""),"子宮頸がん検診は、ブラシで軽くこする検査のため、痛みはほとんどないか、ごくわずかです。子宮体がん検査は、生理痛に似た痛みを感じることがありますが、短時間で終了します。")</f>
        <v>子宮頸がん検診は、ブラシで軽くこする検査のため、痛みはほとんどないか、ごくわずかです。子宮体がん検査は、生理痛に似た痛みを感じることがありますが、短時間で終了します。</v>
      </c>
      <c r="C617" s="31" t="str">
        <f>IFERROR(__xludf.DUMMYFUNCTION("""COMPUTED_VALUE"""),"婦人科健診")</f>
        <v>婦人科健診</v>
      </c>
      <c r="D617" s="31" t="str">
        <f>IFERROR(__xludf.DUMMYFUNCTION("""COMPUTED_VALUE"""),"婦人科検診,検査の痛み,内診")</f>
        <v>婦人科検診,検査の痛み,内診</v>
      </c>
      <c r="E617" s="32" t="str">
        <f>IFERROR(__xludf.DUMMYFUNCTION("""COMPUTED_VALUE"""),"https://luna-dr.com/subjects/medical-checkup/")</f>
        <v>https://luna-dr.com/subjects/medical-checkup/</v>
      </c>
    </row>
    <row r="618">
      <c r="A618" s="31" t="str">
        <f>IFERROR(__xludf.DUMMYFUNCTION("""COMPUTED_VALUE"""),"婦人科検診の費用はいくらですか？")</f>
        <v>婦人科検診の費用はいくらですか？</v>
      </c>
      <c r="B618" s="31" t="str">
        <f>IFERROR(__xludf.DUMMYFUNCTION("""COMPUTED_VALUE"""),"当院では、検査内容やご利用の制度（自費・自治体検診）によって費用が異なります。子宮頸がん検診は自費5,000円（税込）、子宮体がん検診は6,000円（税込）です。")</f>
        <v>当院では、検査内容やご利用の制度（自費・自治体検診）によって費用が異なります。子宮頸がん検診は自費5,000円（税込）、子宮体がん検診は6,000円（税込）です。</v>
      </c>
      <c r="C618" s="31" t="str">
        <f>IFERROR(__xludf.DUMMYFUNCTION("""COMPUTED_VALUE"""),"婦人科健診")</f>
        <v>婦人科健診</v>
      </c>
      <c r="D618" s="31" t="str">
        <f>IFERROR(__xludf.DUMMYFUNCTION("""COMPUTED_VALUE"""),"婦人科検診,費用,料金")</f>
        <v>婦人科検診,費用,料金</v>
      </c>
      <c r="E618" s="32" t="str">
        <f>IFERROR(__xludf.DUMMYFUNCTION("""COMPUTED_VALUE"""),"https://luna-dr.com/subjects/medical-checkup/")</f>
        <v>https://luna-dr.com/subjects/medical-checkup/</v>
      </c>
    </row>
    <row r="619">
      <c r="A619" s="31" t="str">
        <f>IFERROR(__xludf.DUMMYFUNCTION("""COMPUTED_VALUE"""),"子宮頸がん検診の費用はいくらですか？/HPV検査はいくらですか？/HPV検査の費用はいくらですか？")</f>
        <v>子宮頸がん検診の費用はいくらですか？/HPV検査はいくらですか？/HPV検査の費用はいくらですか？</v>
      </c>
      <c r="B619" s="31" t="str">
        <f>IFERROR(__xludf.DUMMYFUNCTION("""COMPUTED_VALUE"""),"当院の子宮頸がん検診（自費診療）の費用は5,000円（税込）です。")</f>
        <v>当院の子宮頸がん検診（自費診療）の費用は5,000円（税込）です。</v>
      </c>
      <c r="C619" s="31" t="str">
        <f>IFERROR(__xludf.DUMMYFUNCTION("""COMPUTED_VALUE"""),"婦人科健診")</f>
        <v>婦人科健診</v>
      </c>
      <c r="D619" s="31" t="str">
        <f>IFERROR(__xludf.DUMMYFUNCTION("""COMPUTED_VALUE"""),"子宮頸がん検診,費用,自費,HPV検査,HPV")</f>
        <v>子宮頸がん検診,費用,自費,HPV検査,HPV</v>
      </c>
      <c r="E619" s="32" t="str">
        <f>IFERROR(__xludf.DUMMYFUNCTION("""COMPUTED_VALUE"""),"https://luna-dr.com/subjects/medical-checkup/")</f>
        <v>https://luna-dr.com/subjects/medical-checkup/</v>
      </c>
    </row>
    <row r="620">
      <c r="A620" s="31" t="str">
        <f>IFERROR(__xludf.DUMMYFUNCTION("""COMPUTED_VALUE"""),"子宮体がん検診の費用はいくらですか？")</f>
        <v>子宮体がん検診の費用はいくらですか？</v>
      </c>
      <c r="B620" s="31" t="str">
        <f>IFERROR(__xludf.DUMMYFUNCTION("""COMPUTED_VALUE"""),"当院の子宮体がん検診（自費診療）の費用は6,000円（税込）です。")</f>
        <v>当院の子宮体がん検診（自費診療）の費用は6,000円（税込）です。</v>
      </c>
      <c r="C620" s="31" t="str">
        <f>IFERROR(__xludf.DUMMYFUNCTION("""COMPUTED_VALUE"""),"婦人科健診")</f>
        <v>婦人科健診</v>
      </c>
      <c r="D620" s="31" t="str">
        <f>IFERROR(__xludf.DUMMYFUNCTION("""COMPUTED_VALUE"""),"子宮体がん検診,費用,自費")</f>
        <v>子宮体がん検診,費用,自費</v>
      </c>
      <c r="E620" s="32" t="str">
        <f>IFERROR(__xludf.DUMMYFUNCTION("""COMPUTED_VALUE"""),"https://luna-dr.com/subjects/medical-checkup/")</f>
        <v>https://luna-dr.com/subjects/medical-checkup/</v>
      </c>
    </row>
    <row r="621">
      <c r="A621" s="31" t="str">
        <f>IFERROR(__xludf.DUMMYFUNCTION("""COMPUTED_VALUE"""),"横浜市のHPV検査単独法はいくらで受けられますか？")</f>
        <v>横浜市のHPV検査単独法はいくらで受けられますか？</v>
      </c>
      <c r="B621" s="31" t="str">
        <f>IFERROR(__xludf.DUMMYFUNCTION("""COMPUTED_VALUE"""),"横浜市のHPV検査単独法は、対象の方であれば2,000円（税込）で受診できます。")</f>
        <v>横浜市のHPV検査単独法は、対象の方であれば2,000円（税込）で受診できます。</v>
      </c>
      <c r="C621" s="31" t="str">
        <f>IFERROR(__xludf.DUMMYFUNCTION("""COMPUTED_VALUE"""),"婦人科健診")</f>
        <v>婦人科健診</v>
      </c>
      <c r="D621" s="31" t="str">
        <f>IFERROR(__xludf.DUMMYFUNCTION("""COMPUTED_VALUE"""),"横浜市,HPV検査,費用,子宮頸がん検査")</f>
        <v>横浜市,HPV検査,費用,子宮頸がん検査</v>
      </c>
      <c r="E621" s="32" t="str">
        <f>IFERROR(__xludf.DUMMYFUNCTION("""COMPUTED_VALUE"""),"https://luna-dr.com/subjects/medical-checkup/")</f>
        <v>https://luna-dr.com/subjects/medical-checkup/</v>
      </c>
    </row>
    <row r="622">
      <c r="A622" s="31" t="str">
        <f>IFERROR(__xludf.DUMMYFUNCTION("""COMPUTED_VALUE"""),"横浜市の子宮頸がん検診はいくらですか？")</f>
        <v>横浜市の子宮頸がん検診はいくらですか？</v>
      </c>
      <c r="B622" s="31" t="str">
        <f>IFERROR(__xludf.DUMMYFUNCTION("""COMPUTED_VALUE"""),"横浜市の子宮頸がん検診は、対象の方であれば1,360円（税込）で受診できます。")</f>
        <v>横浜市の子宮頸がん検診は、対象の方であれば1,360円（税込）で受診できます。</v>
      </c>
      <c r="C622" s="31" t="str">
        <f>IFERROR(__xludf.DUMMYFUNCTION("""COMPUTED_VALUE"""),"婦人科健診")</f>
        <v>婦人科健診</v>
      </c>
      <c r="D622" s="31" t="str">
        <f>IFERROR(__xludf.DUMMYFUNCTION("""COMPUTED_VALUE"""),"横浜市,子宮頸がん検診,費用,子宮頸がん健診")</f>
        <v>横浜市,子宮頸がん検診,費用,子宮頸がん健診</v>
      </c>
      <c r="E622" s="32" t="str">
        <f>IFERROR(__xludf.DUMMYFUNCTION("""COMPUTED_VALUE"""),"https://luna-dr.com/subjects/medical-checkup/")</f>
        <v>https://luna-dr.com/subjects/medical-checkup/</v>
      </c>
    </row>
    <row r="623">
      <c r="A623" s="31" t="str">
        <f>IFERROR(__xludf.DUMMYFUNCTION("""COMPUTED_VALUE"""),"町田市の子宮頸がん検診はいくらですか？")</f>
        <v>町田市の子宮頸がん検診はいくらですか？</v>
      </c>
      <c r="B623" s="31" t="str">
        <f>IFERROR(__xludf.DUMMYFUNCTION("""COMPUTED_VALUE"""),"町田市の子宮頸がん検診は、対象の方であれば1,000円（税込）で受診できます。")</f>
        <v>町田市の子宮頸がん検診は、対象の方であれば1,000円（税込）で受診できます。</v>
      </c>
      <c r="C623" s="31" t="str">
        <f>IFERROR(__xludf.DUMMYFUNCTION("""COMPUTED_VALUE"""),"婦人科健診")</f>
        <v>婦人科健診</v>
      </c>
      <c r="D623" s="31" t="str">
        <f>IFERROR(__xludf.DUMMYFUNCTION("""COMPUTED_VALUE"""),"町田市,子宮頸がん検診,費用")</f>
        <v>町田市,子宮頸がん検診,費用</v>
      </c>
      <c r="E623" s="32" t="str">
        <f>IFERROR(__xludf.DUMMYFUNCTION("""COMPUTED_VALUE"""),"https://luna-dr.com/subjects/medical-checkup/")</f>
        <v>https://luna-dr.com/subjects/medical-checkup/</v>
      </c>
    </row>
    <row r="624">
      <c r="A624" s="31" t="str">
        <f>IFERROR(__xludf.DUMMYFUNCTION("""COMPUTED_VALUE"""),"川崎市の子宮頸がん検診はいくらですか？")</f>
        <v>川崎市の子宮頸がん検診はいくらですか？</v>
      </c>
      <c r="B624" s="31" t="str">
        <f>IFERROR(__xludf.DUMMYFUNCTION("""COMPUTED_VALUE"""),"川崎市の子宮頸がん検診は、対象の方であれば1,000円（税込）で受診できます。")</f>
        <v>川崎市の子宮頸がん検診は、対象の方であれば1,000円（税込）で受診できます。</v>
      </c>
      <c r="C624" s="31" t="str">
        <f>IFERROR(__xludf.DUMMYFUNCTION("""COMPUTED_VALUE"""),"婦人科健診")</f>
        <v>婦人科健診</v>
      </c>
      <c r="D624" s="31" t="str">
        <f>IFERROR(__xludf.DUMMYFUNCTION("""COMPUTED_VALUE"""),"川崎市,子宮頸がん検診,費用,子宮頸がん健診")</f>
        <v>川崎市,子宮頸がん検診,費用,子宮頸がん健診</v>
      </c>
      <c r="E624" s="32" t="str">
        <f>IFERROR(__xludf.DUMMYFUNCTION("""COMPUTED_VALUE"""),"https://luna-dr.com/subjects/medical-checkup/")</f>
        <v>https://luna-dr.com/subjects/medical-checkup/</v>
      </c>
    </row>
    <row r="625">
      <c r="A625" s="31" t="str">
        <f>IFERROR(__xludf.DUMMYFUNCTION("""COMPUTED_VALUE"""),"川崎市の子宮体がん検診はいくらですか？")</f>
        <v>川崎市の子宮体がん検診はいくらですか？</v>
      </c>
      <c r="B625" s="31" t="str">
        <f>IFERROR(__xludf.DUMMYFUNCTION("""COMPUTED_VALUE"""),"川崎市の子宮頸がん＋子宮体がん検診は、対象の方であれば1,800円（税込）で受診できます。")</f>
        <v>川崎市の子宮頸がん＋子宮体がん検診は、対象の方であれば1,800円（税込）で受診できます。</v>
      </c>
      <c r="C625" s="31" t="str">
        <f>IFERROR(__xludf.DUMMYFUNCTION("""COMPUTED_VALUE"""),"婦人科健診")</f>
        <v>婦人科健診</v>
      </c>
      <c r="D625" s="31" t="str">
        <f>IFERROR(__xludf.DUMMYFUNCTION("""COMPUTED_VALUE"""),"川崎市,子宮体がん検診,子宮頸がん検診,費用")</f>
        <v>川崎市,子宮体がん検診,子宮頸がん検診,費用</v>
      </c>
      <c r="E625" s="32" t="str">
        <f>IFERROR(__xludf.DUMMYFUNCTION("""COMPUTED_VALUE"""),"https://luna-dr.com/subjects/medical-checkup/")</f>
        <v>https://luna-dr.com/subjects/medical-checkup/</v>
      </c>
    </row>
    <row r="626">
      <c r="A626" s="31" t="str">
        <f>IFERROR(__xludf.DUMMYFUNCTION("""COMPUTED_VALUE"""),"ホルモン検査の費用はいくらですか？/ホルモン検査はできますか？/ホルモン検査は行っていますか？/ホルモン検査について教えてください")</f>
        <v>ホルモン検査の費用はいくらですか？/ホルモン検査はできますか？/ホルモン検査は行っていますか？/ホルモン検査について教えてください</v>
      </c>
      <c r="B626" s="31" t="str">
        <f>IFERROR(__xludf.DUMMYFUNCTION("""COMPUTED_VALUE"""),"当院のホルモン検査は8,000円（税込）です。月経不順や体調不良の原因を調べる際に行います。")</f>
        <v>当院のホルモン検査は8,000円（税込）です。月経不順や体調不良の原因を調べる際に行います。</v>
      </c>
      <c r="C626" s="31" t="str">
        <f>IFERROR(__xludf.DUMMYFUNCTION("""COMPUTED_VALUE"""),"婦人科健診")</f>
        <v>婦人科健診</v>
      </c>
      <c r="D626" s="31" t="str">
        <f>IFERROR(__xludf.DUMMYFUNCTION("""COMPUTED_VALUE"""),"ホルモン検査,費用,婦人科")</f>
        <v>ホルモン検査,費用,婦人科</v>
      </c>
      <c r="E626" s="32" t="str">
        <f>IFERROR(__xludf.DUMMYFUNCTION("""COMPUTED_VALUE"""),"https://luna-dr.com/subjects/medical-checkup/")</f>
        <v>https://luna-dr.com/subjects/medical-checkup/</v>
      </c>
    </row>
    <row r="627">
      <c r="A627" s="31" t="str">
        <f>IFERROR(__xludf.DUMMYFUNCTION("""COMPUTED_VALUE"""),"AMH検査の費用はいくらですか？")</f>
        <v>AMH検査の費用はいくらですか？</v>
      </c>
      <c r="B627" s="31" t="str">
        <f>IFERROR(__xludf.DUMMYFUNCTION("""COMPUTED_VALUE"""),"当院のAMH検査（卵巣年齢の目安となる検査）の費用は10,000円（税込）です。")</f>
        <v>当院のAMH検査（卵巣年齢の目安となる検査）の費用は10,000円（税込）です。</v>
      </c>
      <c r="C627" s="31" t="str">
        <f>IFERROR(__xludf.DUMMYFUNCTION("""COMPUTED_VALUE"""),"婦人科健診")</f>
        <v>婦人科健診</v>
      </c>
      <c r="D627" s="31" t="str">
        <f>IFERROR(__xludf.DUMMYFUNCTION("""COMPUTED_VALUE"""),"AMH検査,費用,卵巣年齢")</f>
        <v>AMH検査,費用,卵巣年齢</v>
      </c>
      <c r="E627" s="32" t="str">
        <f>IFERROR(__xludf.DUMMYFUNCTION("""COMPUTED_VALUE"""),"https://luna-dr.com/subjects/medical-checkup/")</f>
        <v>https://luna-dr.com/subjects/medical-checkup/</v>
      </c>
    </row>
    <row r="628">
      <c r="A628" s="31" t="str">
        <f>IFERROR(__xludf.DUMMYFUNCTION("""COMPUTED_VALUE"""),"風疹の抗体検査の費用はいくらですか？")</f>
        <v>風疹の抗体検査の費用はいくらですか？</v>
      </c>
      <c r="B628" s="31" t="str">
        <f>IFERROR(__xludf.DUMMYFUNCTION("""COMPUTED_VALUE"""),"当院の風疹抗体検査の費用は4,000円（税込）です。")</f>
        <v>当院の風疹抗体検査の費用は4,000円（税込）です。</v>
      </c>
      <c r="C628" s="31" t="str">
        <f>IFERROR(__xludf.DUMMYFUNCTION("""COMPUTED_VALUE"""),"婦人科健診")</f>
        <v>婦人科健診</v>
      </c>
      <c r="D628" s="31" t="str">
        <f>IFERROR(__xludf.DUMMYFUNCTION("""COMPUTED_VALUE"""),"風疹抗体検査,費用,妊娠準備")</f>
        <v>風疹抗体検査,費用,妊娠準備</v>
      </c>
      <c r="E628" s="32" t="str">
        <f>IFERROR(__xludf.DUMMYFUNCTION("""COMPUTED_VALUE"""),"https://luna-dr.com/subjects/medical-checkup/")</f>
        <v>https://luna-dr.com/subjects/medical-checkup/</v>
      </c>
    </row>
    <row r="629">
      <c r="A629" s="31" t="str">
        <f>IFERROR(__xludf.DUMMYFUNCTION("""COMPUTED_VALUE"""),"妊娠中でも子宮頸がん検診は受けられますか？")</f>
        <v>妊娠中でも子宮頸がん検診は受けられますか？</v>
      </c>
      <c r="B629" s="31" t="str">
        <f>IFERROR(__xludf.DUMMYFUNCTION("""COMPUTED_VALUE"""),"子宮頸がん検診（自費・横浜市クーポン利用ともに）は、当院で妊娠10週までの経過を診ている場合に限り、妊娠中でも受けていただけます。")</f>
        <v>子宮頸がん検診（自費・横浜市クーポン利用ともに）は、当院で妊娠10週までの経過を診ている場合に限り、妊娠中でも受けていただけます。</v>
      </c>
      <c r="C629" s="31" t="str">
        <f>IFERROR(__xludf.DUMMYFUNCTION("""COMPUTED_VALUE"""),"婦人科健診")</f>
        <v>婦人科健診</v>
      </c>
      <c r="D629" s="31" t="str">
        <f>IFERROR(__xludf.DUMMYFUNCTION("""COMPUTED_VALUE"""),"妊娠中,子宮頸がん検診,条件")</f>
        <v>妊娠中,子宮頸がん検診,条件</v>
      </c>
      <c r="E629" s="32" t="str">
        <f>IFERROR(__xludf.DUMMYFUNCTION("""COMPUTED_VALUE"""),"https://luna-dr.com/subjects/medical-checkup/")</f>
        <v>https://luna-dr.com/subjects/medical-checkup/</v>
      </c>
    </row>
    <row r="630">
      <c r="A630" s="31" t="str">
        <f>IFERROR(__xludf.DUMMYFUNCTION("""COMPUTED_VALUE"""),"自治体の子宮がん検診は利用できますか？")</f>
        <v>自治体の子宮がん検診は利用できますか？</v>
      </c>
      <c r="B630" s="31" t="str">
        <f>IFERROR(__xludf.DUMMYFUNCTION("""COMPUTED_VALUE"""),"横浜市・町田市・川崎市の子宮頸がん検診、HPV検査単独法に対応しています。対象年齢や条件がありますので、詳細はご予約時にご確認ください。")</f>
        <v>横浜市・町田市・川崎市の子宮頸がん検診、HPV検査単独法に対応しています。対象年齢や条件がありますので、詳細はご予約時にご確認ください。</v>
      </c>
      <c r="C630" s="31" t="str">
        <f>IFERROR(__xludf.DUMMYFUNCTION("""COMPUTED_VALUE"""),"婦人科健診")</f>
        <v>婦人科健診</v>
      </c>
      <c r="D630" s="31" t="str">
        <f>IFERROR(__xludf.DUMMYFUNCTION("""COMPUTED_VALUE"""),"自治体検診,横浜市,町田市,川崎市")</f>
        <v>自治体検診,横浜市,町田市,川崎市</v>
      </c>
      <c r="E630" s="32" t="str">
        <f>IFERROR(__xludf.DUMMYFUNCTION("""COMPUTED_VALUE"""),"https://luna-dr.com/subjects/medical-checkup/")</f>
        <v>https://luna-dr.com/subjects/medical-checkup/</v>
      </c>
    </row>
    <row r="631">
      <c r="A631" s="31" t="str">
        <f>IFERROR(__xludf.DUMMYFUNCTION("""COMPUTED_VALUE"""),"婦人科健診の予約はどうすればいいですか？/子宮頸がん検査の予約はどうすればいいですか？/子宮体がん検査の予約はどうすればいいですか？")</f>
        <v>婦人科健診の予約はどうすればいいですか？/子宮頸がん検査の予約はどうすればいいですか？/子宮体がん検査の予約はどうすればいいですか？</v>
      </c>
      <c r="B631" s="31" t="str">
        <f>IFERROR(__xludf.DUMMYFUNCTION("""COMPUTED_VALUE"""),"婦人科健診（子宮頸がん・子宮体がん検査）のご予約は、公式LINEからお取りください。自治体のがん検診をご希望の場合は「市区町村のがん検診」のメニューでご予約ください。それ以外の婦人科検診は「一般婦人科診療」のメニューからお取りください。→https://cline-app.com/qr-codes/98ad6f149bfa20f4f2a9a2e91aac4187/preview")</f>
        <v>婦人科健診（子宮頸がん・子宮体がん検査）のご予約は、公式LINEからお取りください。自治体のがん検診をご希望の場合は「市区町村のがん検診」のメニューでご予約ください。それ以外の婦人科検診は「一般婦人科診療」のメニューからお取りください。→https://cline-app.com/qr-codes/98ad6f149bfa20f4f2a9a2e91aac4187/preview</v>
      </c>
      <c r="C631" s="31" t="str">
        <f>IFERROR(__xludf.DUMMYFUNCTION("""COMPUTED_VALUE"""),"婦人科健診")</f>
        <v>婦人科健診</v>
      </c>
      <c r="D631" s="31" t="str">
        <f>IFERROR(__xludf.DUMMYFUNCTION("""COMPUTED_VALUE"""),"婦人科健診,予約方法,LINE予約,子宮頸がん,子宮体がん検査")</f>
        <v>婦人科健診,予約方法,LINE予約,子宮頸がん,子宮体がん検査</v>
      </c>
      <c r="E631" s="32" t="str">
        <f>IFERROR(__xludf.DUMMYFUNCTION("""COMPUTED_VALUE"""),"https://luna-dr.com/subjects/medical-checkup/")</f>
        <v>https://luna-dr.com/subjects/medical-checkup/</v>
      </c>
    </row>
    <row r="632">
      <c r="A632" s="31" t="str">
        <f>IFERROR(__xludf.DUMMYFUNCTION("""COMPUTED_VALUE"""),"婦人科健診検査はどうやって予約しますか？/子宮頸がん検査はどうやって予約しますか？/子宮体がん検査はどうやって予約しますか？")</f>
        <v>婦人科健診検査はどうやって予約しますか？/子宮頸がん検査はどうやって予約しますか？/子宮体がん検査はどうやって予約しますか？</v>
      </c>
      <c r="B632" s="31" t="str">
        <f>IFERROR(__xludf.DUMMYFUNCTION("""COMPUTED_VALUE"""),"婦人科健診（子宮頸がん・子宮体がん検査）のご予約は、公式LINEからお取りください。自治体のがん検診をご希望の場合は「市区町村のがん検診」のメニューでご予約ください。それ以外の婦人科検診は「一般婦人科診療」のメニューからお取りください。→https://cline-app.com/qr-codes/98ad6f149bfa20f4f2a9a2e91aac4187/preview")</f>
        <v>婦人科健診（子宮頸がん・子宮体がん検査）のご予約は、公式LINEからお取りください。自治体のがん検診をご希望の場合は「市区町村のがん検診」のメニューでご予約ください。それ以外の婦人科検診は「一般婦人科診療」のメニューからお取りください。→https://cline-app.com/qr-codes/98ad6f149bfa20f4f2a9a2e91aac4187/preview</v>
      </c>
      <c r="C632" s="31" t="str">
        <f>IFERROR(__xludf.DUMMYFUNCTION("""COMPUTED_VALUE"""),"婦人科健診")</f>
        <v>婦人科健診</v>
      </c>
      <c r="D632" s="31" t="str">
        <f>IFERROR(__xludf.DUMMYFUNCTION("""COMPUTED_VALUE"""),"予約方法,LINE,電話,婦人科健診,子宮頸がん,子宮体がん検査")</f>
        <v>予約方法,LINE,電話,婦人科健診,子宮頸がん,子宮体がん検査</v>
      </c>
      <c r="E632" s="32" t="str">
        <f>IFERROR(__xludf.DUMMYFUNCTION("""COMPUTED_VALUE"""),"https://luna-dr.com/subjects/medical-checkup/")</f>
        <v>https://luna-dr.com/subjects/medical-checkup/</v>
      </c>
    </row>
    <row r="633">
      <c r="A633" s="31" t="str">
        <f>IFERROR(__xludf.DUMMYFUNCTION("""COMPUTED_VALUE"""),"婦人科健診はLINEから予約できますか？/子宮頸がん検査はLINEから予約できますか？/子宮体がん検査はLINEから予約できますか？")</f>
        <v>婦人科健診はLINEから予約できますか？/子宮頸がん検査はLINEから予約できますか？/子宮体がん検査はLINEから予約できますか？</v>
      </c>
      <c r="B633" s="31" t="str">
        <f>IFERROR(__xludf.DUMMYFUNCTION("""COMPUTED_VALUE"""),"公式LINEから24時間いつでも予約できます。自治体のがん検診をご希望の場合は「市区町村のがん検診」のメニューでご予約ください。それ以外の婦人科検診は「一般婦人科診療」のメニューからお取りください。→https://cline-app.com/qr-codes/98ad6f149bfa20f4f2a9a2e91aac4187/preview")</f>
        <v>公式LINEから24時間いつでも予約できます。自治体のがん検診をご希望の場合は「市区町村のがん検診」のメニューでご予約ください。それ以外の婦人科検診は「一般婦人科診療」のメニューからお取りください。→https://cline-app.com/qr-codes/98ad6f149bfa20f4f2a9a2e91aac4187/preview</v>
      </c>
      <c r="C633" s="31" t="str">
        <f>IFERROR(__xludf.DUMMYFUNCTION("""COMPUTED_VALUE"""),"婦人科健診")</f>
        <v>婦人科健診</v>
      </c>
      <c r="D633" s="31" t="str">
        <f>IFERROR(__xludf.DUMMYFUNCTION("""COMPUTED_VALUE"""),"LINE予約,婦人科予約,婦人科健診,子宮頸がん,子宮体がん検査")</f>
        <v>LINE予約,婦人科予約,婦人科健診,子宮頸がん,子宮体がん検査</v>
      </c>
      <c r="E633" s="32" t="str">
        <f>IFERROR(__xludf.DUMMYFUNCTION("""COMPUTED_VALUE"""),"https://luna-dr.com/subjects/medical-checkup/")</f>
        <v>https://luna-dr.com/subjects/medical-checkup/</v>
      </c>
    </row>
    <row r="634">
      <c r="A634" s="31" t="str">
        <f>IFERROR(__xludf.DUMMYFUNCTION("""COMPUTED_VALUE"""),"婦人科健診は電話でも予約できますか？/子宮頸がん検査は電話でも予約できますか？/子宮体がん検査は電話でも予約できますか？")</f>
        <v>婦人科健診は電話でも予約できますか？/子宮頸がん検査は電話でも予約できますか？/子宮体がん検査は電話でも予約できますか？</v>
      </c>
      <c r="B634" s="31" t="str">
        <f>IFERROR(__xludf.DUMMYFUNCTION("""COMPUTED_VALUE"""),"LINEでの予約後、事前問診等もLINEから行うことができ、スムーズに受診ができるため、当院ではLINEでのご予約を推奨しております。
自治体のがん検診をご希望の場合は「市区町村のがん検診」のメニューでご予約ください。それ以外の婦人科検診は「一般婦人科診療」のメニューからお取りください。→https://cline-app.com/qr-codes/98ad6f149bfa20f4f2a9a2e91aac4187/preview")</f>
        <v>LINEでの予約後、事前問診等もLINEから行うことができ、スムーズに受診ができるため、当院ではLINEでのご予約を推奨しております。
自治体のがん検診をご希望の場合は「市区町村のがん検診」のメニューでご予約ください。それ以外の婦人科検診は「一般婦人科診療」のメニューからお取りください。→https://cline-app.com/qr-codes/98ad6f149bfa20f4f2a9a2e91aac4187/preview</v>
      </c>
      <c r="C634" s="31" t="str">
        <f>IFERROR(__xludf.DUMMYFUNCTION("""COMPUTED_VALUE"""),"婦人科健診")</f>
        <v>婦人科健診</v>
      </c>
      <c r="D634" s="31" t="str">
        <f>IFERROR(__xludf.DUMMYFUNCTION("""COMPUTED_VALUE"""),"電話予約,問い合わせ,婦人科健診,子宮頸がん,子宮体がん検査")</f>
        <v>電話予約,問い合わせ,婦人科健診,子宮頸がん,子宮体がん検査</v>
      </c>
      <c r="E634" s="32" t="str">
        <f>IFERROR(__xludf.DUMMYFUNCTION("""COMPUTED_VALUE"""),"https://luna-dr.com/subjects/medical-checkup/")</f>
        <v>https://luna-dr.com/subjects/medical-checkup/</v>
      </c>
    </row>
    <row r="635">
      <c r="A635" s="31" t="str">
        <f>IFERROR(__xludf.DUMMYFUNCTION("""COMPUTED_VALUE"""),"婦人科健診の予約前に準備しておくことはありますか？/子宮頸がん検査の予約前に準備しておくことはありますか？/子宮体がん検査の予約前に準備しておくことはありますか？")</f>
        <v>婦人科健診の予約前に準備しておくことはありますか？/子宮頸がん検査の予約前に準備しておくことはありますか？/子宮体がん検査の予約前に準備しておくことはありますか？</v>
      </c>
      <c r="B635" s="31" t="str">
        <f>IFERROR(__xludf.DUMMYFUNCTION("""COMPUTED_VALUE"""),"ルナレディースクリニックでは、診察前にWEB問診の入力をお願いしています。事前にご入力いただくと診察がスムーズです。")</f>
        <v>ルナレディースクリニックでは、診察前にWEB問診の入力をお願いしています。事前にご入力いただくと診察がスムーズです。</v>
      </c>
      <c r="C635" s="31" t="str">
        <f>IFERROR(__xludf.DUMMYFUNCTION("""COMPUTED_VALUE"""),"婦人科健診")</f>
        <v>婦人科健診</v>
      </c>
      <c r="D635" s="31" t="str">
        <f>IFERROR(__xludf.DUMMYFUNCTION("""COMPUTED_VALUE"""),"WEB問診,事前準備,婦人科健診,子宮頸がん,子宮体がん検査")</f>
        <v>WEB問診,事前準備,婦人科健診,子宮頸がん,子宮体がん検査</v>
      </c>
      <c r="E635" s="32" t="str">
        <f>IFERROR(__xludf.DUMMYFUNCTION("""COMPUTED_VALUE"""),"https://luna-dr.com/subjects/medical-checkup/")</f>
        <v>https://luna-dr.com/subjects/medical-checkup/</v>
      </c>
    </row>
    <row r="636">
      <c r="A636" s="31" t="str">
        <f>IFERROR(__xludf.DUMMYFUNCTION("""COMPUTED_VALUE"""),"婦人科健診は初診でも予約できますか？/子宮頸がん検査は初診でも予約できますか？/子宮体がん検査は初診でも予約できますか？")</f>
        <v>婦人科健診は初診でも予約できますか？/子宮頸がん検査は初診でも予約できますか？/子宮体がん検査は初診でも予約できますか？</v>
      </c>
      <c r="B636" s="31" t="str">
        <f>IFERROR(__xludf.DUMMYFUNCTION("""COMPUTED_VALUE"""),"婦人科健診は初診の方もご予約いただけます。ご予約は公式LINEから受け付けておりますので、友だち追加の上ご利用ください。
自治体のがん検診をご希望の場合は「市区町村のがん検診」のメニューでご予約ください。それ以外の婦人科検診は「一般婦人科診療」のメニューからお取りください。→https://cline-app.com/qr-codes/98ad6f149bfa20f4f2a9a2e91aac4187/preview")</f>
        <v>婦人科健診は初診の方もご予約いただけます。ご予約は公式LINEから受け付けておりますので、友だち追加の上ご利用ください。
自治体のがん検診をご希望の場合は「市区町村のがん検診」のメニューでご予約ください。それ以外の婦人科検診は「一般婦人科診療」のメニューからお取りください。→https://cline-app.com/qr-codes/98ad6f149bfa20f4f2a9a2e91aac4187/preview</v>
      </c>
      <c r="C636" s="31" t="str">
        <f>IFERROR(__xludf.DUMMYFUNCTION("""COMPUTED_VALUE"""),"婦人科健診")</f>
        <v>婦人科健診</v>
      </c>
      <c r="D636" s="31" t="str">
        <f>IFERROR(__xludf.DUMMYFUNCTION("""COMPUTED_VALUE"""),"初診,予約,婦人科健診,子宮頸がん,子宮体がん検査")</f>
        <v>初診,予約,婦人科健診,子宮頸がん,子宮体がん検査</v>
      </c>
      <c r="E636" s="32" t="str">
        <f>IFERROR(__xludf.DUMMYFUNCTION("""COMPUTED_VALUE"""),"https://luna-dr.com/subjects/medical-checkup/")</f>
        <v>https://luna-dr.com/subjects/medical-checkup/</v>
      </c>
    </row>
    <row r="637">
      <c r="A637" s="31" t="str">
        <f>IFERROR(__xludf.DUMMYFUNCTION("""COMPUTED_VALUE"""),"婦人科健診は来院とオンライン、どちらで予約できますか？/子宮頸がん検査は来院とオンライン、どちらで予約できますか？子宮体がん検査は来院とオンライン、どちらで予約できますか？")</f>
        <v>婦人科健診は来院とオンライン、どちらで予約できますか？/子宮頸がん検査は来院とオンライン、どちらで予約できますか？子宮体がん検査は来院とオンライン、どちらで予約できますか？</v>
      </c>
      <c r="B637" s="31" t="str">
        <f>IFERROR(__xludf.DUMMYFUNCTION("""COMPUTED_VALUE"""),"ルナレディースクリニックでは、（子宮頸がん・子宮体がん検査）のご相談は来院診療のみで承っています。
自治体のがん検診をご希望の場合は「市区町村のがん検診」のメニューでご予約ください。それ以外の婦人科検診は「一般婦人科診療」のメニューからお取りください。→https://cline-app.com/qr-codes/98ad6f149bfa20f4f2a9a2e91aac4187/preview")</f>
        <v>ルナレディースクリニックでは、（子宮頸がん・子宮体がん検査）のご相談は来院診療のみで承っています。
自治体のがん検診をご希望の場合は「市区町村のがん検診」のメニューでご予約ください。それ以外の婦人科検診は「一般婦人科診療」のメニューからお取りください。→https://cline-app.com/qr-codes/98ad6f149bfa20f4f2a9a2e91aac4187/preview</v>
      </c>
      <c r="C637" s="31" t="str">
        <f>IFERROR(__xludf.DUMMYFUNCTION("""COMPUTED_VALUE"""),"婦人科健診")</f>
        <v>婦人科健診</v>
      </c>
      <c r="D637" s="31" t="str">
        <f>IFERROR(__xludf.DUMMYFUNCTION("""COMPUTED_VALUE"""),"来院診療,オンライン診療,婦人科健診,子宮頸がん,子宮体がん検査")</f>
        <v>来院診療,オンライン診療,婦人科健診,子宮頸がん,子宮体がん検査</v>
      </c>
      <c r="E637" s="32" t="str">
        <f>IFERROR(__xludf.DUMMYFUNCTION("""COMPUTED_VALUE"""),"https://luna-dr.com/subjects/medical-checkup/")</f>
        <v>https://luna-dr.com/subjects/medical-checkup/</v>
      </c>
    </row>
    <row r="638">
      <c r="A638" s="31" t="str">
        <f>IFERROR(__xludf.DUMMYFUNCTION("""COMPUTED_VALUE"""),"予約なしでも婦人科健診は受けられますか？/予約なしでも子宮頸がん検査は受けられますか？/予約なしでも子宮体がん検査は受けられますか？")</f>
        <v>予約なしでも婦人科健診は受けられますか？/予約なしでも子宮頸がん検査は受けられますか？/予約なしでも子宮体がん検査は受けられますか？</v>
      </c>
      <c r="B638" s="31" t="str">
        <f>IFERROR(__xludf.DUMMYFUNCTION("""COMPUTED_VALUE"""),"直接のご来院でも可能ですが、待ち時間が発生する場合があります。事前にご予約をいただくことでスムーズに診察に進むことができます。
ご予約は公式LINEからお取りください。自治体のがん検診をご希望の場合は「市区町村のがん検診」のメニューでご予約ください。それ以外の婦人科検診は「一般婦人科診療」のメニューからお取りください。→https://cline-app.com/qr-codes/98ad6f149bfa20f4f2a9a2e91aac4187/preview")</f>
        <v>直接のご来院でも可能ですが、待ち時間が発生する場合があります。事前にご予約をいただくことでスムーズに診察に進むことができます。
ご予約は公式LINEからお取りください。自治体のがん検診をご希望の場合は「市区町村のがん検診」のメニューでご予約ください。それ以外の婦人科検診は「一般婦人科診療」のメニューからお取りください。→https://cline-app.com/qr-codes/98ad6f149bfa20f4f2a9a2e91aac4187/preview</v>
      </c>
      <c r="C638" s="31" t="str">
        <f>IFERROR(__xludf.DUMMYFUNCTION("""COMPUTED_VALUE"""),"婦人科健診")</f>
        <v>婦人科健診</v>
      </c>
      <c r="D638" s="31" t="str">
        <f>IFERROR(__xludf.DUMMYFUNCTION("""COMPUTED_VALUE"""),"婦人科健診検査,予約なし,子宮頸がん,子宮体がん検査")</f>
        <v>婦人科健診検査,予約なし,子宮頸がん,子宮体がん検査</v>
      </c>
      <c r="E638" s="32" t="str">
        <f>IFERROR(__xludf.DUMMYFUNCTION("""COMPUTED_VALUE"""),"https://luna-dr.com/subjects/medical-checkup/")</f>
        <v>https://luna-dr.com/subjects/medical-checkup/</v>
      </c>
    </row>
    <row r="639">
      <c r="A639" s="31" t="str">
        <f>IFERROR(__xludf.DUMMYFUNCTION("""COMPUTED_VALUE"""),"不正出血がある場合も婦人科検診を受けられますか？")</f>
        <v>不正出血がある場合も婦人科検診を受けられますか？</v>
      </c>
      <c r="B639" s="31" t="str">
        <f>IFERROR(__xludf.DUMMYFUNCTION("""COMPUTED_VALUE"""),"不正出血がある場合は、子宮体がん検査や超音波検査を含めた詳しい検査をおすすめしています。自己判断せず、必ず婦人科を受診してください。")</f>
        <v>不正出血がある場合は、子宮体がん検査や超音波検査を含めた詳しい検査をおすすめしています。自己判断せず、必ず婦人科を受診してください。</v>
      </c>
      <c r="C639" s="31" t="str">
        <f>IFERROR(__xludf.DUMMYFUNCTION("""COMPUTED_VALUE"""),"婦人科健診")</f>
        <v>婦人科健診</v>
      </c>
      <c r="D639" s="31" t="str">
        <f>IFERROR(__xludf.DUMMYFUNCTION("""COMPUTED_VALUE"""),"不正出血,婦人科検診,子宮体がん")</f>
        <v>不正出血,婦人科検診,子宮体がん</v>
      </c>
      <c r="E639" s="32" t="str">
        <f>IFERROR(__xludf.DUMMYFUNCTION("""COMPUTED_VALUE"""),"https://luna-dr.com/subjects/medical-checkup/")</f>
        <v>https://luna-dr.com/subjects/medical-checkup/</v>
      </c>
    </row>
    <row r="640">
      <c r="A640" s="31" t="str">
        <f>IFERROR(__xludf.DUMMYFUNCTION("""COMPUTED_VALUE"""),"婦人科検診の流れはどのようになっていますか？/子宮頸がん検診の流れはどのようになっていますか？/子宮体がん検査の流れはどのようになっていますか？")</f>
        <v>婦人科検診の流れはどのようになっていますか？/子宮頸がん検診の流れはどのようになっていますか？/子宮体がん検査の流れはどのようになっていますか？</v>
      </c>
      <c r="B640" s="31" t="str">
        <f>IFERROR(__xludf.DUMMYFUNCTION("""COMPUTED_VALUE"""),"婦人科検診では、公式LINEまたはお電話でご予約のうえご来院いただきます。ご予約後にWEB問診をご入力いただくことで、受付時にデリケートな内容を口頭でお話しいただく必要がなく、スムーズに診察へ進めます。来院後は、医師が問診を行い、お体の状態や気になる症状を確認したうえで、必要な検査内容をご説明します。その後、内診台にて子宮頸がん検診や必要に応じて子宮体がん検査、超音波（エコー）検査を行います。検査結果は約2週間後にWebで確認でき、異常が見つかった場合は、今後の治療方針について丁寧にご説明します。")</f>
        <v>婦人科検診では、公式LINEまたはお電話でご予約のうえご来院いただきます。ご予約後にWEB問診をご入力いただくことで、受付時にデリケートな内容を口頭でお話しいただく必要がなく、スムーズに診察へ進めます。来院後は、医師が問診を行い、お体の状態や気になる症状を確認したうえで、必要な検査内容をご説明します。その後、内診台にて子宮頸がん検診や必要に応じて子宮体がん検査、超音波（エコー）検査を行います。検査結果は約2週間後にWebで確認でき、異常が見つかった場合は、今後の治療方針について丁寧にご説明します。</v>
      </c>
      <c r="C640" s="31" t="str">
        <f>IFERROR(__xludf.DUMMYFUNCTION("""COMPUTED_VALUE"""),"婦人科健診")</f>
        <v>婦人科健診</v>
      </c>
      <c r="D640" s="31" t="str">
        <f>IFERROR(__xludf.DUMMYFUNCTION("""COMPUTED_VALUE"""),"婦人科検診,検診の流れ,初めての婦人科検診,子宮頸がん検診,子宮体がん検査")</f>
        <v>婦人科検診,検診の流れ,初めての婦人科検診,子宮頸がん検診,子宮体がん検査</v>
      </c>
      <c r="E640" s="32" t="str">
        <f>IFERROR(__xludf.DUMMYFUNCTION("""COMPUTED_VALUE"""),"https://luna-dr.com/subjects/medical-checkup/")</f>
        <v>https://luna-dr.com/subjects/medical-checkup/</v>
      </c>
    </row>
    <row r="641">
      <c r="A641" s="31" t="str">
        <f>IFERROR(__xludf.DUMMYFUNCTION("""COMPUTED_VALUE"""),"婦人科検診ではどのような問診を行いますか？")</f>
        <v>婦人科検診ではどのような問診を行いますか？</v>
      </c>
      <c r="B641" s="31" t="str">
        <f>IFERROR(__xludf.DUMMYFUNCTION("""COMPUTED_VALUE"""),"婦人科検診では、医師が最終月経日、生理周期、不正出血の有無、下腹部痛やおりものの変化、妊娠・出産歴、既往歴などを確認します。これらの情報をもとに、子宮頸がん検診のみ行うか、子宮体がん検査や超音波検査を追加するかを判断します。")</f>
        <v>婦人科検診では、医師が最終月経日、生理周期、不正出血の有無、下腹部痛やおりものの変化、妊娠・出産歴、既往歴などを確認します。これらの情報をもとに、子宮頸がん検診のみ行うか、子宮体がん検査や超音波検査を追加するかを判断します。</v>
      </c>
      <c r="C641" s="31" t="str">
        <f>IFERROR(__xludf.DUMMYFUNCTION("""COMPUTED_VALUE"""),"婦人科健診")</f>
        <v>婦人科健診</v>
      </c>
      <c r="D641" s="31" t="str">
        <f>IFERROR(__xludf.DUMMYFUNCTION("""COMPUTED_VALUE"""),"婦人科検診,問診内容,不正出血,生理周期")</f>
        <v>婦人科検診,問診内容,不正出血,生理周期</v>
      </c>
      <c r="E641" s="32" t="str">
        <f>IFERROR(__xludf.DUMMYFUNCTION("""COMPUTED_VALUE"""),"https://luna-dr.com/subjects/medical-checkup/")</f>
        <v>https://luna-dr.com/subjects/medical-checkup/</v>
      </c>
    </row>
    <row r="642">
      <c r="A642" s="31" t="str">
        <f>IFERROR(__xludf.DUMMYFUNCTION("""COMPUTED_VALUE"""),"婦人科検診ではどんな検査をしますか？")</f>
        <v>婦人科検診ではどんな検査をしますか？</v>
      </c>
      <c r="B642" s="31" t="str">
        <f>IFERROR(__xludf.DUMMYFUNCTION("""COMPUTED_VALUE"""),"婦人科検診では、主に子宮頸がん検診を行います。症状がある場合や医師が必要と判断した場合には、子宮体がん検査や超音波（エコー）検査を追加します。子宮頸がん検診は痛みがほとんどなく、子宮体がん検査は生理痛に似た痛みを感じることがありますが、いずれも短時間で終了します。")</f>
        <v>婦人科検診では、主に子宮頸がん検診を行います。症状がある場合や医師が必要と判断した場合には、子宮体がん検査や超音波（エコー）検査を追加します。子宮頸がん検診は痛みがほとんどなく、子宮体がん検査は生理痛に似た痛みを感じることがありますが、いずれも短時間で終了します。</v>
      </c>
      <c r="C642" s="31" t="str">
        <f>IFERROR(__xludf.DUMMYFUNCTION("""COMPUTED_VALUE"""),"婦人科健診")</f>
        <v>婦人科健診</v>
      </c>
      <c r="D642" s="31" t="str">
        <f>IFERROR(__xludf.DUMMYFUNCTION("""COMPUTED_VALUE"""),"婦人科検診,検査内容,子宮頸がん検診,子宮体がん検査,エコー検査")</f>
        <v>婦人科検診,検査内容,子宮頸がん検診,子宮体がん検査,エコー検査</v>
      </c>
      <c r="E642" s="32" t="str">
        <f>IFERROR(__xludf.DUMMYFUNCTION("""COMPUTED_VALUE"""),"https://luna-dr.com/subjects/medical-checkup/")</f>
        <v>https://luna-dr.com/subjects/medical-checkup/</v>
      </c>
    </row>
    <row r="643">
      <c r="A643" s="31" t="str">
        <f>IFERROR(__xludf.DUMMYFUNCTION("""COMPUTED_VALUE"""),"婦人科検診の結果はいつ分かりますか？/子宮頸がん検診の結果はいつ分かりますか？/子宮体がん検査の結果はいつ分かりますか？")</f>
        <v>婦人科検診の結果はいつ分かりますか？/子宮頸がん検診の結果はいつ分かりますか？/子宮体がん検査の結果はいつ分かりますか？</v>
      </c>
      <c r="B643" s="31" t="str">
        <f>IFERROR(__xludf.DUMMYFUNCTION("""COMPUTED_VALUE"""),"婦人科検診の結果は、検査日から約2週間後にWebでご確認いただけます。精密検査や治療が必要な結果だった場合は、医師が改めて診察を行い、今後の治療方針について丁寧にご説明します。")</f>
        <v>婦人科検診の結果は、検査日から約2週間後にWebでご確認いただけます。精密検査や治療が必要な結果だった場合は、医師が改めて診察を行い、今後の治療方針について丁寧にご説明します。</v>
      </c>
      <c r="C643" s="31" t="str">
        <f>IFERROR(__xludf.DUMMYFUNCTION("""COMPUTED_VALUE"""),"婦人科健診")</f>
        <v>婦人科健診</v>
      </c>
      <c r="D643" s="31" t="str">
        <f>IFERROR(__xludf.DUMMYFUNCTION("""COMPUTED_VALUE"""),"婦人科検診,検査結果,結果の見方,精密検査")</f>
        <v>婦人科検診,検査結果,結果の見方,精密検査</v>
      </c>
      <c r="E643" s="32" t="str">
        <f>IFERROR(__xludf.DUMMYFUNCTION("""COMPUTED_VALUE"""),"https://luna-dr.com/subjects/medical-checkup/")</f>
        <v>https://luna-dr.com/subjects/medical-checkup/</v>
      </c>
    </row>
    <row r="644">
      <c r="A644" s="31" t="str">
        <f>IFERROR(__xludf.DUMMYFUNCTION("""COMPUTED_VALUE"""),"婦人科検診はどのように予約すればいいですか？/子宮頸がん検診はどのように予約すればいいですか？/子宮体がん検査はどのように予約すればいいですか？")</f>
        <v>婦人科検診はどのように予約すればいいですか？/子宮頸がん検診はどのように予約すればいいですか？/子宮体がん検査はどのように予約すればいいですか？</v>
      </c>
      <c r="B644" s="31" t="str">
        <f>IFERROR(__xludf.DUMMYFUNCTION("""COMPUTED_VALUE"""),"婦人科検診は公式LINEからご予約ください。自治体のがん検診をご希望の場合は「市区町村のがん検診」のメニューでご予約ください。それ以外の婦人科検診は「一般婦人科診療」のメニューからお取りください。→https://cline-app.com/qr-codes/98ad6f149bfa20f4f2a9a2e91aac4187/preview")</f>
        <v>婦人科検診は公式LINEからご予約ください。自治体のがん検診をご希望の場合は「市区町村のがん検診」のメニューでご予約ください。それ以外の婦人科検診は「一般婦人科診療」のメニューからお取りください。→https://cline-app.com/qr-codes/98ad6f149bfa20f4f2a9a2e91aac4187/preview</v>
      </c>
      <c r="C644" s="31" t="str">
        <f>IFERROR(__xludf.DUMMYFUNCTION("""COMPUTED_VALUE"""),"婦人科健診")</f>
        <v>婦人科健診</v>
      </c>
      <c r="D644" s="31" t="str">
        <f>IFERROR(__xludf.DUMMYFUNCTION("""COMPUTED_VALUE"""),"婦人科検診,予約,LINE予約,電話予約")</f>
        <v>婦人科検診,予約,LINE予約,電話予約</v>
      </c>
      <c r="E644" s="32" t="str">
        <f>IFERROR(__xludf.DUMMYFUNCTION("""COMPUTED_VALUE"""),"https://luna-dr.com/subjects/medical-checkup/")</f>
        <v>https://luna-dr.com/subjects/medical-checkup/</v>
      </c>
    </row>
    <row r="645">
      <c r="A645" s="31" t="str">
        <f>IFERROR(__xludf.DUMMYFUNCTION("""COMPUTED_VALUE"""),"婦人科検診の診察では何をしますか？/子宮頸がん検診の診察では何をしますか？/子宮体がん検査の診察では何をしますか？")</f>
        <v>婦人科検診の診察では何をしますか？/子宮頸がん検診の診察では何をしますか？/子宮体がん検査の診察では何をしますか？</v>
      </c>
      <c r="B645" s="31" t="str">
        <f>IFERROR(__xludf.DUMMYFUNCTION("""COMPUTED_VALUE"""),"診察では、医師が問診を行い、お体の状態や気になる症状についてお伺いします。その上で、必要な検査内容を丁寧にご説明します。")</f>
        <v>診察では、医師が問診を行い、お体の状態や気になる症状についてお伺いします。その上で、必要な検査内容を丁寧にご説明します。</v>
      </c>
      <c r="C645" s="31" t="str">
        <f>IFERROR(__xludf.DUMMYFUNCTION("""COMPUTED_VALUE"""),"婦人科健診")</f>
        <v>婦人科健診</v>
      </c>
      <c r="D645" s="31" t="str">
        <f>IFERROR(__xludf.DUMMYFUNCTION("""COMPUTED_VALUE"""),"婦人科検診,診察内容,問診")</f>
        <v>婦人科検診,診察内容,問診</v>
      </c>
      <c r="E645" s="32" t="str">
        <f>IFERROR(__xludf.DUMMYFUNCTION("""COMPUTED_VALUE"""),"https://luna-dr.com/subjects/medical-checkup/")</f>
        <v>https://luna-dr.com/subjects/medical-checkup/</v>
      </c>
    </row>
    <row r="646">
      <c r="A646" s="31" t="str">
        <f>IFERROR(__xludf.DUMMYFUNCTION("""COMPUTED_VALUE"""),"不正出血がある場合も婦人科検診を受けられますか？")</f>
        <v>不正出血がある場合も婦人科検診を受けられますか？</v>
      </c>
      <c r="B646" s="31" t="str">
        <f>IFERROR(__xludf.DUMMYFUNCTION("""COMPUTED_VALUE"""),"受けられます。不正出血がある場合は、子宮頸がん検診に加えて、子宮体がん検査を併せて行うことを推奨する場合があります。")</f>
        <v>受けられます。不正出血がある場合は、子宮頸がん検診に加えて、子宮体がん検査を併せて行うことを推奨する場合があります。</v>
      </c>
      <c r="C646" s="31" t="str">
        <f>IFERROR(__xludf.DUMMYFUNCTION("""COMPUTED_VALUE"""),"婦人科健診")</f>
        <v>婦人科健診</v>
      </c>
      <c r="D646" s="31" t="str">
        <f>IFERROR(__xludf.DUMMYFUNCTION("""COMPUTED_VALUE"""),"不正出血,婦人科検診,子宮体がん検査")</f>
        <v>不正出血,婦人科検診,子宮体がん検査</v>
      </c>
      <c r="E646" s="32" t="str">
        <f>IFERROR(__xludf.DUMMYFUNCTION("""COMPUTED_VALUE"""),"https://luna-dr.com/subjects/medical-checkup/")</f>
        <v>https://luna-dr.com/subjects/medical-checkup/</v>
      </c>
    </row>
    <row r="647">
      <c r="A647" s="31" t="str">
        <f>IFERROR(__xludf.DUMMYFUNCTION("""COMPUTED_VALUE"""),"子宮頸がん検診ではどんな検査をしますか？")</f>
        <v>子宮頸がん検診ではどんな検査をしますか？</v>
      </c>
      <c r="B647" s="31" t="str">
        <f>IFERROR(__xludf.DUMMYFUNCTION("""COMPUTED_VALUE"""),"子宮頸がん検診では、ブラシのような器具で子宮の入り口を優しくこすり、細胞を採取します。痛みはほとんどなく、数分で終了します。")</f>
        <v>子宮頸がん検診では、ブラシのような器具で子宮の入り口を優しくこすり、細胞を採取します。痛みはほとんどなく、数分で終了します。</v>
      </c>
      <c r="C647" s="31" t="str">
        <f>IFERROR(__xludf.DUMMYFUNCTION("""COMPUTED_VALUE"""),"婦人科健診")</f>
        <v>婦人科健診</v>
      </c>
      <c r="D647" s="31" t="str">
        <f>IFERROR(__xludf.DUMMYFUNCTION("""COMPUTED_VALUE"""),"子宮頸がん検診,検査方法,痛み")</f>
        <v>子宮頸がん検診,検査方法,痛み</v>
      </c>
      <c r="E647" s="32" t="str">
        <f>IFERROR(__xludf.DUMMYFUNCTION("""COMPUTED_VALUE"""),"https://luna-dr.com/subjects/medical-checkup/")</f>
        <v>https://luna-dr.com/subjects/medical-checkup/</v>
      </c>
    </row>
    <row r="648">
      <c r="A648" s="31" t="str">
        <f>IFERROR(__xludf.DUMMYFUNCTION("""COMPUTED_VALUE"""),"子宮体がん検査ではどんな検査をしますか？")</f>
        <v>子宮体がん検査ではどんな検査をしますか？</v>
      </c>
      <c r="B648" s="31" t="str">
        <f>IFERROR(__xludf.DUMMYFUNCTION("""COMPUTED_VALUE"""),"子宮体がん検査では、子宮の奥に細いストロー状の器具を挿入し、細胞を採取します。生理痛に似た痛みを感じることがありますが、1〜2分で終了します。")</f>
        <v>子宮体がん検査では、子宮の奥に細いストロー状の器具を挿入し、細胞を採取します。生理痛に似た痛みを感じることがありますが、1〜2分で終了します。</v>
      </c>
      <c r="C648" s="31" t="str">
        <f>IFERROR(__xludf.DUMMYFUNCTION("""COMPUTED_VALUE"""),"婦人科健診")</f>
        <v>婦人科健診</v>
      </c>
      <c r="D648" s="31" t="str">
        <f>IFERROR(__xludf.DUMMYFUNCTION("""COMPUTED_VALUE"""),"子宮体がん検査,検査方法,痛み")</f>
        <v>子宮体がん検査,検査方法,痛み</v>
      </c>
      <c r="E648" s="32" t="str">
        <f>IFERROR(__xludf.DUMMYFUNCTION("""COMPUTED_VALUE"""),"https://luna-dr.com/subjects/medical-checkup/")</f>
        <v>https://luna-dr.com/subjects/medical-checkup/</v>
      </c>
    </row>
    <row r="649">
      <c r="A649" s="31" t="str">
        <f>IFERROR(__xludf.DUMMYFUNCTION("""COMPUTED_VALUE"""),"婦人科検診でエコー検査は行いますか？")</f>
        <v>婦人科検診でエコー検査は行いますか？</v>
      </c>
      <c r="B649" s="31" t="str">
        <f>IFERROR(__xludf.DUMMYFUNCTION("""COMPUTED_VALUE"""),"症状や診察内容に応じて、超音波（エコー）検査で子宮や卵巣の状態を詳しく確認することがあります。")</f>
        <v>症状や診察内容に応じて、超音波（エコー）検査で子宮や卵巣の状態を詳しく確認することがあります。</v>
      </c>
      <c r="C649" s="31" t="str">
        <f>IFERROR(__xludf.DUMMYFUNCTION("""COMPUTED_VALUE"""),"婦人科健診")</f>
        <v>婦人科健診</v>
      </c>
      <c r="D649" s="31" t="str">
        <f>IFERROR(__xludf.DUMMYFUNCTION("""COMPUTED_VALUE"""),"婦人科検診,エコー検査,超音波")</f>
        <v>婦人科検診,エコー検査,超音波</v>
      </c>
      <c r="E649" s="32" t="str">
        <f>IFERROR(__xludf.DUMMYFUNCTION("""COMPUTED_VALUE"""),"https://luna-dr.com/subjects/medical-checkup/")</f>
        <v>https://luna-dr.com/subjects/medical-checkup/</v>
      </c>
    </row>
    <row r="650">
      <c r="A650" s="31" t="str">
        <f>IFERROR(__xludf.DUMMYFUNCTION("""COMPUTED_VALUE"""),"婦人科検診は痛みがありますか？")</f>
        <v>婦人科検診は痛みがありますか？</v>
      </c>
      <c r="B650" s="31" t="str">
        <f>IFERROR(__xludf.DUMMYFUNCTION("""COMPUTED_VALUE"""),"子宮頸がん検診は、痛みを感じない方がほとんどです。子宮体がん検査は、生理痛のような痛みを感じることがありますが、数分で終わります。いずれの検査も、痛みが不安な方には滑りを良くするゼリーを使用するなど、できる限り苦痛を和らげるよう配慮しますのでご安心ください。")</f>
        <v>子宮頸がん検診は、痛みを感じない方がほとんどです。子宮体がん検査は、生理痛のような痛みを感じることがありますが、数分で終わります。いずれの検査も、痛みが不安な方には滑りを良くするゼリーを使用するなど、できる限り苦痛を和らげるよう配慮しますのでご安心ください。</v>
      </c>
      <c r="C650" s="31" t="str">
        <f>IFERROR(__xludf.DUMMYFUNCTION("""COMPUTED_VALUE"""),"婦人科健診")</f>
        <v>婦人科健診</v>
      </c>
      <c r="D650" s="31" t="str">
        <f>IFERROR(__xludf.DUMMYFUNCTION("""COMPUTED_VALUE"""),"婦人科検診,痛み,検査の不安")</f>
        <v>婦人科検診,痛み,検査の不安</v>
      </c>
      <c r="E650" s="32" t="str">
        <f>IFERROR(__xludf.DUMMYFUNCTION("""COMPUTED_VALUE"""),"https://luna-dr.com/subjects/medical-checkup/")</f>
        <v>https://luna-dr.com/subjects/medical-checkup/</v>
      </c>
    </row>
    <row r="651">
      <c r="A651" s="31" t="str">
        <f>IFERROR(__xludf.DUMMYFUNCTION("""COMPUTED_VALUE"""),"子宮頸がん検診は痛みがありますか？")</f>
        <v>子宮頸がん検診は痛みがありますか？</v>
      </c>
      <c r="B651" s="31" t="str">
        <f>IFERROR(__xludf.DUMMYFUNCTION("""COMPUTED_VALUE"""),"子宮頸がん検診は、痛みを感じない方がほとんどです。痛みが不安な方には滑りを良くするゼリーを使用するなど、できる限り苦痛を和らげるよう配慮しますのでご安心ください。")</f>
        <v>子宮頸がん検診は、痛みを感じない方がほとんどです。痛みが不安な方には滑りを良くするゼリーを使用するなど、できる限り苦痛を和らげるよう配慮しますのでご安心ください。</v>
      </c>
      <c r="C651" s="31" t="str">
        <f>IFERROR(__xludf.DUMMYFUNCTION("""COMPUTED_VALUE"""),"婦人科健診")</f>
        <v>婦人科健診</v>
      </c>
      <c r="D651" s="31" t="str">
        <f>IFERROR(__xludf.DUMMYFUNCTION("""COMPUTED_VALUE"""),"婦人科検診,痛み,検査の不安")</f>
        <v>婦人科検診,痛み,検査の不安</v>
      </c>
      <c r="E651" s="32" t="str">
        <f>IFERROR(__xludf.DUMMYFUNCTION("""COMPUTED_VALUE"""),"https://luna-dr.com/subjects/medical-checkup/")</f>
        <v>https://luna-dr.com/subjects/medical-checkup/</v>
      </c>
    </row>
    <row r="652">
      <c r="A652" s="31" t="str">
        <f>IFERROR(__xludf.DUMMYFUNCTION("""COMPUTED_VALUE"""),"子宮体がん検査は痛みがありますか？")</f>
        <v>子宮体がん検査は痛みがありますか？</v>
      </c>
      <c r="B652" s="31" t="str">
        <f>IFERROR(__xludf.DUMMYFUNCTION("""COMPUTED_VALUE"""),"子宮体がん検査は、生理痛のような痛みを感じることがありますが、数分で終わります。い痛みが不安な方には滑りを良くするゼリーを使用するなど、できる限り苦痛を和らげるよう配慮しますのでご安心ください。")</f>
        <v>子宮体がん検査は、生理痛のような痛みを感じることがありますが、数分で終わります。い痛みが不安な方には滑りを良くするゼリーを使用するなど、できる限り苦痛を和らげるよう配慮しますのでご安心ください。</v>
      </c>
      <c r="C652" s="31" t="str">
        <f>IFERROR(__xludf.DUMMYFUNCTION("""COMPUTED_VALUE"""),"婦人科健診")</f>
        <v>婦人科健診</v>
      </c>
      <c r="D652" s="31" t="str">
        <f>IFERROR(__xludf.DUMMYFUNCTION("""COMPUTED_VALUE"""),"婦人科検診,痛み,検査の不安")</f>
        <v>婦人科検診,痛み,検査の不安</v>
      </c>
      <c r="E652" s="32" t="str">
        <f>IFERROR(__xludf.DUMMYFUNCTION("""COMPUTED_VALUE"""),"https://luna-dr.com/subjects/medical-checkup/")</f>
        <v>https://luna-dr.com/subjects/medical-checkup/</v>
      </c>
    </row>
    <row r="653">
      <c r="A653" s="31" t="str">
        <f>IFERROR(__xludf.DUMMYFUNCTION("""COMPUTED_VALUE"""),"不正出血があっても検査は受けたほうがいいですか？")</f>
        <v>不正出血があっても検査は受けたほうがいいですか？</v>
      </c>
      <c r="B653" s="31" t="str">
        <f>IFERROR(__xludf.DUMMYFUNCTION("""COMPUTED_VALUE"""),"はい。不正出血は子宮がんのサインである可能性もあるため、症状がある方こそ積極的に婦人科検診を受けていただくことをおすすめします。")</f>
        <v>はい。不正出血は子宮がんのサインである可能性もあるため、症状がある方こそ積極的に婦人科検診を受けていただくことをおすすめします。</v>
      </c>
      <c r="C653" s="31" t="str">
        <f>IFERROR(__xludf.DUMMYFUNCTION("""COMPUTED_VALUE"""),"婦人科健診")</f>
        <v>婦人科健診</v>
      </c>
      <c r="D653" s="31" t="str">
        <f>IFERROR(__xludf.DUMMYFUNCTION("""COMPUTED_VALUE"""),"不正出血,婦人科検診,受診目安")</f>
        <v>不正出血,婦人科検診,受診目安</v>
      </c>
      <c r="E653" s="32" t="str">
        <f>IFERROR(__xludf.DUMMYFUNCTION("""COMPUTED_VALUE"""),"https://luna-dr.com/subjects/medical-checkup/")</f>
        <v>https://luna-dr.com/subjects/medical-checkup/</v>
      </c>
    </row>
    <row r="654">
      <c r="A654" s="31" t="str">
        <f>IFERROR(__xludf.DUMMYFUNCTION("""COMPUTED_VALUE"""),"横浜市のがん検診クーポンは使えますか？/川崎市のがん検診クーポンは使えますか？/町田市のがん検診クーポンは使えますか？")</f>
        <v>横浜市のがん検診クーポンは使えますか？/川崎市のがん検診クーポンは使えますか？/町田市のがん検診クーポンは使えますか？</v>
      </c>
      <c r="B654" s="31" t="str">
        <f>IFERROR(__xludf.DUMMYFUNCTION("""COMPUTED_VALUE"""),"お住まいの市区町村が発行する子宮頸がん検診のクーポンをご利用いただけます。ただし、クーポンの対象となる検査項目やご利用条件（年齢など）は、各自治体によって異なります。「ご自身が対象かどうか」「どの検査までが無料（または一部負担）か」といった詳細につきましては、大変お手数ですが、お手元のクーポンをご確認いただくか、お住まいの市区町村の担当窓口（保健所など）へ直接お問い合わせくださいますようお願いいたします。")</f>
        <v>お住まいの市区町村が発行する子宮頸がん検診のクーポンをご利用いただけます。ただし、クーポンの対象となる検査項目やご利用条件（年齢など）は、各自治体によって異なります。「ご自身が対象かどうか」「どの検査までが無料（または一部負担）か」といった詳細につきましては、大変お手数ですが、お手元のクーポンをご確認いただくか、お住まいの市区町村の担当窓口（保健所など）へ直接お問い合わせくださいますようお願いいたします。</v>
      </c>
      <c r="C654" s="31" t="str">
        <f>IFERROR(__xludf.DUMMYFUNCTION("""COMPUTED_VALUE"""),"婦人科健診")</f>
        <v>婦人科健診</v>
      </c>
      <c r="D654" s="31" t="str">
        <f>IFERROR(__xludf.DUMMYFUNCTION("""COMPUTED_VALUE"""),"横浜市,川崎市,町田市,がん検診クーポン")</f>
        <v>横浜市,川崎市,町田市,がん検診クーポン</v>
      </c>
      <c r="E654" s="32" t="str">
        <f>IFERROR(__xludf.DUMMYFUNCTION("""COMPUTED_VALUE"""),"https://luna-dr.com/subjects/medical-checkup/")</f>
        <v>https://luna-dr.com/subjects/medical-checkup/</v>
      </c>
    </row>
    <row r="655">
      <c r="A655" s="31" t="str">
        <f>IFERROR(__xludf.DUMMYFUNCTION("""COMPUTED_VALUE"""),"がんを予防する方法はありますか？")</f>
        <v>がんを予防する方法はありますか？</v>
      </c>
      <c r="B655" s="31" t="str">
        <f>IFERROR(__xludf.DUMMYFUNCTION("""COMPUTED_VALUE"""),"子宮頸がんは、原因となるHPVウイルスの感染を予防する「HPVワクチン」の接種が最も有効な予防法です。子宮体がんは、高血圧や糖尿病、肥満がリスクを高めるため、血糖値のコントロールや健康的な体重の維持など、生活習慣を整えることが予防に繋がります。")</f>
        <v>子宮頸がんは、原因となるHPVウイルスの感染を予防する「HPVワクチン」の接種が最も有効な予防法です。子宮体がんは、高血圧や糖尿病、肥満がリスクを高めるため、血糖値のコントロールや健康的な体重の維持など、生活習慣を整えることが予防に繋がります。</v>
      </c>
      <c r="C655" s="31" t="str">
        <f>IFERROR(__xludf.DUMMYFUNCTION("""COMPUTED_VALUE"""),"婦人科健診")</f>
        <v>婦人科健診</v>
      </c>
      <c r="D655" s="31" t="str">
        <f>IFERROR(__xludf.DUMMYFUNCTION("""COMPUTED_VALUE"""),"子宮頸がん予防,子宮体がん予防,HPVワクチン")</f>
        <v>子宮頸がん予防,子宮体がん予防,HPVワクチン</v>
      </c>
      <c r="E655" s="32" t="str">
        <f>IFERROR(__xludf.DUMMYFUNCTION("""COMPUTED_VALUE"""),"https://luna-dr.com/subjects/medical-checkup/")</f>
        <v>https://luna-dr.com/subjects/medical-checkup/</v>
      </c>
    </row>
    <row r="656">
      <c r="A656" s="31" t="str">
        <f>IFERROR(__xludf.DUMMYFUNCTION("""COMPUTED_VALUE"""),"婦人科検診の後に注意することはありますか？")</f>
        <v>婦人科検診の後に注意することはありますか？</v>
      </c>
      <c r="B656" s="31" t="str">
        <f>IFERROR(__xludf.DUMMYFUNCTION("""COMPUTED_VALUE"""),"検査後の日常生活に制限はありません。少量の出血がみられることがありますが、数日で自然に収まりますのでご安心ください。")</f>
        <v>検査後の日常生活に制限はありません。少量の出血がみられることがありますが、数日で自然に収まりますのでご安心ください。</v>
      </c>
      <c r="C656" s="31" t="str">
        <f>IFERROR(__xludf.DUMMYFUNCTION("""COMPUTED_VALUE"""),"婦人科健診")</f>
        <v>婦人科健診</v>
      </c>
      <c r="D656" s="31" t="str">
        <f>IFERROR(__xludf.DUMMYFUNCTION("""COMPUTED_VALUE"""),"婦人科検診,検査後の注意")</f>
        <v>婦人科検診,検査後の注意</v>
      </c>
      <c r="E656" s="32" t="str">
        <f>IFERROR(__xludf.DUMMYFUNCTION("""COMPUTED_VALUE"""),"https://luna-dr.com/subjects/medical-checkup/")</f>
        <v>https://luna-dr.com/subjects/medical-checkup/</v>
      </c>
    </row>
    <row r="657">
      <c r="A657" s="31" t="str">
        <f>IFERROR(__xludf.DUMMYFUNCTION("""COMPUTED_VALUE"""),"子宮頸がんは予防できる病気ですか？")</f>
        <v>子宮頸がんは予防できる病気ですか？</v>
      </c>
      <c r="B657" s="31" t="str">
        <f>IFERROR(__xludf.DUMMYFUNCTION("""COMPUTED_VALUE"""),"子宮頸がんは、原因のほぼ100％がHPV（ヒトパピローマウイルス）感染であるため、HPVワクチンの接種によって予防が可能ながんです。特に9価ワクチンを接種することで、子宮頸がんの原因の約90％を防ぐことができます。")</f>
        <v>子宮頸がんは、原因のほぼ100％がHPV（ヒトパピローマウイルス）感染であるため、HPVワクチンの接種によって予防が可能ながんです。特に9価ワクチンを接種することで、子宮頸がんの原因の約90％を防ぐことができます。</v>
      </c>
      <c r="C657" s="31" t="str">
        <f>IFERROR(__xludf.DUMMYFUNCTION("""COMPUTED_VALUE"""),"HPVワクチン")</f>
        <v>HPVワクチン</v>
      </c>
      <c r="D657" s="31" t="str">
        <f>IFERROR(__xludf.DUMMYFUNCTION("""COMPUTED_VALUE"""),"子宮頸がん,HPVワクチン,予防できるがん,女性のがん")</f>
        <v>子宮頸がん,HPVワクチン,予防できるがん,女性のがん</v>
      </c>
      <c r="E657" s="32" t="str">
        <f>IFERROR(__xludf.DUMMYFUNCTION("""COMPUTED_VALUE"""),"https://luna-dr.com/subjects/hpv-vaccine/")</f>
        <v>https://luna-dr.com/subjects/hpv-vaccine/</v>
      </c>
    </row>
    <row r="658">
      <c r="A658" s="31" t="str">
        <f>IFERROR(__xludf.DUMMYFUNCTION("""COMPUTED_VALUE"""),"子宮頸がんはどの年代に多い病気ですか？")</f>
        <v>子宮頸がんはどの年代に多い病気ですか？</v>
      </c>
      <c r="B658" s="31" t="str">
        <f>IFERROR(__xludf.DUMMYFUNCTION("""COMPUTED_VALUE"""),"子宮頸がんは20代後半から40代の女性に多く、若い世代にとって非常に身近な病気です。近年は若年層での発症が増加しており、早い段階での予防が重要とされています。")</f>
        <v>子宮頸がんは20代後半から40代の女性に多く、若い世代にとって非常に身近な病気です。近年は若年層での発症が増加しており、早い段階での予防が重要とされています。</v>
      </c>
      <c r="C658" s="31" t="str">
        <f>IFERROR(__xludf.DUMMYFUNCTION("""COMPUTED_VALUE"""),"HPVワクチン")</f>
        <v>HPVワクチン</v>
      </c>
      <c r="D658" s="31" t="str">
        <f>IFERROR(__xludf.DUMMYFUNCTION("""COMPUTED_VALUE"""),"子宮頸がん,若い女性,20代,30代,40代")</f>
        <v>子宮頸がん,若い女性,20代,30代,40代</v>
      </c>
      <c r="E658" s="32" t="str">
        <f>IFERROR(__xludf.DUMMYFUNCTION("""COMPUTED_VALUE"""),"https://luna-dr.com/subjects/hpv-vaccine/")</f>
        <v>https://luna-dr.com/subjects/hpv-vaccine/</v>
      </c>
    </row>
    <row r="659">
      <c r="A659" s="31" t="str">
        <f>IFERROR(__xludf.DUMMYFUNCTION("""COMPUTED_VALUE"""),"HPVとは何ですか？")</f>
        <v>HPVとは何ですか？</v>
      </c>
      <c r="B659" s="31" t="str">
        <f>IFERROR(__xludf.DUMMYFUNCTION("""COMPUTED_VALUE"""),"HPV（ヒトパピローマウイルス）は、主に性交渉によって感染するウイルスです。性交渉の経験がある女性であれば誰でも感染する可能性があり、その中の一部の型が子宮頸がんの原因となります。")</f>
        <v>HPV（ヒトパピローマウイルス）は、主に性交渉によって感染するウイルスです。性交渉の経験がある女性であれば誰でも感染する可能性があり、その中の一部の型が子宮頸がんの原因となります。</v>
      </c>
      <c r="C659" s="31" t="str">
        <f>IFERROR(__xludf.DUMMYFUNCTION("""COMPUTED_VALUE"""),"HPVワクチン")</f>
        <v>HPVワクチン</v>
      </c>
      <c r="D659" s="31" t="str">
        <f>IFERROR(__xludf.DUMMYFUNCTION("""COMPUTED_VALUE"""),"HPV,ヒトパピローマウイルス,感染経路,子宮頸がん")</f>
        <v>HPV,ヒトパピローマウイルス,感染経路,子宮頸がん</v>
      </c>
      <c r="E659" s="32" t="str">
        <f>IFERROR(__xludf.DUMMYFUNCTION("""COMPUTED_VALUE"""),"https://luna-dr.com/subjects/hpv-vaccine/")</f>
        <v>https://luna-dr.com/subjects/hpv-vaccine/</v>
      </c>
    </row>
    <row r="660">
      <c r="A660" s="31" t="str">
        <f>IFERROR(__xludf.DUMMYFUNCTION("""COMPUTED_VALUE"""),"HPVワクチンにはどんな種類がありますか？/子宮頸がんワクチンにはどんな種類がありますか？")</f>
        <v>HPVワクチンにはどんな種類がありますか？/子宮頸がんワクチンにはどんな種類がありますか？</v>
      </c>
      <c r="B660" s="31" t="str">
        <f>IFERROR(__xludf.DUMMYFUNCTION("""COMPUTED_VALUE"""),"HPVワクチンには2価・4価・9価の3種類があります。2価は2種類、4価は4種類、9価ワクチン（シルガード9）は9種類のHPVを予防でき、子宮頸がん予防効果は約90％と最も高いのが特長です。当院では、子宮頸がんの原因の約90％を予防できる9価ワクチン（シルガード9）が、現時点で最も高い予防効果が期待できるため、積極的に推奨しています。")</f>
        <v>HPVワクチンには2価・4価・9価の3種類があります。2価は2種類、4価は4種類、9価ワクチン（シルガード9）は9種類のHPVを予防でき、子宮頸がん予防効果は約90％と最も高いのが特長です。当院では、子宮頸がんの原因の約90％を予防できる9価ワクチン（シルガード9）が、現時点で最も高い予防効果が期待できるため、積極的に推奨しています。</v>
      </c>
      <c r="C660" s="31" t="str">
        <f>IFERROR(__xludf.DUMMYFUNCTION("""COMPUTED_VALUE"""),"HPVワクチン")</f>
        <v>HPVワクチン</v>
      </c>
      <c r="D660" s="31" t="str">
        <f>IFERROR(__xludf.DUMMYFUNCTION("""COMPUTED_VALUE"""),"HPVワクチン種類,2価,4価,9価,シルガード9,子宮頸がん")</f>
        <v>HPVワクチン種類,2価,4価,9価,シルガード9,子宮頸がん</v>
      </c>
      <c r="E660" s="32" t="str">
        <f>IFERROR(__xludf.DUMMYFUNCTION("""COMPUTED_VALUE"""),"https://luna-dr.com/subjects/hpv-vaccine/")</f>
        <v>https://luna-dr.com/subjects/hpv-vaccine/</v>
      </c>
    </row>
    <row r="661">
      <c r="A661" s="31" t="str">
        <f>IFERROR(__xludf.DUMMYFUNCTION("""COMPUTED_VALUE"""),"ルナレディースクリニックではどのワクチンを接種できますか？")</f>
        <v>ルナレディースクリニックではどのワクチンを接種できますか？</v>
      </c>
      <c r="B661" s="31" t="str">
        <f>IFERROR(__xludf.DUMMYFUNCTION("""COMPUTED_VALUE"""),"当院では、子宮頸がん予防効果が最も高い9価ワクチン「シルガード9」を中心に接種を行っています。公費接種・自費接種のいずれにも対応しています。")</f>
        <v>当院では、子宮頸がん予防効果が最も高い9価ワクチン「シルガード9」を中心に接種を行っています。公費接種・自費接種のいずれにも対応しています。</v>
      </c>
      <c r="C661" s="31" t="str">
        <f>IFERROR(__xludf.DUMMYFUNCTION("""COMPUTED_VALUE"""),"HPVワクチン")</f>
        <v>HPVワクチン</v>
      </c>
      <c r="D661" s="31" t="str">
        <f>IFERROR(__xludf.DUMMYFUNCTION("""COMPUTED_VALUE"""),"シルガード9,9価ワクチン,接種対応,子宮頸がん")</f>
        <v>シルガード9,9価ワクチン,接種対応,子宮頸がん</v>
      </c>
      <c r="E661" s="32" t="str">
        <f>IFERROR(__xludf.DUMMYFUNCTION("""COMPUTED_VALUE"""),"https://luna-dr.com/subjects/hpv-vaccine/")</f>
        <v>https://luna-dr.com/subjects/hpv-vaccine/</v>
      </c>
    </row>
    <row r="662">
      <c r="A662" s="31" t="str">
        <f>IFERROR(__xludf.DUMMYFUNCTION("""COMPUTED_VALUE"""),"HPVワクチンは公費で接種できますか？/HPVワクチンは無料で接種できますか？/子宮頸がんワクチンは公費で接種できますか？/子宮頸がんワクチンは無料で接種できますか？")</f>
        <v>HPVワクチンは公費で接種できますか？/HPVワクチンは無料で接種できますか？/子宮頸がんワクチンは公費で接種できますか？/子宮頸がんワクチンは無料で接種できますか？</v>
      </c>
      <c r="B662" s="31" t="str">
        <f>IFERROR(__xludf.DUMMYFUNCTION("""COMPUTED_VALUE"""),"一定の年齢条件を満たす方は、公費（自己負担0円）でHPVワクチンを接種できます。対象は小学校6年生から高校1年生相当の女子、またはキャッチアップ接種の対象となる世代です。
※制度の詳細は自治体によって異なり、対象年齢や実施期間も変更される可能性があるため、必ずお住まいの市区町村の公式ホームページで最新の情報をご確認ください。")</f>
        <v>一定の年齢条件を満たす方は、公費（自己負担0円）でHPVワクチンを接種できます。対象は小学校6年生から高校1年生相当の女子、またはキャッチアップ接種の対象となる世代です。
※制度の詳細は自治体によって異なり、対象年齢や実施期間も変更される可能性があるため、必ずお住まいの市区町村の公式ホームページで最新の情報をご確認ください。</v>
      </c>
      <c r="C662" s="31" t="str">
        <f>IFERROR(__xludf.DUMMYFUNCTION("""COMPUTED_VALUE"""),"HPVワクチン")</f>
        <v>HPVワクチン</v>
      </c>
      <c r="D662" s="31" t="str">
        <f>IFERROR(__xludf.DUMMYFUNCTION("""COMPUTED_VALUE"""),"HPVワクチン,公費接種,無料,定期接種,キャッチアップ,子宮頸がん")</f>
        <v>HPVワクチン,公費接種,無料,定期接種,キャッチアップ,子宮頸がん</v>
      </c>
      <c r="E662" s="32" t="str">
        <f>IFERROR(__xludf.DUMMYFUNCTION("""COMPUTED_VALUE"""),"https://luna-dr.com/subjects/hpv-vaccine/")</f>
        <v>https://luna-dr.com/subjects/hpv-vaccine/</v>
      </c>
    </row>
    <row r="663">
      <c r="A663" s="31" t="str">
        <f>IFERROR(__xludf.DUMMYFUNCTION("""COMPUTED_VALUE"""),"キャッチアップ接種とは何ですか？")</f>
        <v>キャッチアップ接種とは何ですか？</v>
      </c>
      <c r="B663" s="31" t="str">
        <f>IFERROR(__xludf.DUMMYFUNCTION("""COMPUTED_VALUE"""),"キャッチアップ接種とは、過去にHPVワクチンの積極的勧奨が控えられていた時期に接種機会を逃した方を対象とした、期間限定の公費接種制度です。対象年齢や期限があるため、早めの確認が重要です。")</f>
        <v>キャッチアップ接種とは、過去にHPVワクチンの積極的勧奨が控えられていた時期に接種機会を逃した方を対象とした、期間限定の公費接種制度です。対象年齢や期限があるため、早めの確認が重要です。</v>
      </c>
      <c r="C663" s="31" t="str">
        <f>IFERROR(__xludf.DUMMYFUNCTION("""COMPUTED_VALUE"""),"HPVワクチン")</f>
        <v>HPVワクチン</v>
      </c>
      <c r="D663" s="31" t="str">
        <f>IFERROR(__xludf.DUMMYFUNCTION("""COMPUTED_VALUE"""),"キャッチアップ接種,HPVワクチン,救済措置,子宮頸がん")</f>
        <v>キャッチアップ接種,HPVワクチン,救済措置,子宮頸がん</v>
      </c>
      <c r="E663" s="32" t="str">
        <f>IFERROR(__xludf.DUMMYFUNCTION("""COMPUTED_VALUE"""),"https://luna-dr.com/subjects/hpv-vaccine/")</f>
        <v>https://luna-dr.com/subjects/hpv-vaccine/</v>
      </c>
    </row>
    <row r="664">
      <c r="A664" s="31" t="str">
        <f>IFERROR(__xludf.DUMMYFUNCTION("""COMPUTED_VALUE"""),"HPVワクチンの費用はいくらですか？/子宮頸がんワクチンの費用はいくらですか？")</f>
        <v>HPVワクチンの費用はいくらですか？/子宮頸がんワクチンの費用はいくらですか？</v>
      </c>
      <c r="B664" s="31" t="str">
        <f>IFERROR(__xludf.DUMMYFUNCTION("""COMPUTED_VALUE"""),"公費接種の対象となる方は自己負担0円です。自費接種の場合、当院では9価ワクチン（シルガード9）を1回33,000円（税込）でご提供しています。")</f>
        <v>公費接種の対象となる方は自己負担0円です。自費接種の場合、当院では9価ワクチン（シルガード9）を1回33,000円（税込）でご提供しています。</v>
      </c>
      <c r="C664" s="31" t="str">
        <f>IFERROR(__xludf.DUMMYFUNCTION("""COMPUTED_VALUE"""),"HPVワクチン")</f>
        <v>HPVワクチン</v>
      </c>
      <c r="D664" s="31" t="str">
        <f>IFERROR(__xludf.DUMMYFUNCTION("""COMPUTED_VALUE"""),"HPVワクチン費用,自費接種,価格,子宮頸がん")</f>
        <v>HPVワクチン費用,自費接種,価格,子宮頸がん</v>
      </c>
      <c r="E664" s="32" t="str">
        <f>IFERROR(__xludf.DUMMYFUNCTION("""COMPUTED_VALUE"""),"https://luna-dr.com/subjects/hpv-vaccine/")</f>
        <v>https://luna-dr.com/subjects/hpv-vaccine/</v>
      </c>
    </row>
    <row r="665">
      <c r="A665" s="31" t="str">
        <f>IFERROR(__xludf.DUMMYFUNCTION("""COMPUTED_VALUE"""),"ルナレディースクリニックがHPVワクチンで選ばれる理由は何ですか？/ルナレディースクリニックが子宮頸がんワクチンで選ばれる理由は何ですか？")</f>
        <v>ルナレディースクリニックがHPVワクチンで選ばれる理由は何ですか？/ルナレディースクリニックが子宮頸がんワクチンで選ばれる理由は何ですか？</v>
      </c>
      <c r="B665" s="31" t="str">
        <f>IFERROR(__xludf.DUMMYFUNCTION("""COMPUTED_VALUE"""),"ルナレディースクリニックでは、子宮頸がん予防に最も効果が高い9価ワクチンを中心に、価格・安全性・通いやすさのバランスを重視した体制を整えており、安心して接種いただける環境を提供しています。")</f>
        <v>ルナレディースクリニックでは、子宮頸がん予防に最も効果が高い9価ワクチンを中心に、価格・安全性・通いやすさのバランスを重視した体制を整えており、安心して接種いただける環境を提供しています。</v>
      </c>
      <c r="C665" s="31" t="str">
        <f>IFERROR(__xludf.DUMMYFUNCTION("""COMPUTED_VALUE"""),"HPVワクチン")</f>
        <v>HPVワクチン</v>
      </c>
      <c r="D665" s="31" t="str">
        <f>IFERROR(__xludf.DUMMYFUNCTION("""COMPUTED_VALUE"""),"ルナレディースクリニック,HPVワクチン,選ばれる理由,子宮頸がん")</f>
        <v>ルナレディースクリニック,HPVワクチン,選ばれる理由,子宮頸がん</v>
      </c>
      <c r="E665" s="32" t="str">
        <f>IFERROR(__xludf.DUMMYFUNCTION("""COMPUTED_VALUE"""),"https://luna-dr.com/subjects/hpv-vaccine/")</f>
        <v>https://luna-dr.com/subjects/hpv-vaccine/</v>
      </c>
    </row>
    <row r="666">
      <c r="A666" s="31" t="str">
        <f>IFERROR(__xludf.DUMMYFUNCTION("""COMPUTED_VALUE"""),"なぜ9価ワクチンを推奨しているのですか？")</f>
        <v>なぜ9価ワクチンを推奨しているのですか？</v>
      </c>
      <c r="B666" s="31" t="str">
        <f>IFERROR(__xludf.DUMMYFUNCTION("""COMPUTED_VALUE"""),"当院では、子宮頸がんの原因の約90％を予防できる9価ワクチン（シルガード9）が、現時点で最も高い予防効果が期待できるため、積極的に推奨しています。")</f>
        <v>当院では、子宮頸がんの原因の約90％を予防できる9価ワクチン（シルガード9）が、現時点で最も高い予防効果が期待できるため、積極的に推奨しています。</v>
      </c>
      <c r="C666" s="31" t="str">
        <f>IFERROR(__xludf.DUMMYFUNCTION("""COMPUTED_VALUE"""),"HPVワクチン")</f>
        <v>HPVワクチン</v>
      </c>
      <c r="D666" s="31" t="str">
        <f>IFERROR(__xludf.DUMMYFUNCTION("""COMPUTED_VALUE"""),"9価ワクチン,シルガード9,予防効果,子宮頸がん")</f>
        <v>9価ワクチン,シルガード9,予防効果,子宮頸がん</v>
      </c>
      <c r="E666" s="32" t="str">
        <f>IFERROR(__xludf.DUMMYFUNCTION("""COMPUTED_VALUE"""),"https://luna-dr.com/subjects/hpv-vaccine/")</f>
        <v>https://luna-dr.com/subjects/hpv-vaccine/</v>
      </c>
    </row>
    <row r="667">
      <c r="A667" s="31" t="str">
        <f>IFERROR(__xludf.DUMMYFUNCTION("""COMPUTED_VALUE"""),"自費でHPVワクチンを受ける場合、費用は高くありませんか？/自費で子宮頸がんワクチンを受ける場合、費用は高くありませんか？")</f>
        <v>自費でHPVワクチンを受ける場合、費用は高くありませんか？/自費で子宮頸がんワクチンを受ける場合、費用は高くありませんか？</v>
      </c>
      <c r="B667" s="31" t="str">
        <f>IFERROR(__xludf.DUMMYFUNCTION("""COMPUTED_VALUE"""),"当院では、自費接種の場合でも1回26,500円（税込）と、継続して通いやすい価格設定にしています。将来の健康への投資として、安心して選んでいただける費用を心がけています。")</f>
        <v>当院では、自費接種の場合でも1回26,500円（税込）と、継続して通いやすい価格設定にしています。将来の健康への投資として、安心して選んでいただける費用を心がけています。</v>
      </c>
      <c r="C667" s="31" t="str">
        <f>IFERROR(__xludf.DUMMYFUNCTION("""COMPUTED_VALUE"""),"HPVワクチン")</f>
        <v>HPVワクチン</v>
      </c>
      <c r="D667" s="31" t="str">
        <f>IFERROR(__xludf.DUMMYFUNCTION("""COMPUTED_VALUE"""),"HPVワクチン費用,自費接種,価格,子宮頸がん")</f>
        <v>HPVワクチン費用,自費接種,価格,子宮頸がん</v>
      </c>
      <c r="E667" s="32" t="str">
        <f>IFERROR(__xludf.DUMMYFUNCTION("""COMPUTED_VALUE"""),"https://luna-dr.com/subjects/hpv-vaccine/")</f>
        <v>https://luna-dr.com/subjects/hpv-vaccine/</v>
      </c>
    </row>
    <row r="668">
      <c r="A668" s="31" t="str">
        <f>IFERROR(__xludf.DUMMYFUNCTION("""COMPUTED_VALUE"""),"HPVワクチンは公費接種にも対応していますか？/子宮頸がんワクチンは公費接種にも対応していますか？")</f>
        <v>HPVワクチンは公費接種にも対応していますか？/子宮頸がんワクチンは公費接種にも対応していますか？</v>
      </c>
      <c r="B668" s="31" t="str">
        <f>IFERROR(__xludf.DUMMYFUNCTION("""COMPUTED_VALUE"""),"当院では定期接種およびキャッチアップ接種の対象となる方の公費接種に対応しています。対象の方は自己負担0円で接種が可能です。
※制度の詳細は自治体によって異なり、対象年齢や実施期間も変更される可能性があるため、必ずお住まいの市区町村の公式ホームページで最新の情報をご確認ください。")</f>
        <v>当院では定期接種およびキャッチアップ接種の対象となる方の公費接種に対応しています。対象の方は自己負担0円で接種が可能です。
※制度の詳細は自治体によって異なり、対象年齢や実施期間も変更される可能性があるため、必ずお住まいの市区町村の公式ホームページで最新の情報をご確認ください。</v>
      </c>
      <c r="C668" s="31" t="str">
        <f>IFERROR(__xludf.DUMMYFUNCTION("""COMPUTED_VALUE"""),"HPVワクチン")</f>
        <v>HPVワクチン</v>
      </c>
      <c r="D668" s="31" t="str">
        <f>IFERROR(__xludf.DUMMYFUNCTION("""COMPUTED_VALUE"""),"公費接種,定期接種,キャッチアップ接種")</f>
        <v>公費接種,定期接種,キャッチアップ接種</v>
      </c>
      <c r="E668" s="32" t="str">
        <f>IFERROR(__xludf.DUMMYFUNCTION("""COMPUTED_VALUE"""),"https://luna-dr.com/subjects/hpv-vaccine/")</f>
        <v>https://luna-dr.com/subjects/hpv-vaccine/</v>
      </c>
    </row>
    <row r="669">
      <c r="A669" s="31" t="str">
        <f>IFERROR(__xludf.DUMMYFUNCTION("""COMPUTED_VALUE"""),"接種後の相談やフォローは受けられますか？")</f>
        <v>接種後の相談やフォローは受けられますか？</v>
      </c>
      <c r="B669" s="31" t="str">
        <f>IFERROR(__xludf.DUMMYFUNCTION("""COMPUTED_VALUE"""),"当院では接種後の体調や副反応について、オンライン診療でのアフターフォローにも対応しています。不安な点があればいつでもご相談いただけます。")</f>
        <v>当院では接種後の体調や副反応について、オンライン診療でのアフターフォローにも対応しています。不安な点があればいつでもご相談いただけます。</v>
      </c>
      <c r="C669" s="31" t="str">
        <f>IFERROR(__xludf.DUMMYFUNCTION("""COMPUTED_VALUE"""),"HPVワクチン")</f>
        <v>HPVワクチン</v>
      </c>
      <c r="D669" s="31" t="str">
        <f>IFERROR(__xludf.DUMMYFUNCTION("""COMPUTED_VALUE"""),"オンライン診療,アフターフォロー,副反応相談")</f>
        <v>オンライン診療,アフターフォロー,副反応相談</v>
      </c>
      <c r="E669" s="32" t="str">
        <f>IFERROR(__xludf.DUMMYFUNCTION("""COMPUTED_VALUE"""),"https://luna-dr.com/subjects/hpv-vaccine/")</f>
        <v>https://luna-dr.com/subjects/hpv-vaccine/</v>
      </c>
    </row>
    <row r="670">
      <c r="A670" s="31" t="str">
        <f>IFERROR(__xludf.DUMMYFUNCTION("""COMPUTED_VALUE"""),"HPVワクチン接種の流れを教えてください/子宮頸がんワクチン接種の流れを教えてください")</f>
        <v>HPVワクチン接種の流れを教えてください/子宮頸がんワクチン接種の流れを教えてください</v>
      </c>
      <c r="B670" s="31" t="str">
        <f>IFERROR(__xludf.DUMMYFUNCTION("""COMPUTED_VALUE"""),"ルナレディースクリニックでは、①お電話でご予約、②ご来院後に医師がワクチンの効果や副反応について説明し予診票・母子健康手帳（お持ちの方）を確認、③腕の筋肉へのワクチン接種、④接種後30分間の院内待機とお会計、という流れでHPVワクチン接種を行います。急な副反応に備え、安全を最優先にご案内しています。")</f>
        <v>ルナレディースクリニックでは、①お電話でご予約、②ご来院後に医師がワクチンの効果や副反応について説明し予診票・母子健康手帳（お持ちの方）を確認、③腕の筋肉へのワクチン接種、④接種後30分間の院内待機とお会計、という流れでHPVワクチン接種を行います。急な副反応に備え、安全を最優先にご案内しています。</v>
      </c>
      <c r="C670" s="31" t="str">
        <f>IFERROR(__xludf.DUMMYFUNCTION("""COMPUTED_VALUE"""),"HPVワクチン")</f>
        <v>HPVワクチン</v>
      </c>
      <c r="D670" s="31" t="str">
        <f>IFERROR(__xludf.DUMMYFUNCTION("""COMPUTED_VALUE"""),"HPVワクチン,接種の流れ,予約,問診,接種後待機,子宮頸がん")</f>
        <v>HPVワクチン,接種の流れ,予約,問診,接種後待機,子宮頸がん</v>
      </c>
      <c r="E670" s="32" t="str">
        <f>IFERROR(__xludf.DUMMYFUNCTION("""COMPUTED_VALUE"""),"https://luna-dr.com/subjects/hpv-vaccine/")</f>
        <v>https://luna-dr.com/subjects/hpv-vaccine/</v>
      </c>
    </row>
    <row r="671">
      <c r="A671" s="31" t="str">
        <f>IFERROR(__xludf.DUMMYFUNCTION("""COMPUTED_VALUE"""),"HPVワクチン接種は予約が必要ですか？/子宮頸がんワクチン接種は予約が必要ですか？")</f>
        <v>HPVワクチン接種は予約が必要ですか？/子宮頸がんワクチン接種は予約が必要ですか？</v>
      </c>
      <c r="B671" s="31" t="str">
        <f>IFERROR(__xludf.DUMMYFUNCTION("""COMPUTED_VALUE"""),"HPVワクチンが限定出荷となり、ワクチン納品されないケースが発生しております。そのため、ワクチンのご予約を出来かねる場合もございますので、お電話でご予約が必要となります。お電話でご希望の日時をお伝えいただき、ご予約をお願いいたします。お電話は 050-1730-2768 までご連絡ください。電話受付時間は、平日9:45〜13:40・15:15〜19:40、土日祝9:45〜13:40・15:15〜18:40です。")</f>
        <v>HPVワクチンが限定出荷となり、ワクチン納品されないケースが発生しております。そのため、ワクチンのご予約を出来かねる場合もございますので、お電話でご予約が必要となります。お電話でご希望の日時をお伝えいただき、ご予約をお願いいたします。お電話は 050-1730-2768 までご連絡ください。電話受付時間は、平日9:45〜13:40・15:15〜19:40、土日祝9:45〜13:40・15:15〜18:40です。</v>
      </c>
      <c r="C671" s="31" t="str">
        <f>IFERROR(__xludf.DUMMYFUNCTION("""COMPUTED_VALUE"""),"HPVワクチン")</f>
        <v>HPVワクチン</v>
      </c>
      <c r="D671" s="31" t="str">
        <f>IFERROR(__xludf.DUMMYFUNCTION("""COMPUTED_VALUE"""),"HPVワクチン,予約方法,電話予約,子宮頸がん")</f>
        <v>HPVワクチン,予約方法,電話予約,子宮頸がん</v>
      </c>
      <c r="E671" s="32" t="str">
        <f>IFERROR(__xludf.DUMMYFUNCTION("""COMPUTED_VALUE"""),"https://luna-dr.com/subjects/hpv-vaccine/")</f>
        <v>https://luna-dr.com/subjects/hpv-vaccine/</v>
      </c>
    </row>
    <row r="672">
      <c r="A672" s="31" t="str">
        <f>IFERROR(__xludf.DUMMYFUNCTION("""COMPUTED_VALUE"""),"HPVワクチン接種はどのように予約すれば良いですか？/子宮頸がんワクチン接種はどのように予約すれば良いですか？")</f>
        <v>HPVワクチン接種はどのように予約すれば良いですか？/子宮頸がんワクチン接種はどのように予約すれば良いですか？</v>
      </c>
      <c r="B672" s="31" t="str">
        <f>IFERROR(__xludf.DUMMYFUNCTION("""COMPUTED_VALUE"""),"HPVワクチン接種はお電話（050-1730-2768）でご予約ください。電話受付時間は、平日9:45〜13:40・15:15〜19:40、土日祝9:45〜13:40・15:15〜18:40です。")</f>
        <v>HPVワクチン接種はお電話（050-1730-2768）でご予約ください。電話受付時間は、平日9:45〜13:40・15:15〜19:40、土日祝9:45〜13:40・15:15〜18:40です。</v>
      </c>
      <c r="C672" s="31" t="str">
        <f>IFERROR(__xludf.DUMMYFUNCTION("""COMPUTED_VALUE"""),"HPVワクチン")</f>
        <v>HPVワクチン</v>
      </c>
      <c r="D672" s="31" t="str">
        <f>IFERROR(__xludf.DUMMYFUNCTION("""COMPUTED_VALUE"""),"HPVワクチン,予約方法,予約,子宮頸がん")</f>
        <v>HPVワクチン,予約方法,予約,子宮頸がん</v>
      </c>
      <c r="E672" s="32" t="str">
        <f>IFERROR(__xludf.DUMMYFUNCTION("""COMPUTED_VALUE"""),"https://luna-dr.com/subjects/hpv-vaccine/")</f>
        <v>https://luna-dr.com/subjects/hpv-vaccine/</v>
      </c>
    </row>
    <row r="673">
      <c r="A673" s="31" t="str">
        <f>IFERROR(__xludf.DUMMYFUNCTION("""COMPUTED_VALUE"""),"HPVワクチン接種はLINEから予約できますか？/子宮頸がん予防ワクチン接種はLINEから予約できますか？")</f>
        <v>HPVワクチン接種はLINEから予約できますか？/子宮頸がん予防ワクチン接種はLINEから予約できますか？</v>
      </c>
      <c r="B673" s="31" t="str">
        <f>IFERROR(__xludf.DUMMYFUNCTION("""COMPUTED_VALUE"""),"HPVワクチン接種はお電話（050-1730-2768）のみでご予約を承っています。お手数をおかけしますが、お電話をお願いいたします。電話受付時間は、平日9:45〜13:40・15:15〜19:40、土日祝9:45〜13:40・15:15〜18:40です。")</f>
        <v>HPVワクチン接種はお電話（050-1730-2768）のみでご予約を承っています。お手数をおかけしますが、お電話をお願いいたします。電話受付時間は、平日9:45〜13:40・15:15〜19:40、土日祝9:45〜13:40・15:15〜18:40です。</v>
      </c>
      <c r="C673" s="31" t="str">
        <f>IFERROR(__xludf.DUMMYFUNCTION("""COMPUTED_VALUE"""),"HPVワクチン")</f>
        <v>HPVワクチン</v>
      </c>
      <c r="D673" s="31" t="str">
        <f>IFERROR(__xludf.DUMMYFUNCTION("""COMPUTED_VALUE"""),"LINE予約,婦人科予約,HPVワクチン,子宮頸がん予防")</f>
        <v>LINE予約,婦人科予約,HPVワクチン,子宮頸がん予防</v>
      </c>
      <c r="E673" s="32" t="str">
        <f>IFERROR(__xludf.DUMMYFUNCTION("""COMPUTED_VALUE"""),"https://luna-dr.com/subjects/hpv-vaccine/")</f>
        <v>https://luna-dr.com/subjects/hpv-vaccine/</v>
      </c>
    </row>
    <row r="674">
      <c r="A674" s="31" t="str">
        <f>IFERROR(__xludf.DUMMYFUNCTION("""COMPUTED_VALUE"""),"HPVワクチンは電話でも予約できますか？/子宮頸がん予防ワクチンは電話でも予約できますか？/HPVワクチンの電話対応時間を教えてください/HPVワクチンの電話受付時間は？")</f>
        <v>HPVワクチンは電話でも予約できますか？/子宮頸がん予防ワクチンは電話でも予約できますか？/HPVワクチンの電話対応時間を教えてください/HPVワクチンの電話受付時間は？</v>
      </c>
      <c r="B674" s="31" t="str">
        <f>IFERROR(__xludf.DUMMYFUNCTION("""COMPUTED_VALUE"""),"HPVワクチンのご予約はお電話（050-1730-2768）での受付となります。電話受付時間は、平日9:45〜13:40・15:15〜19:40、土日祝9:45〜13:40・15:15〜18:40です。")</f>
        <v>HPVワクチンのご予約はお電話（050-1730-2768）での受付となります。電話受付時間は、平日9:45〜13:40・15:15〜19:40、土日祝9:45〜13:40・15:15〜18:40です。</v>
      </c>
      <c r="C674" s="31" t="str">
        <f>IFERROR(__xludf.DUMMYFUNCTION("""COMPUTED_VALUE"""),"HPVワクチン")</f>
        <v>HPVワクチン</v>
      </c>
      <c r="D674" s="31" t="str">
        <f>IFERROR(__xludf.DUMMYFUNCTION("""COMPUTED_VALUE"""),"電話予約,問い合わせ,HPVワクチン,子宮頸がん予防")</f>
        <v>電話予約,問い合わせ,HPVワクチン,子宮頸がん予防</v>
      </c>
      <c r="E674" s="32" t="str">
        <f>IFERROR(__xludf.DUMMYFUNCTION("""COMPUTED_VALUE"""),"https://luna-dr.com/subjects/hpv-vaccine/")</f>
        <v>https://luna-dr.com/subjects/hpv-vaccine/</v>
      </c>
    </row>
    <row r="675">
      <c r="A675" s="31" t="str">
        <f>IFERROR(__xludf.DUMMYFUNCTION("""COMPUTED_VALUE"""),"HPVワクチンの予約前に準備しておくことはありますか？/子宮頸がん予防ワクチンの予約前に準備しておくことはありますか？")</f>
        <v>HPVワクチンの予約前に準備しておくことはありますか？/子宮頸がん予防ワクチンの予約前に準備しておくことはありますか？</v>
      </c>
      <c r="B675" s="31" t="str">
        <f>IFERROR(__xludf.DUMMYFUNCTION("""COMPUTED_VALUE"""),"ルナレディースクリニックでは、診察前にWEB問診の入力をお願いしています。事前にご入力いただくと診察がスムーズです。")</f>
        <v>ルナレディースクリニックでは、診察前にWEB問診の入力をお願いしています。事前にご入力いただくと診察がスムーズです。</v>
      </c>
      <c r="C675" s="31" t="str">
        <f>IFERROR(__xludf.DUMMYFUNCTION("""COMPUTED_VALUE"""),"HPVワクチン")</f>
        <v>HPVワクチン</v>
      </c>
      <c r="D675" s="31" t="str">
        <f>IFERROR(__xludf.DUMMYFUNCTION("""COMPUTED_VALUE"""),"WEB問診,事前準備,HPVワクチン,子宮頸がん予防")</f>
        <v>WEB問診,事前準備,HPVワクチン,子宮頸がん予防</v>
      </c>
      <c r="E675" s="32" t="str">
        <f>IFERROR(__xludf.DUMMYFUNCTION("""COMPUTED_VALUE"""),"https://luna-dr.com/subjects/hpv-vaccine/")</f>
        <v>https://luna-dr.com/subjects/hpv-vaccine/</v>
      </c>
    </row>
    <row r="676">
      <c r="A676" s="31" t="str">
        <f>IFERROR(__xludf.DUMMYFUNCTION("""COMPUTED_VALUE"""),"HPVワクチンは初診でも予約できますか？/子宮頸がん予防ワクチンは初診でも予約できますか？")</f>
        <v>HPVワクチンは初診でも予約できますか？/子宮頸がん予防ワクチンは初診でも予約できますか？</v>
      </c>
      <c r="B676" s="31" t="str">
        <f>IFERROR(__xludf.DUMMYFUNCTION("""COMPUTED_VALUE"""),"ルナレディースクリニックでは、初診の方もご予約いただけます。HPVワクチン接種のご予約はお電話（050-1730-2768）のみで承っています。お手数をおかけしますが、お電話をお願いいたします。")</f>
        <v>ルナレディースクリニックでは、初診の方もご予約いただけます。HPVワクチン接種のご予約はお電話（050-1730-2768）のみで承っています。お手数をおかけしますが、お電話をお願いいたします。</v>
      </c>
      <c r="C676" s="31" t="str">
        <f>IFERROR(__xludf.DUMMYFUNCTION("""COMPUTED_VALUE"""),"HPVワクチン")</f>
        <v>HPVワクチン</v>
      </c>
      <c r="D676" s="31" t="str">
        <f>IFERROR(__xludf.DUMMYFUNCTION("""COMPUTED_VALUE"""),"初診,予約,HPVワクチン,子宮頸がん予防")</f>
        <v>初診,予約,HPVワクチン,子宮頸がん予防</v>
      </c>
      <c r="E676" s="32" t="str">
        <f>IFERROR(__xludf.DUMMYFUNCTION("""COMPUTED_VALUE"""),"https://luna-dr.com/subjects/hpv-vaccine/")</f>
        <v>https://luna-dr.com/subjects/hpv-vaccine/</v>
      </c>
    </row>
    <row r="677">
      <c r="A677" s="31" t="str">
        <f>IFERROR(__xludf.DUMMYFUNCTION("""COMPUTED_VALUE"""),"HPVワクチンは来院とオンライン、どちらで予約できますか？/子宮頸がん予防ワクチンは来院とオンライン、どちらで予約できますか？")</f>
        <v>HPVワクチンは来院とオンライン、どちらで予約できますか？/子宮頸がん予防ワクチンは来院とオンライン、どちらで予約できますか？</v>
      </c>
      <c r="B677" s="31" t="str">
        <f>IFERROR(__xludf.DUMMYFUNCTION("""COMPUTED_VALUE"""),"ルナレディースクリニックでは、HPVワクチンのご相談は来院診療のみで承っています。HPVワクチン接種のご予約はお電話（050-1730-2768）のみで承っています。お手数をおかけしますが、お電話をお願いいたします。")</f>
        <v>ルナレディースクリニックでは、HPVワクチンのご相談は来院診療のみで承っています。HPVワクチン接種のご予約はお電話（050-1730-2768）のみで承っています。お手数をおかけしますが、お電話をお願いいたします。</v>
      </c>
      <c r="C677" s="31" t="str">
        <f>IFERROR(__xludf.DUMMYFUNCTION("""COMPUTED_VALUE"""),"HPVワクチン")</f>
        <v>HPVワクチン</v>
      </c>
      <c r="D677" s="31" t="str">
        <f>IFERROR(__xludf.DUMMYFUNCTION("""COMPUTED_VALUE"""),"来院診療,オンライン診療,HPVワクチン,子宮頸がん予防")</f>
        <v>来院診療,オンライン診療,HPVワクチン,子宮頸がん予防</v>
      </c>
      <c r="E677" s="32" t="str">
        <f>IFERROR(__xludf.DUMMYFUNCTION("""COMPUTED_VALUE"""),"https://luna-dr.com/subjects/hpv-vaccine/")</f>
        <v>https://luna-dr.com/subjects/hpv-vaccine/</v>
      </c>
    </row>
    <row r="678">
      <c r="A678" s="31" t="str">
        <f>IFERROR(__xludf.DUMMYFUNCTION("""COMPUTED_VALUE"""),"予約なしでもHPVワクチンは受けられますか？/予約なしでも子宮頸がん予防は受けられますか？")</f>
        <v>予約なしでもHPVワクチンは受けられますか？/予約なしでも子宮頸がん予防は受けられますか？</v>
      </c>
      <c r="B678" s="31" t="str">
        <f>IFERROR(__xludf.DUMMYFUNCTION("""COMPUTED_VALUE"""),"HPVワクチンが限定出荷となり、ワクチン納品されないケースが発生しております。そのため、ワクチンのご予約を出来かねる場合もございますので、お電話でご予約の上ご来院をお願いいたします。")</f>
        <v>HPVワクチンが限定出荷となり、ワクチン納品されないケースが発生しております。そのため、ワクチンのご予約を出来かねる場合もございますので、お電話でご予約の上ご来院をお願いいたします。</v>
      </c>
      <c r="C678" s="31" t="str">
        <f>IFERROR(__xludf.DUMMYFUNCTION("""COMPUTED_VALUE"""),"ブライダルチェック")</f>
        <v>ブライダルチェック</v>
      </c>
      <c r="D678" s="31" t="str">
        <f>IFERROR(__xludf.DUMMYFUNCTION("""COMPUTED_VALUE"""),"ブライダルチェック検査,予約なし,子宮頸がん予防")</f>
        <v>ブライダルチェック検査,予約なし,子宮頸がん予防</v>
      </c>
      <c r="E678" s="32" t="str">
        <f>IFERROR(__xludf.DUMMYFUNCTION("""COMPUTED_VALUE"""),"https://luna-dr.com/subjects/hpv-vaccine/")</f>
        <v>https://luna-dr.com/subjects/hpv-vaccine/</v>
      </c>
    </row>
    <row r="679">
      <c r="A679" s="31" t="str">
        <f>IFERROR(__xludf.DUMMYFUNCTION("""COMPUTED_VALUE"""),"HPVワクチン接種当日は何をしますか？/子宮頸がんワクチン接種当日は何をしますか？")</f>
        <v>HPVワクチン接種当日は何をしますか？/子宮頸がんワクチン接種当日は何をしますか？</v>
      </c>
      <c r="B679" s="31" t="str">
        <f>IFERROR(__xludf.DUMMYFUNCTION("""COMPUTED_VALUE"""),"ご来院後、医師がワクチンの効果や副反応について丁寧に説明し、ご不安や疑問にお答えします。予診票や母子健康手帳（お持ちの方）を確認した上で、接種が可能か判断します。")</f>
        <v>ご来院後、医師がワクチンの効果や副反応について丁寧に説明し、ご不安や疑問にお答えします。予診票や母子健康手帳（お持ちの方）を確認した上で、接種が可能か判断します。</v>
      </c>
      <c r="C679" s="31" t="str">
        <f>IFERROR(__xludf.DUMMYFUNCTION("""COMPUTED_VALUE"""),"HPVワクチン")</f>
        <v>HPVワクチン</v>
      </c>
      <c r="D679" s="31" t="str">
        <f>IFERROR(__xludf.DUMMYFUNCTION("""COMPUTED_VALUE"""),"HPVワクチン,問診,当日の流れ,子宮頸がん")</f>
        <v>HPVワクチン,問診,当日の流れ,子宮頸がん</v>
      </c>
      <c r="E679" s="32" t="str">
        <f>IFERROR(__xludf.DUMMYFUNCTION("""COMPUTED_VALUE"""),"https://luna-dr.com/subjects/hpv-vaccine/")</f>
        <v>https://luna-dr.com/subjects/hpv-vaccine/</v>
      </c>
    </row>
    <row r="680">
      <c r="A680" s="31" t="str">
        <f>IFERROR(__xludf.DUMMYFUNCTION("""COMPUTED_VALUE"""),"HPVワクチンはどのように接種しますか？/子宮頸がんワクチンはどのように接種しますか？")</f>
        <v>HPVワクチンはどのように接種しますか？/子宮頸がんワクチンはどのように接種しますか？</v>
      </c>
      <c r="B680" s="31" t="str">
        <f>IFERROR(__xludf.DUMMYFUNCTION("""COMPUTED_VALUE"""),"HPVワクチンは腕の筋肉に注射します。接種自体は短時間で終了しますのでご安心ください。")</f>
        <v>HPVワクチンは腕の筋肉に注射します。接種自体は短時間で終了しますのでご安心ください。</v>
      </c>
      <c r="C680" s="31" t="str">
        <f>IFERROR(__xludf.DUMMYFUNCTION("""COMPUTED_VALUE"""),"HPVワクチン")</f>
        <v>HPVワクチン</v>
      </c>
      <c r="D680" s="31" t="str">
        <f>IFERROR(__xludf.DUMMYFUNCTION("""COMPUTED_VALUE"""),"HPVワクチン,注射,接種方法,子宮頸がん")</f>
        <v>HPVワクチン,注射,接種方法,子宮頸がん</v>
      </c>
      <c r="E680" s="32" t="str">
        <f>IFERROR(__xludf.DUMMYFUNCTION("""COMPUTED_VALUE"""),"https://luna-dr.com/subjects/hpv-vaccine/")</f>
        <v>https://luna-dr.com/subjects/hpv-vaccine/</v>
      </c>
    </row>
    <row r="681">
      <c r="A681" s="31" t="str">
        <f>IFERROR(__xludf.DUMMYFUNCTION("""COMPUTED_VALUE"""),"HPVワクチン接種後はすぐに帰れますか？/子宮頸がんワクチン接種後はすぐに帰れますか？")</f>
        <v>HPVワクチン接種後はすぐに帰れますか？/子宮頸がんワクチン接種後はすぐに帰れますか？</v>
      </c>
      <c r="B681" s="31" t="str">
        <f>IFERROR(__xludf.DUMMYFUNCTION("""COMPUTED_VALUE"""),"接種後は、急な副反応に備えて30分間院内で安静にお過ごしいただきます。問題がなければ、お会計後にご帰宅いただけます。")</f>
        <v>接種後は、急な副反応に備えて30分間院内で安静にお過ごしいただきます。問題がなければ、お会計後にご帰宅いただけます。</v>
      </c>
      <c r="C681" s="31" t="str">
        <f>IFERROR(__xludf.DUMMYFUNCTION("""COMPUTED_VALUE"""),"HPVワクチン")</f>
        <v>HPVワクチン</v>
      </c>
      <c r="D681" s="31" t="str">
        <f>IFERROR(__xludf.DUMMYFUNCTION("""COMPUTED_VALUE"""),"HPVワクチン,接種後,待機時間,子宮頸がん")</f>
        <v>HPVワクチン,接種後,待機時間,子宮頸がん</v>
      </c>
      <c r="E681" s="32" t="str">
        <f>IFERROR(__xludf.DUMMYFUNCTION("""COMPUTED_VALUE"""),"https://luna-dr.com/subjects/hpv-vaccine/")</f>
        <v>https://luna-dr.com/subjects/hpv-vaccine/</v>
      </c>
    </row>
    <row r="682">
      <c r="A682" s="31" t="str">
        <f>IFERROR(__xludf.DUMMYFUNCTION("""COMPUTED_VALUE"""),"HPVワクチンの副反応は危険ではありませんか？/子宮頸がんワクチンの副反応は危険ではありませんか？")</f>
        <v>HPVワクチンの副反応は危険ではありませんか？/子宮頸がんワクチンの副反応は危険ではありませんか？</v>
      </c>
      <c r="B682" s="31" t="str">
        <f>IFERROR(__xludf.DUMMYFUNCTION("""COMPUTED_VALUE"""),"HPVワクチンは、世界保健機関（WHO）も一貫して安全性を認めており、これまでの数多くの研究から、その有効性と安全性が科学的に確認されています。主な副反応は、接種した部位の痛みや腫れ、赤みなどで、これらは数日で自然に軽快します。重い症状（アナフィラキシーなど）は極めて稀ですが、万が一に備え、接種後30分は院内で待機していただくなど、安全対策を徹底していますのでご安心ください。")</f>
        <v>HPVワクチンは、世界保健機関（WHO）も一貫して安全性を認めており、これまでの数多くの研究から、その有効性と安全性が科学的に確認されています。主な副反応は、接種した部位の痛みや腫れ、赤みなどで、これらは数日で自然に軽快します。重い症状（アナフィラキシーなど）は極めて稀ですが、万が一に備え、接種後30分は院内で待機していただくなど、安全対策を徹底していますのでご安心ください。</v>
      </c>
      <c r="C682" s="31" t="str">
        <f>IFERROR(__xludf.DUMMYFUNCTION("""COMPUTED_VALUE"""),"HPVワクチン")</f>
        <v>HPVワクチン</v>
      </c>
      <c r="D682" s="31" t="str">
        <f>IFERROR(__xludf.DUMMYFUNCTION("""COMPUTED_VALUE"""),"HPVワクチン,副反応,安全性,子宮頸がん")</f>
        <v>HPVワクチン,副反応,安全性,子宮頸がん</v>
      </c>
      <c r="E682" s="32" t="str">
        <f>IFERROR(__xludf.DUMMYFUNCTION("""COMPUTED_VALUE"""),"https://luna-dr.com/subjects/hpv-vaccine/")</f>
        <v>https://luna-dr.com/subjects/hpv-vaccine/</v>
      </c>
    </row>
    <row r="683">
      <c r="A683" s="31" t="str">
        <f>IFERROR(__xludf.DUMMYFUNCTION("""COMPUTED_VALUE"""),"すでに性交渉の経験がありますが、HPVワクチンは効果がありますか？/すでに性交渉の経験がありますが、子宮頸がんワクチンは効果がありますか？")</f>
        <v>すでに性交渉の経験がありますが、HPVワクチンは効果がありますか？/すでに性交渉の経験がありますが、子宮頸がんワクチンは効果がありますか？</v>
      </c>
      <c r="B683" s="31" t="str">
        <f>IFERROR(__xludf.DUMMYFUNCTION("""COMPUTED_VALUE"""),"効果は期待できます。HPVには複数の型があり、すでに特定の型に感染していても、ワクチンを接種することで、まだ感染していない他の型のウイルスへの感染を防ぐことができます。そのため、性交渉の経験がある方でも接種する価値は十分にあります。")</f>
        <v>効果は期待できます。HPVには複数の型があり、すでに特定の型に感染していても、ワクチンを接種することで、まだ感染していない他の型のウイルスへの感染を防ぐことができます。そのため、性交渉の経験がある方でも接種する価値は十分にあります。</v>
      </c>
      <c r="C683" s="31" t="str">
        <f>IFERROR(__xludf.DUMMYFUNCTION("""COMPUTED_VALUE"""),"HPVワクチン")</f>
        <v>HPVワクチン</v>
      </c>
      <c r="D683" s="31" t="str">
        <f>IFERROR(__xludf.DUMMYFUNCTION("""COMPUTED_VALUE"""),"HPVワクチン,性交渉後,効果,子宮頸がん")</f>
        <v>HPVワクチン,性交渉後,効果,子宮頸がん</v>
      </c>
      <c r="E683" s="32" t="str">
        <f>IFERROR(__xludf.DUMMYFUNCTION("""COMPUTED_VALUE"""),"https://luna-dr.com/subjects/hpv-vaccine/")</f>
        <v>https://luna-dr.com/subjects/hpv-vaccine/</v>
      </c>
    </row>
    <row r="684">
      <c r="A684" s="31" t="str">
        <f>IFERROR(__xludf.DUMMYFUNCTION("""COMPUTED_VALUE"""),"HPVワクチンを接種すれば子宮頸がん検診は不要ですか？/子宮頸がんワクチンを接種すれば子宮頸がん検診は不要ですか？")</f>
        <v>HPVワクチンを接種すれば子宮頸がん検診は不要ですか？/子宮頸がんワクチンを接種すれば子宮頸がん検診は不要ですか？</v>
      </c>
      <c r="B684" s="31" t="str">
        <f>IFERROR(__xludf.DUMMYFUNCTION("""COMPUTED_VALUE"""),"検診は必ず受けてください。9価ワクチンは子宮頸がんの原因の約90%を防ぎますが、すべての型のHPV感染を防ぐものではありません。ワクチンで感染リスクを大幅に減らし、定期的な子宮頸がん検診で万が一の病変を早期発見する。この「両方」を受けることが、あなた自身の体を守るために非常に重要です。")</f>
        <v>検診は必ず受けてください。9価ワクチンは子宮頸がんの原因の約90%を防ぎますが、すべての型のHPV感染を防ぐものではありません。ワクチンで感染リスクを大幅に減らし、定期的な子宮頸がん検診で万が一の病変を早期発見する。この「両方」を受けることが、あなた自身の体を守るために非常に重要です。</v>
      </c>
      <c r="C684" s="31" t="str">
        <f>IFERROR(__xludf.DUMMYFUNCTION("""COMPUTED_VALUE"""),"HPVワクチン")</f>
        <v>HPVワクチン</v>
      </c>
      <c r="D684" s="31" t="str">
        <f>IFERROR(__xludf.DUMMYFUNCTION("""COMPUTED_VALUE"""),"HPVワクチン,子宮頸がん検診,予防,子宮頸がん")</f>
        <v>HPVワクチン,子宮頸がん検診,予防,子宮頸がん</v>
      </c>
      <c r="E684" s="32" t="str">
        <f>IFERROR(__xludf.DUMMYFUNCTION("""COMPUTED_VALUE"""),"https://luna-dr.com/subjects/hpv-vaccine/")</f>
        <v>https://luna-dr.com/subjects/hpv-vaccine/</v>
      </c>
    </row>
    <row r="685">
      <c r="A685" s="31" t="str">
        <f>IFERROR(__xludf.DUMMYFUNCTION("""COMPUTED_VALUE"""),"男性もHPVワクチンを接種できますか？/男性も子宮頸がんワクチンを接種できますか？")</f>
        <v>男性もHPVワクチンを接種できますか？/男性も子宮頸がんワクチンを接種できますか？</v>
      </c>
      <c r="B685" s="31" t="str">
        <f>IFERROR(__xludf.DUMMYFUNCTION("""COMPUTED_VALUE"""),"申し訳ございませんが、当院は女性専用のため、男性の接種には対応しておりません。ご理解のほどよろしくお願いいたします。")</f>
        <v>申し訳ございませんが、当院は女性専用のため、男性の接種には対応しておりません。ご理解のほどよろしくお願いいたします。</v>
      </c>
      <c r="C685" s="31" t="str">
        <f>IFERROR(__xludf.DUMMYFUNCTION("""COMPUTED_VALUE"""),"HPVワクチン")</f>
        <v>HPVワクチン</v>
      </c>
      <c r="D685" s="31" t="str">
        <f>IFERROR(__xludf.DUMMYFUNCTION("""COMPUTED_VALUE"""),"HPVワクチン,男性接種,対象者,子宮頸がん")</f>
        <v>HPVワクチン,男性接種,対象者,子宮頸がん</v>
      </c>
      <c r="E685" s="32" t="str">
        <f>IFERROR(__xludf.DUMMYFUNCTION("""COMPUTED_VALUE"""),"https://luna-dr.com/subjects/hpv-vaccine/")</f>
        <v>https://luna-dr.com/subjects/hpv-vaccine/</v>
      </c>
    </row>
    <row r="686">
      <c r="A686" s="31" t="str">
        <f>IFERROR(__xludf.DUMMYFUNCTION("""COMPUTED_VALUE"""),"HPVワクチン接種と他の保険診療を同日に受けられますか？/子宮頸がんワクチン接種と他の保険診療を同日に受けられますか？/ピル処方とがん検診を同日に受けられますか？/公費の検診と保険診療は同時にできますか？")</f>
        <v>HPVワクチン接種と他の保険診療を同日に受けられますか？/子宮頸がんワクチン接種と他の保険診療を同日に受けられますか？/ピル処方とがん検診を同日に受けられますか？/公費の検診と保険診療は同時にできますか？</v>
      </c>
      <c r="B686" s="31" t="str">
        <f>IFERROR(__xludf.DUMMYFUNCTION("""COMPUTED_VALUE"""),"申し訳ありませんが、同日に行うことはできません。HPVワクチン（公費）と、病気の治療を目的とした保険診療は、国のルール（混合診療の禁止）により、同じ日に行うことが原則として認められていません。患者様にご不便をおかけしないための大切なルールですので、ご理解いただけますと幸いです。お手数ですが、保険診療をご希望の場合は、ワクチン接種日とは別の日をご予約ください。")</f>
        <v>申し訳ありませんが、同日に行うことはできません。HPVワクチン（公費）と、病気の治療を目的とした保険診療は、国のルール（混合診療の禁止）により、同じ日に行うことが原則として認められていません。患者様にご不便をおかけしないための大切なルールですので、ご理解いただけますと幸いです。お手数ですが、保険診療をご希望の場合は、ワクチン接種日とは別の日をご予約ください。</v>
      </c>
      <c r="C686" s="31" t="str">
        <f>IFERROR(__xludf.DUMMYFUNCTION("""COMPUTED_VALUE"""),"HPVワクチン")</f>
        <v>HPVワクチン</v>
      </c>
      <c r="D686" s="31" t="str">
        <f>IFERROR(__xludf.DUMMYFUNCTION("""COMPUTED_VALUE"""),"HPVワクチン,混合診療,同日診療不可,子宮頸がん")</f>
        <v>HPVワクチン,混合診療,同日診療不可,子宮頸がん</v>
      </c>
      <c r="E686" s="32" t="str">
        <f>IFERROR(__xludf.DUMMYFUNCTION("""COMPUTED_VALUE"""),"https://luna-dr.com/subjects/hpv-vaccine/")</f>
        <v>https://luna-dr.com/subjects/hpv-vaccine/</v>
      </c>
    </row>
    <row r="687">
      <c r="A687" s="31" t="str">
        <f>IFERROR(__xludf.DUMMYFUNCTION("""COMPUTED_VALUE"""),"提携医療機関はありますか？/連携している病院はありますか？/紹介先の病院を教えてください")</f>
        <v>提携医療機関はありますか？/連携している病院はありますか？/紹介先の病院を教えてください</v>
      </c>
      <c r="B687" s="31" t="str">
        <f>IFERROR(__xludf.DUMMYFUNCTION("""COMPUTED_VALUE"""),"当院では特定の連携医療機関はございません。紹介状（診療情報提供書）の発行は可能ですが、紹介先の医療機関は患者さまご自身でお探しいただいております。紹介状の発行をご希望の場合は、診察時に医師へご相談ください。")</f>
        <v>当院では特定の連携医療機関はございません。紹介状（診療情報提供書）の発行は可能ですが、紹介先の医療機関は患者さまご自身でお探しいただいております。紹介状の発行をご希望の場合は、診察時に医師へご相談ください。</v>
      </c>
      <c r="C687" s="31" t="str">
        <f>IFERROR(__xludf.DUMMYFUNCTION("""COMPUTED_VALUE"""),"医療連携,受診案内")</f>
        <v>医療連携,受診案内</v>
      </c>
      <c r="D687" s="31" t="str">
        <f>IFERROR(__xludf.DUMMYFUNCTION("""COMPUTED_VALUE"""),"提携,連携,紹介先,紹介状,病院")</f>
        <v>提携,連携,紹介先,紹介状,病院</v>
      </c>
      <c r="E687" s="31"/>
    </row>
    <row r="688">
      <c r="A688" s="31" t="str">
        <f>IFERROR(__xludf.DUMMYFUNCTION("""COMPUTED_VALUE"""),"郵送検査とはどのようなサービスですか？/FemCHECKとはどのようなサービスですか？/おりもの検査とはどのようなサービスですか？")</f>
        <v>郵送検査とはどのようなサービスですか？/FemCHECKとはどのようなサービスですか？/おりもの検査とはどのようなサービスですか？</v>
      </c>
      <c r="B688" s="31" t="str">
        <f>IFERROR(__xludf.DUMMYFUNCTION("""COMPUTED_VALUE"""),"FemCHECK（フェムチェック）は、婦人科医が監修した女性のためのおりもの・性感染症の郵送検査キットです。検査キットの購入から検体採取、結果確認まですべてご自宅で完結し、検体はポスト投函で返送できます。結果はWEBで確認でき、陽性の場合もオンライン診療で治療までサポートします。")</f>
        <v>FemCHECK（フェムチェック）は、婦人科医が監修した女性のためのおりもの・性感染症の郵送検査キットです。検査キットの購入から検体採取、結果確認まですべてご自宅で完結し、検体はポスト投函で返送できます。結果はWEBで確認でき、陽性の場合もオンライン診療で治療までサポートします。</v>
      </c>
      <c r="C688" s="31" t="str">
        <f>IFERROR(__xludf.DUMMYFUNCTION("""COMPUTED_VALUE"""),"郵送検査/FemCHECK")</f>
        <v>郵送検査/FemCHECK</v>
      </c>
      <c r="D688" s="31" t="str">
        <f>IFERROR(__xludf.DUMMYFUNCTION("""COMPUTED_VALUE"""),"FemCHECK,郵送検査,おりもの検査,性感染症検査,自宅検査")</f>
        <v>FemCHECK,郵送検査,おりもの検査,性感染症検査,自宅検査</v>
      </c>
      <c r="E688" s="32" t="str">
        <f>IFERROR(__xludf.DUMMYFUNCTION("""COMPUTED_VALUE"""),"https://luna-dr.com/femcheck/begginer/")</f>
        <v>https://luna-dr.com/femcheck/begginer/</v>
      </c>
    </row>
    <row r="689">
      <c r="A689" s="31" t="str">
        <f>IFERROR(__xludf.DUMMYFUNCTION("""COMPUTED_VALUE"""),"郵送検査は他の性病検査キットと何が違いますか？/FemCHECKは他の性病検査キットと何が違いますか？/おりもの検査は他の性病検査キットと何が違いますか？")</f>
        <v>郵送検査は他の性病検査キットと何が違いますか？/FemCHECKは他の性病検査キットと何が違いますか？/おりもの検査は他の性病検査キットと何が違いますか？</v>
      </c>
      <c r="B689" s="31" t="str">
        <f>IFERROR(__xludf.DUMMYFUNCTION("""COMPUTED_VALUE"""),"FemCHECKは産婦人科医が女性の膣内環境・おりものの状態を総合的に評価する目的で開発した検査キットです。一般的な性感染症の有無だけでなく、膣内の炎症や臭いのリスク、治療方針の判断に役立つ情報まで確認できる点が特長です。")</f>
        <v>FemCHECKは産婦人科医が女性の膣内環境・おりものの状態を総合的に評価する目的で開発した検査キットです。一般的な性感染症の有無だけでなく、膣内の炎症や臭いのリスク、治療方針の判断に役立つ情報まで確認できる点が特長です。</v>
      </c>
      <c r="C689" s="31" t="str">
        <f>IFERROR(__xludf.DUMMYFUNCTION("""COMPUTED_VALUE"""),"郵送検査/FemCHECK")</f>
        <v>郵送検査/FemCHECK</v>
      </c>
      <c r="D689" s="31" t="str">
        <f>IFERROR(__xludf.DUMMYFUNCTION("""COMPUTED_VALUE"""),"FemCHECK,性病検査キット,おりもの異常,婦人科医監修")</f>
        <v>FemCHECK,性病検査キット,おりもの異常,婦人科医監修</v>
      </c>
      <c r="E689" s="32" t="str">
        <f>IFERROR(__xludf.DUMMYFUNCTION("""COMPUTED_VALUE"""),"https://luna-dr.com/femcheck/begginer/")</f>
        <v>https://luna-dr.com/femcheck/begginer/</v>
      </c>
    </row>
    <row r="690">
      <c r="A690" s="31" t="str">
        <f>IFERROR(__xludf.DUMMYFUNCTION("""COMPUTED_VALUE"""),"郵送検査はどのような流れで行いますか？/FemCHECKはどのような流れで行いますか？/おりもの検査はどのような流れで行いますか？")</f>
        <v>郵送検査はどのような流れで行いますか？/FemCHECKはどのような流れで行いますか？/おりもの検査はどのような流れで行いますか？</v>
      </c>
      <c r="B690" s="31" t="str">
        <f>IFERROR(__xludf.DUMMYFUNCTION("""COMPUTED_VALUE"""),"FemCHECKでは、①自宅に検査キットが届く、②説明動画に従って検体を採取し24時間以内にポスト投函、③検査機関で解析、④WEBで結果確認、⑤陽性の場合はオンライン診療、という流れで進みます。検体到着後、最短当日に結果が確認できます。※すべての検査結果が揃うまでに、最大で6営業日程度かかる場合があります。")</f>
        <v>FemCHECKでは、①自宅に検査キットが届く、②説明動画に従って検体を採取し24時間以内にポスト投函、③検査機関で解析、④WEBで結果確認、⑤陽性の場合はオンライン診療、という流れで進みます。検体到着後、最短当日に結果が確認できます。※すべての検査結果が揃うまでに、最大で6営業日程度かかる場合があります。</v>
      </c>
      <c r="C690" s="31" t="str">
        <f>IFERROR(__xludf.DUMMYFUNCTION("""COMPUTED_VALUE"""),"郵送検査/FemCHECK")</f>
        <v>郵送検査/FemCHECK</v>
      </c>
      <c r="D690" s="31" t="str">
        <f>IFERROR(__xludf.DUMMYFUNCTION("""COMPUTED_VALUE"""),"検査の流れ,郵送検査,オンライン診療")</f>
        <v>検査の流れ,郵送検査,オンライン診療</v>
      </c>
      <c r="E690" s="32" t="str">
        <f>IFERROR(__xludf.DUMMYFUNCTION("""COMPUTED_VALUE"""),"https://luna-dr.com/femcheck/begginer/")</f>
        <v>https://luna-dr.com/femcheck/begginer/</v>
      </c>
    </row>
    <row r="691">
      <c r="A691" s="31" t="str">
        <f>IFERROR(__xludf.DUMMYFUNCTION("""COMPUTED_VALUE"""),"郵送検査の結果が陽性だった場合はどうなりますか？/FemCHECKの結果が陽性だった場合はどうなりますか？/おりもの検査の結果が陽性だった場合はどうなりますか？")</f>
        <v>郵送検査の結果が陽性だった場合はどうなりますか？/FemCHECKの結果が陽性だった場合はどうなりますか？/おりもの検査の結果が陽性だった場合はどうなりますか？</v>
      </c>
      <c r="B691" s="31" t="str">
        <f>IFERROR(__xludf.DUMMYFUNCTION("""COMPUTED_VALUE"""),"検査結果が陽性だった場合は、WEB上の案内からオンライン診療を受診できます。医師の判断によりお薬が処方され、決済後にご自宅へ郵送されます。通院不要で治療まで完結しますが、症状によっては来院をお願いする場合があります。")</f>
        <v>検査結果が陽性だった場合は、WEB上の案内からオンライン診療を受診できます。医師の判断によりお薬が処方され、決済後にご自宅へ郵送されます。通院不要で治療まで完結しますが、症状によっては来院をお願いする場合があります。</v>
      </c>
      <c r="C691" s="31" t="str">
        <f>IFERROR(__xludf.DUMMYFUNCTION("""COMPUTED_VALUE"""),"郵送検査/FemCHECK")</f>
        <v>郵送検査/FemCHECK</v>
      </c>
      <c r="D691" s="31" t="str">
        <f>IFERROR(__xludf.DUMMYFUNCTION("""COMPUTED_VALUE"""),"陽性,オンライン診療,薬の処方,自宅治療")</f>
        <v>陽性,オンライン診療,薬の処方,自宅治療</v>
      </c>
      <c r="E691" s="32" t="str">
        <f>IFERROR(__xludf.DUMMYFUNCTION("""COMPUTED_VALUE"""),"https://luna-dr.com/femcheck/begginer/")</f>
        <v>https://luna-dr.com/femcheck/begginer/</v>
      </c>
    </row>
    <row r="692">
      <c r="A692" s="31" t="str">
        <f>IFERROR(__xludf.DUMMYFUNCTION("""COMPUTED_VALUE"""),"郵送検査はプライバシーは守られますか？/FemCHECKはプライバシーは守られますか？/おりもの検査はプライバシーは守られますか？")</f>
        <v>郵送検査はプライバシーは守られますか？/FemCHECKはプライバシーは守られますか？/おりもの検査はプライバシーは守られますか？</v>
      </c>
      <c r="B692" s="31" t="str">
        <f>IFERROR(__xludf.DUMMYFUNCTION("""COMPUTED_VALUE"""),"FemCHECKでは、性感染症検査という特性を踏まえ、外見から中身が分からないプライバシーに配慮した梱包・配送を行っています。ご家族や同居人、周囲の方に知られる心配なくご利用いただけます。")</f>
        <v>FemCHECKでは、性感染症検査という特性を踏まえ、外見から中身が分からないプライバシーに配慮した梱包・配送を行っています。ご家族や同居人、周囲の方に知られる心配なくご利用いただけます。</v>
      </c>
      <c r="C692" s="31" t="str">
        <f>IFERROR(__xludf.DUMMYFUNCTION("""COMPUTED_VALUE"""),"郵送検査/FemCHECK")</f>
        <v>郵送検査/FemCHECK</v>
      </c>
      <c r="D692" s="31" t="str">
        <f>IFERROR(__xludf.DUMMYFUNCTION("""COMPUTED_VALUE"""),"プライバシー,匿名配送,郵送検査")</f>
        <v>プライバシー,匿名配送,郵送検査</v>
      </c>
      <c r="E692" s="32" t="str">
        <f>IFERROR(__xludf.DUMMYFUNCTION("""COMPUTED_VALUE"""),"https://luna-dr.com/femcheck/begginer/")</f>
        <v>https://luna-dr.com/femcheck/begginer/</v>
      </c>
    </row>
    <row r="693">
      <c r="A693" s="31" t="str">
        <f>IFERROR(__xludf.DUMMYFUNCTION("""COMPUTED_VALUE"""),"郵送検査は注文してからどのくらいで結果が分かりますか？/FemCHECKは注文してからどのくらいで結果が分かりますか？/おりもの検査は注文してからどのくらいで結果が分かりますか？")</f>
        <v>郵送検査は注文してからどのくらいで結果が分かりますか？/FemCHECKは注文してからどのくらいで結果が分かりますか？/おりもの検査は注文してからどのくらいで結果が分かりますか？</v>
      </c>
      <c r="B693" s="31" t="str">
        <f>IFERROR(__xludf.DUMMYFUNCTION("""COMPUTED_VALUE"""),"返送された検体が検査機関に到着後、最短当日に検査結果をWEBで確認できます。すべての検査結果が揃うまでに、最大で6営業日程度かかる場合があります。検査結果は、当院の検査結果確認サイトからご確認いただけます。こちらのURLにアクセスしてください。https://result.luna-dr.com/clinic_login 患者番号は、会計時にお渡ししている領収書に記載のある10桁の番号となります。")</f>
        <v>返送された検体が検査機関に到着後、最短当日に検査結果をWEBで確認できます。すべての検査結果が揃うまでに、最大で6営業日程度かかる場合があります。検査結果は、当院の検査結果確認サイトからご確認いただけます。こちらのURLにアクセスしてください。https://result.luna-dr.com/clinic_login 患者番号は、会計時にお渡ししている領収書に記載のある10桁の番号となります。</v>
      </c>
      <c r="C693" s="31" t="str">
        <f>IFERROR(__xludf.DUMMYFUNCTION("""COMPUTED_VALUE"""),"郵送検査/FemCHECK")</f>
        <v>郵送検査/FemCHECK</v>
      </c>
      <c r="D693" s="31" t="str">
        <f>IFERROR(__xludf.DUMMYFUNCTION("""COMPUTED_VALUE"""),"検査結果,所要日数,郵送検査")</f>
        <v>検査結果,所要日数,郵送検査</v>
      </c>
      <c r="E693" s="32" t="str">
        <f>IFERROR(__xludf.DUMMYFUNCTION("""COMPUTED_VALUE"""),"https://luna-dr.com/femcheck/begginer/")</f>
        <v>https://luna-dr.com/femcheck/begginer/</v>
      </c>
    </row>
    <row r="694">
      <c r="A694" s="31" t="str">
        <f>IFERROR(__xludf.DUMMYFUNCTION("""COMPUTED_VALUE"""),"郵送検査は生理中でも検査は受けられますか？/FemCHECKは生理中でも検査は受けられますか？/おりもの検査は生理中でも検査は受けられますか？")</f>
        <v>郵送検査は生理中でも検査は受けられますか？/FemCHECKは生理中でも検査は受けられますか？/おりもの検査は生理中でも検査は受けられますか？</v>
      </c>
      <c r="B694" s="31" t="str">
        <f>IFERROR(__xludf.DUMMYFUNCTION("""COMPUTED_VALUE"""),"生理中でも検査は可能ですが、経血量が多い時期は検査精度に影響する可能性があるため、可能な限り避けていただくことをおすすめしています。")</f>
        <v>生理中でも検査は可能ですが、経血量が多い時期は検査精度に影響する可能性があるため、可能な限り避けていただくことをおすすめしています。</v>
      </c>
      <c r="C694" s="31" t="str">
        <f>IFERROR(__xludf.DUMMYFUNCTION("""COMPUTED_VALUE"""),"郵送検査/FemCHECK")</f>
        <v>郵送検査/FemCHECK</v>
      </c>
      <c r="D694" s="31" t="str">
        <f>IFERROR(__xludf.DUMMYFUNCTION("""COMPUTED_VALUE"""),"生理中,おりもの検査,郵送検査")</f>
        <v>生理中,おりもの検査,郵送検査</v>
      </c>
      <c r="E694" s="32" t="str">
        <f>IFERROR(__xludf.DUMMYFUNCTION("""COMPUTED_VALUE"""),"https://luna-dr.com/femcheck/begginer/")</f>
        <v>https://luna-dr.com/femcheck/begginer/</v>
      </c>
    </row>
    <row r="695">
      <c r="A695" s="31" t="str">
        <f>IFERROR(__xludf.DUMMYFUNCTION("""COMPUTED_VALUE"""),"郵送検査の検体の採取方法が分かりません/FemCHECKの検体の採取方法が分かりません/おりもの検査の検体の採取方法が分かりません")</f>
        <v>郵送検査の検体の採取方法が分かりません/FemCHECKの検体の採取方法が分かりません/おりもの検査の検体の採取方法が分かりません</v>
      </c>
      <c r="B695" s="31" t="str">
        <f>IFERROR(__xludf.DUMMYFUNCTION("""COMPUTED_VALUE"""),"FemCHECKでは、検査キットに同封された案内および採取方法の説明動画をご用意しています。初めての方でも分かりやすく、簡単に採取できる内容となっています。")</f>
        <v>FemCHECKでは、検査キットに同封された案内および採取方法の説明動画をご用意しています。初めての方でも分かりやすく、簡単に採取できる内容となっています。</v>
      </c>
      <c r="C695" s="31" t="str">
        <f>IFERROR(__xludf.DUMMYFUNCTION("""COMPUTED_VALUE"""),"郵送検査/FemCHECK")</f>
        <v>郵送検査/FemCHECK</v>
      </c>
      <c r="D695" s="31" t="str">
        <f>IFERROR(__xludf.DUMMYFUNCTION("""COMPUTED_VALUE"""),"検体採取,使い方,FemCHECK")</f>
        <v>検体採取,使い方,FemCHECK</v>
      </c>
      <c r="E695" s="32" t="str">
        <f>IFERROR(__xludf.DUMMYFUNCTION("""COMPUTED_VALUE"""),"https://luna-dr.com/femcheck/begginer/")</f>
        <v>https://luna-dr.com/femcheck/begginer/</v>
      </c>
    </row>
    <row r="696">
      <c r="A696" s="31" t="str">
        <f>IFERROR(__xludf.DUMMYFUNCTION("""COMPUTED_VALUE"""),"郵送検査の検査キットに使用期限はありますか？/FemCHECKの検査キットに使用期限はありますか？/おりもの検査の検査キットに使用期限はありますか？")</f>
        <v>郵送検査の検査キットに使用期限はありますか？/FemCHECKの検査キットに使用期限はありますか？/おりもの検査の検査キットに使用期限はありますか？</v>
      </c>
      <c r="B696" s="31" t="str">
        <f>IFERROR(__xludf.DUMMYFUNCTION("""COMPUTED_VALUE"""),"検査キットには使用期限が設定されており、期限は検体に記載されています。必ず使用期限内に採取・返送を行ってください。")</f>
        <v>検査キットには使用期限が設定されており、期限は検体に記載されています。必ず使用期限内に採取・返送を行ってください。</v>
      </c>
      <c r="C696" s="31" t="str">
        <f>IFERROR(__xludf.DUMMYFUNCTION("""COMPUTED_VALUE"""),"郵送検査/FemCHECK")</f>
        <v>郵送検査/FemCHECK</v>
      </c>
      <c r="D696" s="31" t="str">
        <f>IFERROR(__xludf.DUMMYFUNCTION("""COMPUTED_VALUE"""),"使用期限,検査キット,FemCHECK")</f>
        <v>使用期限,検査キット,FemCHECK</v>
      </c>
      <c r="E696" s="32" t="str">
        <f>IFERROR(__xludf.DUMMYFUNCTION("""COMPUTED_VALUE"""),"https://luna-dr.com/femcheck/begginer/")</f>
        <v>https://luna-dr.com/femcheck/begginer/</v>
      </c>
    </row>
    <row r="697">
      <c r="A697" s="31" t="str">
        <f>IFERROR(__xludf.DUMMYFUNCTION("""COMPUTED_VALUE"""),"男性もFemCHECKで検査できますか？")</f>
        <v>男性もFemCHECKで検査できますか？</v>
      </c>
      <c r="B697" s="31" t="str">
        <f>IFERROR(__xludf.DUMMYFUNCTION("""COMPUTED_VALUE"""),"FemCHECKは女性向け検査キットですが、男性向けの性感染症郵送検査キットも別途ご用意しています。詳細はこちらをご確認ください→https://shop.luna-dr.com/?_gl=1*1gzqy87*_gcl_au*MTc3MTM0OTMwNy4xNzY1NTA2ODQx*_ga*OTc3MTM3ODY4LjE3NjU1MDY3NzE.*_ga_5LWNWXJSB3*czE3NjcyNzY3MDQkbzYkZzEkdDE3NjcyNzcwOTckajYwJGwwJGgxNDE3MTIwNTY.")</f>
        <v>FemCHECKは女性向け検査キットですが、男性向けの性感染症郵送検査キットも別途ご用意しています。詳細はこちらをご確認ください→https://shop.luna-dr.com/?_gl=1*1gzqy87*_gcl_au*MTc3MTM0OTMwNy4xNzY1NTA2ODQx*_ga*OTc3MTM3ODY4LjE3NjU1MDY3NzE.*_ga_5LWNWXJSB3*czE3NjcyNzY3MDQkbzYkZzEkdDE3NjcyNzcwOTckajYwJGwwJGgxNDE3MTIwNTY.</v>
      </c>
      <c r="C697" s="31" t="str">
        <f>IFERROR(__xludf.DUMMYFUNCTION("""COMPUTED_VALUE"""),"郵送検査/FemCHECK")</f>
        <v>郵送検査/FemCHECK</v>
      </c>
      <c r="D697" s="31" t="str">
        <f>IFERROR(__xludf.DUMMYFUNCTION("""COMPUTED_VALUE"""),"男性検査,性感染症,郵送検査")</f>
        <v>男性検査,性感染症,郵送検査</v>
      </c>
      <c r="E697" s="32" t="str">
        <f>IFERROR(__xludf.DUMMYFUNCTION("""COMPUTED_VALUE"""),"https://luna-dr.com/femcheck/begginer/")</f>
        <v>https://luna-dr.com/femcheck/begginer/</v>
      </c>
    </row>
    <row r="698">
      <c r="A698" s="31" t="str">
        <f>IFERROR(__xludf.DUMMYFUNCTION("""COMPUTED_VALUE"""),"おりものが多く下腹部が痛みます。考えられる病気はありますか？")</f>
        <v>おりものが多く下腹部が痛みます。考えられる病気はありますか？</v>
      </c>
      <c r="B698" s="31" t="str">
        <f>IFERROR(__xludf.DUMMYFUNCTION("""COMPUTED_VALUE"""),"おりものが多く下腹部痛がある場合、淋病感染症（淋菌）、クラミジアの可能性があります。淋病感染症は、淋菌が子宮頸部に感染して起こる性感染症で、女性は無症状のことも多く、放置すると子宮外妊娠や不妊の原因になることがあります。クラミジアは約80％が無症状で気づきにくく、放置すると卵管炎や卵管障害、着床障害などを引き起こし、不妊の原因となることがあります。個別の症状やお体のご状況については診察にてご確認いただくことをおすすめいたします。当院でのご受診をご希望の場合は、ご予約をお取りの上、クリニックにご受診ください"&amp;"。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f>
        <v>おりものが多く下腹部痛がある場合、淋病感染症（淋菌）、クラミジアの可能性があります。淋病感染症は、淋菌が子宮頸部に感染して起こる性感染症で、女性は無症状のことも多く、放置すると子宮外妊娠や不妊の原因になることがあります。クラミジアは約80％が無症状で気づきにくく、放置すると卵管炎や卵管障害、着床障害などを引き起こし、不妊の原因となることがありま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698" s="31" t="str">
        <f>IFERROR(__xludf.DUMMYFUNCTION("""COMPUTED_VALUE"""),"郵送検査/FemCHECK")</f>
        <v>郵送検査/FemCHECK</v>
      </c>
      <c r="D698" s="31" t="str">
        <f>IFERROR(__xludf.DUMMYFUNCTION("""COMPUTED_VALUE"""),"おりもの多い,下腹部痛,淋病,淋菌,性感染症")</f>
        <v>おりもの多い,下腹部痛,淋病,淋菌,性感染症</v>
      </c>
      <c r="E698" s="32" t="str">
        <f>IFERROR(__xludf.DUMMYFUNCTION("""COMPUTED_VALUE"""),"https://luna-dr.com/femcheck/about/")</f>
        <v>https://luna-dr.com/femcheck/about/</v>
      </c>
    </row>
    <row r="699">
      <c r="A699" s="31" t="str">
        <f>IFERROR(__xludf.DUMMYFUNCTION("""COMPUTED_VALUE"""),"チーズ状のおりものが出ます。考えられる病気は？")</f>
        <v>チーズ状のおりものが出ます。考えられる病気は？</v>
      </c>
      <c r="B699" s="31" t="str">
        <f>IFERROR(__xludf.DUMMYFUNCTION("""COMPUTED_VALUE"""),"おりものの状態の変化は、体からのサインである可能性がありま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amp;"障害の治療、不妊治療、体重100kg以上の方への診療、救急対応（緊急搬送・急性期対応）は行っておりませんのであらかじめご了承くださいませ。")</f>
        <v>おりものの状態の変化は、体からのサインである可能性がありま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699" s="31" t="str">
        <f>IFERROR(__xludf.DUMMYFUNCTION("""COMPUTED_VALUE"""),"郵送検査/FemCHECK")</f>
        <v>郵送検査/FemCHECK</v>
      </c>
      <c r="D699" s="31" t="str">
        <f>IFERROR(__xludf.DUMMYFUNCTION("""COMPUTED_VALUE"""),"チーズ状おりもの,カンジダ,かゆみ,膣炎")</f>
        <v>チーズ状おりもの,カンジダ,かゆみ,膣炎</v>
      </c>
      <c r="E699" s="32" t="str">
        <f>IFERROR(__xludf.DUMMYFUNCTION("""COMPUTED_VALUE"""),"https://luna-dr.com/femcheck/about/")</f>
        <v>https://luna-dr.com/femcheck/about/</v>
      </c>
    </row>
    <row r="700">
      <c r="A700" s="31" t="str">
        <f>IFERROR(__xludf.DUMMYFUNCTION("""COMPUTED_VALUE"""),"性器周辺にかゆみや痛みがあります。何が考えられますか？")</f>
        <v>性器周辺にかゆみや痛みがあります。何が考えられますか？</v>
      </c>
      <c r="B700" s="31" t="str">
        <f>IFERROR(__xludf.DUMMYFUNCTION("""COMPUTED_VALUE"""),"性器周辺のかゆみや痛みは、さまざまな原因が考えられま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amp;"治療、不妊治療、体重100kg以上の方への診療、救急対応（緊急搬送・急性期対応）は行っておりませんのであらかじめご了承くださいませ。")</f>
        <v>性器周辺のかゆみや痛みは、さまざまな原因が考えられま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700" s="31" t="str">
        <f>IFERROR(__xludf.DUMMYFUNCTION("""COMPUTED_VALUE"""),"郵送検査/FemCHECK")</f>
        <v>郵送検査/FemCHECK</v>
      </c>
      <c r="D700" s="31" t="str">
        <f>IFERROR(__xludf.DUMMYFUNCTION("""COMPUTED_VALUE"""),"かゆみ,痛み,細菌性膣症,膣炎")</f>
        <v>かゆみ,痛み,細菌性膣症,膣炎</v>
      </c>
      <c r="E700" s="32" t="str">
        <f>IFERROR(__xludf.DUMMYFUNCTION("""COMPUTED_VALUE"""),"https://luna-dr.com/femcheck/about/")</f>
        <v>https://luna-dr.com/femcheck/about/</v>
      </c>
    </row>
    <row r="701">
      <c r="A701" s="31" t="str">
        <f>IFERROR(__xludf.DUMMYFUNCTION("""COMPUTED_VALUE"""),"下半身が熱く感じます。考えられる性感染症は？")</f>
        <v>下半身が熱く感じます。考えられる性感染症は？</v>
      </c>
      <c r="B701" s="31" t="str">
        <f>IFERROR(__xludf.DUMMYFUNCTION("""COMPUTED_VALUE"""),"下半身の熱感や違和感は、さまざまな原因が考えられま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amp;"療、不妊治療、体重100kg以上の方への診療、救急対応（緊急搬送・急性期対応）は行っておりませんのであらかじめご了承くださいませ。")</f>
        <v>下半身の熱感や違和感は、さまざまな原因が考えられま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701" s="31" t="str">
        <f>IFERROR(__xludf.DUMMYFUNCTION("""COMPUTED_VALUE"""),"郵送検査/FemCHECK")</f>
        <v>郵送検査/FemCHECK</v>
      </c>
      <c r="D701" s="31" t="str">
        <f>IFERROR(__xludf.DUMMYFUNCTION("""COMPUTED_VALUE"""),"下半身が熱い,クラミジア,性感染症")</f>
        <v>下半身が熱い,クラミジア,性感染症</v>
      </c>
      <c r="E701" s="32" t="str">
        <f>IFERROR(__xludf.DUMMYFUNCTION("""COMPUTED_VALUE"""),"https://luna-dr.com/femcheck/about/")</f>
        <v>https://luna-dr.com/femcheck/about/</v>
      </c>
    </row>
    <row r="702">
      <c r="A702" s="31" t="str">
        <f>IFERROR(__xludf.DUMMYFUNCTION("""COMPUTED_VALUE"""),"高熱が出ています。性感染症が原因のことはありますか？")</f>
        <v>高熱が出ています。性感染症が原因のことはありますか？</v>
      </c>
      <c r="B702" s="31" t="str">
        <f>IFERROR(__xludf.DUMMYFUNCTION("""COMPUTED_VALUE"""),"高熱が続く場合は、早めにご受診ください。個別の症状やお体のご状況については診察にてご確認いただくことをおすすめいたします。当院でのご受診をご希望の場合は、ご予約をお取りの上、クリニックにご受診ください。ただし、当院は37.5℃以上の熱がある場合は受診ができませんので、熱が一度下がってからご予約くださいませ。ご予約はLINEで受け付けています。LINEはこちら→https://cline-app.com/qr-codes/98ad6f149bfa20f4f2a9a2e91aac4187/preview　なお"&amp;"、恐れ入りますが、当院では乳房に関する診療（乳がん検診・乳腺外来など）、更年期障害の治療、不妊治療、体重100kg以上の方への診療、救急対応（緊急搬送・急性期対応）は行っておりませんのであらかじめご了承くださいませ。")</f>
        <v>高熱が続く場合は、早めにご受診ください。個別の症状やお体のご状況については診察にてご確認いただくことをおすすめいたします。当院でのご受診をご希望の場合は、ご予約をお取りの上、クリニックにご受診ください。ただし、当院は37.5℃以上の熱がある場合は受診ができませんので、熱が一度下がってからご予約くださいませ。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702" s="31" t="str">
        <f>IFERROR(__xludf.DUMMYFUNCTION("""COMPUTED_VALUE"""),"郵送検査/FemCHECK")</f>
        <v>郵送検査/FemCHECK</v>
      </c>
      <c r="D702" s="31" t="str">
        <f>IFERROR(__xludf.DUMMYFUNCTION("""COMPUTED_VALUE"""),"高熱,クラミジア,性感染症")</f>
        <v>高熱,クラミジア,性感染症</v>
      </c>
      <c r="E702" s="32" t="str">
        <f>IFERROR(__xludf.DUMMYFUNCTION("""COMPUTED_VALUE"""),"https://luna-dr.com/femcheck/about/")</f>
        <v>https://luna-dr.com/femcheck/about/</v>
      </c>
    </row>
    <row r="703">
      <c r="A703" s="31" t="str">
        <f>IFERROR(__xludf.DUMMYFUNCTION("""COMPUTED_VALUE"""),"クラミジアとは何ですか？")</f>
        <v>クラミジアとは何ですか？</v>
      </c>
      <c r="B703" s="31" t="str">
        <f>IFERROR(__xludf.DUMMYFUNCTION("""COMPUTED_VALUE"""),"クラミジアとは、クラミジア・トラコマティスという細菌が原因で起こる性感染症です。主に性交渉によって感染し、女性では無症状のまま進行することが多いのが特徴です。")</f>
        <v>クラミジアとは、クラミジア・トラコマティスという細菌が原因で起こる性感染症です。主に性交渉によって感染し、女性では無症状のまま進行することが多いのが特徴です。</v>
      </c>
      <c r="C703" s="31" t="str">
        <f>IFERROR(__xludf.DUMMYFUNCTION("""COMPUTED_VALUE"""),"郵送検査/FemCHECK")</f>
        <v>郵送検査/FemCHECK</v>
      </c>
      <c r="D703" s="31" t="str">
        <f>IFERROR(__xludf.DUMMYFUNCTION("""COMPUTED_VALUE"""),"クラミジア,性器クラミジア,性感染症,STD")</f>
        <v>クラミジア,性器クラミジア,性感染症,STD</v>
      </c>
      <c r="E703" s="32" t="str">
        <f>IFERROR(__xludf.DUMMYFUNCTION("""COMPUTED_VALUE"""),"https://luna-dr.com/femcheck/about/")</f>
        <v>https://luna-dr.com/femcheck/about/</v>
      </c>
    </row>
    <row r="704">
      <c r="A704" s="31" t="str">
        <f>IFERROR(__xludf.DUMMYFUNCTION("""COMPUTED_VALUE"""),"クラミジアはどんな症状が出ますか？")</f>
        <v>クラミジアはどんな症状が出ますか？</v>
      </c>
      <c r="B704" s="31" t="str">
        <f>IFERROR(__xludf.DUMMYFUNCTION("""COMPUTED_VALUE"""),"クラミジアは女性では約80％が無症状といわれています。症状が出る場合は、おりものの増加、下腹部痛、性交時の痛み、不正出血などがあります。")</f>
        <v>クラミジアは女性では約80％が無症状といわれています。症状が出る場合は、おりものの増加、下腹部痛、性交時の痛み、不正出血などがあります。</v>
      </c>
      <c r="C704" s="31" t="str">
        <f>IFERROR(__xludf.DUMMYFUNCTION("""COMPUTED_VALUE"""),"郵送検査/FemCHECK")</f>
        <v>郵送検査/FemCHECK</v>
      </c>
      <c r="D704" s="31" t="str">
        <f>IFERROR(__xludf.DUMMYFUNCTION("""COMPUTED_VALUE"""),"クラミジア,症状,おりもの,下腹部痛")</f>
        <v>クラミジア,症状,おりもの,下腹部痛</v>
      </c>
      <c r="E704" s="32" t="str">
        <f>IFERROR(__xludf.DUMMYFUNCTION("""COMPUTED_VALUE"""),"https://luna-dr.com/femcheck/about/")</f>
        <v>https://luna-dr.com/femcheck/about/</v>
      </c>
    </row>
    <row r="705">
      <c r="A705" s="31" t="str">
        <f>IFERROR(__xludf.DUMMYFUNCTION("""COMPUTED_VALUE"""),"クラミジアを放置するとどうなりますか？")</f>
        <v>クラミジアを放置するとどうなりますか？</v>
      </c>
      <c r="B705" s="31" t="str">
        <f>IFERROR(__xludf.DUMMYFUNCTION("""COMPUTED_VALUE"""),"クラミジアを放置すると、卵管炎や卵管閉塞を起こし、不妊症や子宮外妊娠の原因になることがあります。")</f>
        <v>クラミジアを放置すると、卵管炎や卵管閉塞を起こし、不妊症や子宮外妊娠の原因になることがあります。</v>
      </c>
      <c r="C705" s="31" t="str">
        <f>IFERROR(__xludf.DUMMYFUNCTION("""COMPUTED_VALUE"""),"郵送検査/FemCHECK")</f>
        <v>郵送検査/FemCHECK</v>
      </c>
      <c r="D705" s="31" t="str">
        <f>IFERROR(__xludf.DUMMYFUNCTION("""COMPUTED_VALUE"""),"クラミジア,放置,不妊,子宮外妊娠")</f>
        <v>クラミジア,放置,不妊,子宮外妊娠</v>
      </c>
      <c r="E705" s="32" t="str">
        <f>IFERROR(__xludf.DUMMYFUNCTION("""COMPUTED_VALUE"""),"https://luna-dr.com/femcheck/about/")</f>
        <v>https://luna-dr.com/femcheck/about/</v>
      </c>
    </row>
    <row r="706">
      <c r="A706" s="31" t="str">
        <f>IFERROR(__xludf.DUMMYFUNCTION("""COMPUTED_VALUE"""),"クラミジアの検査方法を教えてください。")</f>
        <v>クラミジアの検査方法を教えてください。</v>
      </c>
      <c r="B706" s="31" t="str">
        <f>IFERROR(__xludf.DUMMYFUNCTION("""COMPUTED_VALUE"""),"クラミジアの検査は、おりもの検査や尿検査、郵送検査キットなどで行います。症状や状況に応じて適切な方法を選択します。")</f>
        <v>クラミジアの検査は、おりもの検査や尿検査、郵送検査キットなどで行います。症状や状況に応じて適切な方法を選択します。</v>
      </c>
      <c r="C706" s="31" t="str">
        <f>IFERROR(__xludf.DUMMYFUNCTION("""COMPUTED_VALUE"""),"郵送検査/FemCHECK")</f>
        <v>郵送検査/FemCHECK</v>
      </c>
      <c r="D706" s="31" t="str">
        <f>IFERROR(__xludf.DUMMYFUNCTION("""COMPUTED_VALUE"""),"クラミジア検査,おりもの検査,郵送検査")</f>
        <v>クラミジア検査,おりもの検査,郵送検査</v>
      </c>
      <c r="E706" s="32" t="str">
        <f>IFERROR(__xludf.DUMMYFUNCTION("""COMPUTED_VALUE"""),"https://luna-dr.com/femcheck/about/")</f>
        <v>https://luna-dr.com/femcheck/about/</v>
      </c>
    </row>
    <row r="707">
      <c r="A707" s="31" t="str">
        <f>IFERROR(__xludf.DUMMYFUNCTION("""COMPUTED_VALUE"""),"クラミジアは治りますか？")</f>
        <v>クラミジアは治りますか？</v>
      </c>
      <c r="B707" s="31" t="str">
        <f>IFERROR(__xludf.DUMMYFUNCTION("""COMPUTED_VALUE"""),"クラミジアは抗菌薬の内服治療で完治します。ただし、治療後の確認検査を受けることが重要で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amp;"検診・乳腺外来など）、更年期障害の治療、不妊治療、体重100kg以上の方への診療、救急対応（緊急搬送・急性期対応）は行っておりませんのであらかじめご了承くださいませ。")</f>
        <v>クラミジアは抗菌薬の内服治療で完治します。ただし、治療後の確認検査を受けることが重要で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707" s="31" t="str">
        <f>IFERROR(__xludf.DUMMYFUNCTION("""COMPUTED_VALUE"""),"郵送検査/FemCHECK")</f>
        <v>郵送検査/FemCHECK</v>
      </c>
      <c r="D707" s="31" t="str">
        <f>IFERROR(__xludf.DUMMYFUNCTION("""COMPUTED_VALUE"""),"クラミジア,治療,抗菌薬,完治")</f>
        <v>クラミジア,治療,抗菌薬,完治</v>
      </c>
      <c r="E707" s="32" t="str">
        <f>IFERROR(__xludf.DUMMYFUNCTION("""COMPUTED_VALUE"""),"https://luna-dr.com/femcheck/about/")</f>
        <v>https://luna-dr.com/femcheck/about/</v>
      </c>
    </row>
    <row r="708">
      <c r="A708" s="31" t="str">
        <f>IFERROR(__xludf.DUMMYFUNCTION("""COMPUTED_VALUE"""),"クラミジアは自然に治りますか？")</f>
        <v>クラミジアは自然に治りますか？</v>
      </c>
      <c r="B708" s="31" t="str">
        <f>IFERROR(__xludf.DUMMYFUNCTION("""COMPUTED_VALUE"""),"クラミジアは自然に治ることはほとんどありません。適切な抗菌薬による治療が必要です。症状が軽くても、必ず治療を受けることが重要で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amp;"ますが、当院では乳房に関する診療（乳がん検診・乳腺外来など）、更年期障害の治療、不妊治療、体重100kg以上の方への診療、救急対応（緊急搬送・急性期対応）は行っておりませんのであらかじめご了承くださいませ。")</f>
        <v>クラミジアは自然に治ることはほとんどありません。適切な抗菌薬による治療が必要です。症状が軽くても、必ず治療を受けることが重要で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708" s="31" t="str">
        <f>IFERROR(__xludf.DUMMYFUNCTION("""COMPUTED_VALUE"""),"郵送検査/FemCHECK")</f>
        <v>郵送検査/FemCHECK</v>
      </c>
      <c r="D708" s="31" t="str">
        <f>IFERROR(__xludf.DUMMYFUNCTION("""COMPUTED_VALUE"""),"クラミジア,自然治癒,治療")</f>
        <v>クラミジア,自然治癒,治療</v>
      </c>
      <c r="E708" s="32" t="str">
        <f>IFERROR(__xludf.DUMMYFUNCTION("""COMPUTED_VALUE"""),"https://luna-dr.com/femcheck/about/")</f>
        <v>https://luna-dr.com/femcheck/about/</v>
      </c>
    </row>
    <row r="709">
      <c r="A709" s="31" t="str">
        <f>IFERROR(__xludf.DUMMYFUNCTION("""COMPUTED_VALUE"""),"クラミジアは郵送検査でも調べられますか？")</f>
        <v>クラミジアは郵送検査でも調べられますか？</v>
      </c>
      <c r="B709" s="31" t="str">
        <f>IFERROR(__xludf.DUMMYFUNCTION("""COMPUTED_VALUE"""),"クラミジアは郵送検査キットでも調べることが可能です。ご自宅で検体を採取し、結果をWEBで確認できます。陽性の場合はオンライン診療で治療まで対応できます。")</f>
        <v>クラミジアは郵送検査キットでも調べることが可能です。ご自宅で検体を採取し、結果をWEBで確認できます。陽性の場合はオンライン診療で治療まで対応できます。</v>
      </c>
      <c r="C709" s="31" t="str">
        <f>IFERROR(__xludf.DUMMYFUNCTION("""COMPUTED_VALUE"""),"郵送検査/FemCHECK")</f>
        <v>郵送検査/FemCHECK</v>
      </c>
      <c r="D709" s="31" t="str">
        <f>IFERROR(__xludf.DUMMYFUNCTION("""COMPUTED_VALUE"""),"クラミジア,郵送検査,FemCHECK")</f>
        <v>クラミジア,郵送検査,FemCHECK</v>
      </c>
      <c r="E709" s="32" t="str">
        <f>IFERROR(__xludf.DUMMYFUNCTION("""COMPUTED_VALUE"""),"https://luna-dr.com/femcheck/about/")</f>
        <v>https://luna-dr.com/femcheck/about/</v>
      </c>
    </row>
    <row r="710">
      <c r="A710" s="31" t="str">
        <f>IFERROR(__xludf.DUMMYFUNCTION("""COMPUTED_VALUE"""),"クラミジアの治療方法を教えてください。")</f>
        <v>クラミジアの治療方法を教えてください。</v>
      </c>
      <c r="B710" s="31" t="str">
        <f>IFERROR(__xludf.DUMMYFUNCTION("""COMPUTED_VALUE"""),"クラミジアの治療は抗菌薬の内服が基本です。医師の指示通りに服用することで、多くの場合完治します。治療後は治癒確認の検査が重要です。")</f>
        <v>クラミジアの治療は抗菌薬の内服が基本です。医師の指示通りに服用することで、多くの場合完治します。治療後は治癒確認の検査が重要です。</v>
      </c>
      <c r="C710" s="31" t="str">
        <f>IFERROR(__xludf.DUMMYFUNCTION("""COMPUTED_VALUE"""),"郵送検査/FemCHECK")</f>
        <v>郵送検査/FemCHECK</v>
      </c>
      <c r="D710" s="31" t="str">
        <f>IFERROR(__xludf.DUMMYFUNCTION("""COMPUTED_VALUE"""),"クラミジア,治療,抗菌薬")</f>
        <v>クラミジア,治療,抗菌薬</v>
      </c>
      <c r="E710" s="32" t="str">
        <f>IFERROR(__xludf.DUMMYFUNCTION("""COMPUTED_VALUE"""),"https://luna-dr.com/femcheck/about/")</f>
        <v>https://luna-dr.com/femcheck/about/</v>
      </c>
    </row>
    <row r="711">
      <c r="A711" s="31" t="str">
        <f>IFERROR(__xludf.DUMMYFUNCTION("""COMPUTED_VALUE"""),"クラミジアはパートナーも治療が必要ですか？")</f>
        <v>クラミジアはパートナーも治療が必要ですか？</v>
      </c>
      <c r="B711" s="31" t="str">
        <f>IFERROR(__xludf.DUMMYFUNCTION("""COMPUTED_VALUE"""),"クラミジアと診断された場合は、パートナーも同時に検査・治療を受けることが非常に重要です。治療しないと再感染（ピンポン感染）の原因になります。")</f>
        <v>クラミジアと診断された場合は、パートナーも同時に検査・治療を受けることが非常に重要です。治療しないと再感染（ピンポン感染）の原因になります。</v>
      </c>
      <c r="C711" s="31" t="str">
        <f>IFERROR(__xludf.DUMMYFUNCTION("""COMPUTED_VALUE"""),"郵送検査/FemCHECK")</f>
        <v>郵送検査/FemCHECK</v>
      </c>
      <c r="D711" s="31" t="str">
        <f>IFERROR(__xludf.DUMMYFUNCTION("""COMPUTED_VALUE"""),"クラミジア,パートナー,再感染")</f>
        <v>クラミジア,パートナー,再感染</v>
      </c>
      <c r="E711" s="32" t="str">
        <f>IFERROR(__xludf.DUMMYFUNCTION("""COMPUTED_VALUE"""),"https://luna-dr.com/femcheck/about/")</f>
        <v>https://luna-dr.com/femcheck/about/</v>
      </c>
    </row>
    <row r="712">
      <c r="A712" s="31" t="str">
        <f>IFERROR(__xludf.DUMMYFUNCTION("""COMPUTED_VALUE"""),"クラミジアは完治しますか？")</f>
        <v>クラミジアは完治しますか？</v>
      </c>
      <c r="B712" s="31" t="str">
        <f>IFERROR(__xludf.DUMMYFUNCTION("""COMPUTED_VALUE"""),"クラミジアは適切な治療を行えば完治します。ただし、治療後の確認検査を受けずに放置すると、治りきっていない場合がありま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amp;"院では乳房に関する診療（乳がん検診・乳腺外来など）、更年期障害の治療、不妊治療、体重100kg以上の方への診療、救急対応（緊急搬送・急性期対応）は行っておりませんのであらかじめご了承くださいませ。")</f>
        <v>クラミジアは適切な治療を行えば完治します。ただし、治療後の確認検査を受けずに放置すると、治りきっていない場合がありま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712" s="31" t="str">
        <f>IFERROR(__xludf.DUMMYFUNCTION("""COMPUTED_VALUE"""),"郵送検査/FemCHECK")</f>
        <v>郵送検査/FemCHECK</v>
      </c>
      <c r="D712" s="31" t="str">
        <f>IFERROR(__xludf.DUMMYFUNCTION("""COMPUTED_VALUE"""),"クラミジア,完治,治癒確認")</f>
        <v>クラミジア,完治,治癒確認</v>
      </c>
      <c r="E712" s="32" t="str">
        <f>IFERROR(__xludf.DUMMYFUNCTION("""COMPUTED_VALUE"""),"https://luna-dr.com/femcheck/about/")</f>
        <v>https://luna-dr.com/femcheck/about/</v>
      </c>
    </row>
    <row r="713">
      <c r="A713" s="31" t="str">
        <f>IFERROR(__xludf.DUMMYFUNCTION("""COMPUTED_VALUE"""),"淋病とは何ですか？")</f>
        <v>淋病とは何ですか？</v>
      </c>
      <c r="B713" s="31" t="str">
        <f>IFERROR(__xludf.DUMMYFUNCTION("""COMPUTED_VALUE"""),"淋病とは、淋菌という細菌が原因で起こる性感染症です。クラミジアに次いで多い性感染症で、女性では症状が出にくいことがあります。")</f>
        <v>淋病とは、淋菌という細菌が原因で起こる性感染症です。クラミジアに次いで多い性感染症で、女性では症状が出にくいことがあります。</v>
      </c>
      <c r="C713" s="31" t="str">
        <f>IFERROR(__xludf.DUMMYFUNCTION("""COMPUTED_VALUE"""),"郵送検査/FemCHECK")</f>
        <v>郵送検査/FemCHECK</v>
      </c>
      <c r="D713" s="31" t="str">
        <f>IFERROR(__xludf.DUMMYFUNCTION("""COMPUTED_VALUE"""),"淋病,淋菌,性感染症,STD")</f>
        <v>淋病,淋菌,性感染症,STD</v>
      </c>
      <c r="E713" s="32" t="str">
        <f>IFERROR(__xludf.DUMMYFUNCTION("""COMPUTED_VALUE"""),"https://luna-dr.com/femcheck/about/")</f>
        <v>https://luna-dr.com/femcheck/about/</v>
      </c>
    </row>
    <row r="714">
      <c r="A714" s="31" t="str">
        <f>IFERROR(__xludf.DUMMYFUNCTION("""COMPUTED_VALUE"""),"淋病はどんな症状がありますか？")</f>
        <v>淋病はどんな症状がありますか？</v>
      </c>
      <c r="B714" s="31" t="str">
        <f>IFERROR(__xludf.DUMMYFUNCTION("""COMPUTED_VALUE"""),"淋病では、おりものの増加、下腹部痛、排尿時の違和感などがみられることがありますが、女性では無症状のことも少なくありません。")</f>
        <v>淋病では、おりものの増加、下腹部痛、排尿時の違和感などがみられることがありますが、女性では無症状のことも少なくありません。</v>
      </c>
      <c r="C714" s="31" t="str">
        <f>IFERROR(__xludf.DUMMYFUNCTION("""COMPUTED_VALUE"""),"郵送検査/FemCHECK")</f>
        <v>郵送検査/FemCHECK</v>
      </c>
      <c r="D714" s="31" t="str">
        <f>IFERROR(__xludf.DUMMYFUNCTION("""COMPUTED_VALUE"""),"淋病,症状,おりもの,下腹部痛")</f>
        <v>淋病,症状,おりもの,下腹部痛</v>
      </c>
      <c r="E714" s="32" t="str">
        <f>IFERROR(__xludf.DUMMYFUNCTION("""COMPUTED_VALUE"""),"https://luna-dr.com/femcheck/about/")</f>
        <v>https://luna-dr.com/femcheck/about/</v>
      </c>
    </row>
    <row r="715">
      <c r="A715" s="31" t="str">
        <f>IFERROR(__xludf.DUMMYFUNCTION("""COMPUTED_VALUE"""),"淋病を放置するとどうなりますか？")</f>
        <v>淋病を放置するとどうなりますか？</v>
      </c>
      <c r="B715" s="31" t="str">
        <f>IFERROR(__xludf.DUMMYFUNCTION("""COMPUTED_VALUE"""),"淋病を放置すると、子宮や卵管に炎症が広がり、不妊症や子宮外妊娠の原因になることがあります。")</f>
        <v>淋病を放置すると、子宮や卵管に炎症が広がり、不妊症や子宮外妊娠の原因になることがあります。</v>
      </c>
      <c r="C715" s="31" t="str">
        <f>IFERROR(__xludf.DUMMYFUNCTION("""COMPUTED_VALUE"""),"郵送検査/FemCHECK")</f>
        <v>郵送検査/FemCHECK</v>
      </c>
      <c r="D715" s="31" t="str">
        <f>IFERROR(__xludf.DUMMYFUNCTION("""COMPUTED_VALUE"""),"淋病,放置,不妊,子宮外妊娠")</f>
        <v>淋病,放置,不妊,子宮外妊娠</v>
      </c>
      <c r="E715" s="32" t="str">
        <f>IFERROR(__xludf.DUMMYFUNCTION("""COMPUTED_VALUE"""),"https://luna-dr.com/femcheck/about/")</f>
        <v>https://luna-dr.com/femcheck/about/</v>
      </c>
    </row>
    <row r="716">
      <c r="A716" s="31" t="str">
        <f>IFERROR(__xludf.DUMMYFUNCTION("""COMPUTED_VALUE"""),"淋病の検査方法を教えてください。")</f>
        <v>淋病の検査方法を教えてください。</v>
      </c>
      <c r="B716" s="31" t="str">
        <f>IFERROR(__xludf.DUMMYFUNCTION("""COMPUTED_VALUE"""),"淋病の検査は、おりもの検査や尿検査で行います。クラミジアと同時に検査することが一般的です。")</f>
        <v>淋病の検査は、おりもの検査や尿検査で行います。クラミジアと同時に検査することが一般的です。</v>
      </c>
      <c r="C716" s="31" t="str">
        <f>IFERROR(__xludf.DUMMYFUNCTION("""COMPUTED_VALUE"""),"郵送検査/FemCHECK")</f>
        <v>郵送検査/FemCHECK</v>
      </c>
      <c r="D716" s="31" t="str">
        <f>IFERROR(__xludf.DUMMYFUNCTION("""COMPUTED_VALUE"""),"淋病検査,淋菌検査,おりもの検査")</f>
        <v>淋病検査,淋菌検査,おりもの検査</v>
      </c>
      <c r="E716" s="32" t="str">
        <f>IFERROR(__xludf.DUMMYFUNCTION("""COMPUTED_VALUE"""),"https://luna-dr.com/femcheck/about/")</f>
        <v>https://luna-dr.com/femcheck/about/</v>
      </c>
    </row>
    <row r="717">
      <c r="A717" s="31" t="str">
        <f>IFERROR(__xludf.DUMMYFUNCTION("""COMPUTED_VALUE"""),"淋病は治りますか？")</f>
        <v>淋病は治りますか？</v>
      </c>
      <c r="B717" s="31" t="str">
        <f>IFERROR(__xludf.DUMMYFUNCTION("""COMPUTED_VALUE"""),"淋病は適切な抗菌薬による治療で完治します。医師の指示に従って治療を受けることが重要で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amp;"診・乳腺外来など）、更年期障害の治療、不妊治療、体重100kg以上の方への診療、救急対応（緊急搬送・急性期対応）は行っておりませんのであらかじめご了承くださいませ。")</f>
        <v>淋病は適切な抗菌薬による治療で完治します。医師の指示に従って治療を受けることが重要で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717" s="31" t="str">
        <f>IFERROR(__xludf.DUMMYFUNCTION("""COMPUTED_VALUE"""),"郵送検査/FemCHECK")</f>
        <v>郵送検査/FemCHECK</v>
      </c>
      <c r="D717" s="31" t="str">
        <f>IFERROR(__xludf.DUMMYFUNCTION("""COMPUTED_VALUE"""),"淋病,治療,抗菌薬,完治")</f>
        <v>淋病,治療,抗菌薬,完治</v>
      </c>
      <c r="E717" s="32" t="str">
        <f>IFERROR(__xludf.DUMMYFUNCTION("""COMPUTED_VALUE"""),"https://luna-dr.com/femcheck/about/")</f>
        <v>https://luna-dr.com/femcheck/about/</v>
      </c>
    </row>
    <row r="718">
      <c r="A718" s="31" t="str">
        <f>IFERROR(__xludf.DUMMYFUNCTION("""COMPUTED_VALUE"""),"性器カンジダ症とは何ですか？")</f>
        <v>性器カンジダ症とは何ですか？</v>
      </c>
      <c r="B718" s="31" t="str">
        <f>IFERROR(__xludf.DUMMYFUNCTION("""COMPUTED_VALUE"""),"性器カンジダ症とは、膣内に存在するカンジダ菌が異常に増殖して起こる膣の炎症です。性感染症ではありません。")</f>
        <v>性器カンジダ症とは、膣内に存在するカンジダ菌が異常に増殖して起こる膣の炎症です。性感染症ではありません。</v>
      </c>
      <c r="C718" s="31" t="str">
        <f>IFERROR(__xludf.DUMMYFUNCTION("""COMPUTED_VALUE"""),"郵送検査/FemCHECK")</f>
        <v>郵送検査/FemCHECK</v>
      </c>
      <c r="D718" s="31" t="str">
        <f>IFERROR(__xludf.DUMMYFUNCTION("""COMPUTED_VALUE"""),"カンジダ,性器カンジダ,カンジダ膣炎")</f>
        <v>カンジダ,性器カンジダ,カンジダ膣炎</v>
      </c>
      <c r="E718" s="32" t="str">
        <f>IFERROR(__xludf.DUMMYFUNCTION("""COMPUTED_VALUE"""),"https://luna-dr.com/femcheck/about/")</f>
        <v>https://luna-dr.com/femcheck/about/</v>
      </c>
    </row>
    <row r="719">
      <c r="A719" s="31" t="str">
        <f>IFERROR(__xludf.DUMMYFUNCTION("""COMPUTED_VALUE"""),"カンジダ症の症状を教えてください。")</f>
        <v>カンジダ症の症状を教えてください。</v>
      </c>
      <c r="B719" s="31" t="str">
        <f>IFERROR(__xludf.DUMMYFUNCTION("""COMPUTED_VALUE"""),"カンジダ症では、強いかゆみや、白くポロポロしたチーズ状のおりものが出ることがあります。")</f>
        <v>カンジダ症では、強いかゆみや、白くポロポロしたチーズ状のおりものが出ることがあります。</v>
      </c>
      <c r="C719" s="31" t="str">
        <f>IFERROR(__xludf.DUMMYFUNCTION("""COMPUTED_VALUE"""),"郵送検査/FemCHECK")</f>
        <v>郵送検査/FemCHECK</v>
      </c>
      <c r="D719" s="31" t="str">
        <f>IFERROR(__xludf.DUMMYFUNCTION("""COMPUTED_VALUE"""),"カンジダ,症状,かゆみ,おりもの")</f>
        <v>カンジダ,症状,かゆみ,おりもの</v>
      </c>
      <c r="E719" s="32" t="str">
        <f>IFERROR(__xludf.DUMMYFUNCTION("""COMPUTED_VALUE"""),"https://luna-dr.com/femcheck/about/")</f>
        <v>https://luna-dr.com/femcheck/about/</v>
      </c>
    </row>
    <row r="720">
      <c r="A720" s="31" t="str">
        <f>IFERROR(__xludf.DUMMYFUNCTION("""COMPUTED_VALUE"""),"カンジダはなぜ起こりますか？")</f>
        <v>カンジダはなぜ起こりますか？</v>
      </c>
      <c r="B720" s="31" t="str">
        <f>IFERROR(__xludf.DUMMYFUNCTION("""COMPUTED_VALUE"""),"疲労やストレス、抗生物質の使用などで免疫力が低下すると、常在菌であるカンジダが増殖して発症します。")</f>
        <v>疲労やストレス、抗生物質の使用などで免疫力が低下すると、常在菌であるカンジダが増殖して発症します。</v>
      </c>
      <c r="C720" s="31" t="str">
        <f>IFERROR(__xludf.DUMMYFUNCTION("""COMPUTED_VALUE"""),"郵送検査/FemCHECK")</f>
        <v>郵送検査/FemCHECK</v>
      </c>
      <c r="D720" s="31" t="str">
        <f>IFERROR(__xludf.DUMMYFUNCTION("""COMPUTED_VALUE"""),"カンジダ,原因,免疫低下")</f>
        <v>カンジダ,原因,免疫低下</v>
      </c>
      <c r="E720" s="32" t="str">
        <f>IFERROR(__xludf.DUMMYFUNCTION("""COMPUTED_VALUE"""),"https://luna-dr.com/femcheck/about/")</f>
        <v>https://luna-dr.com/femcheck/about/</v>
      </c>
    </row>
    <row r="721">
      <c r="A721" s="31" t="str">
        <f>IFERROR(__xludf.DUMMYFUNCTION("""COMPUTED_VALUE"""),"カンジダ症の検査方法を教えてください。")</f>
        <v>カンジダ症の検査方法を教えてください。</v>
      </c>
      <c r="B721" s="31" t="str">
        <f>IFERROR(__xludf.DUMMYFUNCTION("""COMPUTED_VALUE"""),"カンジダ症は、おりものを採取して顕微鏡検査などで診断します。")</f>
        <v>カンジダ症は、おりものを採取して顕微鏡検査などで診断します。</v>
      </c>
      <c r="C721" s="31" t="str">
        <f>IFERROR(__xludf.DUMMYFUNCTION("""COMPUTED_VALUE"""),"郵送検査/FemCHECK")</f>
        <v>郵送検査/FemCHECK</v>
      </c>
      <c r="D721" s="31" t="str">
        <f>IFERROR(__xludf.DUMMYFUNCTION("""COMPUTED_VALUE"""),"カンジダ検査,おりもの検査")</f>
        <v>カンジダ検査,おりもの検査</v>
      </c>
      <c r="E721" s="32" t="str">
        <f>IFERROR(__xludf.DUMMYFUNCTION("""COMPUTED_VALUE"""),"https://luna-dr.com/femcheck/about/")</f>
        <v>https://luna-dr.com/femcheck/about/</v>
      </c>
    </row>
    <row r="722">
      <c r="A722" s="31" t="str">
        <f>IFERROR(__xludf.DUMMYFUNCTION("""COMPUTED_VALUE"""),"カンジダ症は治りますか？")</f>
        <v>カンジダ症は治りますか？</v>
      </c>
      <c r="B722" s="31" t="str">
        <f>IFERROR(__xludf.DUMMYFUNCTION("""COMPUTED_VALUE"""),"膣錠や内服薬による治療で改善します。再発しやすいため、再発時は早めの受診が大切で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amp;"乳腺外来など）、更年期障害の治療、不妊治療、体重100kg以上の方への診療、救急対応（緊急搬送・急性期対応）は行っておりませんのであらかじめご了承くださいませ。")</f>
        <v>膣錠や内服薬による治療で改善します。再発しやすいため、再発時は早めの受診が大切で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722" s="31" t="str">
        <f>IFERROR(__xludf.DUMMYFUNCTION("""COMPUTED_VALUE"""),"郵送検査/FemCHECK")</f>
        <v>郵送検査/FemCHECK</v>
      </c>
      <c r="D722" s="31" t="str">
        <f>IFERROR(__xludf.DUMMYFUNCTION("""COMPUTED_VALUE"""),"カンジダ,治療,膣錠,再発")</f>
        <v>カンジダ,治療,膣錠,再発</v>
      </c>
      <c r="E722" s="32" t="str">
        <f>IFERROR(__xludf.DUMMYFUNCTION("""COMPUTED_VALUE"""),"https://luna-dr.com/femcheck/about/")</f>
        <v>https://luna-dr.com/femcheck/about/</v>
      </c>
    </row>
    <row r="723">
      <c r="A723" s="31" t="str">
        <f>IFERROR(__xludf.DUMMYFUNCTION("""COMPUTED_VALUE"""),"細菌性膣症とは何ですか？")</f>
        <v>細菌性膣症とは何ですか？</v>
      </c>
      <c r="B723" s="31" t="str">
        <f>IFERROR(__xludf.DUMMYFUNCTION("""COMPUTED_VALUE"""),"細菌性膣症とは、膣内の善玉菌が減少し、雑菌が増えることで起こる膣内環境の乱れです。性感染症ではありません。")</f>
        <v>細菌性膣症とは、膣内の善玉菌が減少し、雑菌が増えることで起こる膣内環境の乱れです。性感染症ではありません。</v>
      </c>
      <c r="C723" s="31" t="str">
        <f>IFERROR(__xludf.DUMMYFUNCTION("""COMPUTED_VALUE"""),"郵送検査/FemCHECK")</f>
        <v>郵送検査/FemCHECK</v>
      </c>
      <c r="D723" s="31" t="str">
        <f>IFERROR(__xludf.DUMMYFUNCTION("""COMPUTED_VALUE"""),"細菌性膣症,細菌性膣炎,膣内環境")</f>
        <v>細菌性膣症,細菌性膣炎,膣内環境</v>
      </c>
      <c r="E723" s="32" t="str">
        <f>IFERROR(__xludf.DUMMYFUNCTION("""COMPUTED_VALUE"""),"https://luna-dr.com/femcheck/about/")</f>
        <v>https://luna-dr.com/femcheck/about/</v>
      </c>
    </row>
    <row r="724">
      <c r="A724" s="31" t="str">
        <f>IFERROR(__xludf.DUMMYFUNCTION("""COMPUTED_VALUE"""),"細菌性膣症の症状を教えてください。")</f>
        <v>細菌性膣症の症状を教えてください。</v>
      </c>
      <c r="B724" s="31" t="str">
        <f>IFERROR(__xludf.DUMMYFUNCTION("""COMPUTED_VALUE"""),"細菌性膣症では、灰色や白色のおりものや、魚が腐ったような生臭いにおいがすることがあります。")</f>
        <v>細菌性膣症では、灰色や白色のおりものや、魚が腐ったような生臭いにおいがすることがあります。</v>
      </c>
      <c r="C724" s="31" t="str">
        <f>IFERROR(__xludf.DUMMYFUNCTION("""COMPUTED_VALUE"""),"郵送検査/FemCHECK")</f>
        <v>郵送検査/FemCHECK</v>
      </c>
      <c r="D724" s="31" t="str">
        <f>IFERROR(__xludf.DUMMYFUNCTION("""COMPUTED_VALUE"""),"細菌性膣症,症状,おりもの,臭い")</f>
        <v>細菌性膣症,症状,おりもの,臭い</v>
      </c>
      <c r="E724" s="32" t="str">
        <f>IFERROR(__xludf.DUMMYFUNCTION("""COMPUTED_VALUE"""),"https://luna-dr.com/femcheck/about/")</f>
        <v>https://luna-dr.com/femcheck/about/</v>
      </c>
    </row>
    <row r="725">
      <c r="A725" s="31" t="str">
        <f>IFERROR(__xludf.DUMMYFUNCTION("""COMPUTED_VALUE"""),"細菌性膣症は放置するとどうなりますか？")</f>
        <v>細菌性膣症は放置するとどうなりますか？</v>
      </c>
      <c r="B725" s="31" t="str">
        <f>IFERROR(__xludf.DUMMYFUNCTION("""COMPUTED_VALUE"""),"細菌性膣症を放置すると、流産や早産のリスクが高まることがありま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amp;"年期障害の治療、不妊治療、体重100kg以上の方への診療、救急対応（緊急搬送・急性期対応）は行っておりませんのであらかじめご了承くださいませ。")</f>
        <v>細菌性膣症を放置すると、流産や早産のリスクが高まることがありま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725" s="31" t="str">
        <f>IFERROR(__xludf.DUMMYFUNCTION("""COMPUTED_VALUE"""),"郵送検査/FemCHECK")</f>
        <v>郵送検査/FemCHECK</v>
      </c>
      <c r="D725" s="31" t="str">
        <f>IFERROR(__xludf.DUMMYFUNCTION("""COMPUTED_VALUE"""),"細菌性膣症,放置,早産,流産")</f>
        <v>細菌性膣症,放置,早産,流産</v>
      </c>
      <c r="E725" s="32" t="str">
        <f>IFERROR(__xludf.DUMMYFUNCTION("""COMPUTED_VALUE"""),"https://luna-dr.com/femcheck/about/")</f>
        <v>https://luna-dr.com/femcheck/about/</v>
      </c>
    </row>
    <row r="726">
      <c r="A726" s="31" t="str">
        <f>IFERROR(__xludf.DUMMYFUNCTION("""COMPUTED_VALUE"""),"細菌性膣症の検査方法を教えてください。")</f>
        <v>細菌性膣症の検査方法を教えてください。</v>
      </c>
      <c r="B726" s="31" t="str">
        <f>IFERROR(__xludf.DUMMYFUNCTION("""COMPUTED_VALUE"""),"細菌性膣症は、おりもの検査により膣内の細菌バランスを調べて診断します。")</f>
        <v>細菌性膣症は、おりもの検査により膣内の細菌バランスを調べて診断します。</v>
      </c>
      <c r="C726" s="31" t="str">
        <f>IFERROR(__xludf.DUMMYFUNCTION("""COMPUTED_VALUE"""),"郵送検査/FemCHECK")</f>
        <v>郵送検査/FemCHECK</v>
      </c>
      <c r="D726" s="31" t="str">
        <f>IFERROR(__xludf.DUMMYFUNCTION("""COMPUTED_VALUE"""),"細菌性膣症検査,おりもの検査")</f>
        <v>細菌性膣症検査,おりもの検査</v>
      </c>
      <c r="E726" s="32" t="str">
        <f>IFERROR(__xludf.DUMMYFUNCTION("""COMPUTED_VALUE"""),"https://luna-dr.com/femcheck/about/")</f>
        <v>https://luna-dr.com/femcheck/about/</v>
      </c>
    </row>
    <row r="727">
      <c r="A727" s="31" t="str">
        <f>IFERROR(__xludf.DUMMYFUNCTION("""COMPUTED_VALUE"""),"細菌性膣症は治りますか？")</f>
        <v>細菌性膣症は治りますか？</v>
      </c>
      <c r="B727" s="31" t="str">
        <f>IFERROR(__xludf.DUMMYFUNCTION("""COMPUTED_VALUE"""),"抗菌薬による治療で改善します。再発しやすいため、生活習慣の見直しも重要で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amp;"など）、更年期障害の治療、不妊治療、体重100kg以上の方への診療、救急対応（緊急搬送・急性期対応）は行っておりませんのであらかじめご了承くださいませ。")</f>
        <v>抗菌薬による治療で改善します。再発しやすいため、生活習慣の見直しも重要で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727" s="31" t="str">
        <f>IFERROR(__xludf.DUMMYFUNCTION("""COMPUTED_VALUE"""),"郵送検査/FemCHECK")</f>
        <v>郵送検査/FemCHECK</v>
      </c>
      <c r="D727" s="31" t="str">
        <f>IFERROR(__xludf.DUMMYFUNCTION("""COMPUTED_VALUE"""),"細菌性膣症,治療,抗菌薬,再発")</f>
        <v>細菌性膣症,治療,抗菌薬,再発</v>
      </c>
      <c r="E727" s="32" t="str">
        <f>IFERROR(__xludf.DUMMYFUNCTION("""COMPUTED_VALUE"""),"https://luna-dr.com/femcheck/about/")</f>
        <v>https://luna-dr.com/femcheck/about/</v>
      </c>
    </row>
    <row r="728">
      <c r="A728" s="31" t="str">
        <f>IFERROR(__xludf.DUMMYFUNCTION("""COMPUTED_VALUE"""),"おりものの様子がいつもと違います。病気でしょうか？")</f>
        <v>おりものの様子がいつもと違います。病気でしょうか？</v>
      </c>
      <c r="B728" s="31" t="str">
        <f>IFERROR(__xludf.DUMMYFUNCTION("""COMPUTED_VALUE"""),"おりものの変化は体からのサインである場合がありま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amp;"、不妊治療、体重100kg以上の方への診療、救急対応（緊急搬送・急性期対応）は行っておりませんのであらかじめご了承くださいませ。")</f>
        <v>おりものの変化は体からのサインである場合がありま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728" s="31" t="str">
        <f>IFERROR(__xludf.DUMMYFUNCTION("""COMPUTED_VALUE"""),"郵送検査/FemCHECK")</f>
        <v>郵送検査/FemCHECK</v>
      </c>
      <c r="D728" s="31" t="str">
        <f>IFERROR(__xludf.DUMMYFUNCTION("""COMPUTED_VALUE"""),"おりもの異常,おりもの 色,おりもの かゆみ,性感染症")</f>
        <v>おりもの異常,おりもの 色,おりもの かゆみ,性感染症</v>
      </c>
      <c r="E728" s="32" t="str">
        <f>IFERROR(__xludf.DUMMYFUNCTION("""COMPUTED_VALUE"""),"https://luna-dr.com/femcheck/about/")</f>
        <v>https://luna-dr.com/femcheck/about/</v>
      </c>
    </row>
    <row r="729">
      <c r="A729" s="31" t="str">
        <f>IFERROR(__xludf.DUMMYFUNCTION("""COMPUTED_VALUE"""),"いろいろな性感染症について詳しく知りたいです。")</f>
        <v>いろいろな性感染症について詳しく知りたいです。</v>
      </c>
      <c r="B729" s="31" t="str">
        <f>IFERROR(__xludf.DUMMYFUNCTION("""COMPUTED_VALUE"""),"性感染症は正しい知識を知ることで、早期発見や予防につなげることができます。当院では、クラミジアや淋菌などの性感染症や関連する病気について、分かりやすく解説しています。")</f>
        <v>性感染症は正しい知識を知ることで、早期発見や予防につなげることができます。当院では、クラミジアや淋菌などの性感染症や関連する病気について、分かりやすく解説しています。</v>
      </c>
      <c r="C729" s="31" t="str">
        <f>IFERROR(__xludf.DUMMYFUNCTION("""COMPUTED_VALUE"""),"郵送検査/FemCHECK")</f>
        <v>郵送検査/FemCHECK</v>
      </c>
      <c r="D729" s="31" t="str">
        <f>IFERROR(__xludf.DUMMYFUNCTION("""COMPUTED_VALUE"""),"性感染症,性病 種類,STD 解説")</f>
        <v>性感染症,性病 種類,STD 解説</v>
      </c>
      <c r="E729" s="32" t="str">
        <f>IFERROR(__xludf.DUMMYFUNCTION("""COMPUTED_VALUE"""),"https://luna-dr.com/femcheck/about/")</f>
        <v>https://luna-dr.com/femcheck/about/</v>
      </c>
    </row>
    <row r="730">
      <c r="A730" s="31" t="str">
        <f>IFERROR(__xludf.DUMMYFUNCTION("""COMPUTED_VALUE"""),"症状がなければ、性感染症の検査は必要ないですか？")</f>
        <v>症状がなければ、性感染症の検査は必要ないですか？</v>
      </c>
      <c r="B730" s="31" t="str">
        <f>IFERROR(__xludf.DUMMYFUNCTION("""COMPUTED_VALUE"""),"性感染症は、感染していても症状が出にくいことが多く、自覚がないまま進行する場合があります。気づかないうちにパートナーへ感染させたり、不妊症の原因になることもあるため、感染の機会があった場合は症状がなくても検査を受けることが大切で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amp;"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f>
        <v>性感染症は、感染していても症状が出にくいことが多く、自覚がないまま進行する場合があります。気づかないうちにパートナーへ感染させたり、不妊症の原因になることもあるため、感染の機会があった場合は症状がなくても検査を受けることが大切で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730" s="31" t="str">
        <f>IFERROR(__xludf.DUMMYFUNCTION("""COMPUTED_VALUE"""),"郵送検査/FemCHECK")</f>
        <v>郵送検査/FemCHECK</v>
      </c>
      <c r="D730" s="31" t="str">
        <f>IFERROR(__xludf.DUMMYFUNCTION("""COMPUTED_VALUE"""),"性感染症 検査,無症状 性病,STD 検査")</f>
        <v>性感染症 検査,無症状 性病,STD 検査</v>
      </c>
      <c r="E730" s="32" t="str">
        <f>IFERROR(__xludf.DUMMYFUNCTION("""COMPUTED_VALUE"""),"https://luna-dr.com/femcheck/about/")</f>
        <v>https://luna-dr.com/femcheck/about/</v>
      </c>
    </row>
    <row r="731">
      <c r="A731" s="31" t="str">
        <f>IFERROR(__xludf.DUMMYFUNCTION("""COMPUTED_VALUE"""),"パートナーが性感染症に感染しました。自分はどうすればよいですか？")</f>
        <v>パートナーが性感染症に感染しました。自分はどうすればよいですか？</v>
      </c>
      <c r="B731" s="31" t="str">
        <f>IFERROR(__xludf.DUMMYFUNCTION("""COMPUTED_VALUE"""),"性感染症は、精液や腟分泌液、血液などを介して感染します。コンドームなどの予防をしていなかった場合は、ご自身も感染している可能性があるため、検査を受けることをおすすめします。")</f>
        <v>性感染症は、精液や腟分泌液、血液などを介して感染します。コンドームなどの予防をしていなかった場合は、ご自身も感染している可能性があるため、検査を受けることをおすすめします。</v>
      </c>
      <c r="C731" s="31" t="str">
        <f>IFERROR(__xludf.DUMMYFUNCTION("""COMPUTED_VALUE"""),"郵送検査/FemCHECK")</f>
        <v>郵送検査/FemCHECK</v>
      </c>
      <c r="D731" s="31" t="str">
        <f>IFERROR(__xludf.DUMMYFUNCTION("""COMPUTED_VALUE"""),"パートナー 性病,性感染症 感染,検査")</f>
        <v>パートナー 性病,性感染症 感染,検査</v>
      </c>
      <c r="E731" s="32" t="str">
        <f>IFERROR(__xludf.DUMMYFUNCTION("""COMPUTED_VALUE"""),"https://luna-dr.com/femcheck/about/")</f>
        <v>https://luna-dr.com/femcheck/about/</v>
      </c>
    </row>
    <row r="732">
      <c r="A732" s="31" t="str">
        <f>IFERROR(__xludf.DUMMYFUNCTION("""COMPUTED_VALUE"""),"陽性だった場合、検査結果を病院に持参すれば再検査は不要ですか？")</f>
        <v>陽性だった場合、検査結果を病院に持参すれば再検査は不要ですか？</v>
      </c>
      <c r="B732" s="31" t="str">
        <f>IFERROR(__xludf.DUMMYFUNCTION("""COMPUTED_VALUE"""),"FemCHECKがご紹介する提携医療機関で診療を受ける場合、原則として再検査は不要です。ただし、他の医療機関で治療を受ける場合は、医師の判断により再検査を行うことがあります。")</f>
        <v>FemCHECKがご紹介する提携医療機関で診療を受ける場合、原則として再検査は不要です。ただし、他の医療機関で治療を受ける場合は、医師の判断により再検査を行うことがあります。</v>
      </c>
      <c r="C732" s="31" t="str">
        <f>IFERROR(__xludf.DUMMYFUNCTION("""COMPUTED_VALUE"""),"郵送検査/FemCHECK")</f>
        <v>郵送検査/FemCHECK</v>
      </c>
      <c r="D732" s="31" t="str">
        <f>IFERROR(__xludf.DUMMYFUNCTION("""COMPUTED_VALUE"""),"性病 陽性,再検査,検査結果")</f>
        <v>性病 陽性,再検査,検査結果</v>
      </c>
      <c r="E732" s="32" t="str">
        <f>IFERROR(__xludf.DUMMYFUNCTION("""COMPUTED_VALUE"""),"https://luna-dr.com/femcheck/about/")</f>
        <v>https://luna-dr.com/femcheck/about/</v>
      </c>
    </row>
    <row r="733">
      <c r="A733" s="31" t="str">
        <f>IFERROR(__xludf.DUMMYFUNCTION("""COMPUTED_VALUE"""),"共同浴場の椅子で性感染症にうつることはありますか？")</f>
        <v>共同浴場の椅子で性感染症にうつることはありますか？</v>
      </c>
      <c r="B733" s="31" t="str">
        <f>IFERROR(__xludf.DUMMYFUNCTION("""COMPUTED_VALUE"""),"性感染症は、病原体を含む精液や腟分泌液、血液などが粘膜や皮膚に接触することで感染します。そのため、一般的に共同浴場の椅子で感染することは考えられていません。")</f>
        <v>性感染症は、病原体を含む精液や腟分泌液、血液などが粘膜や皮膚に接触することで感染します。そのため、一般的に共同浴場の椅子で感染することは考えられていません。</v>
      </c>
      <c r="C733" s="31" t="str">
        <f>IFERROR(__xludf.DUMMYFUNCTION("""COMPUTED_VALUE"""),"郵送検査/FemCHECK")</f>
        <v>郵送検査/FemCHECK</v>
      </c>
      <c r="D733" s="31" t="str">
        <f>IFERROR(__xludf.DUMMYFUNCTION("""COMPUTED_VALUE"""),"性感染症 うつる,温泉 性病,感染経路")</f>
        <v>性感染症 うつる,温泉 性病,感染経路</v>
      </c>
      <c r="E733" s="32" t="str">
        <f>IFERROR(__xludf.DUMMYFUNCTION("""COMPUTED_VALUE"""),"https://luna-dr.com/femcheck/about/")</f>
        <v>https://luna-dr.com/femcheck/about/</v>
      </c>
    </row>
    <row r="734">
      <c r="A734" s="31" t="str">
        <f>IFERROR(__xludf.DUMMYFUNCTION("""COMPUTED_VALUE"""),"使用したホテルの玩具が消毒されていなかったら感染しますか？")</f>
        <v>使用したホテルの玩具が消毒されていなかったら感染しますか？</v>
      </c>
      <c r="B734" s="31" t="str">
        <f>IFERROR(__xludf.DUMMYFUNCTION("""COMPUTED_VALUE"""),"性感染症は、精液や腟分泌液などが粘膜に直接触れることで感染します。一般的には、消毒されていない玩具から感染する可能性は低いと考えられますが、気になる場合は使用前に洗浄することをおすすめします。")</f>
        <v>性感染症は、精液や腟分泌液などが粘膜に直接触れることで感染します。一般的には、消毒されていない玩具から感染する可能性は低いと考えられますが、気になる場合は使用前に洗浄することをおすすめします。</v>
      </c>
      <c r="C734" s="31" t="str">
        <f>IFERROR(__xludf.DUMMYFUNCTION("""COMPUTED_VALUE"""),"郵送検査/FemCHECK")</f>
        <v>郵送検査/FemCHECK</v>
      </c>
      <c r="D734" s="31" t="str">
        <f>IFERROR(__xludf.DUMMYFUNCTION("""COMPUTED_VALUE"""),"性病 感染経路,玩具 性病,STD")</f>
        <v>性病 感染経路,玩具 性病,STD</v>
      </c>
      <c r="E734" s="32" t="str">
        <f>IFERROR(__xludf.DUMMYFUNCTION("""COMPUTED_VALUE"""),"https://luna-dr.com/femcheck/about/")</f>
        <v>https://luna-dr.com/femcheck/about/</v>
      </c>
    </row>
    <row r="735">
      <c r="A735" s="31" t="str">
        <f>IFERROR(__xludf.DUMMYFUNCTION("""COMPUTED_VALUE"""),"感染を予防するためには何をすればいいですか？")</f>
        <v>感染を予防するためには何をすればいいですか？</v>
      </c>
      <c r="B735" s="31" t="str">
        <f>IFERROR(__xludf.DUMMYFUNCTION("""COMPUTED_VALUE"""),"最も現実的で効果的な予防方法は、コンドームを正しく使用することです。また、性行為の相手を限定することも感染リスクを下げることにつながります。")</f>
        <v>最も現実的で効果的な予防方法は、コンドームを正しく使用することです。また、性行為の相手を限定することも感染リスクを下げることにつながります。</v>
      </c>
      <c r="C735" s="31" t="str">
        <f>IFERROR(__xludf.DUMMYFUNCTION("""COMPUTED_VALUE"""),"郵送検査/FemCHECK")</f>
        <v>郵送検査/FemCHECK</v>
      </c>
      <c r="D735" s="31" t="str">
        <f>IFERROR(__xludf.DUMMYFUNCTION("""COMPUTED_VALUE"""),"性感染症 予防,コンドーム,性病 防止")</f>
        <v>性感染症 予防,コンドーム,性病 防止</v>
      </c>
      <c r="E735" s="32" t="str">
        <f>IFERROR(__xludf.DUMMYFUNCTION("""COMPUTED_VALUE"""),"https://luna-dr.com/femcheck/about/")</f>
        <v>https://luna-dr.com/femcheck/about/</v>
      </c>
    </row>
    <row r="736">
      <c r="A736" s="31" t="str">
        <f>IFERROR(__xludf.DUMMYFUNCTION("""COMPUTED_VALUE"""),"妊娠したら子どもにも感染しますか？")</f>
        <v>妊娠したら子どもにも感染しますか？</v>
      </c>
      <c r="B736" s="31" t="str">
        <f>IFERROR(__xludf.DUMMYFUNCTION("""COMPUTED_VALUE"""),"妊娠中に性感染症に感染している場合、赤ちゃんに感染することがあります。妊婦健診では性感染症の検査も行われますので、必ず定期的に健診を受けましょう。")</f>
        <v>妊娠中に性感染症に感染している場合、赤ちゃんに感染することがあります。妊婦健診では性感染症の検査も行われますので、必ず定期的に健診を受けましょう。</v>
      </c>
      <c r="C736" s="31" t="str">
        <f>IFERROR(__xludf.DUMMYFUNCTION("""COMPUTED_VALUE"""),"郵送検査/FemCHECK")</f>
        <v>郵送検査/FemCHECK</v>
      </c>
      <c r="D736" s="31" t="str">
        <f>IFERROR(__xludf.DUMMYFUNCTION("""COMPUTED_VALUE"""),"妊娠 性感染症,母子感染,妊婦健診")</f>
        <v>妊娠 性感染症,母子感染,妊婦健診</v>
      </c>
      <c r="E736" s="32" t="str">
        <f>IFERROR(__xludf.DUMMYFUNCTION("""COMPUTED_VALUE"""),"https://luna-dr.com/femcheck/about/")</f>
        <v>https://luna-dr.com/femcheck/about/</v>
      </c>
    </row>
    <row r="737">
      <c r="A737" s="31" t="str">
        <f>IFERROR(__xludf.DUMMYFUNCTION("""COMPUTED_VALUE"""),"同性との性行為でも感染することはありますか？")</f>
        <v>同性との性行為でも感染することはありますか？</v>
      </c>
      <c r="B737" s="31" t="str">
        <f>IFERROR(__xludf.DUMMYFUNCTION("""COMPUTED_VALUE"""),"あります。性感染症は粘膜同士の接触や体液を介して感染するため、男性同士・女性同士の性行為であっても感染する可能性がありま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amp;"、当院では乳房に関する診療（乳がん検診・乳腺外来など）、更年期障害の治療、不妊治療、体重100kg以上の方への診療、救急対応（緊急搬送・急性期対応）は行っておりませんのであらかじめご了承くださいませ。")</f>
        <v>あります。性感染症は粘膜同士の接触や体液を介して感染するため、男性同士・女性同士の性行為であっても感染する可能性がありま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737" s="31" t="str">
        <f>IFERROR(__xludf.DUMMYFUNCTION("""COMPUTED_VALUE"""),"郵送検査/FemCHECK")</f>
        <v>郵送検査/FemCHECK</v>
      </c>
      <c r="D737" s="31" t="str">
        <f>IFERROR(__xludf.DUMMYFUNCTION("""COMPUTED_VALUE"""),"同性 性病,性感染症 同性,STD")</f>
        <v>同性 性病,性感染症 同性,STD</v>
      </c>
      <c r="E737" s="32" t="str">
        <f>IFERROR(__xludf.DUMMYFUNCTION("""COMPUTED_VALUE"""),"https://luna-dr.com/femcheck/about/")</f>
        <v>https://luna-dr.com/femcheck/about/</v>
      </c>
    </row>
    <row r="738">
      <c r="A738" s="31" t="str">
        <f>IFERROR(__xludf.DUMMYFUNCTION("""COMPUTED_VALUE"""),"パートナーが1人だけでも性感染症に感染することはありますか？")</f>
        <v>パートナーが1人だけでも性感染症に感染することはありますか？</v>
      </c>
      <c r="B738" s="31" t="str">
        <f>IFERROR(__xludf.DUMMYFUNCTION("""COMPUTED_VALUE"""),"お互いに検査を受け、感染していないことが確認できていれば感染の可能性は低いですが、確認ができていない場合は、パートナーが1人でも感染する可能性はありま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amp;"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f>
        <v>お互いに検査を受け、感染していないことが確認できていれば感染の可能性は低いですが、確認ができていない場合は、パートナーが1人でも感染する可能性はありま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738" s="31" t="str">
        <f>IFERROR(__xludf.DUMMYFUNCTION("""COMPUTED_VALUE"""),"郵送検査/FemCHECK")</f>
        <v>郵送検査/FemCHECK</v>
      </c>
      <c r="D738" s="31" t="str">
        <f>IFERROR(__xludf.DUMMYFUNCTION("""COMPUTED_VALUE"""),"性病 パートナー1人,性感染症 リスク")</f>
        <v>性病 パートナー1人,性感染症 リスク</v>
      </c>
      <c r="E738" s="32" t="str">
        <f>IFERROR(__xludf.DUMMYFUNCTION("""COMPUTED_VALUE"""),"https://luna-dr.com/femcheck/about/")</f>
        <v>https://luna-dr.com/femcheck/about/</v>
      </c>
    </row>
    <row r="739">
      <c r="A739" s="31" t="str">
        <f>IFERROR(__xludf.DUMMYFUNCTION("""COMPUTED_VALUE"""),"郵送検査はいつ発送されますか？/FemCHECKはいつ発送されますか？/おりもの検査はいつ発送されますか？")</f>
        <v>郵送検査はいつ発送されますか？/FemCHECKはいつ発送されますか？/おりもの検査はいつ発送されますか？</v>
      </c>
      <c r="B739" s="31" t="str">
        <f>IFERROR(__xludf.DUMMYFUNCTION("""COMPUTED_VALUE"""),"14時までにご注文いただいた場合は、当日中に発送いたします。14時以降のご注文は翌日の発送となります。なお、年末年始は発送を行っておりませんので、あらかじめご了承ください。")</f>
        <v>14時までにご注文いただいた場合は、当日中に発送いたします。14時以降のご注文は翌日の発送となります。なお、年末年始は発送を行っておりませんので、あらかじめご了承ください。</v>
      </c>
      <c r="C739" s="31" t="str">
        <f>IFERROR(__xludf.DUMMYFUNCTION("""COMPUTED_VALUE"""),"郵送検査/FemCHECK")</f>
        <v>郵送検査/FemCHECK</v>
      </c>
      <c r="D739" s="31" t="str">
        <f>IFERROR(__xludf.DUMMYFUNCTION("""COMPUTED_VALUE"""),"郵送検査 発送,FemCHECK 発送,おりもの検査 配送")</f>
        <v>郵送検査 発送,FemCHECK 発送,おりもの検査 配送</v>
      </c>
      <c r="E739" s="32" t="str">
        <f>IFERROR(__xludf.DUMMYFUNCTION("""COMPUTED_VALUE"""),"https://luna-dr.com/femcheck/deliver/")</f>
        <v>https://luna-dr.com/femcheck/deliver/</v>
      </c>
    </row>
    <row r="740">
      <c r="A740" s="31" t="str">
        <f>IFERROR(__xludf.DUMMYFUNCTION("""COMPUTED_VALUE"""),"郵送検査を土日や祝日に注文した場合はどうなりますか？/FemCHECKを土日や祝日に注文した場合はどうなりますか？/おりもの検査を土日や祝日に注文した場合はどうなりますか？")</f>
        <v>郵送検査を土日や祝日に注文した場合はどうなりますか？/FemCHECKを土日や祝日に注文した場合はどうなりますか？/おりもの検査を土日や祝日に注文した場合はどうなりますか？</v>
      </c>
      <c r="B740" s="31" t="str">
        <f>IFERROR(__xludf.DUMMYFUNCTION("""COMPUTED_VALUE"""),"土日・祝日に14時までにご注文いただいた場合も、原則として当日発送となります。14時以降のご注文は翌日の発送となります。")</f>
        <v>土日・祝日に14時までにご注文いただいた場合も、原則として当日発送となります。14時以降のご注文は翌日の発送となります。</v>
      </c>
      <c r="C740" s="31" t="str">
        <f>IFERROR(__xludf.DUMMYFUNCTION("""COMPUTED_VALUE"""),"郵送検査/FemCHECK")</f>
        <v>郵送検査/FemCHECK</v>
      </c>
      <c r="D740" s="31" t="str">
        <f>IFERROR(__xludf.DUMMYFUNCTION("""COMPUTED_VALUE"""),"土日 発送,祝日 発送,検査キット 配送")</f>
        <v>土日 発送,祝日 発送,検査キット 配送</v>
      </c>
      <c r="E740" s="32" t="str">
        <f>IFERROR(__xludf.DUMMYFUNCTION("""COMPUTED_VALUE"""),"https://luna-dr.com/femcheck/deliver/")</f>
        <v>https://luna-dr.com/femcheck/deliver/</v>
      </c>
    </row>
    <row r="741">
      <c r="A741" s="31" t="str">
        <f>IFERROR(__xludf.DUMMYFUNCTION("""COMPUTED_VALUE"""),"郵送検査を14時以降に注文した場合はどうなりますか？/FemCHECKを14時以降に注文した場合はどうなりますか？/おりもの検査を14時以降に注文した場合はどうなりますか？")</f>
        <v>郵送検査を14時以降に注文した場合はどうなりますか？/FemCHECKを14時以降に注文した場合はどうなりますか？/おりもの検査を14時以降に注文した場合はどうなりますか？</v>
      </c>
      <c r="B741" s="31" t="str">
        <f>IFERROR(__xludf.DUMMYFUNCTION("""COMPUTED_VALUE"""),"14時以降にご注文いただいた場合は、翌日の発送となります。お急ぎの場合は、14時までのご注文をおすすめします。")</f>
        <v>14時以降にご注文いただいた場合は、翌日の発送となります。お急ぎの場合は、14時までのご注文をおすすめします。</v>
      </c>
      <c r="C741" s="31" t="str">
        <f>IFERROR(__xludf.DUMMYFUNCTION("""COMPUTED_VALUE"""),"郵送検査/FemCHECK")</f>
        <v>郵送検査/FemCHECK</v>
      </c>
      <c r="D741" s="31" t="str">
        <f>IFERROR(__xludf.DUMMYFUNCTION("""COMPUTED_VALUE"""),"14時以降 注文,翌日発送")</f>
        <v>14時以降 注文,翌日発送</v>
      </c>
      <c r="E741" s="32" t="str">
        <f>IFERROR(__xludf.DUMMYFUNCTION("""COMPUTED_VALUE"""),"https://luna-dr.com/femcheck/deliver/")</f>
        <v>https://luna-dr.com/femcheck/deliver/</v>
      </c>
    </row>
    <row r="742">
      <c r="A742" s="31" t="str">
        <f>IFERROR(__xludf.DUMMYFUNCTION("""COMPUTED_VALUE"""),"郵送検査の支払い方法を教えてください。/FemCHECKの支払い方法を教えてください。/おりもの検査の支払い方法を教えてください。")</f>
        <v>郵送検査の支払い方法を教えてください。/FemCHECKの支払い方法を教えてください。/おりもの検査の支払い方法を教えてください。</v>
      </c>
      <c r="B742" s="31" t="str">
        <f>IFERROR(__xludf.DUMMYFUNCTION("""COMPUTED_VALUE"""),"お支払い方法はクレジットカード決済のみ対応しております。
※「リボ払い」「ボーナス一括払い」のお取り扱いはございません。")</f>
        <v>お支払い方法はクレジットカード決済のみ対応しております。
※「リボ払い」「ボーナス一括払い」のお取り扱いはございません。</v>
      </c>
      <c r="C742" s="31" t="str">
        <f>IFERROR(__xludf.DUMMYFUNCTION("""COMPUTED_VALUE"""),"郵送検査/FemCHECK")</f>
        <v>郵送検査/FemCHECK</v>
      </c>
      <c r="D742" s="31" t="str">
        <f>IFERROR(__xludf.DUMMYFUNCTION("""COMPUTED_VALUE"""),"支払い方法,クレジットカード決済,FemCHECK,郵送検査,検査キット")</f>
        <v>支払い方法,クレジットカード決済,FemCHECK,郵送検査,検査キット</v>
      </c>
      <c r="E742" s="32" t="str">
        <f>IFERROR(__xludf.DUMMYFUNCTION("""COMPUTED_VALUE"""),"https://luna-dr.com/femcheck/deliver/")</f>
        <v>https://luna-dr.com/femcheck/deliver/</v>
      </c>
    </row>
    <row r="743">
      <c r="A743" s="31" t="str">
        <f>IFERROR(__xludf.DUMMYFUNCTION("""COMPUTED_VALUE"""),"郵送検査のカード決済に手数料はかかりますか？/FemCHECKのカード決済に手数料はかかりますか？/おりもの検査のカード決済に手数料はかかりますか？")</f>
        <v>郵送検査のカード決済に手数料はかかりますか？/FemCHECKのカード決済に手数料はかかりますか？/おりもの検査のカード決済に手数料はかかりますか？</v>
      </c>
      <c r="B743" s="31" t="str">
        <f>IFERROR(__xludf.DUMMYFUNCTION("""COMPUTED_VALUE"""),"クレジットカード決済に手数料はかかりません。表示されている金額のみでご利用いただけます。")</f>
        <v>クレジットカード決済に手数料はかかりません。表示されている金額のみでご利用いただけます。</v>
      </c>
      <c r="C743" s="31" t="str">
        <f>IFERROR(__xludf.DUMMYFUNCTION("""COMPUTED_VALUE"""),"郵送検査/FemCHECK")</f>
        <v>郵送検査/FemCHECK</v>
      </c>
      <c r="D743" s="31" t="str">
        <f>IFERROR(__xludf.DUMMYFUNCTION("""COMPUTED_VALUE"""),"カード決済 手数料,無料")</f>
        <v>カード決済 手数料,無料</v>
      </c>
      <c r="E743" s="32" t="str">
        <f>IFERROR(__xludf.DUMMYFUNCTION("""COMPUTED_VALUE"""),"https://luna-dr.com/femcheck/deliver/")</f>
        <v>https://luna-dr.com/femcheck/deliver/</v>
      </c>
    </row>
    <row r="744">
      <c r="A744" s="31" t="str">
        <f>IFERROR(__xludf.DUMMYFUNCTION("""COMPUTED_VALUE"""),"郵送検査で使えるクレジットカード会社を教えてください。/FemCHECKで使えるクレジットカード会社を教えてください。/おりもの検査で使えるクレジットカード会社を教えてください。")</f>
        <v>郵送検査で使えるクレジットカード会社を教えてください。/FemCHECKで使えるクレジットカード会社を教えてください。/おりもの検査で使えるクレジットカード会社を教えてください。</v>
      </c>
      <c r="B744" s="31" t="str">
        <f>IFERROR(__xludf.DUMMYFUNCTION("""COMPUTED_VALUE"""),"VISA、Mastercard、JCB、American Express（AMEX）のクレジットカードをご利用いただけます。")</f>
        <v>VISA、Mastercard、JCB、American Express（AMEX）のクレジットカードをご利用いただけます。</v>
      </c>
      <c r="C744" s="31" t="str">
        <f>IFERROR(__xludf.DUMMYFUNCTION("""COMPUTED_VALUE"""),"郵送検査/FemCHECK")</f>
        <v>郵送検査/FemCHECK</v>
      </c>
      <c r="D744" s="31" t="str">
        <f>IFERROR(__xludf.DUMMYFUNCTION("""COMPUTED_VALUE"""),"対応カード,VISA,MASTER,JCB,AMEX")</f>
        <v>対応カード,VISA,MASTER,JCB,AMEX</v>
      </c>
      <c r="E744" s="32" t="str">
        <f>IFERROR(__xludf.DUMMYFUNCTION("""COMPUTED_VALUE"""),"https://luna-dr.com/femcheck/deliver/")</f>
        <v>https://luna-dr.com/femcheck/deliver/</v>
      </c>
    </row>
    <row r="745">
      <c r="A745" s="31" t="str">
        <f>IFERROR(__xludf.DUMMYFUNCTION("""COMPUTED_VALUE"""),"郵送検査は分割払いできますか？/FemCHECKは分割払いできますか？/おりもの検査は分割払いできますか？")</f>
        <v>郵送検査は分割払いできますか？/FemCHECKは分割払いできますか？/おりもの検査は分割払いできますか？</v>
      </c>
      <c r="B745" s="31" t="str">
        <f>IFERROR(__xludf.DUMMYFUNCTION("""COMPUTED_VALUE"""),"お支払いは一括払いのみ対応しております。リボ払い・ボーナス一括払いはご利用いただけませんので、ご了承ください。")</f>
        <v>お支払いは一括払いのみ対応しております。リボ払い・ボーナス一括払いはご利用いただけませんので、ご了承ください。</v>
      </c>
      <c r="C745" s="31" t="str">
        <f>IFERROR(__xludf.DUMMYFUNCTION("""COMPUTED_VALUE"""),"郵送検査/FemCHECK")</f>
        <v>郵送検査/FemCHECK</v>
      </c>
      <c r="D745" s="31" t="str">
        <f>IFERROR(__xludf.DUMMYFUNCTION("""COMPUTED_VALUE"""),"一括払い,分割不可,支払い回数")</f>
        <v>一括払い,分割不可,支払い回数</v>
      </c>
      <c r="E745" s="32" t="str">
        <f>IFERROR(__xludf.DUMMYFUNCTION("""COMPUTED_VALUE"""),"https://luna-dr.com/femcheck/deliver/")</f>
        <v>https://luna-dr.com/femcheck/deliver/</v>
      </c>
    </row>
    <row r="746">
      <c r="A746" s="31" t="str">
        <f>IFERROR(__xludf.DUMMYFUNCTION("""COMPUTED_VALUE"""),"郵送検査の送料はかかりますか？/FemCHECKの送料はかかりますか？/おりもの検査の送料はかかりますか？")</f>
        <v>郵送検査の送料はかかりますか？/FemCHECKの送料はかかりますか？/おりもの検査の送料はかかりますか？</v>
      </c>
      <c r="B746" s="31" t="str">
        <f>IFERROR(__xludf.DUMMYFUNCTION("""COMPUTED_VALUE"""),"送料はかかりません。全国どこでも送料無料でお届けいたします。")</f>
        <v>送料はかかりません。全国どこでも送料無料でお届けいたします。</v>
      </c>
      <c r="C746" s="31" t="str">
        <f>IFERROR(__xludf.DUMMYFUNCTION("""COMPUTED_VALUE"""),"郵送検査/FemCHECK")</f>
        <v>郵送検査/FemCHECK</v>
      </c>
      <c r="D746" s="31" t="str">
        <f>IFERROR(__xludf.DUMMYFUNCTION("""COMPUTED_VALUE"""),"送料無料,送料 無料,検査キット 配送")</f>
        <v>送料無料,送料 無料,検査キット 配送</v>
      </c>
      <c r="E746" s="32" t="str">
        <f>IFERROR(__xludf.DUMMYFUNCTION("""COMPUTED_VALUE"""),"https://luna-dr.com/femcheck/faq/")</f>
        <v>https://luna-dr.com/femcheck/faq/</v>
      </c>
    </row>
    <row r="747">
      <c r="A747" s="31" t="str">
        <f>IFERROR(__xludf.DUMMYFUNCTION("""COMPUTED_VALUE"""),"郵送検査は電話で注文できますか？/FemCHECKは電話で注文できますか？/おりもの検査は電話で注文できますか？")</f>
        <v>郵送検査は電話で注文できますか？/FemCHECKは電話で注文できますか？/おりもの検査は電話で注文できますか？</v>
      </c>
      <c r="B747" s="31" t="str">
        <f>IFERROR(__xludf.DUMMYFUNCTION("""COMPUTED_VALUE"""),"申し訳ございませんが、お電話でのご注文は承っておりません。ご注文はインターネットからのみ可能です。")</f>
        <v>申し訳ございませんが、お電話でのご注文は承っておりません。ご注文はインターネットからのみ可能です。</v>
      </c>
      <c r="C747" s="31" t="str">
        <f>IFERROR(__xludf.DUMMYFUNCTION("""COMPUTED_VALUE"""),"郵送検査/FemCHECK")</f>
        <v>郵送検査/FemCHECK</v>
      </c>
      <c r="D747" s="31" t="str">
        <f>IFERROR(__xludf.DUMMYFUNCTION("""COMPUTED_VALUE"""),"電話注文 不可,ネット注文")</f>
        <v>電話注文 不可,ネット注文</v>
      </c>
      <c r="E747" s="32" t="str">
        <f>IFERROR(__xludf.DUMMYFUNCTION("""COMPUTED_VALUE"""),"https://luna-dr.com/femcheck/faq/")</f>
        <v>https://luna-dr.com/femcheck/faq/</v>
      </c>
    </row>
    <row r="748">
      <c r="A748" s="31" t="str">
        <f>IFERROR(__xludf.DUMMYFUNCTION("""COMPUTED_VALUE"""),"郵送検査の返品や不良品はどうすればよいですか？/FemCHECKの返品や不良品はどうすればよいですか？/おりもの検査の返品や不良品はどうすればよいですか？")</f>
        <v>郵送検査の返品や不良品はどうすればよいですか？/FemCHECKの返品や不良品はどうすればよいですか？/おりもの検査の返品や不良品はどうすればよいですか？</v>
      </c>
      <c r="B748" s="31" t="str">
        <f>IFERROR(__xludf.DUMMYFUNCTION("""COMPUTED_VALUE"""),"配送による破損やご注文内容と異なる商品が届いた場合は、商品到着後7日以内にお問い合わせください。商品に欠陥がある場合の返品送料は当方で負担いたします。なお、お客様都合による返品・交換はお受けできません。")</f>
        <v>配送による破損やご注文内容と異なる商品が届いた場合は、商品到着後7日以内にお問い合わせください。商品に欠陥がある場合の返品送料は当方で負担いたします。なお、お客様都合による返品・交換はお受けできません。</v>
      </c>
      <c r="C748" s="31" t="str">
        <f>IFERROR(__xludf.DUMMYFUNCTION("""COMPUTED_VALUE"""),"郵送検査/FemCHECK")</f>
        <v>郵送検査/FemCHECK</v>
      </c>
      <c r="D748" s="31" t="str">
        <f>IFERROR(__xludf.DUMMYFUNCTION("""COMPUTED_VALUE"""),"返品,不良品,交換不可")</f>
        <v>返品,不良品,交換不可</v>
      </c>
      <c r="E748" s="32" t="str">
        <f>IFERROR(__xludf.DUMMYFUNCTION("""COMPUTED_VALUE"""),"https://luna-dr.com/femcheck/faq/")</f>
        <v>https://luna-dr.com/femcheck/faq/</v>
      </c>
    </row>
    <row r="749">
      <c r="A749" s="31" t="str">
        <f>IFERROR(__xludf.DUMMYFUNCTION("""COMPUTED_VALUE"""),"郵送検査で返品できないケースはありますか？/FemCHECKで返品できないケースはありますか？/おりもの検査で返品できないケースはありますか？")</f>
        <v>郵送検査で返品できないケースはありますか？/FemCHECKで返品できないケースはありますか？/おりもの検査で返品できないケースはありますか？</v>
      </c>
      <c r="B749" s="31" t="str">
        <f>IFERROR(__xludf.DUMMYFUNCTION("""COMPUTED_VALUE"""),"商品到着後8日以上経過した商品、開封済み・使用済みの商品、お客様による汚損・破損が生じた商品については、返品をお受けできません。")</f>
        <v>商品到着後8日以上経過した商品、開封済み・使用済みの商品、お客様による汚損・破損が生じた商品については、返品をお受けできません。</v>
      </c>
      <c r="C749" s="31" t="str">
        <f>IFERROR(__xludf.DUMMYFUNCTION("""COMPUTED_VALUE"""),"郵送検査/FemCHECK")</f>
        <v>郵送検査/FemCHECK</v>
      </c>
      <c r="D749" s="31" t="str">
        <f>IFERROR(__xludf.DUMMYFUNCTION("""COMPUTED_VALUE"""),"返品不可,使用済み,開封済み")</f>
        <v>返品不可,使用済み,開封済み</v>
      </c>
      <c r="E749" s="32" t="str">
        <f>IFERROR(__xludf.DUMMYFUNCTION("""COMPUTED_VALUE"""),"https://luna-dr.com/femcheck/faq/")</f>
        <v>https://luna-dr.com/femcheck/faq/</v>
      </c>
    </row>
    <row r="750">
      <c r="A750" s="31" t="str">
        <f>IFERROR(__xludf.DUMMYFUNCTION("""COMPUTED_VALUE"""),"郵送検査のプライバシーは守られていますか？/FemCHECKのプライバシーは守られていますか？/おりもの検査のプライバシーは守られていますか？")</f>
        <v>郵送検査のプライバシーは守られていますか？/FemCHECKのプライバシーは守られていますか？/おりもの検査のプライバシーは守られていますか？</v>
      </c>
      <c r="B750" s="31" t="str">
        <f>IFERROR(__xludf.DUMMYFUNCTION("""COMPUTED_VALUE"""),"検査キットは中身が分からない梱包と伝票でお届けします。また、病院のカルテ管理と同様のセキュリティ体制で個人情報を管理し、検体検査はID管理で行うなど、プライバシーに最大限配慮しています。")</f>
        <v>検査キットは中身が分からない梱包と伝票でお届けします。また、病院のカルテ管理と同様のセキュリティ体制で個人情報を管理し、検体検査はID管理で行うなど、プライバシーに最大限配慮しています。</v>
      </c>
      <c r="C750" s="31" t="str">
        <f>IFERROR(__xludf.DUMMYFUNCTION("""COMPUTED_VALUE"""),"郵送検査/FemCHECK")</f>
        <v>郵送検査/FemCHECK</v>
      </c>
      <c r="D750" s="31" t="str">
        <f>IFERROR(__xludf.DUMMYFUNCTION("""COMPUTED_VALUE"""),"匿名,プライバシー,梱包 配慮")</f>
        <v>匿名,プライバシー,梱包 配慮</v>
      </c>
      <c r="E750" s="32" t="str">
        <f>IFERROR(__xludf.DUMMYFUNCTION("""COMPUTED_VALUE"""),"https://luna-dr.com/femcheck/faq/")</f>
        <v>https://luna-dr.com/femcheck/faq/</v>
      </c>
    </row>
    <row r="751">
      <c r="A751" s="31" t="str">
        <f>IFERROR(__xludf.DUMMYFUNCTION("""COMPUTED_VALUE"""),"郵送検査で入力した個人情報は守られていますか？/FemCHECKで入力した個人情報は守られていますか？/おりもの検査で入力した個人情報は守られていますか？")</f>
        <v>郵送検査で入力した個人情報は守られていますか？/FemCHECKで入力した個人情報は守られていますか？/おりもの検査で入力した個人情報は守られていますか？</v>
      </c>
      <c r="B751" s="31" t="str">
        <f>IFERROR(__xludf.DUMMYFUNCTION("""COMPUTED_VALUE"""),"当社では個人情報の重要性を認識し、漏洩防止のため厳重な管理体制を整えています。詳細はプライバシーポリシーをご確認ください。")</f>
        <v>当社では個人情報の重要性を認識し、漏洩防止のため厳重な管理体制を整えています。詳細はプライバシーポリシーをご確認ください。</v>
      </c>
      <c r="C751" s="31" t="str">
        <f>IFERROR(__xludf.DUMMYFUNCTION("""COMPUTED_VALUE"""),"郵送検査/FemCHECK")</f>
        <v>郵送検査/FemCHECK</v>
      </c>
      <c r="D751" s="31" t="str">
        <f>IFERROR(__xludf.DUMMYFUNCTION("""COMPUTED_VALUE"""),"個人情報,セキュリティ")</f>
        <v>個人情報,セキュリティ</v>
      </c>
      <c r="E751" s="32" t="str">
        <f>IFERROR(__xludf.DUMMYFUNCTION("""COMPUTED_VALUE"""),"https://luna-dr.com/femcheck/faq/")</f>
        <v>https://luna-dr.com/femcheck/faq/</v>
      </c>
    </row>
    <row r="752">
      <c r="A752" s="31" t="str">
        <f>IFERROR(__xludf.DUMMYFUNCTION("""COMPUTED_VALUE"""),"郵送検査で陽性だった場合、結果は他の機関に報告されますか？/FemCHECKで陽性だった場合、結果は他の機関に報告されますか？/おりもの検査で陽性だった場合、結果は他の機関に報告されますか？")</f>
        <v>郵送検査で陽性だった場合、結果は他の機関に報告されますか？/FemCHECKで陽性だった場合、結果は他の機関に報告されますか？/おりもの検査で陽性だった場合、結果は他の機関に報告されますか？</v>
      </c>
      <c r="B752" s="31" t="str">
        <f>IFERROR(__xludf.DUMMYFUNCTION("""COMPUTED_VALUE"""),"検査結果を国や医療機関など第三者に報告することは一切ありません。検査は匿名で実施していますのでご安心ください。")</f>
        <v>検査結果を国や医療機関など第三者に報告することは一切ありません。検査は匿名で実施していますのでご安心ください。</v>
      </c>
      <c r="C752" s="31" t="str">
        <f>IFERROR(__xludf.DUMMYFUNCTION("""COMPUTED_VALUE"""),"郵送検査/FemCHECK")</f>
        <v>郵送検査/FemCHECK</v>
      </c>
      <c r="D752" s="31" t="str">
        <f>IFERROR(__xludf.DUMMYFUNCTION("""COMPUTED_VALUE"""),"匿名検査,結果 共有なし")</f>
        <v>匿名検査,結果 共有なし</v>
      </c>
      <c r="E752" s="32" t="str">
        <f>IFERROR(__xludf.DUMMYFUNCTION("""COMPUTED_VALUE"""),"https://luna-dr.com/femcheck/faq/")</f>
        <v>https://luna-dr.com/femcheck/faq/</v>
      </c>
    </row>
    <row r="753">
      <c r="A753" s="31" t="str">
        <f>IFERROR(__xludf.DUMMYFUNCTION("""COMPUTED_VALUE"""),"郵送検査の「匿名検査」とは何ですか？/FemCHECKの「匿名検査」とは何ですか？/おりもの検査の「匿名検査」とは何ですか？")</f>
        <v>郵送検査の「匿名検査」とは何ですか？/FemCHECKの「匿名検査」とは何ですか？/おりもの検査の「匿名検査」とは何ですか？</v>
      </c>
      <c r="B753" s="31" t="str">
        <f>IFERROR(__xludf.DUMMYFUNCTION("""COMPUTED_VALUE"""),"検査申込時にお名前やご住所の記入は不要です。検体採取器具に貼付するIDコードで管理し、個人を特定せずに検査を行います。")</f>
        <v>検査申込時にお名前やご住所の記入は不要です。検体採取器具に貼付するIDコードで管理し、個人を特定せずに検査を行います。</v>
      </c>
      <c r="C753" s="31" t="str">
        <f>IFERROR(__xludf.DUMMYFUNCTION("""COMPUTED_VALUE"""),"郵送検査/FemCHECK")</f>
        <v>郵送検査/FemCHECK</v>
      </c>
      <c r="D753" s="31" t="str">
        <f>IFERROR(__xludf.DUMMYFUNCTION("""COMPUTED_VALUE"""),"匿名検査,ID管理")</f>
        <v>匿名検査,ID管理</v>
      </c>
      <c r="E753" s="32" t="str">
        <f>IFERROR(__xludf.DUMMYFUNCTION("""COMPUTED_VALUE"""),"https://luna-dr.com/femcheck/faq/")</f>
        <v>https://luna-dr.com/femcheck/faq/</v>
      </c>
    </row>
    <row r="754">
      <c r="A754" s="31" t="str">
        <f>IFERROR(__xludf.DUMMYFUNCTION("""COMPUTED_VALUE"""),"郵送検査の検査精度は信頼できますか？/FemCHECKの検査精度は信頼できますか？/おりもの検査の検査精度は信頼できますか？")</f>
        <v>郵送検査の検査精度は信頼できますか？/FemCHECKの検査精度は信頼できますか？/おりもの検査の検査精度は信頼できますか？</v>
      </c>
      <c r="B754" s="31" t="str">
        <f>IFERROR(__xludf.DUMMYFUNCTION("""COMPUTED_VALUE"""),"検査は医療機関や保健所と同様に、認可を受けた登録衛生検査所で実施しています。安心してご利用ください。")</f>
        <v>検査は医療機関や保健所と同様に、認可を受けた登録衛生検査所で実施しています。安心してご利用ください。</v>
      </c>
      <c r="C754" s="31" t="str">
        <f>IFERROR(__xludf.DUMMYFUNCTION("""COMPUTED_VALUE"""),"郵送検査/FemCHECK")</f>
        <v>郵送検査/FemCHECK</v>
      </c>
      <c r="D754" s="31" t="str">
        <f>IFERROR(__xludf.DUMMYFUNCTION("""COMPUTED_VALUE"""),"検査精度,登録衛生検査所")</f>
        <v>検査精度,登録衛生検査所</v>
      </c>
      <c r="E754" s="32" t="str">
        <f>IFERROR(__xludf.DUMMYFUNCTION("""COMPUTED_VALUE"""),"https://luna-dr.com/femcheck/faq/")</f>
        <v>https://luna-dr.com/femcheck/faq/</v>
      </c>
    </row>
    <row r="755">
      <c r="A755" s="31" t="str">
        <f>IFERROR(__xludf.DUMMYFUNCTION("""COMPUTED_VALUE"""),"郵送検査で陽性だった場合、病院を紹介してもらえますか？/FemCHECKで陽性だった場合、病院を紹介してもらえますか？/おりもの検査で陽性だった場合、病院を紹介してもらえますか？")</f>
        <v>郵送検査で陽性だった場合、病院を紹介してもらえますか？/FemCHECKで陽性だった場合、病院を紹介してもらえますか？/おりもの検査で陽性だった場合、病院を紹介してもらえますか？</v>
      </c>
      <c r="B755" s="31" t="str">
        <f>IFERROR(__xludf.DUMMYFUNCTION("""COMPUTED_VALUE"""),"提携クリニックでのオンライン診療をご利用いただけます。対面診療をご希望の場合は、提携医療機関のご紹介も可能です。")</f>
        <v>提携クリニックでのオンライン診療をご利用いただけます。対面診療をご希望の場合は、提携医療機関のご紹介も可能です。</v>
      </c>
      <c r="C755" s="31" t="str">
        <f>IFERROR(__xludf.DUMMYFUNCTION("""COMPUTED_VALUE"""),"郵送検査/FemCHECK")</f>
        <v>郵送検査/FemCHECK</v>
      </c>
      <c r="D755" s="31" t="str">
        <f>IFERROR(__xludf.DUMMYFUNCTION("""COMPUTED_VALUE"""),"陽性,病院 紹介,オンライン診療")</f>
        <v>陽性,病院 紹介,オンライン診療</v>
      </c>
      <c r="E755" s="32" t="str">
        <f>IFERROR(__xludf.DUMMYFUNCTION("""COMPUTED_VALUE"""),"https://luna-dr.com/femcheck/faq/")</f>
        <v>https://luna-dr.com/femcheck/faq/</v>
      </c>
    </row>
    <row r="756">
      <c r="A756" s="31" t="str">
        <f>IFERROR(__xludf.DUMMYFUNCTION("""COMPUTED_VALUE"""),"郵送検査で陽性だった場合、オンライン診療はどうやって受けますか？/FemCHECKで陽性だった場合、オンライン診療はどうやって受けますか？/おりもの検査で陽性だった場合、オンライン診療はどうやって受けますか？")</f>
        <v>郵送検査で陽性だった場合、オンライン診療はどうやって受けますか？/FemCHECKで陽性だった場合、オンライン診療はどうやって受けますか？/おりもの検査で陽性だった場合、オンライン診療はどうやって受けますか？</v>
      </c>
      <c r="B756" s="31" t="str">
        <f>IFERROR(__xludf.DUMMYFUNCTION("""COMPUTED_VALUE"""),"検査結果ページから、オンライン診療のご案内をご確認いただけます。案内に沿ってご予約ください。検査結果は、[【こちら】](https://result.luna-dr.com/clinic_login?clinic_id=10001)よりご確認いただけます。
※必ず受診クリニックを正しくご選択の上、ご確認ください。")</f>
        <v>検査結果ページから、オンライン診療のご案内をご確認いただけます。案内に沿ってご予約ください。検査結果は、[【こちら】](https://result.luna-dr.com/clinic_login?clinic_id=10001)よりご確認いただけます。
※必ず受診クリニックを正しくご選択の上、ご確認ください。</v>
      </c>
      <c r="C756" s="31" t="str">
        <f>IFERROR(__xludf.DUMMYFUNCTION("""COMPUTED_VALUE"""),"郵送検査/FemCHECK")</f>
        <v>郵送検査/FemCHECK</v>
      </c>
      <c r="D756" s="31" t="str">
        <f>IFERROR(__xludf.DUMMYFUNCTION("""COMPUTED_VALUE"""),"オンライン診療 予約,陽性")</f>
        <v>オンライン診療 予約,陽性</v>
      </c>
      <c r="E756" s="32" t="str">
        <f>IFERROR(__xludf.DUMMYFUNCTION("""COMPUTED_VALUE"""),"https://luna-dr.com/femcheck/faq/")</f>
        <v>https://luna-dr.com/femcheck/faq/</v>
      </c>
    </row>
    <row r="757">
      <c r="A757" s="31" t="str">
        <f>IFERROR(__xludf.DUMMYFUNCTION("""COMPUTED_VALUE"""),"郵送検査で陽性だった場合、薬はもらえますか？/FemCHECKで陽性だった場合、薬はもらえますか？/おりもの検査で陽性だった場合、薬はもらえますか？")</f>
        <v>郵送検査で陽性だった場合、薬はもらえますか？/FemCHECKで陽性だった場合、薬はもらえますか？/おりもの検査で陽性だった場合、薬はもらえますか？</v>
      </c>
      <c r="B757" s="31" t="str">
        <f>IFERROR(__xludf.DUMMYFUNCTION("""COMPUTED_VALUE"""),"オンライン診療にて医師が判断し、必要に応じてお薬を処方します。お薬はご自宅へ郵送されます。")</f>
        <v>オンライン診療にて医師が判断し、必要に応じてお薬を処方します。お薬はご自宅へ郵送されます。</v>
      </c>
      <c r="C757" s="31" t="str">
        <f>IFERROR(__xludf.DUMMYFUNCTION("""COMPUTED_VALUE"""),"郵送検査/FemCHECK")</f>
        <v>郵送検査/FemCHECK</v>
      </c>
      <c r="D757" s="31" t="str">
        <f>IFERROR(__xludf.DUMMYFUNCTION("""COMPUTED_VALUE"""),"薬 処方,郵送")</f>
        <v>薬 処方,郵送</v>
      </c>
      <c r="E757" s="32" t="str">
        <f>IFERROR(__xludf.DUMMYFUNCTION("""COMPUTED_VALUE"""),"https://luna-dr.com/femcheck/faq/")</f>
        <v>https://luna-dr.com/femcheck/faq/</v>
      </c>
    </row>
    <row r="758">
      <c r="A758" s="31" t="str">
        <f>IFERROR(__xludf.DUMMYFUNCTION("""COMPUTED_VALUE"""),"郵送検査で陰性でもオンライン診療は受けられますか？/FemCHECKで陰性でもオンライン診療は受けられますか？/おりもの検査で陰性でもオンライン診療は受けられますか？")</f>
        <v>郵送検査で陰性でもオンライン診療は受けられますか？/FemCHECKで陰性でもオンライン診療は受けられますか？/おりもの検査で陰性でもオンライン診療は受けられますか？</v>
      </c>
      <c r="B758" s="31" t="str">
        <f>IFERROR(__xludf.DUMMYFUNCTION("""COMPUTED_VALUE"""),"可能です。検査結果画面よりオンライン診療のご案内をご確認いただけます。検査結果は、[【こちら】](https://result.luna-dr.com/clinic_login)よりご確認いただけます。
※必ず受診クリニックを正しくご選択の上、ご確認ください。患者番号は、会計時にお渡ししている領収書に記載のある10桁の番号となります。")</f>
        <v>可能です。検査結果画面よりオンライン診療のご案内をご確認いただけます。検査結果は、[【こちら】](https://result.luna-dr.com/clinic_login)よりご確認いただけます。
※必ず受診クリニックを正しくご選択の上、ご確認ください。患者番号は、会計時にお渡ししている領収書に記載のある10桁の番号となります。</v>
      </c>
      <c r="C758" s="31" t="str">
        <f>IFERROR(__xludf.DUMMYFUNCTION("""COMPUTED_VALUE"""),"郵送検査/FemCHECK")</f>
        <v>郵送検査/FemCHECK</v>
      </c>
      <c r="D758" s="31" t="str">
        <f>IFERROR(__xludf.DUMMYFUNCTION("""COMPUTED_VALUE"""),"陰性,オンライン相談")</f>
        <v>陰性,オンライン相談</v>
      </c>
      <c r="E758" s="32" t="str">
        <f>IFERROR(__xludf.DUMMYFUNCTION("""COMPUTED_VALUE"""),"https://luna-dr.com/femcheck/faq/")</f>
        <v>https://luna-dr.com/femcheck/faq/</v>
      </c>
    </row>
    <row r="759">
      <c r="A759" s="31" t="str">
        <f>IFERROR(__xludf.DUMMYFUNCTION("""COMPUTED_VALUE"""),"郵送検査ではパートナーの治療も必要ですか？/FemCHECKではパートナーの治療も必要ですか？/おりもの検査ではパートナーの治療も必要ですか？")</f>
        <v>郵送検査ではパートナーの治療も必要ですか？/FemCHECKではパートナーの治療も必要ですか？/おりもの検査ではパートナーの治療も必要ですか？</v>
      </c>
      <c r="B759" s="31" t="str">
        <f>IFERROR(__xludf.DUMMYFUNCTION("""COMPUTED_VALUE"""),"精液、腟分泌液、血液、患部組織などには原因となる細菌やウイルスが含まれることがあり、コンドームなどで予防していない性行為があった場合は、パートナーにも感染している可能性があります。そのため、この場合はパートナーの方も検査を受けることをおすすめします。")</f>
        <v>精液、腟分泌液、血液、患部組織などには原因となる細菌やウイルスが含まれることがあり、コンドームなどで予防していない性行為があった場合は、パートナーにも感染している可能性があります。そのため、この場合はパートナーの方も検査を受けることをおすすめします。</v>
      </c>
      <c r="C759" s="31" t="str">
        <f>IFERROR(__xludf.DUMMYFUNCTION("""COMPUTED_VALUE"""),"郵送検査/FemCHECK")</f>
        <v>郵送検査/FemCHECK</v>
      </c>
      <c r="D759" s="31" t="str">
        <f>IFERROR(__xludf.DUMMYFUNCTION("""COMPUTED_VALUE"""),"パートナー治療,再感染,ピンポン感染")</f>
        <v>パートナー治療,再感染,ピンポン感染</v>
      </c>
      <c r="E759" s="32" t="str">
        <f>IFERROR(__xludf.DUMMYFUNCTION("""COMPUTED_VALUE"""),"https://luna-dr.com/femcheck/faq/")</f>
        <v>https://luna-dr.com/femcheck/faq/</v>
      </c>
    </row>
    <row r="760">
      <c r="A760" s="31" t="str">
        <f>IFERROR(__xludf.DUMMYFUNCTION("""COMPUTED_VALUE"""),"郵送検査の検査結果は正しいですか？/FemCHECKの検査結果は正しいですか？/おりもの検査の検査結果は正しいですか？")</f>
        <v>郵送検査の検査結果は正しいですか？/FemCHECKの検査結果は正しいですか？/おりもの検査の検査結果は正しいですか？</v>
      </c>
      <c r="B760" s="31" t="str">
        <f>IFERROR(__xludf.DUMMYFUNCTION("""COMPUTED_VALUE"""),"検査は、医療機関や保健所と同様に、国の認可を受けた登録衛生検査所で実施しています。適切な精度管理のもとで行われているため、安心してご利用いただけます。")</f>
        <v>検査は、医療機関や保健所と同様に、国の認可を受けた登録衛生検査所で実施しています。適切な精度管理のもとで行われているため、安心してご利用いただけます。</v>
      </c>
      <c r="C760" s="31" t="str">
        <f>IFERROR(__xludf.DUMMYFUNCTION("""COMPUTED_VALUE"""),"郵送検査/FemCHECK")</f>
        <v>郵送検査/FemCHECK</v>
      </c>
      <c r="D760" s="31" t="str">
        <f>IFERROR(__xludf.DUMMYFUNCTION("""COMPUTED_VALUE"""),"検査精度,登録衛生検査所,信頼性")</f>
        <v>検査精度,登録衛生検査所,信頼性</v>
      </c>
      <c r="E760" s="32" t="str">
        <f>IFERROR(__xludf.DUMMYFUNCTION("""COMPUTED_VALUE"""),"https://luna-dr.com/femcheck/faq/")</f>
        <v>https://luna-dr.com/femcheck/faq/</v>
      </c>
    </row>
    <row r="761">
      <c r="A761" s="31" t="str">
        <f>IFERROR(__xludf.DUMMYFUNCTION("""COMPUTED_VALUE"""),"ルナレディースクリニックの医師を教えてください")</f>
        <v>ルナレディースクリニックの医師を教えてください</v>
      </c>
      <c r="B761" s="31" t="str">
        <f>IFERROR(__xludf.DUMMYFUNCTION("""COMPUTED_VALUE"""),"ルナレディースクリニックでは、産婦人科の専門知識と豊富な臨床経験を持つ医師が診療を担当しています。院長の川原正行医師は、岡山大学医学部卒業後、大学病院や総合病院での産婦人科研修を経て、医薬品医療機器総合機構（PMDA）にて医薬品・医療機器の承認審査に従事しました。その後、こうのとりレディースクリニック、新宿レディースクリニックでの勤務を経て、2021年よりルナレディースクリニック院長として診療を行っています。また、近都真侑医師は近畿大学医学部卒業後、名戸ケ谷病院での初期研修、千葉西総合病院・昭和大学での産"&amp;"婦人科勤務を経験し、産業医としても多数の企業での実績があります。")</f>
        <v>ルナレディースクリニックでは、産婦人科の専門知識と豊富な臨床経験を持つ医師が診療を担当しています。院長の川原正行医師は、岡山大学医学部卒業後、大学病院や総合病院での産婦人科研修を経て、医薬品医療機器総合機構（PMDA）にて医薬品・医療機器の承認審査に従事しました。その後、こうのとりレディースクリニック、新宿レディースクリニックでの勤務を経て、2021年よりルナレディースクリニック院長として診療を行っています。また、近都真侑医師は近畿大学医学部卒業後、名戸ケ谷病院での初期研修、千葉西総合病院・昭和大学での産婦人科勤務を経験し、産業医としても多数の企業での実績があります。</v>
      </c>
      <c r="C761" s="31" t="str">
        <f>IFERROR(__xludf.DUMMYFUNCTION("""COMPUTED_VALUE"""),"医師紹介")</f>
        <v>医師紹介</v>
      </c>
      <c r="D761" s="31" t="str">
        <f>IFERROR(__xludf.DUMMYFUNCTION("""COMPUTED_VALUE"""),"医師紹介,院長,産婦人科医,川原正行,近都真侑")</f>
        <v>医師紹介,院長,産婦人科医,川原正行,近都真侑</v>
      </c>
      <c r="E761" s="32" t="str">
        <f>IFERROR(__xludf.DUMMYFUNCTION("""COMPUTED_VALUE"""),"https://luna-dr.com/")</f>
        <v>https://luna-dr.com/</v>
      </c>
    </row>
    <row r="762">
      <c r="A762" s="31" t="str">
        <f>IFERROR(__xludf.DUMMYFUNCTION("""COMPUTED_VALUE"""),"低用量ピルの定期配送を申し込みたいです/ピルの定期便を申し込みたい/ピルの定期購入をしたい/ピルのサブスクを始めたい")</f>
        <v>低用量ピルの定期配送を申し込みたいです/ピルの定期便を申し込みたい/ピルの定期購入をしたい/ピルのサブスクを始めたい</v>
      </c>
      <c r="B762" s="31" t="str">
        <f>IFERROR(__xludf.DUMMYFUNCTION("""COMPUTED_VALUE"""),"【当院もしくはオンライン診療で処方歴のある方】
当院でラベルフィーユ・ファボワールの処方歴がある場合、低用量ピルの定期配送をご利用いただけます。
定期配送の購入はこちら：
https://shop.luna-dr.com/collections/low_dose_pill_subscription
※カルテ確認の結果、処方が難しいと判断した場合は別途ご連絡することがあります。
※保険ピルの定期配送は対応しておりません。
【当院のご利用が初めての方】
まずは診察が必要となります。
オンライン診療はこちら"&amp;"のLINEからご予約ください。
https://liff-gateway.lineml.jp/landing?follow=%40590gpxrd&amp;lp=rJHUjK&amp;liff_id=1657094566-LmjNPPbV
またはこちらのLINEからクリニック診察をご予約ください
https://cline-app.com/qr-codes/98ad6f149bfa20f4f2a9a2e91aac4187/preview")</f>
        <v>【当院もしくはオンライン診療で処方歴のある方】
当院でラベルフィーユ・ファボワールの処方歴がある場合、低用量ピルの定期配送をご利用いただけます。
定期配送の購入はこちら：
https://shop.luna-dr.com/collections/low_dose_pill_subscription
※カルテ確認の結果、処方が難しいと判断した場合は別途ご連絡することがあります。
※保険ピルの定期配送は対応しておりません。
【当院のご利用が初めての方】
まずは診察が必要となります。
オンライン診療はこちらのLINEからご予約ください。
https://liff-gateway.lineml.jp/landing?follow=%40590gpxrd&amp;lp=rJHUjK&amp;liff_id=1657094566-LmjNPPbV
またはこちらのLINEからクリニック診察をご予約ください
https://cline-app.com/qr-codes/98ad6f149bfa20f4f2a9a2e91aac4187/preview</v>
      </c>
      <c r="C762" s="31" t="str">
        <f>IFERROR(__xludf.DUMMYFUNCTION("""COMPUTED_VALUE"""),"低用量ピル")</f>
        <v>低用量ピル</v>
      </c>
      <c r="D762" s="31" t="str">
        <f>IFERROR(__xludf.DUMMYFUNCTION("""COMPUTED_VALUE"""),"ピル,定期配送,サブスク,ラベルフィーユ,ファボワール,定期便,定期購入,サブスク")</f>
        <v>ピル,定期配送,サブスク,ラベルフィーユ,ファボワール,定期便,定期購入,サブスク</v>
      </c>
      <c r="E762" s="32" t="str">
        <f>IFERROR(__xludf.DUMMYFUNCTION("""COMPUTED_VALUE"""),"https://shop.luna-dr.com/collections/low_dose_pill_subscription")</f>
        <v>https://shop.luna-dr.com/collections/low_dose_pill_subscription</v>
      </c>
    </row>
    <row r="763">
      <c r="A763" s="31" t="str">
        <f>IFERROR(__xludf.DUMMYFUNCTION("""COMPUTED_VALUE"""),"クリニック受け取りから低用量ピルの定期配送に変更できますか？/来院からピルの定期便に切り替えたい/ピルの定期購入に変更したい")</f>
        <v>クリニック受け取りから低用量ピルの定期配送に変更できますか？/来院からピルの定期便に切り替えたい/ピルの定期購入に変更したい</v>
      </c>
      <c r="B763" s="31" t="str">
        <f>IFERROR(__xludf.DUMMYFUNCTION("""COMPUTED_VALUE"""),"当院またはオンライン診療でラベルフィーユ・ファボワールの処方歴がある場合、定期配送への変更が可能です。定期配送の購入はこちら（https://shop.luna-dr.com/collections/low_dose_pill_subscription）。
※保険ピルの定期配送は対応しておりません。")</f>
        <v>当院またはオンライン診療でラベルフィーユ・ファボワールの処方歴がある場合、定期配送への変更が可能です。定期配送の購入はこちら（https://shop.luna-dr.com/collections/low_dose_pill_subscription）。
※保険ピルの定期配送は対応しておりません。</v>
      </c>
      <c r="C763" s="31" t="str">
        <f>IFERROR(__xludf.DUMMYFUNCTION("""COMPUTED_VALUE"""),"低用量ピル")</f>
        <v>低用量ピル</v>
      </c>
      <c r="D763" s="31" t="str">
        <f>IFERROR(__xludf.DUMMYFUNCTION("""COMPUTED_VALUE"""),"ピル,定期配送,変更,サブスク,定期便,定期購入,サブスク")</f>
        <v>ピル,定期配送,変更,サブスク,定期便,定期購入,サブスク</v>
      </c>
      <c r="E763" s="32" t="str">
        <f>IFERROR(__xludf.DUMMYFUNCTION("""COMPUTED_VALUE"""),"https://shop.luna-dr.com/collections/low_dose_pill_subscription")</f>
        <v>https://shop.luna-dr.com/collections/low_dose_pill_subscription</v>
      </c>
    </row>
    <row r="764">
      <c r="A764" s="31" t="str">
        <f>IFERROR(__xludf.DUMMYFUNCTION("""COMPUTED_VALUE"""),"低用量ピルの定期配送を再開したいです/ピルの定期便を再開したい/ピルの定期購入を再開したい")</f>
        <v>低用量ピルの定期配送を再開したいです/ピルの定期便を再開したい/ピルの定期購入を再開したい</v>
      </c>
      <c r="B764" s="31" t="str">
        <f>IFERROR(__xludf.DUMMYFUNCTION("""COMPUTED_VALUE"""),"当院またはオンライン診療でラベルフィーユ・ファボワールの処方歴がある方は、再度定期配送をご利用いただけます。定期配送の購入はこちら（https://shop.luna-dr.com/collections/low_dose_pill_subscription）。")</f>
        <v>当院またはオンライン診療でラベルフィーユ・ファボワールの処方歴がある方は、再度定期配送をご利用いただけます。定期配送の購入はこちら（https://shop.luna-dr.com/collections/low_dose_pill_subscription）。</v>
      </c>
      <c r="C764" s="31" t="str">
        <f>IFERROR(__xludf.DUMMYFUNCTION("""COMPUTED_VALUE"""),"低用量ピル")</f>
        <v>低用量ピル</v>
      </c>
      <c r="D764" s="31" t="str">
        <f>IFERROR(__xludf.DUMMYFUNCTION("""COMPUTED_VALUE"""),"ピル,定期配送,再開,定期便,定期購入,サブスク")</f>
        <v>ピル,定期配送,再開,定期便,定期購入,サブスク</v>
      </c>
      <c r="E764" s="32" t="str">
        <f>IFERROR(__xludf.DUMMYFUNCTION("""COMPUTED_VALUE"""),"https://shop.luna-dr.com/collections/low_dose_pill_subscription")</f>
        <v>https://shop.luna-dr.com/collections/low_dose_pill_subscription</v>
      </c>
    </row>
    <row r="765">
      <c r="A765" s="31" t="str">
        <f>IFERROR(__xludf.DUMMYFUNCTION("""COMPUTED_VALUE"""),"低用量ピルを使わなくなったので返品できますか？/ピルの定期便を返品したい/定期購入のピルを返品できますか")</f>
        <v>低用量ピルを使わなくなったので返品できますか？/ピルの定期便を返品したい/定期購入のピルを返品できますか</v>
      </c>
      <c r="B765" s="31" t="str">
        <f>IFERROR(__xludf.DUMMYFUNCTION("""COMPUTED_VALUE"""),"申し訳ございませんが、配送後の商品は返品・キャンセルを承ることができません。あらかじめご了承ください。定期配送の解約をご希望の場合は、こちらのフォーム（https://docs.google.com/forms/d/e/1FAIpQLSe41t1VsvN-rfcwsRSkalz89S2yqQc4zpWrbdcrwPo95Iif-Q/viewform）よりご連絡ください。")</f>
        <v>申し訳ございませんが、配送後の商品は返品・キャンセルを承ることができません。あらかじめご了承ください。定期配送の解約をご希望の場合は、こちらのフォーム（https://docs.google.com/forms/d/e/1FAIpQLSe41t1VsvN-rfcwsRSkalz89S2yqQc4zpWrbdcrwPo95Iif-Q/viewform）よりご連絡ください。</v>
      </c>
      <c r="C765" s="31" t="str">
        <f>IFERROR(__xludf.DUMMYFUNCTION("""COMPUTED_VALUE"""),"低用量ピル")</f>
        <v>低用量ピル</v>
      </c>
      <c r="D765" s="31" t="str">
        <f>IFERROR(__xludf.DUMMYFUNCTION("""COMPUTED_VALUE"""),"ピル,返品,定期便,定期購入,サブスク")</f>
        <v>ピル,返品,定期便,定期購入,サブスク</v>
      </c>
      <c r="E765" s="32" t="str">
        <f>IFERROR(__xludf.DUMMYFUNCTION("""COMPUTED_VALUE"""),"https://shop.luna-dr.com/")</f>
        <v>https://shop.luna-dr.com/</v>
      </c>
    </row>
    <row r="766">
      <c r="A766" s="31" t="str">
        <f>IFERROR(__xludf.DUMMYFUNCTION("""COMPUTED_VALUE"""),"乳酸桿菌の定期配送を購入したいです/ラクトフローラの定期配送を購入したいです/ラクトフローラについて知りたい/ラクトフローラとは何ですか？/ラクトフローラについて教えてください")</f>
        <v>乳酸桿菌の定期配送を購入したいです/ラクトフローラの定期配送を購入したいです/ラクトフローラについて知りたい/ラクトフローラとは何ですか？/ラクトフローラについて教えてください</v>
      </c>
      <c r="B766" s="31" t="str">
        <f>IFERROR(__xludf.DUMMYFUNCTION("""COMPUTED_VALUE"""),"乳酸桿菌（ラクトフローラ）は膣内環境を整えるための製品で、継続的な使用により予防効果が期待できます。購入はこちら（https://shop.luna-dr.com/products/lactobacillus）。")</f>
        <v>乳酸桿菌（ラクトフローラ）は膣内環境を整えるための製品で、継続的な使用により予防効果が期待できます。購入はこちら（https://shop.luna-dr.com/products/lactobacillus）。</v>
      </c>
      <c r="C766" s="31" t="str">
        <f>IFERROR(__xludf.DUMMYFUNCTION("""COMPUTED_VALUE"""),"フェムケア")</f>
        <v>フェムケア</v>
      </c>
      <c r="D766" s="31" t="str">
        <f>IFERROR(__xludf.DUMMYFUNCTION("""COMPUTED_VALUE"""),"乳酸桿菌,ラクトフローラ,おりもの,カンジダ,定期便,定期購入,サブスク")</f>
        <v>乳酸桿菌,ラクトフローラ,おりもの,カンジダ,定期便,定期購入,サブスク</v>
      </c>
      <c r="E766" s="32" t="str">
        <f>IFERROR(__xludf.DUMMYFUNCTION("""COMPUTED_VALUE"""),"https://shop.luna-dr.com/products/lactobacillus")</f>
        <v>https://shop.luna-dr.com/products/lactobacillus</v>
      </c>
    </row>
    <row r="767">
      <c r="A767" s="31" t="str">
        <f>IFERROR(__xludf.DUMMYFUNCTION("""COMPUTED_VALUE"""),"定期配送の配送先住所を変更したいです/定期便の届け先を変更したい/定期購入の住所変更")</f>
        <v>定期配送の配送先住所を変更したいです/定期便の届け先を変更したい/定期購入の住所変更</v>
      </c>
      <c r="B767" s="31" t="str">
        <f>IFERROR(__xludf.DUMMYFUNCTION("""COMPUTED_VALUE"""),"お手数ですが、こちらのフォーム（https://docs.google.com/forms/d/e/1FAIpQLSe41t1VsvN-rfcwsRSkalz89S2yqQc4zpWrbdcrwPo95Iif-Q/viewform）よりご連絡ください。内容確認後、3日以内にカウンセラーよりメールでご連絡いたします。")</f>
        <v>お手数ですが、こちらのフォーム（https://docs.google.com/forms/d/e/1FAIpQLSe41t1VsvN-rfcwsRSkalz89S2yqQc4zpWrbdcrwPo95Iif-Q/viewform）よりご連絡ください。内容確認後、3日以内にカウンセラーよりメールでご連絡いたします。</v>
      </c>
      <c r="C767" s="31" t="str">
        <f>IFERROR(__xludf.DUMMYFUNCTION("""COMPUTED_VALUE"""),"定期配送")</f>
        <v>定期配送</v>
      </c>
      <c r="D767" s="31" t="str">
        <f>IFERROR(__xludf.DUMMYFUNCTION("""COMPUTED_VALUE"""),"住所変更,配送先,定期便,定期購入,サブスク")</f>
        <v>住所変更,配送先,定期便,定期購入,サブスク</v>
      </c>
      <c r="E767" s="32" t="str">
        <f>IFERROR(__xludf.DUMMYFUNCTION("""COMPUTED_VALUE"""),"https://docs.google.com/forms/d/e/1FAIpQLSe41t1VsvN-rfcwsRSkalz89S2yqQc4zpWrbdcrwPo95Iif-Q/viewform")</f>
        <v>https://docs.google.com/forms/d/e/1FAIpQLSe41t1VsvN-rfcwsRSkalz89S2yqQc4zpWrbdcrwPo95Iif-Q/viewform</v>
      </c>
    </row>
    <row r="768">
      <c r="A768" s="31" t="str">
        <f>IFERROR(__xludf.DUMMYFUNCTION("""COMPUTED_VALUE"""),"氏名を変更したいです/名前が変わったのですが変更できますか？/改姓の手続きをしたい/苗字が変わりました/定期配送の氏名を変更したい/定期便の氏名を変更したい/定期購入の名前変更/登録情報の変更/登録情報を変更したい/個人情報の変更")</f>
        <v>氏名を変更したいです/名前が変わったのですが変更できますか？/改姓の手続きをしたい/苗字が変わりました/定期配送の氏名を変更したい/定期便の氏名を変更したい/定期購入の名前変更/登録情報の変更/登録情報を変更したい/個人情報の変更</v>
      </c>
      <c r="B768" s="31" t="str">
        <f>IFERROR(__xludf.DUMMYFUNCTION("""COMPUTED_VALUE"""),"【定期配送をご利用の方】お手数ですが、こちらのフォーム（https://docs.google.com/forms/d/e/1FAIpQLSe41t1VsvN-rfcwsRSkalz89S2yqQc4zpWrbdcrwPo95Iif-Q/viewform）よりご連絡ください。内容確認後、3日以内にカウンセラーよりメールでご連絡いたします。【クリニックにご来院の方】次回ご来院の際に受付にてお申し付けください。")</f>
        <v>【定期配送をご利用の方】お手数ですが、こちらのフォーム（https://docs.google.com/forms/d/e/1FAIpQLSe41t1VsvN-rfcwsRSkalz89S2yqQc4zpWrbdcrwPo95Iif-Q/viewform）よりご連絡ください。内容確認後、3日以内にカウンセラーよりメールでご連絡いたします。【クリニックにご来院の方】次回ご来院の際に受付にてお申し付けください。</v>
      </c>
      <c r="C768" s="31" t="str">
        <f>IFERROR(__xludf.DUMMYFUNCTION("""COMPUTED_VALUE"""),"受診案内・手続き")</f>
        <v>受診案内・手続き</v>
      </c>
      <c r="D768" s="31" t="str">
        <f>IFERROR(__xludf.DUMMYFUNCTION("""COMPUTED_VALUE"""),"氏名変更,名前変更,改姓,苗字,名義変更,定期便,定期購入,サブスク")</f>
        <v>氏名変更,名前変更,改姓,苗字,名義変更,定期便,定期購入,サブスク</v>
      </c>
      <c r="E768" s="32" t="str">
        <f>IFERROR(__xludf.DUMMYFUNCTION("""COMPUTED_VALUE"""),"https://docs.google.com/forms/d/e/1FAIpQLSe41t1VsvN-rfcwsRSkalz89S2yqQc4zpWrbdcrwPo95Iif-Q/viewform")</f>
        <v>https://docs.google.com/forms/d/e/1FAIpQLSe41t1VsvN-rfcwsRSkalz89S2yqQc4zpWrbdcrwPo95Iif-Q/viewform</v>
      </c>
    </row>
    <row r="769">
      <c r="A769" s="31" t="str">
        <f>IFERROR(__xludf.DUMMYFUNCTION("""COMPUTED_VALUE"""),"定期配送の次回配送日を変更したいです/定期便の届く日を変更したい/定期購入の配送日変更")</f>
        <v>定期配送の次回配送日を変更したいです/定期便の届く日を変更したい/定期購入の配送日変更</v>
      </c>
      <c r="B769" s="31" t="str">
        <f>IFERROR(__xludf.DUMMYFUNCTION("""COMPUTED_VALUE"""),"お手数ですが、こちらのフォーム（https://docs.google.com/forms/d/e/1FAIpQLSe41t1VsvN-rfcwsRSkalz89S2yqQc4zpWrbdcrwPo95Iif-Q/viewform）よりご連絡ください。内容確認後、3日以内にカウンセラーよりメールでご連絡いたします。")</f>
        <v>お手数ですが、こちらのフォーム（https://docs.google.com/forms/d/e/1FAIpQLSe41t1VsvN-rfcwsRSkalz89S2yqQc4zpWrbdcrwPo95Iif-Q/viewform）よりご連絡ください。内容確認後、3日以内にカウンセラーよりメールでご連絡いたします。</v>
      </c>
      <c r="C769" s="31" t="str">
        <f>IFERROR(__xludf.DUMMYFUNCTION("""COMPUTED_VALUE"""),"定期配送")</f>
        <v>定期配送</v>
      </c>
      <c r="D769" s="31" t="str">
        <f>IFERROR(__xludf.DUMMYFUNCTION("""COMPUTED_VALUE"""),"配送日変更,定期便,定期購入,サブスク")</f>
        <v>配送日変更,定期便,定期購入,サブスク</v>
      </c>
      <c r="E769" s="32" t="str">
        <f>IFERROR(__xludf.DUMMYFUNCTION("""COMPUTED_VALUE"""),"https://docs.google.com/forms/d/e/1FAIpQLSe41t1VsvN-rfcwsRSkalz89S2yqQc4zpWrbdcrwPo95Iif-Q/viewform")</f>
        <v>https://docs.google.com/forms/d/e/1FAIpQLSe41t1VsvN-rfcwsRSkalz89S2yqQc4zpWrbdcrwPo95Iif-Q/viewform</v>
      </c>
    </row>
    <row r="770">
      <c r="A770" s="31" t="str">
        <f>IFERROR(__xludf.DUMMYFUNCTION("""COMPUTED_VALUE"""),"定期配送を解約したいです/定期購入を解約したい/定期便を解約したい/サブスクを解約したい/定期購入をやめたい/ピルの定期購入を解約したい/ピルの定期配送を解約したいです/ピルの定期便を解約したい/ピルのサブスクを解約したい/ピルの定期購入をやめたい/定期購入をキャンセルしたい/定期購入のキャンセル方法/定期購入2回目のキャンセル")</f>
        <v>定期配送を解約したいです/定期購入を解約したい/定期便を解約したい/サブスクを解約したい/定期購入をやめたい/ピルの定期購入を解約したい/ピルの定期配送を解約したいです/ピルの定期便を解約したい/ピルのサブスクを解約したい/ピルの定期購入をやめたい/定期購入をキャンセルしたい/定期購入のキャンセル方法/定期購入2回目のキャンセル</v>
      </c>
      <c r="B770" s="31" t="str">
        <f>IFERROR(__xludf.DUMMYFUNCTION("""COMPUTED_VALUE"""),"お手数ですが、こちらのフォーム（https://docs.google.com/forms/d/e/1FAIpQLSe41t1VsvN-rfcwsRSkalz89S2yqQc4zpWrbdcrwPo95Iif-Q/viewform）よりご連絡ください。内容確認後、3日以内にカウンセラーよりメールでご連絡いたします。")</f>
        <v>お手数ですが、こちらのフォーム（https://docs.google.com/forms/d/e/1FAIpQLSe41t1VsvN-rfcwsRSkalz89S2yqQc4zpWrbdcrwPo95Iif-Q/viewform）よりご連絡ください。内容確認後、3日以内にカウンセラーよりメールでご連絡いたします。</v>
      </c>
      <c r="C770" s="31" t="str">
        <f>IFERROR(__xludf.DUMMYFUNCTION("""COMPUTED_VALUE"""),"定期配送")</f>
        <v>定期配送</v>
      </c>
      <c r="D770" s="31" t="str">
        <f>IFERROR(__xludf.DUMMYFUNCTION("""COMPUTED_VALUE"""),"解約,サブスク,定期購入,定期便,定期便,定期購入,サブスク")</f>
        <v>解約,サブスク,定期購入,定期便,定期便,定期購入,サブスク</v>
      </c>
      <c r="E770" s="32" t="str">
        <f>IFERROR(__xludf.DUMMYFUNCTION("""COMPUTED_VALUE"""),"https://docs.google.com/forms/d/e/1FAIpQLSe41t1VsvN-rfcwsRSkalz89S2yqQc4zpWrbdcrwPo95Iif-Q/viewform")</f>
        <v>https://docs.google.com/forms/d/e/1FAIpQLSe41t1VsvN-rfcwsRSkalz89S2yqQc4zpWrbdcrwPo95Iif-Q/viewform</v>
      </c>
    </row>
    <row r="771">
      <c r="A771" s="31" t="str">
        <f>IFERROR(__xludf.DUMMYFUNCTION("""COMPUTED_VALUE"""),"定期配送の契約プランを変更したいです/定期便のプランを変更したい/定期購入のコース変更/現在の自分の契約コースを知りたい")</f>
        <v>定期配送の契約プランを変更したいです/定期便のプランを変更したい/定期購入のコース変更/現在の自分の契約コースを知りたい</v>
      </c>
      <c r="B771" s="31" t="str">
        <f>IFERROR(__xludf.DUMMYFUNCTION("""COMPUTED_VALUE"""),"お手数ですが、こちらのフォーム（https://docs.google.com/forms/d/e/1FAIpQLSe41t1VsvN-rfcwsRSkalz89S2yqQc4zpWrbdcrwPo95Iif-Q/viewform）よりご連絡ください。内容確認後、3日以内にカウンセラーよりメールでご連絡いたします。")</f>
        <v>お手数ですが、こちらのフォーム（https://docs.google.com/forms/d/e/1FAIpQLSe41t1VsvN-rfcwsRSkalz89S2yqQc4zpWrbdcrwPo95Iif-Q/viewform）よりご連絡ください。内容確認後、3日以内にカウンセラーよりメールでご連絡いたします。</v>
      </c>
      <c r="C771" s="31" t="str">
        <f>IFERROR(__xludf.DUMMYFUNCTION("""COMPUTED_VALUE"""),"定期配送")</f>
        <v>定期配送</v>
      </c>
      <c r="D771" s="31" t="str">
        <f>IFERROR(__xludf.DUMMYFUNCTION("""COMPUTED_VALUE"""),"契約プラン,変更,サブスク,定期配送,定期便,定期購入,サブスク")</f>
        <v>契約プラン,変更,サブスク,定期配送,定期便,定期購入,サブスク</v>
      </c>
      <c r="E771" s="32" t="str">
        <f>IFERROR(__xludf.DUMMYFUNCTION("""COMPUTED_VALUE"""),"https://docs.google.com/forms/d/e/1FAIpQLSe41t1VsvN-rfcwsRSkalz89S2yqQc4zpWrbdcrwPo95Iif-Q/viewform")</f>
        <v>https://docs.google.com/forms/d/e/1FAIpQLSe41t1VsvN-rfcwsRSkalz89S2yqQc4zpWrbdcrwPo95Iif-Q/viewform</v>
      </c>
    </row>
    <row r="772">
      <c r="A772" s="31" t="str">
        <f>IFERROR(__xludf.DUMMYFUNCTION("""COMPUTED_VALUE"""),"定期配送の次回配送日がいつか確認したい/定期便の次回発送日はいつ/定期購入の次はいつ届く/定期便の次回発送日はいつですか？/次の定期便はいつ届きますか？/定期購入の次回発送日を確認したい/次回の定期発送/契約済みのピルの配送日を知りたい/次回のピル配送")</f>
        <v>定期配送の次回配送日がいつか確認したい/定期便の次回発送日はいつ/定期購入の次はいつ届く/定期便の次回発送日はいつですか？/次の定期便はいつ届きますか？/定期購入の次回発送日を確認したい/次回の定期発送/契約済みのピルの配送日を知りたい/次回のピル配送</v>
      </c>
      <c r="B772" s="31" t="str">
        <f>IFERROR(__xludf.DUMMYFUNCTION("""COMPUTED_VALUE"""),"お手数ですが、こちらのフォーム（https://docs.google.com/forms/d/e/1FAIpQLSe41t1VsvN-rfcwsRSkalz89S2yqQc4zpWrbdcrwPo95Iif-Q/viewform）よりご連絡ください。内容確認後、3日以内にカウンセラーよりメールでご連絡いたします。")</f>
        <v>お手数ですが、こちらのフォーム（https://docs.google.com/forms/d/e/1FAIpQLSe41t1VsvN-rfcwsRSkalz89S2yqQc4zpWrbdcrwPo95Iif-Q/viewform）よりご連絡ください。内容確認後、3日以内にカウンセラーよりメールでご連絡いたします。</v>
      </c>
      <c r="C772" s="31" t="str">
        <f>IFERROR(__xludf.DUMMYFUNCTION("""COMPUTED_VALUE"""),"定期配送")</f>
        <v>定期配送</v>
      </c>
      <c r="D772" s="31" t="str">
        <f>IFERROR(__xludf.DUMMYFUNCTION("""COMPUTED_VALUE"""),"次回配送日,定期配送,サブスク,定期便,定期購入,サブスク,次回発送,発送日")</f>
        <v>次回配送日,定期配送,サブスク,定期便,定期購入,サブスク,次回発送,発送日</v>
      </c>
      <c r="E772" s="32" t="str">
        <f>IFERROR(__xludf.DUMMYFUNCTION("""COMPUTED_VALUE"""),"https://docs.google.com/forms/d/e/1FAIpQLSe41t1VsvN-rfcwsRSkalz89S2yqQc4zpWrbdcrwPo95Iif-Q/viewform")</f>
        <v>https://docs.google.com/forms/d/e/1FAIpQLSe41t1VsvN-rfcwsRSkalz89S2yqQc4zpWrbdcrwPo95Iif-Q/viewform</v>
      </c>
    </row>
    <row r="773">
      <c r="A773" s="31" t="str">
        <f>IFERROR(__xludf.DUMMYFUNCTION("""COMPUTED_VALUE"""),"定期配送の配購入回数に制限はありますか？/定期便に回数制限はある？/定期購入は何回まで？")</f>
        <v>定期配送の配購入回数に制限はありますか？/定期便に回数制限はある？/定期購入は何回まで？</v>
      </c>
      <c r="B773" s="31" t="str">
        <f>IFERROR(__xludf.DUMMYFUNCTION("""COMPUTED_VALUE"""),"定期配送のご利用に回数制限はございません。ただし、配送後の返品・キャンセルはできませんのでご了承ください。")</f>
        <v>定期配送のご利用に回数制限はございません。ただし、配送後の返品・キャンセルはできませんのでご了承ください。</v>
      </c>
      <c r="C773" s="31" t="str">
        <f>IFERROR(__xludf.DUMMYFUNCTION("""COMPUTED_VALUE"""),"定期配送")</f>
        <v>定期配送</v>
      </c>
      <c r="D773" s="31" t="str">
        <f>IFERROR(__xludf.DUMMYFUNCTION("""COMPUTED_VALUE"""),"回数制限,購入条件,定期便,定期購入,サブスク")</f>
        <v>回数制限,購入条件,定期便,定期購入,サブスク</v>
      </c>
      <c r="E773" s="32" t="str">
        <f>IFERROR(__xludf.DUMMYFUNCTION("""COMPUTED_VALUE"""),"https://shop.luna-dr.com/collections/low_dose_pill_subscription")</f>
        <v>https://shop.luna-dr.com/collections/low_dose_pill_subscription</v>
      </c>
    </row>
    <row r="774">
      <c r="A774" s="31" t="str">
        <f>IFERROR(__xludf.DUMMYFUNCTION("""COMPUTED_VALUE"""),"定期配送のクレジットカード決済でエラーの連絡が来た/定期便の決済エラー/定期購入のカードエラー")</f>
        <v>定期配送のクレジットカード決済でエラーの連絡が来た/定期便の決済エラー/定期購入のカードエラー</v>
      </c>
      <c r="B774" s="31" t="str">
        <f>IFERROR(__xludf.DUMMYFUNCTION("""COMPUTED_VALUE"""),"定期配送は自動決済のため再購入は不要です。カード変更や限度額超過の場合は、カード情報の更新が必要です。エラー時は登録メール宛にご連絡しております。不明点はフォーム（https://docs.google.com/forms/d/e/1FAIpQLSe41t1VsvN-rfcwsRSkalz89S2yqQc4zpWrbdcrwPo95Iif-Q/viewform）よりお問い合わせください。")</f>
        <v>定期配送は自動決済のため再購入は不要です。カード変更や限度額超過の場合は、カード情報の更新が必要です。エラー時は登録メール宛にご連絡しております。不明点はフォーム（https://docs.google.com/forms/d/e/1FAIpQLSe41t1VsvN-rfcwsRSkalz89S2yqQc4zpWrbdcrwPo95Iif-Q/viewform）よりお問い合わせください。</v>
      </c>
      <c r="C774" s="31" t="str">
        <f>IFERROR(__xludf.DUMMYFUNCTION("""COMPUTED_VALUE"""),"支払い")</f>
        <v>支払い</v>
      </c>
      <c r="D774" s="31" t="str">
        <f>IFERROR(__xludf.DUMMYFUNCTION("""COMPUTED_VALUE"""),"クレジットカード,決済エラー,定期便,定期購入,サブスク")</f>
        <v>クレジットカード,決済エラー,定期便,定期購入,サブスク</v>
      </c>
      <c r="E774" s="32" t="str">
        <f>IFERROR(__xludf.DUMMYFUNCTION("""COMPUTED_VALUE"""),"https://docs.google.com/forms/d/e/1FAIpQLSe41t1VsvN-rfcwsRSkalz89S2yqQc4zpWrbdcrwPo95Iif-Q/viewform")</f>
        <v>https://docs.google.com/forms/d/e/1FAIpQLSe41t1VsvN-rfcwsRSkalz89S2yqQc4zpWrbdcrwPo95Iif-Q/viewform</v>
      </c>
    </row>
    <row r="775">
      <c r="A775" s="31" t="str">
        <f>IFERROR(__xludf.DUMMYFUNCTION("""COMPUTED_VALUE"""),"定期配送は毎回申し込みが必要ですか？/定期配送は再登録が必要ですか/定期便は毎回注文が必要？/定期購入は自動更新？")</f>
        <v>定期配送は毎回申し込みが必要ですか？/定期配送は再登録が必要ですか/定期便は毎回注文が必要？/定期購入は自動更新？</v>
      </c>
      <c r="B775" s="31" t="str">
        <f>IFERROR(__xludf.DUMMYFUNCTION("""COMPUTED_VALUE"""),"再登録は不要です。契約コースごとに自動で決済・配送されます。決済エラーが発生した場合のみカード情報の更新が必要です。不明点はフォーム（https://docs.google.com/forms/d/e/1FAIpQLSe41t1VsvN-rfcwsRSkalz89S2yqQc4zpWrbdcrwPo95Iif-Q/viewform）よりお問い合わせください。")</f>
        <v>再登録は不要です。契約コースごとに自動で決済・配送されます。決済エラーが発生した場合のみカード情報の更新が必要です。不明点はフォーム（https://docs.google.com/forms/d/e/1FAIpQLSe41t1VsvN-rfcwsRSkalz89S2yqQc4zpWrbdcrwPo95Iif-Q/viewform）よりお問い合わせください。</v>
      </c>
      <c r="C775" s="31" t="str">
        <f>IFERROR(__xludf.DUMMYFUNCTION("""COMPUTED_VALUE"""),"定期配送")</f>
        <v>定期配送</v>
      </c>
      <c r="D775" s="31" t="str">
        <f>IFERROR(__xludf.DUMMYFUNCTION("""COMPUTED_VALUE"""),"自動更新,サブスク,定期便,定期購入")</f>
        <v>自動更新,サブスク,定期便,定期購入</v>
      </c>
      <c r="E775" s="32" t="str">
        <f>IFERROR(__xludf.DUMMYFUNCTION("""COMPUTED_VALUE"""),"https://shop.luna-dr.com/collections/low_dose_pill_subscription")</f>
        <v>https://shop.luna-dr.com/collections/low_dose_pill_subscription</v>
      </c>
    </row>
    <row r="776">
      <c r="A776" s="31" t="str">
        <f>IFERROR(__xludf.DUMMYFUNCTION("""COMPUTED_VALUE"""),"定期配送の返品はできますか？/定期配送のキャンセルはできますか？/定期便の返品/定期購入をキャンセルしたい")</f>
        <v>定期配送の返品はできますか？/定期配送のキャンセルはできますか？/定期便の返品/定期購入をキャンセルしたい</v>
      </c>
      <c r="B776" s="31" t="str">
        <f>IFERROR(__xludf.DUMMYFUNCTION("""COMPUTED_VALUE"""),"配送前のキャンセル・解約をご希望の場合は、こちらのフォーム（https://docs.google.com/forms/d/e/1FAIpQLSe41t1VsvN-rfcwsRSkalz89S2yqQc4zpWrbdcrwPo95Iif-Q/viewform）よりご連絡ください。決済後の返品・キャンセルはできませんので、あらかじめご了承ください。なお、定期配送のご利用に制限はございません。")</f>
        <v>配送前のキャンセル・解約をご希望の場合は、こちらのフォーム（https://docs.google.com/forms/d/e/1FAIpQLSe41t1VsvN-rfcwsRSkalz89S2yqQc4zpWrbdcrwPo95Iif-Q/viewform）よりご連絡ください。決済後の返品・キャンセルはできませんので、あらかじめご了承ください。なお、定期配送のご利用に制限はございません。</v>
      </c>
      <c r="C776" s="31" t="str">
        <f>IFERROR(__xludf.DUMMYFUNCTION("""COMPUTED_VALUE"""),"定期配送")</f>
        <v>定期配送</v>
      </c>
      <c r="D776" s="31" t="str">
        <f>IFERROR(__xludf.DUMMYFUNCTION("""COMPUTED_VALUE"""),"定期配送,キャンセル,返品,定期便,定期購入,サブスク")</f>
        <v>定期配送,キャンセル,返品,定期便,定期購入,サブスク</v>
      </c>
      <c r="E776" s="32" t="str">
        <f>IFERROR(__xludf.DUMMYFUNCTION("""COMPUTED_VALUE"""),"https://shop.luna-dr.com/collections/low_dose_pill_subscription")</f>
        <v>https://shop.luna-dr.com/collections/low_dose_pill_subscription</v>
      </c>
    </row>
    <row r="777">
      <c r="A777" s="31" t="str">
        <f>IFERROR(__xludf.DUMMYFUNCTION("""COMPUTED_VALUE"""),"オンライン診療の料金を知りたい")</f>
        <v>オンライン診療の料金を知りたい</v>
      </c>
      <c r="B777" s="31" t="str">
        <f>IFERROR(__xludf.DUMMYFUNCTION("""COMPUTED_VALUE"""),"お薬の費用、送料、診察料はこちらのページをご確認ください→https://luna-dr.notion.site/1962f1eed8ff817497d6e727d9c32c73")</f>
        <v>お薬の費用、送料、診察料はこちらのページをご確認ください→https://luna-dr.notion.site/1962f1eed8ff817497d6e727d9c32c73</v>
      </c>
      <c r="C777" s="31" t="str">
        <f>IFERROR(__xludf.DUMMYFUNCTION("""COMPUTED_VALUE"""),"オンライン診療")</f>
        <v>オンライン診療</v>
      </c>
      <c r="D777" s="31" t="str">
        <f>IFERROR(__xludf.DUMMYFUNCTION("""COMPUTED_VALUE"""),"オンライン診療,料金")</f>
        <v>オンライン診療,料金</v>
      </c>
      <c r="E777" s="32" t="str">
        <f>IFERROR(__xludf.DUMMYFUNCTION("""COMPUTED_VALUE"""),"https://luna-dr.notion.site/1962f1eed8ff817497d6e727d9c32c73")</f>
        <v>https://luna-dr.notion.site/1962f1eed8ff817497d6e727d9c32c73</v>
      </c>
    </row>
    <row r="778">
      <c r="A778" s="31" t="str">
        <f>IFERROR(__xludf.DUMMYFUNCTION("""COMPUTED_VALUE"""),"オンライン診療は何歳から利用できますか？")</f>
        <v>オンライン診療は何歳から利用できますか？</v>
      </c>
      <c r="B778" s="31" t="str">
        <f>IFERROR(__xludf.DUMMYFUNCTION("""COMPUTED_VALUE"""),"オンライン診療は18歳以上が対象です。低用量ピルは初回処方が18歳以上40歳未満、定期配送は45歳までご利用いただけます。")</f>
        <v>オンライン診療は18歳以上が対象です。低用量ピルは初回処方が18歳以上40歳未満、定期配送は45歳までご利用いただけます。</v>
      </c>
      <c r="C778" s="31" t="str">
        <f>IFERROR(__xludf.DUMMYFUNCTION("""COMPUTED_VALUE"""),"オンライン診療")</f>
        <v>オンライン診療</v>
      </c>
      <c r="D778" s="31" t="str">
        <f>IFERROR(__xludf.DUMMYFUNCTION("""COMPUTED_VALUE"""),"オンライン診療,年齢制限,ピル")</f>
        <v>オンライン診療,年齢制限,ピル</v>
      </c>
      <c r="E778" s="32" t="str">
        <f>IFERROR(__xludf.DUMMYFUNCTION("""COMPUTED_VALUE"""),"https://luna-dr.com/")</f>
        <v>https://luna-dr.com/</v>
      </c>
    </row>
    <row r="779">
      <c r="A779" s="31" t="str">
        <f>IFERROR(__xludf.DUMMYFUNCTION("""COMPUTED_VALUE"""),"オンライン診療の診療時間を教えてください")</f>
        <v>オンライン診療の診療時間を教えてください</v>
      </c>
      <c r="B779" s="31" t="str">
        <f>IFERROR(__xludf.DUMMYFUNCTION("""COMPUTED_VALUE"""),"オンライン診療は年中無休で診療を行っております。医師とのオンライン診療は11時～18時にご利用いただけます。
診療申し込みやご質問などは24時間受付けておりますので、お気軽にご相談ください。年末年始の休診は公式HPをご確認ください。")</f>
        <v>オンライン診療は年中無休で診療を行っております。医師とのオンライン診療は11時～18時にご利用いただけます。
診療申し込みやご質問などは24時間受付けておりますので、お気軽にご相談ください。年末年始の休診は公式HPをご確認ください。</v>
      </c>
      <c r="C779" s="31" t="str">
        <f>IFERROR(__xludf.DUMMYFUNCTION("""COMPUTED_VALUE"""),"オンライン診療")</f>
        <v>オンライン診療</v>
      </c>
      <c r="D779" s="31" t="str">
        <f>IFERROR(__xludf.DUMMYFUNCTION("""COMPUTED_VALUE"""),"オンライン診療,診療時間")</f>
        <v>オンライン診療,診療時間</v>
      </c>
      <c r="E779" s="32" t="str">
        <f>IFERROR(__xludf.DUMMYFUNCTION("""COMPUTED_VALUE"""),"https://luna-dr.com/")</f>
        <v>https://luna-dr.com/</v>
      </c>
    </row>
    <row r="780">
      <c r="A780" s="31" t="str">
        <f>IFERROR(__xludf.DUMMYFUNCTION("""COMPUTED_VALUE"""),"オンライン診療は保険適用ですか？費用はいくらですか？")</f>
        <v>オンライン診療は保険適用ですか？費用はいくらですか？</v>
      </c>
      <c r="B780" s="31" t="str">
        <f>IFERROR(__xludf.DUMMYFUNCTION("""COMPUTED_VALUE"""),"オンライン診療はすべて自費診療となり、保険は適用されません。")</f>
        <v>オンライン診療はすべて自費診療となり、保険は適用されません。</v>
      </c>
      <c r="C780" s="31" t="str">
        <f>IFERROR(__xludf.DUMMYFUNCTION("""COMPUTED_VALUE"""),"オンライン診療")</f>
        <v>オンライン診療</v>
      </c>
      <c r="D780" s="31" t="str">
        <f>IFERROR(__xludf.DUMMYFUNCTION("""COMPUTED_VALUE"""),"保険,費用,自費診療")</f>
        <v>保険,費用,自費診療</v>
      </c>
      <c r="E780" s="32" t="str">
        <f>IFERROR(__xludf.DUMMYFUNCTION("""COMPUTED_VALUE"""),"https://luna-dr.com/")</f>
        <v>https://luna-dr.com/</v>
      </c>
    </row>
    <row r="781">
      <c r="A781" s="31" t="str">
        <f>IFERROR(__xludf.DUMMYFUNCTION("""COMPUTED_VALUE"""),"診察番号が分かりません/診察番号を教えてください/診察番号はどこで確認できますか？")</f>
        <v>診察番号が分かりません/診察番号を教えてください/診察番号はどこで確認できますか？</v>
      </c>
      <c r="B781" s="31" t="str">
        <f>IFERROR(__xludf.DUMMYFUNCTION("""COMPUTED_VALUE"""),"診察番号（患者番号）の確認方法についてご案内します。診察番号はLINEまたは領収書からご確認いただけます。詳しい確認手順はこちらのページをご参照ください。→https://luna-dr.notion.site/f0a26ab231534d8fa9cb069193c411a4")</f>
        <v>診察番号（患者番号）の確認方法についてご案内します。診察番号はLINEまたは領収書からご確認いただけます。詳しい確認手順はこちらのページをご参照ください。→https://luna-dr.notion.site/f0a26ab231534d8fa9cb069193c411a4</v>
      </c>
      <c r="C781" s="31" t="str">
        <f>IFERROR(__xludf.DUMMYFUNCTION("""COMPUTED_VALUE"""),"オンライン診療｜各種手続き")</f>
        <v>オンライン診療｜各種手続き</v>
      </c>
      <c r="D781" s="31" t="str">
        <f>IFERROR(__xludf.DUMMYFUNCTION("""COMPUTED_VALUE"""),"診察番号,確認方法,オンライン診療")</f>
        <v>診察番号,確認方法,オンライン診療</v>
      </c>
      <c r="E781" s="32" t="str">
        <f>IFERROR(__xludf.DUMMYFUNCTION("""COMPUTED_VALUE"""),"https://luna-dr.notion.site/f0a26ab231534d8fa9cb069193c411a4")</f>
        <v>https://luna-dr.notion.site/f0a26ab231534d8fa9cb069193c411a4</v>
      </c>
    </row>
    <row r="782">
      <c r="A782" s="31" t="str">
        <f>IFERROR(__xludf.DUMMYFUNCTION("""COMPUTED_VALUE"""),"オンライン診療ではレシートを発行してもらえますか？")</f>
        <v>オンライン診療ではレシートを発行してもらえますか？</v>
      </c>
      <c r="B782" s="31" t="str">
        <f>IFERROR(__xludf.DUMMYFUNCTION("""COMPUTED_VALUE"""),"オンライン診療の決済確認後、メールアドレスまたはSMS宛に電子レシートを送信することが可能です。ご希望の場合は、オンラインチャットでカウンセラーへご相談ください。")</f>
        <v>オンライン診療の決済確認後、メールアドレスまたはSMS宛に電子レシートを送信することが可能です。ご希望の場合は、オンラインチャットでカウンセラーへご相談ください。</v>
      </c>
      <c r="C782" s="31" t="str">
        <f>IFERROR(__xludf.DUMMYFUNCTION("""COMPUTED_VALUE"""),"オンライン診療｜支払い・書類")</f>
        <v>オンライン診療｜支払い・書類</v>
      </c>
      <c r="D782" s="31" t="str">
        <f>IFERROR(__xludf.DUMMYFUNCTION("""COMPUTED_VALUE"""),"レシート,電子レシート,支払い")</f>
        <v>レシート,電子レシート,支払い</v>
      </c>
      <c r="E782" s="31"/>
    </row>
    <row r="783">
      <c r="A783" s="31" t="str">
        <f>IFERROR(__xludf.DUMMYFUNCTION("""COMPUTED_VALUE"""),"オンライン診療では領収書を発行してもらえますか？")</f>
        <v>オンライン診療では領収書を発行してもらえますか？</v>
      </c>
      <c r="B783" s="31" t="str">
        <f>IFERROR(__xludf.DUMMYFUNCTION("""COMPUTED_VALUE"""),"オンライン診療の決済確認後、PDF形式にて領収書の発行が可能です。オンラインチャットでカウンセラーへご相談ください。")</f>
        <v>オンライン診療の決済確認後、PDF形式にて領収書の発行が可能です。オンラインチャットでカウンセラーへご相談ください。</v>
      </c>
      <c r="C783" s="31" t="str">
        <f>IFERROR(__xludf.DUMMYFUNCTION("""COMPUTED_VALUE"""),"オンライン診療｜支払い・書類")</f>
        <v>オンライン診療｜支払い・書類</v>
      </c>
      <c r="D783" s="31" t="str">
        <f>IFERROR(__xludf.DUMMYFUNCTION("""COMPUTED_VALUE"""),"領収書,PDF,支払い")</f>
        <v>領収書,PDF,支払い</v>
      </c>
      <c r="E783" s="31"/>
    </row>
    <row r="784">
      <c r="A784" s="31" t="str">
        <f>IFERROR(__xludf.DUMMYFUNCTION("""COMPUTED_VALUE"""),"マイナンバーがなくても受診できますか？")</f>
        <v>マイナンバーがなくても受診できますか？</v>
      </c>
      <c r="B784" s="31" t="str">
        <f>IFERROR(__xludf.DUMMYFUNCTION("""COMPUTED_VALUE"""),"マイナンバーカードがない場合のご対応は受診内容や保険診療の有無によって異なります。詳しくはお電話にてお問い合わせください。お電話は 050-1730-2768 となります。オンライン診療の場合は、ご本人様であることが確認できるものであれば、マイナンバー（顔写真付きの身分証明書）でなくてもオンライン診療が可能です。利用できるもの：運転免許証、保険証、パスポート、在留カード 等")</f>
        <v>マイナンバーカードがない場合のご対応は受診内容や保険診療の有無によって異なります。詳しくはお電話にてお問い合わせください。お電話は 050-1730-2768 となります。オンライン診療の場合は、ご本人様であることが確認できるものであれば、マイナンバー（顔写真付きの身分証明書）でなくてもオンライン診療が可能です。利用できるもの：運転免許証、保険証、パスポート、在留カード 等</v>
      </c>
      <c r="C784" s="31" t="str">
        <f>IFERROR(__xludf.DUMMYFUNCTION("""COMPUTED_VALUE"""),"受診案内・本人確認")</f>
        <v>受診案内・本人確認</v>
      </c>
      <c r="D784" s="31" t="str">
        <f>IFERROR(__xludf.DUMMYFUNCTION("""COMPUTED_VALUE"""),"マイナンバー,本人確認,身分証,受診,来院,オンライン診療,持ち物,受診方法")</f>
        <v>マイナンバー,本人確認,身分証,受診,来院,オンライン診療,持ち物,受診方法</v>
      </c>
      <c r="E784" s="31"/>
    </row>
    <row r="785">
      <c r="A785" s="31" t="str">
        <f>IFERROR(__xludf.DUMMYFUNCTION("""COMPUTED_VALUE"""),"マイナンバーがなくてもオンライン診療は受けられますか？")</f>
        <v>マイナンバーがなくてもオンライン診療は受けられますか？</v>
      </c>
      <c r="B785" s="31" t="str">
        <f>IFERROR(__xludf.DUMMYFUNCTION("""COMPUTED_VALUE"""),"ルナレディースクリニックでは、ご本人様であることが確認できるものであれば、マイナンバー（顔写真付きの身分証明書）でなくてもオンライン診療が可能です。利用できるもの：運転免許証、保険証、パスポート、在留カード 等")</f>
        <v>ルナレディースクリニックでは、ご本人様であることが確認できるものであれば、マイナンバー（顔写真付きの身分証明書）でなくてもオンライン診療が可能です。利用できるもの：運転免許証、保険証、パスポート、在留カード 等</v>
      </c>
      <c r="C785" s="31" t="str">
        <f>IFERROR(__xludf.DUMMYFUNCTION("""COMPUTED_VALUE"""),"オンライン診療｜本人確認")</f>
        <v>オンライン診療｜本人確認</v>
      </c>
      <c r="D785" s="31" t="str">
        <f>IFERROR(__xludf.DUMMYFUNCTION("""COMPUTED_VALUE"""),"オンライン診療,本人確認,身分証,マイナンバー,免許証,保険証,パスポート,在留カード")</f>
        <v>オンライン診療,本人確認,身分証,マイナンバー,免許証,保険証,パスポート,在留カード</v>
      </c>
      <c r="E785" s="31"/>
    </row>
    <row r="786">
      <c r="A786" s="31" t="str">
        <f>IFERROR(__xludf.DUMMYFUNCTION("""COMPUTED_VALUE"""),"健康保険証は必要ですか？/保険証はいりますか？/受診に必要な持ち物は？/何を持っていけばいいですか？	")</f>
        <v>健康保険証は必要ですか？/保険証はいりますか？/受診に必要な持ち物は？/何を持っていけばいいですか？	</v>
      </c>
      <c r="B786" s="31" t="str">
        <f>IFERROR(__xludf.DUMMYFUNCTION("""COMPUTED_VALUE"""),"受診に必要な持ち物は「来院」か「オンライン診療」かで異なる場合があります。
来院の場合：
・保険証またはマイナンバーカード
・お薬手帳（お持ちの方）
・筆記用具（説明内容をメモしたい方）
オンライン診療の場合の持ち物：
ご本人様であることが確認できるもの　※顔写真付きの身分証明書でなくても可能です
・運転免許証
・マイナンバー
・保険証
・パスポート
・在留カード　等")</f>
        <v>受診に必要な持ち物は「来院」か「オンライン診療」かで異なる場合があります。
来院の場合：
・保険証またはマイナンバーカード
・お薬手帳（お持ちの方）
・筆記用具（説明内容をメモしたい方）
オンライン診療の場合の持ち物：
ご本人様であることが確認できるもの　※顔写真付きの身分証明書でなくても可能です
・運転免許証
・マイナンバー
・保険証
・パスポート
・在留カード　等</v>
      </c>
      <c r="C786" s="31" t="str">
        <f>IFERROR(__xludf.DUMMYFUNCTION("""COMPUTED_VALUE"""),"受診案内・持ち物")</f>
        <v>受診案内・持ち物</v>
      </c>
      <c r="D786" s="31" t="str">
        <f>IFERROR(__xludf.DUMMYFUNCTION("""COMPUTED_VALUE"""),"持ち物,受診,本人確認,身分証,オンライン診療,来院,マイナンバー")</f>
        <v>持ち物,受診,本人確認,身分証,オンライン診療,来院,マイナンバー</v>
      </c>
      <c r="E786" s="31"/>
    </row>
    <row r="787">
      <c r="A787" s="31" t="str">
        <f>IFERROR(__xludf.DUMMYFUNCTION("""COMPUTED_VALUE"""),"顔写真付きの身分証明書がありませんが、オンライン診療は受けられますか？")</f>
        <v>顔写真付きの身分証明書がありませんが、オンライン診療は受けられますか？</v>
      </c>
      <c r="B787" s="31" t="str">
        <f>IFERROR(__xludf.DUMMYFUNCTION("""COMPUTED_VALUE"""),"ご本人様であることが確認できるものであれば、顔写真付きの身分証明書でなくてもオンライン診療が可能です。
- 運転免許証
- マイナンバー
- 保険証
- パスポート
- 在留カード　等")</f>
        <v>ご本人様であることが確認できるものであれば、顔写真付きの身分証明書でなくてもオンライン診療が可能です。
- 運転免許証
- マイナンバー
- 保険証
- パスポート
- 在留カード　等</v>
      </c>
      <c r="C787" s="31" t="str">
        <f>IFERROR(__xludf.DUMMYFUNCTION("""COMPUTED_VALUE"""),"オンライン診療｜本人確認")</f>
        <v>オンライン診療｜本人確認</v>
      </c>
      <c r="D787" s="31" t="str">
        <f>IFERROR(__xludf.DUMMYFUNCTION("""COMPUTED_VALUE"""),"身分証,本人確認,オンライン診療")</f>
        <v>身分証,本人確認,オンライン診療</v>
      </c>
      <c r="E787" s="31"/>
    </row>
    <row r="788">
      <c r="A788" s="31" t="str">
        <f>IFERROR(__xludf.DUMMYFUNCTION("""COMPUTED_VALUE"""),"マイナンバーカードを忘れた場合は受診できますか？/マイナンバーカードわすれた")</f>
        <v>マイナンバーカードを忘れた場合は受診できますか？/マイナンバーカードわすれた</v>
      </c>
      <c r="B788" s="31" t="str">
        <f>IFERROR(__xludf.DUMMYFUNCTION("""COMPUTED_VALUE"""),"マイナンバーカードをお忘れの場合のご対応は受診内容や保険診療の有無によって異なります。詳しくはお電話にてお問い合わせください。お電話は 050-1730-2768 となります。")</f>
        <v>マイナンバーカードをお忘れの場合のご対応は受診内容や保険診療の有無によって異なります。詳しくはお電話にてお問い合わせください。お電話は 050-1730-2768 となります。</v>
      </c>
      <c r="C788" s="31" t="str">
        <f>IFERROR(__xludf.DUMMYFUNCTION("""COMPUTED_VALUE"""),"受診案内・本人確認")</f>
        <v>受診案内・本人確認</v>
      </c>
      <c r="D788" s="31" t="str">
        <f>IFERROR(__xludf.DUMMYFUNCTION("""COMPUTED_VALUE"""),"マイナンバー忘れ,マイナンバーカード,保険証,10割負担,本人確認,受診可否,電話問い合わせ")</f>
        <v>マイナンバー忘れ,マイナンバーカード,保険証,10割負担,本人確認,受診可否,電話問い合わせ</v>
      </c>
      <c r="E788" s="31"/>
    </row>
    <row r="789">
      <c r="A789" s="31" t="str">
        <f>IFERROR(__xludf.DUMMYFUNCTION("""COMPUTED_VALUE"""),"BMIとは")</f>
        <v>BMIとは</v>
      </c>
      <c r="B789" s="31" t="str">
        <f>IFERROR(__xludf.DUMMYFUNCTION("""COMPUTED_VALUE"""),"体重（kg）÷｛身長（m）×2乗｝で計算された数字です。
[【こちら】](https://keisan.casio.jp/exec/system/1161228732)のサイトにて自動計算が可能でございます。")</f>
        <v>体重（kg）÷｛身長（m）×2乗｝で計算された数字です。
[【こちら】](https://keisan.casio.jp/exec/system/1161228732)のサイトにて自動計算が可能でございます。</v>
      </c>
      <c r="C789" s="31" t="str">
        <f>IFERROR(__xludf.DUMMYFUNCTION("""COMPUTED_VALUE"""),"オンライン診療")</f>
        <v>オンライン診療</v>
      </c>
      <c r="D789" s="31" t="str">
        <f>IFERROR(__xludf.DUMMYFUNCTION("""COMPUTED_VALUE"""),"オンライン診療,BMI,BMI計算")</f>
        <v>オンライン診療,BMI,BMI計算</v>
      </c>
      <c r="E789" s="31"/>
    </row>
    <row r="790">
      <c r="A790" s="31" t="str">
        <f>IFERROR(__xludf.DUMMYFUNCTION("""COMPUTED_VALUE"""),"オンライン診療で処方されるお薬を教えて下さい/オンライン診療で処方されるお薬と費用を教えてください。")</f>
        <v>オンライン診療で処方されるお薬を教えて下さい/オンライン診療で処方されるお薬と費用を教えてください。</v>
      </c>
      <c r="B790" s="31" t="str">
        <f>IFERROR(__xludf.DUMMYFUNCTION("""COMPUTED_VALUE"""),"診療費は0円です。
低用量ピル（ラベルフィーユ28・ファボワール28）は1シート3,000円〜（定期配送割引あり）です。
月経移動ピル（中用量ピル：プラノバール）は1シート21錠5,000円（別途吐き気止め200円〜）です。
アフターピルは、レボノルゲストレル（72時間以内）12,000円、ウリプリスタル酢酸エステル（120時間以内）14,000円です。
※別途送料500円〜がかかります。
※診療後、処方を希望されない場合は診療代3,000円がかかります。")</f>
        <v>診療費は0円です。
低用量ピル（ラベルフィーユ28・ファボワール28）は1シート3,000円〜（定期配送割引あり）です。
月経移動ピル（中用量ピル：プラノバール）は1シート21錠5,000円（別途吐き気止め200円〜）です。
アフターピルは、レボノルゲストレル（72時間以内）12,000円、ウリプリスタル酢酸エステル（120時間以内）14,000円です。
※別途送料500円〜がかかります。
※診療後、処方を希望されない場合は診療代3,000円がかかります。</v>
      </c>
      <c r="C790" s="31" t="str">
        <f>IFERROR(__xludf.DUMMYFUNCTION("""COMPUTED_VALUE"""),"オンライン診療｜料金・薬剤")</f>
        <v>オンライン診療｜料金・薬剤</v>
      </c>
      <c r="D790" s="31" t="str">
        <f>IFERROR(__xludf.DUMMYFUNCTION("""COMPUTED_VALUE"""),"薬の種類,料金,オンライン診療")</f>
        <v>薬の種類,料金,オンライン診療</v>
      </c>
      <c r="E790" s="31"/>
    </row>
    <row r="791">
      <c r="A791" s="31" t="str">
        <f>IFERROR(__xludf.DUMMYFUNCTION("""COMPUTED_VALUE"""),"オンライン診療の配送お届け日時についておしえてください/オンライン診療の配送お届け日についておしえてください/いつ配送されますか？")</f>
        <v>オンライン診療の配送お届け日時についておしえてください/オンライン診療の配送お届け日についておしえてください/いつ配送されますか？</v>
      </c>
      <c r="B791" s="31" t="str">
        <f>IFERROR(__xludf.DUMMYFUNCTION("""COMPUTED_VALUE"""),"【通常配送】
16時までのお支払いで当日発送し、ポスト投函にてお届けします。到着までは最短翌日〜7日程度です。日付・時間指定はできません。
※お急ぎ便をご希望の患者様は、決済完了前にチャットにてカウンセラーへご相談ください。
※定期配送は配送方法の変更ができない為、配送日を早める等で患者様ご自身で調節をお願いいたします。
配送日変更はこちら
https://docs.google.com/forms/d/e/1FAIpQLSe41t1VsvN-rfcwsRSkalz89S2yqQc4zpWrbdcrwPo"&amp;"95Iif-Q/viewform
【お急ぎ便】（別途500円）
16時までにお支払いが完了したご注文は、一部地域を除き翌日に対面受け取りにてお届けいたします。
※日付・時間指定ご希望の患者様は、決済完了前にチャットにてカウンセラーへご相談ください。
アフターピルをご注文の患者様に限り、追加料金なしでご利用いただけます。")</f>
        <v>【通常配送】
16時までのお支払いで当日発送し、ポスト投函にてお届けします。到着までは最短翌日〜7日程度です。日付・時間指定はできません。
※お急ぎ便をご希望の患者様は、決済完了前にチャットにてカウンセラーへご相談ください。
※定期配送は配送方法の変更ができない為、配送日を早める等で患者様ご自身で調節をお願いいたします。
配送日変更はこちら
https://docs.google.com/forms/d/e/1FAIpQLSe41t1VsvN-rfcwsRSkalz89S2yqQc4zpWrbdcrwPo95Iif-Q/viewform
【お急ぎ便】（別途500円）
16時までにお支払いが完了したご注文は、一部地域を除き翌日に対面受け取りにてお届けいたします。
※日付・時間指定ご希望の患者様は、決済完了前にチャットにてカウンセラーへご相談ください。
アフターピルをご注文の患者様に限り、追加料金なしでご利用いただけます。</v>
      </c>
      <c r="C791" s="31" t="str">
        <f>IFERROR(__xludf.DUMMYFUNCTION("""COMPUTED_VALUE"""),"オンライン診療｜配送")</f>
        <v>オンライン診療｜配送</v>
      </c>
      <c r="D791" s="31" t="str">
        <f>IFERROR(__xludf.DUMMYFUNCTION("""COMPUTED_VALUE"""),"配送,梱包,お急ぎ便")</f>
        <v>配送,梱包,お急ぎ便</v>
      </c>
      <c r="E791" s="31"/>
    </row>
    <row r="792">
      <c r="A792" s="31" t="str">
        <f>IFERROR(__xludf.DUMMYFUNCTION("""COMPUTED_VALUE"""),"オンライン診療で処方された薬はどこで受け取れますか？")</f>
        <v>オンライン診療で処方された薬はどこで受け取れますか？</v>
      </c>
      <c r="B792" s="31" t="str">
        <f>IFERROR(__xludf.DUMMYFUNCTION("""COMPUTED_VALUE"""),"当院より、ご自宅へ配送いたします。※オンライン診療で処方された薬が対象となります")</f>
        <v>当院より、ご自宅へ配送いたします。※オンライン診療で処方された薬が対象となります</v>
      </c>
      <c r="C792" s="31" t="str">
        <f>IFERROR(__xludf.DUMMYFUNCTION("""COMPUTED_VALUE"""),"オンライン診療｜受け取り")</f>
        <v>オンライン診療｜受け取り</v>
      </c>
      <c r="D792" s="31" t="str">
        <f>IFERROR(__xludf.DUMMYFUNCTION("""COMPUTED_VALUE"""),"薬の受け取り,配送")</f>
        <v>薬の受け取り,配送</v>
      </c>
      <c r="E792" s="31"/>
    </row>
    <row r="793">
      <c r="A793" s="31" t="str">
        <f>IFERROR(__xludf.DUMMYFUNCTION("""COMPUTED_VALUE"""),"オンライン診療で本人以外の住所で薬を受け取れますか？")</f>
        <v>オンライン診療で本人以外の住所で薬を受け取れますか？</v>
      </c>
      <c r="B793" s="31" t="str">
        <f>IFERROR(__xludf.DUMMYFUNCTION("""COMPUTED_VALUE"""),"原則としてご本人様のご自宅でのお受け取りとなりますので、ご了承くださいませ。特別なご事情がある場合、決済前にカウンセラーへご相談ください。")</f>
        <v>原則としてご本人様のご自宅でのお受け取りとなりますので、ご了承くださいませ。特別なご事情がある場合、決済前にカウンセラーへご相談ください。</v>
      </c>
      <c r="C793" s="31" t="str">
        <f>IFERROR(__xludf.DUMMYFUNCTION("""COMPUTED_VALUE"""),"オンライン診療｜受け取り")</f>
        <v>オンライン診療｜受け取り</v>
      </c>
      <c r="D793" s="31" t="str">
        <f>IFERROR(__xludf.DUMMYFUNCTION("""COMPUTED_VALUE"""),"本人以外,営業所受け取り")</f>
        <v>本人以外,営業所受け取り</v>
      </c>
      <c r="E793" s="31"/>
    </row>
    <row r="794">
      <c r="A794" s="31" t="str">
        <f>IFERROR(__xludf.DUMMYFUNCTION("""COMPUTED_VALUE"""),"オンライン診療でコンビニで薬を受け取ることはできますか？")</f>
        <v>オンライン診療でコンビニで薬を受け取ることはできますか？</v>
      </c>
      <c r="B794" s="31" t="str">
        <f>IFERROR(__xludf.DUMMYFUNCTION("""COMPUTED_VALUE"""),"申し訳ありませんが、コンビニでのお受け取りはできません。原則ご自宅への配送とさせていただいております。特別なご事情がある場合は、決済前にカウンセラーへご相談ください。※追加料金が発生する場合がございます。")</f>
        <v>申し訳ありませんが、コンビニでのお受け取りはできません。原則ご自宅への配送とさせていただいております。特別なご事情がある場合は、決済前にカウンセラーへご相談ください。※追加料金が発生する場合がございます。</v>
      </c>
      <c r="C794" s="31" t="str">
        <f>IFERROR(__xludf.DUMMYFUNCTION("""COMPUTED_VALUE"""),"オンライン診療｜受け取り")</f>
        <v>オンライン診療｜受け取り</v>
      </c>
      <c r="D794" s="31" t="str">
        <f>IFERROR(__xludf.DUMMYFUNCTION("""COMPUTED_VALUE"""),"コンビニ受取,配送")</f>
        <v>コンビニ受取,配送</v>
      </c>
      <c r="E794" s="31"/>
    </row>
    <row r="795">
      <c r="A795" s="31" t="str">
        <f>IFERROR(__xludf.DUMMYFUNCTION("""COMPUTED_VALUE"""),"低用量ピルとはどのような薬ですか？")</f>
        <v>低用量ピルとはどのような薬ですか？</v>
      </c>
      <c r="B795" s="31" t="str">
        <f>IFERROR(__xludf.DUMMYFUNCTION("""COMPUTED_VALUE"""),"低用量ピルは、毎日1錠服用することで生理周期を安定させるお薬です。避妊を目的とした自費ピル（OC）と、治療目的で保険適用となるLEPがありますが、オンライン診療ではOCのみを取り扱っています。")</f>
        <v>低用量ピルは、毎日1錠服用することで生理周期を安定させるお薬です。避妊を目的とした自費ピル（OC）と、治療目的で保険適用となるLEPがありますが、オンライン診療ではOCのみを取り扱っています。</v>
      </c>
      <c r="C795" s="31" t="str">
        <f>IFERROR(__xludf.DUMMYFUNCTION("""COMPUTED_VALUE"""),"オンライン診療｜ピル基礎知識")</f>
        <v>オンライン診療｜ピル基礎知識</v>
      </c>
      <c r="D795" s="31" t="str">
        <f>IFERROR(__xludf.DUMMYFUNCTION("""COMPUTED_VALUE"""),"低用量ピル,OC,LEP")</f>
        <v>低用量ピル,OC,LEP</v>
      </c>
      <c r="E795" s="31"/>
    </row>
    <row r="796">
      <c r="A796" s="31" t="str">
        <f>IFERROR(__xludf.DUMMYFUNCTION("""COMPUTED_VALUE"""),"低用量ピルのメリットとデメリットを教えてください。")</f>
        <v>低用量ピルのメリットとデメリットを教えてください。</v>
      </c>
      <c r="B796" s="31" t="str">
        <f>IFERROR(__xludf.DUMMYFUNCTION("""COMPUTED_VALUE"""),"低用量ピルのメリットとして避妊・肌荒れ改善・PMS・生理痛緩和などが挙げられます。
デメリットとしては、服用開始時に吐き気やむくみなどが多少気になる方もいらっしゃいます。
また、血栓症のリスクやご本人様またはご家族に乳がんの既往歴がある場合は、服用されていない方に比べリスクが上がります。
服用中は1年に1度、婦人科にて定期健診をお願いいたします。")</f>
        <v>低用量ピルのメリットとして避妊・肌荒れ改善・PMS・生理痛緩和などが挙げられます。
デメリットとしては、服用開始時に吐き気やむくみなどが多少気になる方もいらっしゃいます。
また、血栓症のリスクやご本人様またはご家族に乳がんの既往歴がある場合は、服用されていない方に比べリスクが上がります。
服用中は1年に1度、婦人科にて定期健診をお願いいたします。</v>
      </c>
      <c r="C796" s="31" t="str">
        <f>IFERROR(__xludf.DUMMYFUNCTION("""COMPUTED_VALUE"""),"オンライン診療｜ピル")</f>
        <v>オンライン診療｜ピル</v>
      </c>
      <c r="D796" s="31" t="str">
        <f>IFERROR(__xludf.DUMMYFUNCTION("""COMPUTED_VALUE"""),"メリット,デメリット,副作用")</f>
        <v>メリット,デメリット,副作用</v>
      </c>
      <c r="E796" s="31"/>
    </row>
    <row r="797">
      <c r="A797" s="31" t="str">
        <f>IFERROR(__xludf.DUMMYFUNCTION("""COMPUTED_VALUE"""),"ラベルフィーユとファボワールの違い")</f>
        <v>ラベルフィーユとファボワールの違い</v>
      </c>
      <c r="B797" s="31" t="str">
        <f>IFERROR(__xludf.DUMMYFUNCTION("""COMPUTED_VALUE"""),"ラベルフィーユは3相性、ファボワールは1相性のお薬です。
ラベルフィーユは避妊、月経痛・生理不順、ファボワールは避妊、ニキビ、肌荒れ、抜け毛、PMSに効果があると言われています。
ピルの種類でご希望がございましたら、問診回答時に記載をお願いいたします。
※医師の判断でご希望に添えない場合がございます。ご了承ください。")</f>
        <v>ラベルフィーユは3相性、ファボワールは1相性のお薬です。
ラベルフィーユは避妊、月経痛・生理不順、ファボワールは避妊、ニキビ、肌荒れ、抜け毛、PMSに効果があると言われています。
ピルの種類でご希望がございましたら、問診回答時に記載をお願いいたします。
※医師の判断でご希望に添えない場合がございます。ご了承ください。</v>
      </c>
      <c r="C797" s="31" t="str">
        <f>IFERROR(__xludf.DUMMYFUNCTION("""COMPUTED_VALUE"""),"オンライン診療｜ピル")</f>
        <v>オンライン診療｜ピル</v>
      </c>
      <c r="D797" s="31" t="str">
        <f>IFERROR(__xludf.DUMMYFUNCTION("""COMPUTED_VALUE"""),"ピル,種類,ラベルフィーユ,ファボワール,違い")</f>
        <v>ピル,種類,ラベルフィーユ,ファボワール,違い</v>
      </c>
      <c r="E797" s="31"/>
    </row>
    <row r="798">
      <c r="A798" s="31" t="str">
        <f>IFERROR(__xludf.DUMMYFUNCTION("""COMPUTED_VALUE"""),"低用量ピルの副作用にはどんなものがありますか？")</f>
        <v>低用量ピルの副作用にはどんなものがありますか？</v>
      </c>
      <c r="B798" s="31" t="str">
        <f>IFERROR(__xludf.DUMMYFUNCTION("""COMPUTED_VALUE"""),"低用量ピルには副作用がいくつかあり、特に飲み始めに起こりやすいとされています。
主に、吐き気・頭痛・下腹部痛・乳房の張り・むくみ・眠気・不正出血・下痢などの症状が挙げられます。
どの副作用も飲み続けることで改善されていくことがほとんどのため、無理のない範囲で飲み続けることが大切です。
ですが、3カ月以上低用量ピルの服用を継続しても副作用が軽減されない場合は、ピルが体に合っていない可能性があります。
無理せずに低用量ピルの変更をご検討ください。
変更した場合は、また3カ月のホルモンバランスは1から開始となり"&amp;"ます。")</f>
        <v>低用量ピルには副作用がいくつかあり、特に飲み始めに起こりやすいとされています。
主に、吐き気・頭痛・下腹部痛・乳房の張り・むくみ・眠気・不正出血・下痢などの症状が挙げられます。
どの副作用も飲み続けることで改善されていくことがほとんどのため、無理のない範囲で飲み続けることが大切です。
ですが、3カ月以上低用量ピルの服用を継続しても副作用が軽減されない場合は、ピルが体に合っていない可能性があります。
無理せずに低用量ピルの変更をご検討ください。
変更した場合は、また3カ月のホルモンバランスは1から開始となります。</v>
      </c>
      <c r="C798" s="31" t="str">
        <f>IFERROR(__xludf.DUMMYFUNCTION("""COMPUTED_VALUE"""),"オンライン診療｜ピル")</f>
        <v>オンライン診療｜ピル</v>
      </c>
      <c r="D798" s="31" t="str">
        <f>IFERROR(__xludf.DUMMYFUNCTION("""COMPUTED_VALUE"""),"副作用,不正出血,吐き気")</f>
        <v>副作用,不正出血,吐き気</v>
      </c>
      <c r="E798" s="31"/>
    </row>
    <row r="799">
      <c r="A799" s="31" t="str">
        <f>IFERROR(__xludf.DUMMYFUNCTION("""COMPUTED_VALUE"""),"ピルを飲み始めてPMSが悪化した")</f>
        <v>ピルを飲み始めてPMSが悪化した</v>
      </c>
      <c r="B799" s="31" t="str">
        <f>IFERROR(__xludf.DUMMYFUNCTION("""COMPUTED_VALUE"""),"ピルを飲み始めて最初の頃は、気分の落ち込みや情緒の不安定が出現する事があります。
ピルの内服を3シート継続すると、症状が落ち着く事が多いです。
ピルの飲み始めよりもPMSの症状が強くなっていたり、日常生活に支障をきたしている場合は一度ご相談ください。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amp;"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f>
        <v>ピルを飲み始めて最初の頃は、気分の落ち込みや情緒の不安定が出現する事があります。
ピルの内服を3シート継続すると、症状が落ち着く事が多いです。
ピルの飲み始めよりもPMSの症状が強くなっていたり、日常生活に支障をきたしている場合は一度ご相談ください。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799" s="31" t="str">
        <f>IFERROR(__xludf.DUMMYFUNCTION("""COMPUTED_VALUE"""),"オンライン診療｜ピル")</f>
        <v>オンライン診療｜ピル</v>
      </c>
      <c r="D799" s="31" t="str">
        <f>IFERROR(__xludf.DUMMYFUNCTION("""COMPUTED_VALUE"""),"PMS,情緒不安定")</f>
        <v>PMS,情緒不安定</v>
      </c>
      <c r="E799" s="31"/>
    </row>
    <row r="800">
      <c r="A800" s="31" t="str">
        <f>IFERROR(__xludf.DUMMYFUNCTION("""COMPUTED_VALUE"""),"低用量ピルは誰でも服用できますか？")</f>
        <v>低用量ピルは誰でも服用できますか？</v>
      </c>
      <c r="B800" s="31" t="str">
        <f>IFERROR(__xludf.DUMMYFUNCTION("""COMPUTED_VALUE"""),"低用量ピルの処方は、年齢、既往歴、喫煙の有無、BMI、高血圧などの健康状態によって異なります。
オンラインの申し込みをいただき、その内容をもとに医師が処方の可否を判断いたします。")</f>
        <v>低用量ピルの処方は、年齢、既往歴、喫煙の有無、BMI、高血圧などの健康状態によって異なります。
オンラインの申し込みをいただき、その内容をもとに医師が処方の可否を判断いたします。</v>
      </c>
      <c r="C800" s="31" t="str">
        <f>IFERROR(__xludf.DUMMYFUNCTION("""COMPUTED_VALUE"""),"オンライン診療｜ピル")</f>
        <v>オンライン診療｜ピル</v>
      </c>
      <c r="D800" s="31" t="str">
        <f>IFERROR(__xludf.DUMMYFUNCTION("""COMPUTED_VALUE"""),"服用条件,処方基準")</f>
        <v>服用条件,処方基準</v>
      </c>
      <c r="E800" s="31"/>
    </row>
    <row r="801">
      <c r="A801" s="31" t="str">
        <f>IFERROR(__xludf.DUMMYFUNCTION("""COMPUTED_VALUE"""),"ヤーズフレックスなど保険ピルをオンラインで定期購入できますか？")</f>
        <v>ヤーズフレックスなど保険ピルをオンラインで定期購入できますか？</v>
      </c>
      <c r="B801" s="31" t="str">
        <f>IFERROR(__xludf.DUMMYFUNCTION("""COMPUTED_VALUE"""),"保険適用ピル（ヤーズフレックス等）は、オンライン診療や定期配送では処方できません。ご希望の場合はクリニック受診をご検討ください。
受診のご予約はLINEから受け付けております→https://cline-app.com/qr-codes/98ad6f149bfa20f4f2a9a2e91aac4187/preview")</f>
        <v>保険適用ピル（ヤーズフレックス等）は、オンライン診療や定期配送では処方できません。ご希望の場合はクリニック受診をご検討ください。
受診のご予約はLINEから受け付けております→https://cline-app.com/qr-codes/98ad6f149bfa20f4f2a9a2e91aac4187/preview</v>
      </c>
      <c r="C801" s="31" t="str">
        <f>IFERROR(__xludf.DUMMYFUNCTION("""COMPUTED_VALUE"""),"オンライン診療｜ピル")</f>
        <v>オンライン診療｜ピル</v>
      </c>
      <c r="D801" s="31" t="str">
        <f>IFERROR(__xludf.DUMMYFUNCTION("""COMPUTED_VALUE"""),"保険ピル,ヤーズフレックス")</f>
        <v>保険ピル,ヤーズフレックス</v>
      </c>
      <c r="E801" s="31"/>
    </row>
    <row r="802">
      <c r="A802" s="31" t="str">
        <f>IFERROR(__xludf.DUMMYFUNCTION("""COMPUTED_VALUE"""),"低用量ピルで月経移動はできますか？")</f>
        <v>低用量ピルで月経移動はできますか？</v>
      </c>
      <c r="B802" s="31" t="str">
        <f>IFERROR(__xludf.DUMMYFUNCTION("""COMPUTED_VALUE"""),"3カ月以上低用量ピルを服用している場合は可能です。服用方法によって月経を早める・遅らせる調整ができます。服用歴がない場合は中用量ピルをご提案することがあります。")</f>
        <v>3カ月以上低用量ピルを服用している場合は可能です。服用方法によって月経を早める・遅らせる調整ができます。服用歴がない場合は中用量ピルをご提案することがあります。</v>
      </c>
      <c r="C802" s="31" t="str">
        <f>IFERROR(__xludf.DUMMYFUNCTION("""COMPUTED_VALUE"""),"オンライン診療｜月経移動")</f>
        <v>オンライン診療｜月経移動</v>
      </c>
      <c r="D802" s="31" t="str">
        <f>IFERROR(__xludf.DUMMYFUNCTION("""COMPUTED_VALUE"""),"月経移動,ピル")</f>
        <v>月経移動,ピル</v>
      </c>
      <c r="E802" s="31"/>
    </row>
    <row r="803">
      <c r="A803" s="31" t="str">
        <f>IFERROR(__xludf.DUMMYFUNCTION("""COMPUTED_VALUE"""),"生理を早めたいのですが、低用量ピルでできますか？")</f>
        <v>生理を早めたいのですが、低用量ピルでできますか？</v>
      </c>
      <c r="B803" s="31" t="str">
        <f>IFERROR(__xludf.DUMMYFUNCTION("""COMPUTED_VALUE"""),"3カ月以上OC（自費）の低用量ピルを継続して服用している場合、生理を早めることが可能です。現在服用中のシートの3列目（15錠目～21錠目）のうち、早めたい日数分（最大7日間）を服用せず、4列目（休薬期間）に進んでください。その後は通常どおり新しいシートの服用を開始します。4列目を内服している間に月経が来ることを想定しています。※7日以上早めたい場合はご相談ください。※使用しなかったピルは破棄してください。")</f>
        <v>3カ月以上OC（自費）の低用量ピルを継続して服用している場合、生理を早めることが可能です。現在服用中のシートの3列目（15錠目～21錠目）のうち、早めたい日数分（最大7日間）を服用せず、4列目（休薬期間）に進んでください。その後は通常どおり新しいシートの服用を開始します。4列目を内服している間に月経が来ることを想定しています。※7日以上早めたい場合はご相談ください。※使用しなかったピルは破棄してください。</v>
      </c>
      <c r="C803" s="31" t="str">
        <f>IFERROR(__xludf.DUMMYFUNCTION("""COMPUTED_VALUE"""),"オンライン診療｜月経移動")</f>
        <v>オンライン診療｜月経移動</v>
      </c>
      <c r="D803" s="31" t="str">
        <f>IFERROR(__xludf.DUMMYFUNCTION("""COMPUTED_VALUE"""),"生理を早めたい,月経移動,低用量ピル")</f>
        <v>生理を早めたい,月経移動,低用量ピル</v>
      </c>
      <c r="E803" s="31"/>
    </row>
    <row r="804">
      <c r="A804" s="31" t="str">
        <f>IFERROR(__xludf.DUMMYFUNCTION("""COMPUTED_VALUE"""),"生理を遅らせたいのですが、低用量ピルでできますか？")</f>
        <v>生理を遅らせたいのですが、低用量ピルでできますか？</v>
      </c>
      <c r="B804" s="31" t="str">
        <f>IFERROR(__xludf.DUMMYFUNCTION("""COMPUTED_VALUE"""),"3カ月以上OC（自費）の低用量ピルを継続して服用している場合、生理を遅らせることが可能です。現在服用中のシートを21錠まで服用した後、新しいシートの3列目（15錠目～21錠目）を、生理を避けたい期間が終わるまで服用します。その後、元のシートの4列目（休薬期間）を服用してください。4列目を内服している間に月経が来ることを想定しています。※服用中に少量の出血が起こることがあります。")</f>
        <v>3カ月以上OC（自費）の低用量ピルを継続して服用している場合、生理を遅らせることが可能です。現在服用中のシートを21錠まで服用した後、新しいシートの3列目（15錠目～21錠目）を、生理を避けたい期間が終わるまで服用します。その後、元のシートの4列目（休薬期間）を服用してください。4列目を内服している間に月経が来ることを想定しています。※服用中に少量の出血が起こることがあります。</v>
      </c>
      <c r="C804" s="31" t="str">
        <f>IFERROR(__xludf.DUMMYFUNCTION("""COMPUTED_VALUE"""),"オンライン診療｜月経移動")</f>
        <v>オンライン診療｜月経移動</v>
      </c>
      <c r="D804" s="31" t="str">
        <f>IFERROR(__xludf.DUMMYFUNCTION("""COMPUTED_VALUE"""),"生理を遅らせたい,月経移動,低用量ピル")</f>
        <v>生理を遅らせたい,月経移動,低用量ピル</v>
      </c>
      <c r="E804" s="31"/>
    </row>
    <row r="805">
      <c r="A805" s="31" t="str">
        <f>IFERROR(__xludf.DUMMYFUNCTION("""COMPUTED_VALUE"""),"低用量ピルの服用をやめたいのですが、どうすればいいですか？")</f>
        <v>低用量ピルの服用をやめたいのですが、どうすればいいですか？</v>
      </c>
      <c r="B805" s="31" t="str">
        <f>IFERROR(__xludf.DUMMYFUNCTION("""COMPUTED_VALUE"""),"OC（自費）低用量ピルは、シートの途中で服用を中止するとホルモンバランスが乱れ、不正出血や体調変化が起こる可能性があります。ご状況をお伺いし、適切な服用方法や中断方法のご案内が必要になりますので診療をお勧めします。当院でのご受診をご希望の場合は、ご予約をお取りの上、クリニックにご受診ください。受診のご予約はLINEで受け付けています。LINEはこちら→https://cline-app.com/qr-codes/98ad6f149bfa20f4f2a9a2e91aac4187/preview　なお、恐れ入"&amp;"りますが、当院では乳房に関する診療（乳がん検診・乳腺外来など）、更年期障害の治療、不妊治療、体重100kg以上の方への診療、救急対応（緊急搬送・急性期対応）は行っておりませんのであらかじめご了承くださいませ。")</f>
        <v>OC（自費）低用量ピルは、シートの途中で服用を中止するとホルモンバランスが乱れ、不正出血や体調変化が起こる可能性があります。ご状況をお伺いし、適切な服用方法や中断方法のご案内が必要になりますので診療をお勧め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805" s="31" t="str">
        <f>IFERROR(__xludf.DUMMYFUNCTION("""COMPUTED_VALUE"""),"低用量ピル｜中止・再開")</f>
        <v>低用量ピル｜中止・再開</v>
      </c>
      <c r="D805" s="31" t="str">
        <f>IFERROR(__xludf.DUMMYFUNCTION("""COMPUTED_VALUE"""),"低用量ピル,服用中止,やめたい")</f>
        <v>低用量ピル,服用中止,やめたい</v>
      </c>
      <c r="E805" s="31"/>
    </row>
    <row r="806">
      <c r="A806" s="31" t="str">
        <f>IFERROR(__xludf.DUMMYFUNCTION("""COMPUTED_VALUE"""),"低用量ピルを1日飲み忘れました/ピルを1錠飲み忘れた/昨日のピルを飲み忘れた")</f>
        <v>低用量ピルを1日飲み忘れました/ピルを1錠飲み忘れた/昨日のピルを飲み忘れた</v>
      </c>
      <c r="B806" s="31" t="str">
        <f>IFERROR(__xludf.DUMMYFUNCTION("""COMPUTED_VALUE"""),"低用量ピルを1日飲み忘れた場合、服用を中止する必要はありません。飲み忘れに気づいた時点で前日の分を服用し、本日分はいつもの時間に服用してください。本日分を服用する際に前日の飲み忘れに気づいた場合は、その時に2錠まとめて内服してください。自費診療のピル（ラベルフィーユ・ファボワールなど）は、飲み忘れが1日であれば避妊効果への影響はないと言われています。")</f>
        <v>低用量ピルを1日飲み忘れた場合、服用を中止する必要はありません。飲み忘れに気づいた時点で前日の分を服用し、本日分はいつもの時間に服用してください。本日分を服用する際に前日の飲み忘れに気づいた場合は、その時に2錠まとめて内服してください。自費診療のピル（ラベルフィーユ・ファボワールなど）は、飲み忘れが1日であれば避妊効果への影響はないと言われています。</v>
      </c>
      <c r="C806" s="31" t="str">
        <f>IFERROR(__xludf.DUMMYFUNCTION("""COMPUTED_VALUE"""),"処方・低用量ピル")</f>
        <v>処方・低用量ピル</v>
      </c>
      <c r="D806" s="31" t="str">
        <f>IFERROR(__xludf.DUMMYFUNCTION("""COMPUTED_VALUE"""),"低用量ピル, ピル, 飲み忘れ, 1日, ラベルフィーユ, ファボワール, ヤーズフレックス, 保険, 自費, 避妊, 服用方法")</f>
        <v>低用量ピル, ピル, 飲み忘れ, 1日, ラベルフィーユ, ファボワール, ヤーズフレックス, 保険, 自費, 避妊, 服用方法</v>
      </c>
      <c r="E806" s="31"/>
    </row>
    <row r="807">
      <c r="A807" s="31" t="str">
        <f>IFERROR(__xludf.DUMMYFUNCTION("""COMPUTED_VALUE"""),"低用量ピルを2日〜3日飲み忘れました/ピルを2日以上飲み忘れた/数日ピルを飲んでいなかった")</f>
        <v>低用量ピルを2日〜3日飲み忘れました/ピルを2日以上飲み忘れた/数日ピルを飲んでいなかった</v>
      </c>
      <c r="B807" s="31" t="str">
        <f>IFERROR(__xludf.DUMMYFUNCTION("""COMPUTED_VALUE"""),"低用量ピルを2〜3日飲み忘れた場合は、お手元のピルの種類によって対処法が異なります。【自費診療のピル（ラベルフィーユ・ファボワールなど）】一度内服を中止し、次回の自然な月経が来るのを待ってから月経開始5日以内に再開してください。再開後の最初の1列目は別の避妊方法を併用してください。なお、4列目の偽薬（ホルモン剤が入っていない錠剤）の飲み忘れは追加服用不要です。【保険診療のピル（ヤーズフレックスなど）】気づいた時点で飲み忘れた分の直近の錠剤を内服し、本日分はいつもの時間に内服してその後は通常のスケジュールで"&amp;"続けてください。ホルモンの低下により不正出血が起こる場合がありますが、茶褐色の出血であれば服用を続けることで収まることがほとんどです。鮮血の出血や量が多い場合は現在のシートを中断し、次回月経開始から5日以内に新しいシートの1錠目から再開してください。症状が強い場合は早めにご受診ください。")</f>
        <v>低用量ピルを2〜3日飲み忘れた場合は、お手元のピルの種類によって対処法が異なります。【自費診療のピル（ラベルフィーユ・ファボワールなど）】一度内服を中止し、次回の自然な月経が来るのを待ってから月経開始5日以内に再開してください。再開後の最初の1列目は別の避妊方法を併用してください。なお、4列目の偽薬（ホルモン剤が入っていない錠剤）の飲み忘れは追加服用不要です。【保険診療のピル（ヤーズフレックスなど）】気づいた時点で飲み忘れた分の直近の錠剤を内服し、本日分はいつもの時間に内服してその後は通常のスケジュールで続けてください。ホルモンの低下により不正出血が起こる場合がありますが、茶褐色の出血であれば服用を続けることで収まることがほとんどです。鮮血の出血や量が多い場合は現在のシートを中断し、次回月経開始から5日以内に新しいシートの1錠目から再開してください。症状が強い場合は早めにご受診ください。</v>
      </c>
      <c r="C807" s="31" t="str">
        <f>IFERROR(__xludf.DUMMYFUNCTION("""COMPUTED_VALUE"""),"処方・低用量ピル")</f>
        <v>処方・低用量ピル</v>
      </c>
      <c r="D807" s="31" t="str">
        <f>IFERROR(__xludf.DUMMYFUNCTION("""COMPUTED_VALUE"""),"低用量ピル, ピル, 飲み忘れ, 2日, 3日, ラベルフィーユ, ファボワール, ヤーズフレックス, 保険, 自費, 避妊, 不正出血, 偽薬, プラセボ")</f>
        <v>低用量ピル, ピル, 飲み忘れ, 2日, 3日, ラベルフィーユ, ファボワール, ヤーズフレックス, 保険, 自費, 避妊, 不正出血, 偽薬, プラセボ</v>
      </c>
      <c r="E807" s="31"/>
    </row>
    <row r="808">
      <c r="A808" s="31" t="str">
        <f>IFERROR(__xludf.DUMMYFUNCTION("""COMPUTED_VALUE"""),"低用量ピルを4日以上飲み忘れました/ピルをずっと飲んでいなかった/長期間ピルを飲み忘れた")</f>
        <v>低用量ピルを4日以上飲み忘れました/ピルをずっと飲んでいなかった/長期間ピルを飲み忘れた</v>
      </c>
      <c r="B808" s="31" t="str">
        <f>IFERROR(__xludf.DUMMYFUNCTION("""COMPUTED_VALUE"""),"低用量ピルを4日以上飲み忘れた場合は、医師への確認が必要です。処方された医療機関を受診してご相談ください。")</f>
        <v>低用量ピルを4日以上飲み忘れた場合は、医師への確認が必要です。処方された医療機関を受診してご相談ください。</v>
      </c>
      <c r="C808" s="31" t="str">
        <f>IFERROR(__xludf.DUMMYFUNCTION("""COMPUTED_VALUE"""),"処方・低用量ピル")</f>
        <v>処方・低用量ピル</v>
      </c>
      <c r="D808" s="31" t="str">
        <f>IFERROR(__xludf.DUMMYFUNCTION("""COMPUTED_VALUE"""),"低用量ピル, ピル, 飲み忘れ, 4日以上, 長期, ヤーズフレックス, ラベルフィーユ, 保険, 自費, 受診")</f>
        <v>低用量ピル, ピル, 飲み忘れ, 4日以上, 長期, ヤーズフレックス, ラベルフィーユ, 保険, 自費, 受診</v>
      </c>
      <c r="E808" s="31"/>
    </row>
    <row r="809">
      <c r="A809" s="31" t="str">
        <f>IFERROR(__xludf.DUMMYFUNCTION("""COMPUTED_VALUE"""),"低用量ピルを飲み忘れたときはどうすればいいですか/ピルの飲み忘れ 対処法/ピル 飲み忘れ どうする")</f>
        <v>低用量ピルを飲み忘れたときはどうすればいいですか/ピルの飲み忘れ 対処法/ピル 飲み忘れ どうする</v>
      </c>
      <c r="B809" s="31" t="str">
        <f>IFERROR(__xludf.DUMMYFUNCTION("""COMPUTED_VALUE"""),"低用量ピルの飲み忘れ時の対処法は、飲み忘れた日数とピルの種類によって異なります。【1日の飲み忘れ】保険・自費ともに服用を中止する必要はありません。気づいた時点で前日分を服用し、本日分はいつもの時間に服用してください。同時に気づいた場合は2錠まとめて内服してください。自費ピルは飲み忘れ1日であれば避妊効果への影響はないと言われています。【2〜3日の飲み忘れ】自費診療のピル（ラベルフィーユ・ファボワールなど）：一度内服を中止し、次回の自然な月経が来てから5日以内に再開してください。再開後の最初の1列目は別の避"&amp;"妊方法を併用してください。4列目の偽薬の飲み忘れは追加服用不要です。保険診療のピル（ヤーズフレックスなど）：気づいた時点で直近の錠剤を内服し、本日分はいつもの時間に内服してその後は通常スケジュールで続けてください。不正出血が起きることがあります。鮮血・大量出血の場合は現在のシートを中断し、次回月経から5日以内に新シートで再開してください。【4日以上の飲み忘れ】保険・自費ともに医師への確認が必要です。処方された医療機関を受診してご相談ください。")</f>
        <v>低用量ピルの飲み忘れ時の対処法は、飲み忘れた日数とピルの種類によって異なります。【1日の飲み忘れ】保険・自費ともに服用を中止する必要はありません。気づいた時点で前日分を服用し、本日分はいつもの時間に服用してください。同時に気づいた場合は2錠まとめて内服してください。自費ピルは飲み忘れ1日であれば避妊効果への影響はないと言われています。【2〜3日の飲み忘れ】自費診療のピル（ラベルフィーユ・ファボワールなど）：一度内服を中止し、次回の自然な月経が来てから5日以内に再開してください。再開後の最初の1列目は別の避妊方法を併用してください。4列目の偽薬の飲み忘れは追加服用不要です。保険診療のピル（ヤーズフレックスなど）：気づいた時点で直近の錠剤を内服し、本日分はいつもの時間に内服してその後は通常スケジュールで続けてください。不正出血が起きることがあります。鮮血・大量出血の場合は現在のシートを中断し、次回月経から5日以内に新シートで再開してください。【4日以上の飲み忘れ】保険・自費ともに医師への確認が必要です。処方された医療機関を受診してご相談ください。</v>
      </c>
      <c r="C809" s="31" t="str">
        <f>IFERROR(__xludf.DUMMYFUNCTION("""COMPUTED_VALUE"""),"処方・低用量ピル")</f>
        <v>処方・低用量ピル</v>
      </c>
      <c r="D809" s="31" t="str">
        <f>IFERROR(__xludf.DUMMYFUNCTION("""COMPUTED_VALUE"""),"低用量ピル, ピル, 飲み忘れ, 1日, 2日, 3日, 4日以上, ラベルフィーユ, ファボワール, ヤーズフレックス, 保険, 自費, 避妊, 不正出血, 偽薬, プラセボ, 服用方法")</f>
        <v>低用量ピル, ピル, 飲み忘れ, 1日, 2日, 3日, 4日以上, ラベルフィーユ, ファボワール, ヤーズフレックス, 保険, 自費, 避妊, 不正出血, 偽薬, プラセボ, 服用方法</v>
      </c>
      <c r="E809" s="31"/>
    </row>
    <row r="810">
      <c r="A810" s="31" t="str">
        <f>IFERROR(__xludf.DUMMYFUNCTION("""COMPUTED_VALUE"""),"授乳中でも低用量ピルは服用できますか？")</f>
        <v>授乳中でも低用量ピルは服用できますか？</v>
      </c>
      <c r="B810" s="31" t="str">
        <f>IFERROR(__xludf.DUMMYFUNCTION("""COMPUTED_VALUE"""),"授乳中は低用量ピルの処方および服用はできません。低用量ピルは母乳分泌を減少させる可能性があるため、授乳中の方には処方しておりません。")</f>
        <v>授乳中は低用量ピルの処方および服用はできません。低用量ピルは母乳分泌を減少させる可能性があるため、授乳中の方には処方しておりません。</v>
      </c>
      <c r="C810" s="31" t="str">
        <f>IFERROR(__xludf.DUMMYFUNCTION("""COMPUTED_VALUE"""),"低用量ピル｜授乳中")</f>
        <v>低用量ピル｜授乳中</v>
      </c>
      <c r="D810" s="31" t="str">
        <f>IFERROR(__xludf.DUMMYFUNCTION("""COMPUTED_VALUE"""),"授乳中,低用量ピル,母乳")</f>
        <v>授乳中,低用量ピル,母乳</v>
      </c>
      <c r="E810" s="31"/>
    </row>
    <row r="811">
      <c r="A811" s="31" t="str">
        <f>IFERROR(__xludf.DUMMYFUNCTION("""COMPUTED_VALUE"""),"出産後はいつから低用量ピルを飲めますか？")</f>
        <v>出産後はいつから低用量ピルを飲めますか？</v>
      </c>
      <c r="B811" s="31" t="str">
        <f>IFERROR(__xludf.DUMMYFUNCTION("""COMPUTED_VALUE"""),"授乳をしていない場合に限り、出産後1か月以降から低用量ピルの服用が可能です。授乳中は処方及び服用は出来かねます。")</f>
        <v>授乳をしていない場合に限り、出産後1か月以降から低用量ピルの服用が可能です。授乳中は処方及び服用は出来かねます。</v>
      </c>
      <c r="C811" s="31" t="str">
        <f>IFERROR(__xludf.DUMMYFUNCTION("""COMPUTED_VALUE"""),"低用量ピル｜出産後")</f>
        <v>低用量ピル｜出産後</v>
      </c>
      <c r="D811" s="31" t="str">
        <f>IFERROR(__xludf.DUMMYFUNCTION("""COMPUTED_VALUE"""),"出産後,低用量ピル")</f>
        <v>出産後,低用量ピル</v>
      </c>
      <c r="E811" s="31"/>
    </row>
    <row r="812">
      <c r="A812" s="31" t="str">
        <f>IFERROR(__xludf.DUMMYFUNCTION("""COMPUTED_VALUE"""),"低用量ピル服用中に妊娠の可能性がある場合はどうすればいいですか？")</f>
        <v>低用量ピル服用中に妊娠の可能性がある場合はどうすればいいですか？</v>
      </c>
      <c r="B812" s="31" t="str">
        <f>IFERROR(__xludf.DUMMYFUNCTION("""COMPUTED_VALUE"""),"妊娠の可能性がある場合は、すぐに低用量ピルの服用を中止してください。性行為から3週間後を目安に妊娠検査薬で確認し、月経予定日になっても月経が来ない場合は再検査してください。")</f>
        <v>妊娠の可能性がある場合は、すぐに低用量ピルの服用を中止してください。性行為から3週間後を目安に妊娠検査薬で確認し、月経予定日になっても月経が来ない場合は再検査してください。</v>
      </c>
      <c r="C812" s="31" t="str">
        <f>IFERROR(__xludf.DUMMYFUNCTION("""COMPUTED_VALUE"""),"低用量ピル｜妊娠")</f>
        <v>低用量ピル｜妊娠</v>
      </c>
      <c r="D812" s="31" t="str">
        <f>IFERROR(__xludf.DUMMYFUNCTION("""COMPUTED_VALUE"""),"妊娠の可能性,低用量ピル")</f>
        <v>妊娠の可能性,低用量ピル</v>
      </c>
      <c r="E812" s="31"/>
    </row>
    <row r="813">
      <c r="A813" s="31" t="str">
        <f>IFERROR(__xludf.DUMMYFUNCTION("""COMPUTED_VALUE"""),"低用量ピルはいつから飲み始めればいいですか？")</f>
        <v>低用量ピルはいつから飲み始めればいいですか？</v>
      </c>
      <c r="B813" s="31" t="str">
        <f>IFERROR(__xludf.DUMMYFUNCTION("""COMPUTED_VALUE"""),"低用量ピルは、生理1日目から服用を開始してください（生理開始から5日以内であれば開始可能です）。")</f>
        <v>低用量ピルは、生理1日目から服用を開始してください（生理開始から5日以内であれば開始可能です）。</v>
      </c>
      <c r="C813" s="31" t="str">
        <f>IFERROR(__xludf.DUMMYFUNCTION("""COMPUTED_VALUE"""),"低用量ピル｜服用開始")</f>
        <v>低用量ピル｜服用開始</v>
      </c>
      <c r="D813" s="31" t="str">
        <f>IFERROR(__xludf.DUMMYFUNCTION("""COMPUTED_VALUE"""),"服用開始,低用量ピル")</f>
        <v>服用開始,低用量ピル</v>
      </c>
      <c r="E813" s="31"/>
    </row>
    <row r="814">
      <c r="A814" s="31" t="str">
        <f>IFERROR(__xludf.DUMMYFUNCTION("""COMPUTED_VALUE"""),"休薬期間中に生理が来ないのですが大丈夫ですか？")</f>
        <v>休薬期間中に生理が来ないのですが大丈夫ですか？</v>
      </c>
      <c r="B814" s="31" t="str">
        <f>IFERROR(__xludf.DUMMYFUNCTION("""COMPUTED_VALUE"""),"低用量ピルを服用中でも、飲み忘れなどにより妊娠する可能性はゼロではありません。
また、正しく服用していても、まれに妊娠するケースがあります。
一方で、生理が来ない原因として、ピルの作用で子宮内膜が薄くなっている場合も多く、心配のないケースもあります。
この場合、将来の妊娠に影響することはありません。
休薬期間が終わっても生理が来ない場合は、次のシートを開始する前に妊娠検査薬で陰性を確認してください。
妊娠検査が陽性の場合：ピルを中止し、婦人科を受診してください
陰性の場合：次のシートを開始してよいか、"&amp;"処方医にご確認ください
2シート連続で生理が来ない場合は、検査が陰性でも一度受診をおすすめします。
※妊娠検査薬は、性行為から3週間後以降に使用し、
　月経予定日を過ぎても生理が来ない場合は再検査してください。")</f>
        <v>低用量ピルを服用中でも、飲み忘れなどにより妊娠する可能性はゼロではありません。
また、正しく服用していても、まれに妊娠するケースがあります。
一方で、生理が来ない原因として、ピルの作用で子宮内膜が薄くなっている場合も多く、心配のないケースもあります。
この場合、将来の妊娠に影響することはありません。
休薬期間が終わっても生理が来ない場合は、次のシートを開始する前に妊娠検査薬で陰性を確認してください。
妊娠検査が陽性の場合：ピルを中止し、婦人科を受診してください
陰性の場合：次のシートを開始してよいか、処方医にご確認ください
2シート連続で生理が来ない場合は、検査が陰性でも一度受診をおすすめします。
※妊娠検査薬は、性行為から3週間後以降に使用し、
　月経予定日を過ぎても生理が来ない場合は再検査してください。</v>
      </c>
      <c r="C814" s="31" t="str">
        <f>IFERROR(__xludf.DUMMYFUNCTION("""COMPUTED_VALUE"""),"低用量ピル｜生理")</f>
        <v>低用量ピル｜生理</v>
      </c>
      <c r="D814" s="31" t="str">
        <f>IFERROR(__xludf.DUMMYFUNCTION("""COMPUTED_VALUE"""),"休薬期間,生理が来ない")</f>
        <v>休薬期間,生理が来ない</v>
      </c>
      <c r="E814" s="31"/>
    </row>
    <row r="815">
      <c r="A815" s="31" t="str">
        <f>IFERROR(__xludf.DUMMYFUNCTION("""COMPUTED_VALUE"""),"低用量ピルを再開したい場合はどうすればいいですか？")</f>
        <v>低用量ピルを再開したい場合はどうすればいいですか？</v>
      </c>
      <c r="B815" s="31" t="str">
        <f>IFERROR(__xludf.DUMMYFUNCTION("""COMPUTED_VALUE"""),"中断後の再開は、次の生理が始まった日から内服してください。中止と再開を繰り返すと血栓症リスクが高まるため、再開予定がある場合はご相談ください。当院でのご受診をご希望の場合は、ご予約をお取りの上、クリニックにご受診ください。受診のご予約はLINEで受け付けています。LINEはこちら→https://cline-app.com/qr-codes/98ad6f149bfa20f4f2a9a2e91aac4187/preview")</f>
        <v>中断後の再開は、次の生理が始まった日から内服してください。中止と再開を繰り返すと血栓症リスクが高まるため、再開予定がある場合はご相談ください。当院でのご受診をご希望の場合は、ご予約をお取りの上、クリニックにご受診ください。受診のご予約はLINEで受け付けています。LINEはこちら→https://cline-app.com/qr-codes/98ad6f149bfa20f4f2a9a2e91aac4187/preview</v>
      </c>
      <c r="C815" s="31" t="str">
        <f>IFERROR(__xludf.DUMMYFUNCTION("""COMPUTED_VALUE"""),"低用量ピル｜再開")</f>
        <v>低用量ピル｜再開</v>
      </c>
      <c r="D815" s="31" t="str">
        <f>IFERROR(__xludf.DUMMYFUNCTION("""COMPUTED_VALUE"""),"低用量ピル,再開方法")</f>
        <v>低用量ピル,再開方法</v>
      </c>
      <c r="E815" s="31"/>
    </row>
    <row r="816">
      <c r="A816" s="31" t="str">
        <f>IFERROR(__xludf.DUMMYFUNCTION("""COMPUTED_VALUE"""),"低用量ピル服用中に不正出血があります")</f>
        <v>低用量ピル服用中に不正出血があります</v>
      </c>
      <c r="B816" s="31" t="str">
        <f>IFERROR(__xludf.DUMMYFUNCTION("""COMPUTED_VALUE"""),"低用量ピル服用中による不正出血は「ブレイクスルー出血」と言います。
ピルの飲み忘れや服用開始直後にホルモンバランスが変化することで多く見られます。
ピルの種類が体に合わない場合や、炎症や感染症なども考えられますので、飲み忘れ・服用開始直後でない場合は婦人科をご受診ください。
また、不正出血は妊娠の可能性が否定できないため、ピルの内服を継続しつつ必ず妊娠検査薬を使用してください。
妊娠陽性の場合はピルの内服を中止してください。
なお、1年以内に婦人科検診を受けていなければ、焦らずに受診をお勧めいたします。"&amp;"
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amp;"対応（緊急搬送・急性期対応）は行っておりませんのであらかじめご了承くださいませ。
※妊娠検査薬
性行為から3週間後に検査薬にて検査いただき、この時点では妊娠をしていても、陰性の可能性がございますので月経予定日になっても月経が来なければ再検査をお願いいたします。")</f>
        <v>低用量ピル服用中による不正出血は「ブレイクスルー出血」と言います。
ピルの飲み忘れや服用開始直後にホルモンバランスが変化することで多く見られます。
ピルの種類が体に合わない場合や、炎症や感染症なども考えられますので、飲み忘れ・服用開始直後でない場合は婦人科をご受診ください。
また、不正出血は妊娠の可能性が否定できないため、ピルの内服を継続しつつ必ず妊娠検査薬を使用してください。
妊娠陽性の場合はピルの内服を中止してください。
なお、1年以内に婦人科検診を受けていなければ、焦らずに受診をお勧めいたします。
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
※妊娠検査薬
性行為から3週間後に検査薬にて検査いただき、この時点では妊娠をしていても、陰性の可能性がございますので月経予定日になっても月経が来なければ再検査をお願いいたします。</v>
      </c>
      <c r="C816" s="31" t="str">
        <f>IFERROR(__xludf.DUMMYFUNCTION("""COMPUTED_VALUE"""),"低用量ピル｜副作用")</f>
        <v>低用量ピル｜副作用</v>
      </c>
      <c r="D816" s="31" t="str">
        <f>IFERROR(__xludf.DUMMYFUNCTION("""COMPUTED_VALUE"""),"不正出血,低用量ピル")</f>
        <v>不正出血,低用量ピル</v>
      </c>
      <c r="E816" s="31"/>
    </row>
    <row r="817">
      <c r="A817" s="31" t="str">
        <f>IFERROR(__xludf.DUMMYFUNCTION("""COMPUTED_VALUE"""),"低用量ピルの避妊効果はどれくらいありますか？")</f>
        <v>低用量ピルの避妊効果はどれくらいありますか？</v>
      </c>
      <c r="B817" s="31" t="str">
        <f>IFERROR(__xludf.DUMMYFUNCTION("""COMPUTED_VALUE"""),"OC（自費）低用量ピルの避妊効果は約99.7％とされています。初回使用時は服用開始から8日目以降に効果が現れ、継続服用することで高い避妊効果が維持されます。")</f>
        <v>OC（自費）低用量ピルの避妊効果は約99.7％とされています。初回使用時は服用開始から8日目以降に効果が現れ、継続服用することで高い避妊効果が維持されます。</v>
      </c>
      <c r="C817" s="31" t="str">
        <f>IFERROR(__xludf.DUMMYFUNCTION("""COMPUTED_VALUE"""),"低用量ピル｜避妊")</f>
        <v>低用量ピル｜避妊</v>
      </c>
      <c r="D817" s="31" t="str">
        <f>IFERROR(__xludf.DUMMYFUNCTION("""COMPUTED_VALUE"""),"避妊効果,低用量ピル")</f>
        <v>避妊効果,低用量ピル</v>
      </c>
      <c r="E817" s="31"/>
    </row>
    <row r="818">
      <c r="A818" s="31" t="str">
        <f>IFERROR(__xludf.DUMMYFUNCTION("""COMPUTED_VALUE"""),"偽薬期間中も避妊効果はありますか？")</f>
        <v>偽薬期間中も避妊効果はありますか？</v>
      </c>
      <c r="B818" s="31" t="str">
        <f>IFERROR(__xludf.DUMMYFUNCTION("""COMPUTED_VALUE"""),"OC（自費）低用量ピルは避妊効果が99.7％といわれており、ほかの避妊方法と比べて高いです。
低用量ピルを初めて利用する場合は、服用開始から8日目ごろから避妊効果が現れ、
次の生理周期以降も服用を継続すれば、2シート目の初日から避妊効果を
得られるようになります。
低用量ピルは正しく飲みさえすれば、失敗する率が限りなく低い避妊法です。")</f>
        <v>OC（自費）低用量ピルは避妊効果が99.7％といわれており、ほかの避妊方法と比べて高いです。
低用量ピルを初めて利用する場合は、服用開始から8日目ごろから避妊効果が現れ、
次の生理周期以降も服用を継続すれば、2シート目の初日から避妊効果を
得られるようになります。
低用量ピルは正しく飲みさえすれば、失敗する率が限りなく低い避妊法です。</v>
      </c>
      <c r="C818" s="31" t="str">
        <f>IFERROR(__xludf.DUMMYFUNCTION("""COMPUTED_VALUE"""),"低用量ピル｜避妊")</f>
        <v>低用量ピル｜避妊</v>
      </c>
      <c r="D818" s="31" t="str">
        <f>IFERROR(__xludf.DUMMYFUNCTION("""COMPUTED_VALUE"""),"偽薬期間,避妊効果")</f>
        <v>偽薬期間,避妊効果</v>
      </c>
      <c r="E818" s="31"/>
    </row>
    <row r="819">
      <c r="A819" s="31" t="str">
        <f>IFERROR(__xludf.DUMMYFUNCTION("""COMPUTED_VALUE"""),"通販や個人輸入のピルでも避妊できますか？")</f>
        <v>通販や個人輸入のピルでも避妊できますか？</v>
      </c>
      <c r="B819" s="31" t="str">
        <f>IFERROR(__xludf.DUMMYFUNCTION("""COMPUTED_VALUE"""),"海外のピルには、とても安いものもあり、魅力的に見えるかもしれません。
しかし実際は、有効成分が含まれていないニセ薬の可能性もあり、危険です。本物と信じて服用し、妊娠してからニセ薬だと気が付くことも起こり得ます。
また、年齢や既往歴、家族歴などによっては、血栓症のリスクが上がったり、
持病が悪化したりする可能性があり、ピルの服用が適さない人もいます。
そのため、先に必ず医師の診察を受け、ピルを服用しても問題ないかどうか判断してもらうことが重要です。")</f>
        <v>海外のピルには、とても安いものもあり、魅力的に見えるかもしれません。
しかし実際は、有効成分が含まれていないニセ薬の可能性もあり、危険です。本物と信じて服用し、妊娠してからニセ薬だと気が付くことも起こり得ます。
また、年齢や既往歴、家族歴などによっては、血栓症のリスクが上がったり、
持病が悪化したりする可能性があり、ピルの服用が適さない人もいます。
そのため、先に必ず医師の診察を受け、ピルを服用しても問題ないかどうか判断してもらうことが重要です。</v>
      </c>
      <c r="C819" s="31" t="str">
        <f>IFERROR(__xludf.DUMMYFUNCTION("""COMPUTED_VALUE"""),"低用量ピル｜注意事項")</f>
        <v>低用量ピル｜注意事項</v>
      </c>
      <c r="D819" s="31" t="str">
        <f>IFERROR(__xludf.DUMMYFUNCTION("""COMPUTED_VALUE"""),"個人輸入,ピル")</f>
        <v>個人輸入,ピル</v>
      </c>
      <c r="E819" s="31"/>
    </row>
    <row r="820">
      <c r="A820" s="31" t="str">
        <f>IFERROR(__xludf.DUMMYFUNCTION("""COMPUTED_VALUE"""),"低用量ピルをやめた後、どれくらいで元に戻りますか？")</f>
        <v>低用量ピルをやめた後、どれくらいで元に戻りますか？</v>
      </c>
      <c r="B820" s="31" t="str">
        <f>IFERROR(__xludf.DUMMYFUNCTION("""COMPUTED_VALUE"""),"服用中止して3～4か月でだいたいはピルを服用前の状態に身体はなると言われ、長期的に服用をしていたからといって
妊娠の可能性に影響することはないと言われております。")</f>
        <v>服用中止して3～4か月でだいたいはピルを服用前の状態に身体はなると言われ、長期的に服用をしていたからといって
妊娠の可能性に影響することはないと言われております。</v>
      </c>
      <c r="C820" s="31" t="str">
        <f>IFERROR(__xludf.DUMMYFUNCTION("""COMPUTED_VALUE"""),"低用量ピル｜中止後")</f>
        <v>低用量ピル｜中止後</v>
      </c>
      <c r="D820" s="31" t="str">
        <f>IFERROR(__xludf.DUMMYFUNCTION("""COMPUTED_VALUE"""),"服用中止,妊娠")</f>
        <v>服用中止,妊娠</v>
      </c>
      <c r="E820" s="31"/>
    </row>
    <row r="821">
      <c r="A821" s="31" t="str">
        <f>IFERROR(__xludf.DUMMYFUNCTION("""COMPUTED_VALUE"""),"低用量ピルと肝臓機能の数値は関係がありますか？")</f>
        <v>低用量ピルと肝臓機能の数値は関係がありますか？</v>
      </c>
      <c r="B821" s="31" t="str">
        <f>IFERROR(__xludf.DUMMYFUNCTION("""COMPUTED_VALUE"""),"低用量ピルを長期間飲み続けると、肝臓がんや肝障害の原因になることがあります。
ただし、薬は肝臓で分解されるものが多いため、低用量ピルに限らず、何かしらの薬を長期間飲み続けることで、
副作用として肝障害が起こることはあります。
また、もともと肝臓に障害や腫瘍（しゅよう）があると、薬を代謝する機能が低下しているため、
低用量ピルを飲むことで肝臓への負担が大きくなります。この場合、低用量ピルによって肝臓の症状が悪化することがあります。
異変を感じたら、かかりつけ医にご相談ください。
個別の症状やお体のご状況に"&amp;"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amp;"行っておりませんのであらかじめご了承くださいませ。")</f>
        <v>低用量ピルを長期間飲み続けると、肝臓がんや肝障害の原因になることがあります。
ただし、薬は肝臓で分解されるものが多いため、低用量ピルに限らず、何かしらの薬を長期間飲み続けることで、
副作用として肝障害が起こることはあります。
また、もともと肝臓に障害や腫瘍（しゅよう）があると、薬を代謝する機能が低下しているため、
低用量ピルを飲むことで肝臓への負担が大きくなります。この場合、低用量ピルによって肝臓の症状が悪化することがあります。
異変を感じたら、かかりつけ医にご相談ください。
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821" s="31"/>
      <c r="D821" s="31"/>
      <c r="E821" s="31"/>
    </row>
    <row r="822">
      <c r="A822" s="31" t="str">
        <f>IFERROR(__xludf.DUMMYFUNCTION("""COMPUTED_VALUE"""),"低用量ピルとカンジダは関係がありますか？")</f>
        <v>低用量ピルとカンジダは関係がありますか？</v>
      </c>
      <c r="B822" s="31" t="str">
        <f>IFERROR(__xludf.DUMMYFUNCTION("""COMPUTED_VALUE"""),"低用量ピルにはエストロゲン、プロゲステロンのホルモンがあります。その中でもエストロゲンがタンパク質と結びつき、カンジダになりやすいと言われております。
乳酸桿菌を用いて膣内環境を整えることで、繰り返し起こるカンジダを予防することが可能でございます。乳酸桿菌の定期配送は以下のURLよりご購入が可能です。ご検討ください。
https://shop.luna-dr.com/products/lactobacillus ")</f>
        <v>低用量ピルにはエストロゲン、プロゲステロンのホルモンがあります。その中でもエストロゲンがタンパク質と結びつき、カンジダになりやすいと言われております。
乳酸桿菌を用いて膣内環境を整えることで、繰り返し起こるカンジダを予防することが可能でございます。乳酸桿菌の定期配送は以下のURLよりご購入が可能です。ご検討ください。
https://shop.luna-dr.com/products/lactobacillus </v>
      </c>
      <c r="C822" s="31" t="str">
        <f>IFERROR(__xludf.DUMMYFUNCTION("""COMPUTED_VALUE"""),"低用量ピル｜感染症")</f>
        <v>低用量ピル｜感染症</v>
      </c>
      <c r="D822" s="31" t="str">
        <f>IFERROR(__xludf.DUMMYFUNCTION("""COMPUTED_VALUE"""),"カンジダ,低用量ピル")</f>
        <v>カンジダ,低用量ピル</v>
      </c>
      <c r="E822" s="32" t="str">
        <f>IFERROR(__xludf.DUMMYFUNCTION("""COMPUTED_VALUE"""),"https://shop.luna-dr.com/products/lactobacillus")</f>
        <v>https://shop.luna-dr.com/products/lactobacillus</v>
      </c>
    </row>
    <row r="823">
      <c r="A823" s="31" t="str">
        <f>IFERROR(__xludf.DUMMYFUNCTION("""COMPUTED_VALUE"""),"低用量ピル服用中にお酒を飲んでも大丈夫ですか？")</f>
        <v>低用量ピル服用中にお酒を飲んでも大丈夫ですか？</v>
      </c>
      <c r="B823" s="31" t="str">
        <f>IFERROR(__xludf.DUMMYFUNCTION("""COMPUTED_VALUE"""),"低用量ピル服用中にお酒を飲むことでお薬の効果に影響が出ることはありませんので、ご安心ください。")</f>
        <v>低用量ピル服用中にお酒を飲むことでお薬の効果に影響が出ることはありませんので、ご安心ください。</v>
      </c>
      <c r="C823" s="31" t="str">
        <f>IFERROR(__xludf.DUMMYFUNCTION("""COMPUTED_VALUE"""),"低用量ピル｜生活習慣")</f>
        <v>低用量ピル｜生活習慣</v>
      </c>
      <c r="D823" s="31" t="str">
        <f>IFERROR(__xludf.DUMMYFUNCTION("""COMPUTED_VALUE"""),"飲酒,低用量ピル")</f>
        <v>飲酒,低用量ピル</v>
      </c>
      <c r="E823" s="31"/>
    </row>
    <row r="824">
      <c r="A824" s="31" t="str">
        <f>IFERROR(__xludf.DUMMYFUNCTION("""COMPUTED_VALUE"""),"低用量ピルで生理を止めることはできますか？")</f>
        <v>低用量ピルで生理を止めることはできますか？</v>
      </c>
      <c r="B824" s="31" t="str">
        <f>IFERROR(__xludf.DUMMYFUNCTION("""COMPUTED_VALUE"""),"低用量ピルを使用し完全に生理を止めることはできません。
PMSが重い、スポーツを行っているなどやむを得ない事情がある方については、医師の判断で生理の回数を減らすことが可能な場合もございます。
オンライン診療で処方は出来かねるため、クリニックにご受診しご相談ください。")</f>
        <v>低用量ピルを使用し完全に生理を止めることはできません。
PMSが重い、スポーツを行っているなどやむを得ない事情がある方については、医師の判断で生理の回数を減らすことが可能な場合もございます。
オンライン診療で処方は出来かねるため、クリニックにご受診しご相談ください。</v>
      </c>
      <c r="C824" s="31" t="str">
        <f>IFERROR(__xludf.DUMMYFUNCTION("""COMPUTED_VALUE"""),"低用量ピル")</f>
        <v>低用量ピル</v>
      </c>
      <c r="D824" s="31" t="str">
        <f>IFERROR(__xludf.DUMMYFUNCTION("""COMPUTED_VALUE"""),"生理を止めたい,PMS")</f>
        <v>生理を止めたい,PMS</v>
      </c>
      <c r="E824" s="31"/>
    </row>
    <row r="825">
      <c r="A825" s="31" t="str">
        <f>IFERROR(__xludf.DUMMYFUNCTION("""COMPUTED_VALUE"""),"低用量ピルは何時間くらいの飲み時間のズレまで大丈夫ですか？")</f>
        <v>低用量ピルは何時間くらいの飲み時間のズレまで大丈夫ですか？</v>
      </c>
      <c r="B825" s="31" t="str">
        <f>IFERROR(__xludf.DUMMYFUNCTION("""COMPUTED_VALUE"""),"低用量ピルは毎日同じ時間に服用することが理想ですが、2～3時間程度のズレであれば避妊効果に大きな影響はありません。大きくずれた場合は、1週間は他の避妊方法を併用してください。")</f>
        <v>低用量ピルは毎日同じ時間に服用することが理想ですが、2～3時間程度のズレであれば避妊効果に大きな影響はありません。大きくずれた場合は、1週間は他の避妊方法を併用してください。</v>
      </c>
      <c r="C825" s="31" t="str">
        <f>IFERROR(__xludf.DUMMYFUNCTION("""COMPUTED_VALUE"""),"低用量ピル")</f>
        <v>低用量ピル</v>
      </c>
      <c r="D825" s="31" t="str">
        <f>IFERROR(__xludf.DUMMYFUNCTION("""COMPUTED_VALUE"""),"服用時間,飲み忘れ")</f>
        <v>服用時間,飲み忘れ</v>
      </c>
      <c r="E825" s="31"/>
    </row>
    <row r="826">
      <c r="A826" s="31" t="str">
        <f>IFERROR(__xludf.DUMMYFUNCTION("""COMPUTED_VALUE"""),"インフルエンザの薬とピルは一緒に飲めますか？")</f>
        <v>インフルエンザの薬とピルは一緒に飲めますか？</v>
      </c>
      <c r="B826" s="31" t="str">
        <f>IFERROR(__xludf.DUMMYFUNCTION("""COMPUTED_VALUE"""),"抗ウイルス薬であれば、低用量ピルと併用しても問題ないとされています。ただし、体調不良で飲食が難しい場合は、一時的にピルを中断しても問題ありません。")</f>
        <v>抗ウイルス薬であれば、低用量ピルと併用しても問題ないとされています。ただし、体調不良で飲食が難しい場合は、一時的にピルを中断しても問題ありません。</v>
      </c>
      <c r="C826" s="31" t="str">
        <f>IFERROR(__xludf.DUMMYFUNCTION("""COMPUTED_VALUE"""),"低用量ピル")</f>
        <v>低用量ピル</v>
      </c>
      <c r="D826" s="31" t="str">
        <f>IFERROR(__xludf.DUMMYFUNCTION("""COMPUTED_VALUE"""),"併用薬,インフルエンザ")</f>
        <v>併用薬,インフルエンザ</v>
      </c>
      <c r="E826" s="31"/>
    </row>
    <row r="827">
      <c r="A827" s="31" t="str">
        <f>IFERROR(__xludf.DUMMYFUNCTION("""COMPUTED_VALUE"""),"低用量ピルを飲んだ後に吐いてしまいました。どうすればいいですか？")</f>
        <v>低用量ピルを飲んだ後に吐いてしまいました。どうすればいいですか？</v>
      </c>
      <c r="B827" s="31" t="str">
        <f>IFERROR(__xludf.DUMMYFUNCTION("""COMPUTED_VALUE"""),"服用後2時間以内に嘔吐した場合は、十分な効果が得られない可能性がありますのでご相談ください。2時間以上経過していれば問題ないことが多いですが、不安な場合は別の避妊方法を併用してください。")</f>
        <v>服用後2時間以内に嘔吐した場合は、十分な効果が得られない可能性がありますのでご相談ください。2時間以上経過していれば問題ないことが多いですが、不安な場合は別の避妊方法を併用してください。</v>
      </c>
      <c r="C827" s="31" t="str">
        <f>IFERROR(__xludf.DUMMYFUNCTION("""COMPUTED_VALUE"""),"低用量ピル")</f>
        <v>低用量ピル</v>
      </c>
      <c r="D827" s="31" t="str">
        <f>IFERROR(__xludf.DUMMYFUNCTION("""COMPUTED_VALUE"""),"嘔吐,副作用")</f>
        <v>嘔吐,副作用</v>
      </c>
      <c r="E827" s="31"/>
    </row>
    <row r="828">
      <c r="A828" s="31" t="str">
        <f>IFERROR(__xludf.DUMMYFUNCTION("""COMPUTED_VALUE"""),"他院で処方されたピルについて相談できますか？")</f>
        <v>他院で処方されたピルについて相談できますか？</v>
      </c>
      <c r="B828" s="31" t="str">
        <f>IFERROR(__xludf.DUMMYFUNCTION("""COMPUTED_VALUE"""),"他院で処方されていたピルの継続処方は可能です。ただし、当院で取り扱いのないピルもございますので、まず当院で取り扱っているピルをご確認ください【保険ピル（来院診療のみ）】ヤーズフレックス配合錠・アリッサ・ルナベル配合錠LD・フリウェル配合錠LD・ルナベル配合錠ULD・フリウェル配合錠ULD・ヤーズ配合錠・ドロエチ配合錠・ジェミーナ配合錠 ※保険ピルの料金は保険診療の内容により異なるため、事前にお伝えすることができません。【自費ピル】ファボワール21錠/28錠 1シート3,000円・ラベルフィーユ21錠/28"&amp;"錠 1シート3,000円・スリンダ（ミニピル）28錠 1シート3,300円（来院のみ）【アフターピル】レボノルゲストレル1.5mg 15,000円・エラワン（ウリプリスタル酢酸エステル）/Josei 17,000円【オンライン診療で処方可能なピル】ラベルフィーユ28・ファボワール28・プラノバール21錠・エラワン（ウリプリスタル酢酸エステル）・レボノルゲストレル ※マーベロン・アンジュ・トリキュラーは取り扱いがございません。ご希望のピルがございましたら「ピル処方」のメニューでご予約ください。→https:"&amp;"//cline-app.com/qr-codes/98ad6f149bfa20f4f2a9a2e91aac4187/preview　オンライン診療はこちらのLINEからご予約ください。
https://liff-gateway.lineml.jp/landing?follow=%40590gpxrd&amp;lp=rJHUjK&amp;liff_id=1657094566-LmjNPPbV")</f>
        <v>他院で処方されていたピルの継続処方は可能です。ただし、当院で取り扱いのないピルもございますので、まず当院で取り扱っているピルをご確認ください【保険ピル（来院診療のみ）】ヤーズフレックス配合錠・アリッサ・ルナベル配合錠LD・フリウェル配合錠LD・ルナベル配合錠ULD・フリウェル配合錠ULD・ヤーズ配合錠・ドロエチ配合錠・ジェミーナ配合錠 ※保険ピルの料金は保険診療の内容により異なるため、事前にお伝えすることができません。【自費ピル】ファボワール21錠/28錠 1シート3,000円・ラベルフィーユ21錠/28錠 1シート3,000円・スリンダ（ミニピル）28錠 1シート3,300円（来院のみ）【アフターピル】レボノルゲストレル1.5mg 15,000円・エラワン（ウリプリスタル酢酸エステル）/Josei 17,000円【オンライン診療で処方可能なピル】ラベルフィーユ28・ファボワール28・プラノバール21錠・エラワン（ウリプリスタル酢酸エステル）・レボノルゲストレル ※マーベロン・アンジュ・トリキュラーは取り扱いがございません。ご希望のピルがございましたら「ピル処方」のメニューでご予約ください。→https://cline-app.com/qr-codes/98ad6f149bfa20f4f2a9a2e91aac4187/preview　オンライン診療はこちらのLINEからご予約ください。
https://liff-gateway.lineml.jp/landing?follow=%40590gpxrd&amp;lp=rJHUjK&amp;liff_id=1657094566-LmjNPPbV</v>
      </c>
      <c r="C828" s="31" t="str">
        <f>IFERROR(__xludf.DUMMYFUNCTION("""COMPUTED_VALUE"""),"低用量ピル")</f>
        <v>低用量ピル</v>
      </c>
      <c r="D828" s="31" t="str">
        <f>IFERROR(__xludf.DUMMYFUNCTION("""COMPUTED_VALUE"""),"他院処方")</f>
        <v>他院処方</v>
      </c>
      <c r="E828" s="31"/>
    </row>
    <row r="829">
      <c r="A829" s="31" t="str">
        <f>IFERROR(__xludf.DUMMYFUNCTION("""COMPUTED_VALUE"""),"ヤーズフレックスの休薬期間に生理が来ません。")</f>
        <v>ヤーズフレックスの休薬期間に生理が来ません。</v>
      </c>
      <c r="B829" s="31" t="str">
        <f>IFERROR(__xludf.DUMMYFUNCTION("""COMPUTED_VALUE"""),"ヤーズフレックスの休薬期間に生理がこない考えられる2つの理由は、妊娠しているか、一時的に子宮内膜が薄くなっていることが考えられます。
妊娠検査薬にて妊娠の有無を確認いただき、陰性の場合はかかりつけ医にご相談ください。
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amp;"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
※妊娠検査薬
性行為から3週間後に検査薬にて検査いただき、この時点では妊娠をしていても
陰性の可能性がございますので月経予定日になっても
月経が来なければ再検査をお願いいたします。")</f>
        <v>ヤーズフレックスの休薬期間に生理がこない考えられる2つの理由は、妊娠しているか、一時的に子宮内膜が薄くなっていることが考えられます。
妊娠検査薬にて妊娠の有無を確認いただき、陰性の場合はかかりつけ医にご相談ください。
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
※妊娠検査薬
性行為から3週間後に検査薬にて検査いただき、この時点では妊娠をしていても
陰性の可能性がございますので月経予定日になっても
月経が来なければ再検査をお願いいたします。</v>
      </c>
      <c r="C829" s="31" t="str">
        <f>IFERROR(__xludf.DUMMYFUNCTION("""COMPUTED_VALUE"""),"保険ピル")</f>
        <v>保険ピル</v>
      </c>
      <c r="D829" s="31" t="str">
        <f>IFERROR(__xludf.DUMMYFUNCTION("""COMPUTED_VALUE"""),"ヤーズフレックス,休薬期間")</f>
        <v>ヤーズフレックス,休薬期間</v>
      </c>
      <c r="E829" s="31"/>
    </row>
    <row r="830">
      <c r="A830" s="31" t="str">
        <f>IFERROR(__xludf.DUMMYFUNCTION("""COMPUTED_VALUE"""),"生理を移動させると副作用はありますか？")</f>
        <v>生理を移動させると副作用はありますか？</v>
      </c>
      <c r="B830" s="31" t="str">
        <f>IFERROR(__xludf.DUMMYFUNCTION("""COMPUTED_VALUE"""),"ピルは医薬品なので、個人差はありますが副作用が出る場合があります。
具体的には、吐き気や嘔吐、頭痛や眠気、だるさといった症状です。
また、低用量ピルよりも中用量ピルのほうが含まれる女性ホルモンの量が多いため、
副作用が強く出る可能性があります。ただし中用量ピルを服用する場合であっても、
10日程度の移動であれば体への影響はほとんどないとされています。")</f>
        <v>ピルは医薬品なので、個人差はありますが副作用が出る場合があります。
具体的には、吐き気や嘔吐、頭痛や眠気、だるさといった症状です。
また、低用量ピルよりも中用量ピルのほうが含まれる女性ホルモンの量が多いため、
副作用が強く出る可能性があります。ただし中用量ピルを服用する場合であっても、
10日程度の移動であれば体への影響はほとんどないとされています。</v>
      </c>
      <c r="C830" s="31" t="str">
        <f>IFERROR(__xludf.DUMMYFUNCTION("""COMPUTED_VALUE"""),"月経移動")</f>
        <v>月経移動</v>
      </c>
      <c r="D830" s="31" t="str">
        <f>IFERROR(__xludf.DUMMYFUNCTION("""COMPUTED_VALUE"""),"副作用,中用量ピル")</f>
        <v>副作用,中用量ピル</v>
      </c>
      <c r="E830" s="31"/>
    </row>
    <row r="831">
      <c r="A831" s="31" t="str">
        <f>IFERROR(__xludf.DUMMYFUNCTION("""COMPUTED_VALUE"""),"低用量ピルを飲み忘れた場合、アフターピルは必要ですか？")</f>
        <v>低用量ピルを飲み忘れた場合、アフターピルは必要ですか？</v>
      </c>
      <c r="B831" s="31" t="str">
        <f>IFERROR(__xludf.DUMMYFUNCTION("""COMPUTED_VALUE"""),"低用量ピルのを時間通り服用出来ていない・飲み始め7日以内等、低用量ピルを服用している患者様でも避妊効果が低いため、あわせてアフターピルの服用をおすすめいたします。アフターピルはオンライン診療ではご自宅にお届けが可能でございます。")</f>
        <v>低用量ピルのを時間通り服用出来ていない・飲み始め7日以内等、低用量ピルを服用している患者様でも避妊効果が低いため、あわせてアフターピルの服用をおすすめいたします。アフターピルはオンライン診療ではご自宅にお届けが可能でございます。</v>
      </c>
      <c r="C831" s="31" t="str">
        <f>IFERROR(__xludf.DUMMYFUNCTION("""COMPUTED_VALUE"""),"アフターピル")</f>
        <v>アフターピル</v>
      </c>
      <c r="D831" s="31" t="str">
        <f>IFERROR(__xludf.DUMMYFUNCTION("""COMPUTED_VALUE"""),"飲み忘れ,緊急避妊")</f>
        <v>飲み忘れ,緊急避妊</v>
      </c>
      <c r="E831" s="31"/>
    </row>
    <row r="832">
      <c r="A832" s="31" t="str">
        <f>IFERROR(__xludf.DUMMYFUNCTION("""COMPUTED_VALUE"""),"アフターピル服用後、低用量ピルはいつから再開できますか？")</f>
        <v>アフターピル服用後、低用量ピルはいつから再開できますか？</v>
      </c>
      <c r="B832" s="31" t="str">
        <f>IFERROR(__xludf.DUMMYFUNCTION("""COMPUTED_VALUE"""),"アフターピル（緊急避妊薬）を服用した後、低用量ピルの服用を開始するタイミングについてはアフターピルの種類によって変わります。
・レボノルゲストレル：アフターピルを服用した翌日から低用量ピルを開始しても問題はありません。
・ウリプリスタール酢酸：アフターピルの影響で低用量ピルの効果が減少する可能性があるため、アフターピルを服用してから、5日間は低用量ピルを開始しないことが推奨されています。
状況により異なるため、最適な服用開始時期については、低用量ピル処方医師にご確認ください。")</f>
        <v>アフターピル（緊急避妊薬）を服用した後、低用量ピルの服用を開始するタイミングについてはアフターピルの種類によって変わります。
・レボノルゲストレル：アフターピルを服用した翌日から低用量ピルを開始しても問題はありません。
・ウリプリスタール酢酸：アフターピルの影響で低用量ピルの効果が減少する可能性があるため、アフターピルを服用してから、5日間は低用量ピルを開始しないことが推奨されています。
状況により異なるため、最適な服用開始時期については、低用量ピル処方医師にご確認ください。</v>
      </c>
      <c r="C832" s="31" t="str">
        <f>IFERROR(__xludf.DUMMYFUNCTION("""COMPUTED_VALUE"""),"アフターピル")</f>
        <v>アフターピル</v>
      </c>
      <c r="D832" s="31" t="str">
        <f>IFERROR(__xludf.DUMMYFUNCTION("""COMPUTED_VALUE"""),"再開時期")</f>
        <v>再開時期</v>
      </c>
      <c r="E832" s="31"/>
    </row>
    <row r="833">
      <c r="A833" s="31" t="str">
        <f>IFERROR(__xludf.DUMMYFUNCTION("""COMPUTED_VALUE"""),"中用量ピルとは何ですか？/プラノバールとは")</f>
        <v>中用量ピルとは何ですか？/プラノバールとは</v>
      </c>
      <c r="B833" s="31" t="str">
        <f>IFERROR(__xludf.DUMMYFUNCTION("""COMPUTED_VALUE"""),"中用量ピルとは、一時的に服用することで、生理開始日を早めたり遅らせたりすることができます。
低用量ピルの違いは、エストロゲンの配合量が中用量ピルの方が多く含まれるため、頭痛や吐き気、血栓症などの副作用が低用量ピルよりも強く出ます。
吐き気止めの同時処方も可能でございます。")</f>
        <v>中用量ピルとは、一時的に服用することで、生理開始日を早めたり遅らせたりすることができます。
低用量ピルの違いは、エストロゲンの配合量が中用量ピルの方が多く含まれるため、頭痛や吐き気、血栓症などの副作用が低用量ピルよりも強く出ます。
吐き気止めの同時処方も可能でございます。</v>
      </c>
      <c r="C833" s="31" t="str">
        <f>IFERROR(__xludf.DUMMYFUNCTION("""COMPUTED_VALUE"""),"月経移動")</f>
        <v>月経移動</v>
      </c>
      <c r="D833" s="31" t="str">
        <f>IFERROR(__xludf.DUMMYFUNCTION("""COMPUTED_VALUE"""),"中用量ピル,中用量,プラノバール")</f>
        <v>中用量ピル,中用量,プラノバール</v>
      </c>
      <c r="E833" s="31"/>
    </row>
    <row r="834">
      <c r="A834" s="31" t="str">
        <f>IFERROR(__xludf.DUMMYFUNCTION("""COMPUTED_VALUE"""),"中用量ピルの料金はいくらですか？/プラノバールの料金はいくらですか？/プラノバールの処方は可能ですか")</f>
        <v>中用量ピルの料金はいくらですか？/プラノバールの料金はいくらですか？/プラノバールの処方は可能ですか</v>
      </c>
      <c r="B834" s="31" t="str">
        <f>IFERROR(__xludf.DUMMYFUNCTION("""COMPUTED_VALUE"""),"プラノバール21錠入りは5,000円です。オンライン診療の場合、別途送料500円がかかります。")</f>
        <v>プラノバール21錠入りは5,000円です。オンライン診療の場合、別途送料500円がかかります。</v>
      </c>
      <c r="C834" s="31" t="str">
        <f>IFERROR(__xludf.DUMMYFUNCTION("""COMPUTED_VALUE"""),"月経移動")</f>
        <v>月経移動</v>
      </c>
      <c r="D834" s="31" t="str">
        <f>IFERROR(__xludf.DUMMYFUNCTION("""COMPUTED_VALUE"""),"料金,プラノバール,中用量ピル,中用量")</f>
        <v>料金,プラノバール,中用量ピル,中用量</v>
      </c>
      <c r="E834" s="31"/>
    </row>
    <row r="835">
      <c r="A835" s="31" t="str">
        <f>IFERROR(__xludf.DUMMYFUNCTION("""COMPUTED_VALUE"""),"月経移動で「早める方法」と「遅らせる方法」はどう違いますか？")</f>
        <v>月経移動で「早める方法」と「遅らせる方法」はどう違いますか？</v>
      </c>
      <c r="B835" s="31" t="str">
        <f>IFERROR(__xludf.DUMMYFUNCTION("""COMPUTED_VALUE"""),"月経移動には「早める方法」と「遅らせる方法」があります。早める方法は、生理を避けたい期間の1つ前の生理開始5日目から中用量ピルを服用し、約2週間後に生理を起こす方法です。避けたい期間中はピルを服用せずに過ごせます。遅らせる方法は、生理予定日の5日前から中用量ピルを服用し、生理を避けたい期間の後に生理が来るように調整します。遅らせる方法は比較的直前の相談にも対応できる場合があります。")</f>
        <v>月経移動には「早める方法」と「遅らせる方法」があります。早める方法は、生理を避けたい期間の1つ前の生理開始5日目から中用量ピルを服用し、約2週間後に生理を起こす方法です。避けたい期間中はピルを服用せずに過ごせます。遅らせる方法は、生理予定日の5日前から中用量ピルを服用し、生理を避けたい期間の後に生理が来るように調整します。遅らせる方法は比較的直前の相談にも対応できる場合があります。</v>
      </c>
      <c r="C835" s="31" t="str">
        <f>IFERROR(__xludf.DUMMYFUNCTION("""COMPUTED_VALUE"""),"月経移動")</f>
        <v>月経移動</v>
      </c>
      <c r="D835" s="31" t="str">
        <f>IFERROR(__xludf.DUMMYFUNCTION("""COMPUTED_VALUE"""),"早める,遅らせる,方法")</f>
        <v>早める,遅らせる,方法</v>
      </c>
      <c r="E835" s="31"/>
    </row>
    <row r="836">
      <c r="A836" s="31" t="str">
        <f>IFERROR(__xludf.DUMMYFUNCTION("""COMPUTED_VALUE"""),"月経移動後、生理が重くなりました。大丈夫ですか？")</f>
        <v>月経移動後、生理が重くなりました。大丈夫ですか？</v>
      </c>
      <c r="B836" s="31" t="str">
        <f>IFERROR(__xludf.DUMMYFUNCTION("""COMPUTED_VALUE"""),"月経を遅らせた場合、普段より月経量が多くなったり月経痛が強くなる可能性があります。
現在症状が落ち着いているのであれば様子を見てください。
オンライン相談では子宮筋腫や他の病気が潜んでるか分かりかねるため、婦人科にて検診をおすすめいたします。
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amp;"/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f>
        <v>月経を遅らせた場合、普段より月経量が多くなったり月経痛が強くなる可能性があります。
現在症状が落ち着いているのであれば様子を見てください。
オンライン相談では子宮筋腫や他の病気が潜んでるか分かりかねるため、婦人科にて検診をおすすめいたします。
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836" s="31" t="str">
        <f>IFERROR(__xludf.DUMMYFUNCTION("""COMPUTED_VALUE"""),"月経移動")</f>
        <v>月経移動</v>
      </c>
      <c r="D836" s="31" t="str">
        <f>IFERROR(__xludf.DUMMYFUNCTION("""COMPUTED_VALUE"""),"生理が重い,月経量,生理痛")</f>
        <v>生理が重い,月経量,生理痛</v>
      </c>
      <c r="E836" s="31"/>
    </row>
    <row r="837">
      <c r="A837" s="31" t="str">
        <f>IFERROR(__xludf.DUMMYFUNCTION("""COMPUTED_VALUE"""),"中用量ピルを飲んだ後、吐き気があります。/プラノバールを飲んだ後に、吐き気があります。")</f>
        <v>中用量ピルを飲んだ後、吐き気があります。/プラノバールを飲んだ後に、吐き気があります。</v>
      </c>
      <c r="B837" s="31" t="str">
        <f>IFERROR(__xludf.DUMMYFUNCTION("""COMPUTED_VALUE"""),"中用量ピル（プラノバール）の副作用として吐き気が出ることがあります。服用を続けてホルモンバランスが安定すると、次第に治まることが多いです。吐き気がつらい場合は、処方された吐き気止めや市販薬を使用してください。
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amp;"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f>
        <v>中用量ピル（プラノバール）の副作用として吐き気が出ることがあります。服用を続けてホルモンバランスが安定すると、次第に治まることが多いです。吐き気がつらい場合は、処方された吐き気止めや市販薬を使用してください。
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837" s="31" t="str">
        <f>IFERROR(__xludf.DUMMYFUNCTION("""COMPUTED_VALUE"""),"月経移動")</f>
        <v>月経移動</v>
      </c>
      <c r="D837" s="31" t="str">
        <f>IFERROR(__xludf.DUMMYFUNCTION("""COMPUTED_VALUE"""),"プラノバール,吐き気,副作用")</f>
        <v>プラノバール,吐き気,副作用</v>
      </c>
      <c r="E837" s="31"/>
    </row>
    <row r="838">
      <c r="A838" s="31" t="str">
        <f>IFERROR(__xludf.DUMMYFUNCTION("""COMPUTED_VALUE"""),"中用量ピルを使って妊娠しやすくできますか？/プラノバールを使って妊娠しやすくできますか？")</f>
        <v>中用量ピルを使って妊娠しやすくできますか？/プラノバールを使って妊娠しやすくできますか？</v>
      </c>
      <c r="B838" s="31" t="str">
        <f>IFERROR(__xludf.DUMMYFUNCTION("""COMPUTED_VALUE"""),"プラノバールは服用方法を調整することで、月経移動だけでなく妊娠しやすい状態を作る目的で使用されることもあります。ただし、当院では不妊治療は行っていないため、詳しくはお近くの婦人科へご相談ください。")</f>
        <v>プラノバールは服用方法を調整することで、月経移動だけでなく妊娠しやすい状態を作る目的で使用されることもあります。ただし、当院では不妊治療は行っていないため、詳しくはお近くの婦人科へご相談ください。</v>
      </c>
      <c r="C838" s="31" t="str">
        <f>IFERROR(__xludf.DUMMYFUNCTION("""COMPUTED_VALUE"""),"月経移動")</f>
        <v>月経移動</v>
      </c>
      <c r="D838" s="31" t="str">
        <f>IFERROR(__xludf.DUMMYFUNCTION("""COMPUTED_VALUE"""),"プラノバール,妊娠")</f>
        <v>プラノバール,妊娠</v>
      </c>
      <c r="E838" s="31"/>
    </row>
    <row r="839">
      <c r="A839" s="31" t="str">
        <f>IFERROR(__xludf.DUMMYFUNCTION("""COMPUTED_VALUE"""),"中用量ピル（プラノバール）を飲むとき、吐き気止めは一緒に飲んだ方がいいですか？")</f>
        <v>中用量ピル（プラノバール）を飲むとき、吐き気止めは一緒に飲んだ方がいいですか？</v>
      </c>
      <c r="B839" s="31" t="str">
        <f>IFERROR(__xludf.DUMMYFUNCTION("""COMPUTED_VALUE"""),"プラノバールを服用したすべての方に吐き気が出るわけではありませんが、比較的起こりやすい副作用です。ご希望があれば、吐き気止めを一緒に処方することが可能です。副作用の出方には個人差があります。")</f>
        <v>プラノバールを服用したすべての方に吐き気が出るわけではありませんが、比較的起こりやすい副作用です。ご希望があれば、吐き気止めを一緒に処方することが可能です。副作用の出方には個人差があります。</v>
      </c>
      <c r="C839" s="31" t="str">
        <f>IFERROR(__xludf.DUMMYFUNCTION("""COMPUTED_VALUE"""),"月経移動")</f>
        <v>月経移動</v>
      </c>
      <c r="D839" s="31" t="str">
        <f>IFERROR(__xludf.DUMMYFUNCTION("""COMPUTED_VALUE"""),"吐き気止め,プラノバール")</f>
        <v>吐き気止め,プラノバール</v>
      </c>
      <c r="E839" s="31"/>
    </row>
    <row r="840">
      <c r="A840" s="31" t="str">
        <f>IFERROR(__xludf.DUMMYFUNCTION("""COMPUTED_VALUE"""),"月経移動の服用期間はどれくらいですか？")</f>
        <v>月経移動の服用期間はどれくらいですか？</v>
      </c>
      <c r="B840" s="31" t="str">
        <f>IFERROR(__xludf.DUMMYFUNCTION("""COMPUTED_VALUE"""),"月経移動に必要な服用期間は、患者さまの生理周期やご希望の日程によって異なります。詳しい服用期間は診察時に個別にご案内します。")</f>
        <v>月経移動に必要な服用期間は、患者さまの生理周期やご希望の日程によって異なります。詳しい服用期間は診察時に個別にご案内します。</v>
      </c>
      <c r="C840" s="31" t="str">
        <f>IFERROR(__xludf.DUMMYFUNCTION("""COMPUTED_VALUE"""),"月経移動")</f>
        <v>月経移動</v>
      </c>
      <c r="D840" s="31" t="str">
        <f>IFERROR(__xludf.DUMMYFUNCTION("""COMPUTED_VALUE"""),"服用期間,個別対応")</f>
        <v>服用期間,個別対応</v>
      </c>
      <c r="E840" s="31"/>
    </row>
    <row r="841">
      <c r="A841" s="31" t="str">
        <f>IFERROR(__xludf.DUMMYFUNCTION("""COMPUTED_VALUE"""),"服用開始がギリギリでも月経移動はできますか？")</f>
        <v>服用開始がギリギリでも月経移動はできますか？</v>
      </c>
      <c r="B841" s="31" t="str">
        <f>IFERROR(__xludf.DUMMYFUNCTION("""COMPUTED_VALUE"""),"服用開始日を過ぎてからの月経移動は、成功を保証できませんが、出血量を減らせる可能性はあります。状況によっては処方が難しい場合もあるため、月経移動の問診からお申し込みのうえご相談ください。")</f>
        <v>服用開始日を過ぎてからの月経移動は、成功を保証できませんが、出血量を減らせる可能性はあります。状況によっては処方が難しい場合もあるため、月経移動の問診からお申し込みのうえご相談ください。</v>
      </c>
      <c r="C841" s="31" t="str">
        <f>IFERROR(__xludf.DUMMYFUNCTION("""COMPUTED_VALUE"""),"月経移動")</f>
        <v>月経移動</v>
      </c>
      <c r="D841" s="31" t="str">
        <f>IFERROR(__xludf.DUMMYFUNCTION("""COMPUTED_VALUE"""),"ギリギリ,服用開始")</f>
        <v>ギリギリ,服用開始</v>
      </c>
      <c r="E841" s="31"/>
    </row>
    <row r="842">
      <c r="A842" s="31" t="str">
        <f>IFERROR(__xludf.DUMMYFUNCTION("""COMPUTED_VALUE"""),"アフターピルの種類を教えて下さい/アフターピルの料金を教えてください。")</f>
        <v>アフターピルの種類を教えて下さい/アフターピルの料金を教えてください。</v>
      </c>
      <c r="B842" s="31" t="str">
        <f>IFERROR(__xludf.DUMMYFUNCTION("""COMPUTED_VALUE"""),"当院では2種類のアフターピルを取り扱っています。
・120時間以内用：ウリプリスタル酢酸エステル（エラワン・Josei）15,000円（税込）
・72時間以内用：レボノルゲストレル 12,000円（税込）
配送が必要なため、基本的には120時間用をご案内しています。早く服用するほど避妊効果は高まります。自費診療となるため、診察料・初診料はかかりません。")</f>
        <v>当院では2種類のアフターピルを取り扱っています。
・120時間以内用：ウリプリスタル酢酸エステル（エラワン・Josei）15,000円（税込）
・72時間以内用：レボノルゲストレル 12,000円（税込）
配送が必要なため、基本的には120時間用をご案内しています。早く服用するほど避妊効果は高まります。自費診療となるため、診察料・初診料はかかりません。</v>
      </c>
      <c r="C842" s="31" t="str">
        <f>IFERROR(__xludf.DUMMYFUNCTION("""COMPUTED_VALUE"""),"アフターピル")</f>
        <v>アフターピル</v>
      </c>
      <c r="D842" s="31" t="str">
        <f>IFERROR(__xludf.DUMMYFUNCTION("""COMPUTED_VALUE"""),"種類,料金")</f>
        <v>種類,料金</v>
      </c>
      <c r="E842" s="31"/>
    </row>
    <row r="843">
      <c r="A843" s="31" t="str">
        <f>IFERROR(__xludf.DUMMYFUNCTION("""COMPUTED_VALUE"""),"なぜアフターピルは保険適用されないのですか？")</f>
        <v>なぜアフターピルは保険適用されないのですか？</v>
      </c>
      <c r="B843" s="31" t="str">
        <f>IFERROR(__xludf.DUMMYFUNCTION("""COMPUTED_VALUE"""),"健康保険は「病気やケガの治療」を対象としているため、妊娠を予防する目的のアフターピルは保険適用外となります。妊娠や出産は病気とはみなされないため、保険診療の対象外とされています。")</f>
        <v>健康保険は「病気やケガの治療」を対象としているため、妊娠を予防する目的のアフターピルは保険適用外となります。妊娠や出産は病気とはみなされないため、保険診療の対象外とされています。</v>
      </c>
      <c r="C843" s="31" t="str">
        <f>IFERROR(__xludf.DUMMYFUNCTION("""COMPUTED_VALUE"""),"アフターピル")</f>
        <v>アフターピル</v>
      </c>
      <c r="D843" s="31" t="str">
        <f>IFERROR(__xludf.DUMMYFUNCTION("""COMPUTED_VALUE"""),"保険適用外,理由")</f>
        <v>保険適用外,理由</v>
      </c>
      <c r="E843" s="31"/>
    </row>
    <row r="844">
      <c r="A844" s="31" t="str">
        <f>IFERROR(__xludf.DUMMYFUNCTION("""COMPUTED_VALUE"""),"アフターピル（緊急避妊薬）とは何ですか？")</f>
        <v>アフターピル（緊急避妊薬）とは何ですか？</v>
      </c>
      <c r="B844" s="31" t="str">
        <f>IFERROR(__xludf.DUMMYFUNCTION("""COMPUTED_VALUE"""),"アフターピル（緊急避妊薬）とは、妊娠の可能性のある性行為の後からでも避妊効果を得られるピルです。
低用量ピルの服用を忘れた場合や、中だしをされてしまったとき、
コンドームが破損していた場合、さらに性被害による望まない妊娠・中絶を避ける目的で
使われます。
性交後、72時間（3日）または120時間（5日）以内にアフターピルを服用すると、
約80％の確率で妊娠を防げます。
性交後からアフターピルの服用が早いほど妊娠しない確率が上がるため、
妊娠を望まないときは速やかにご相談ください。")</f>
        <v>アフターピル（緊急避妊薬）とは、妊娠の可能性のある性行為の後からでも避妊効果を得られるピルです。
低用量ピルの服用を忘れた場合や、中だしをされてしまったとき、
コンドームが破損していた場合、さらに性被害による望まない妊娠・中絶を避ける目的で
使われます。
性交後、72時間（3日）または120時間（5日）以内にアフターピルを服用すると、
約80％の確率で妊娠を防げます。
性交後からアフターピルの服用が早いほど妊娠しない確率が上がるため、
妊娠を望まないときは速やかにご相談ください。</v>
      </c>
      <c r="C844" s="31" t="str">
        <f>IFERROR(__xludf.DUMMYFUNCTION("""COMPUTED_VALUE"""),"アフターピル")</f>
        <v>アフターピル</v>
      </c>
      <c r="D844" s="31" t="str">
        <f>IFERROR(__xludf.DUMMYFUNCTION("""COMPUTED_VALUE"""),"緊急避妊,効果")</f>
        <v>緊急避妊,効果</v>
      </c>
      <c r="E844" s="31"/>
    </row>
    <row r="845">
      <c r="A845" s="31" t="str">
        <f>IFERROR(__xludf.DUMMYFUNCTION("""COMPUTED_VALUE"""),"アフターピルを飲んだ後に吐いてしまった場合はどうすればいいですか？")</f>
        <v>アフターピルを飲んだ後に吐いてしまった場合はどうすればいいですか？</v>
      </c>
      <c r="B845" s="31" t="str">
        <f>IFERROR(__xludf.DUMMYFUNCTION("""COMPUTED_VALUE"""),"アフターピル服用２時間以内に嘔吐した場合は効果が十分に発揮されない為、再度内服をお勧めいたします。
オンライン診療ではアフターピル処方時に無料で吐き気止めをお付けしております。")</f>
        <v>アフターピル服用２時間以内に嘔吐した場合は効果が十分に発揮されない為、再度内服をお勧めいたします。
オンライン診療ではアフターピル処方時に無料で吐き気止めをお付けしております。</v>
      </c>
      <c r="C845" s="31" t="str">
        <f>IFERROR(__xludf.DUMMYFUNCTION("""COMPUTED_VALUE"""),"アフターピル")</f>
        <v>アフターピル</v>
      </c>
      <c r="D845" s="31" t="str">
        <f>IFERROR(__xludf.DUMMYFUNCTION("""COMPUTED_VALUE"""),"嘔吐,対処")</f>
        <v>嘔吐,対処</v>
      </c>
      <c r="E845" s="31"/>
    </row>
    <row r="846">
      <c r="A846" s="31" t="str">
        <f>IFERROR(__xludf.DUMMYFUNCTION("""COMPUTED_VALUE"""),"アフターピルを飲んだ後、生理はいつ来ますか？")</f>
        <v>アフターピルを飲んだ後、生理はいつ来ますか？</v>
      </c>
      <c r="B846" s="31" t="str">
        <f>IFERROR(__xludf.DUMMYFUNCTION("""COMPUTED_VALUE"""),"アフターピル服用後の生理は、一般的に約7日後に起こることが多いですが、早い方で3日後、遅い場合は次の生理まで来ないこともあります。3週間以内に生理のような出血があれば、避妊に成功した目安となります。")</f>
        <v>アフターピル服用後の生理は、一般的に約7日後に起こることが多いですが、早い方で3日後、遅い場合は次の生理まで来ないこともあります。3週間以内に生理のような出血があれば、避妊に成功した目安となります。</v>
      </c>
      <c r="C846" s="31" t="str">
        <f>IFERROR(__xludf.DUMMYFUNCTION("""COMPUTED_VALUE"""),"アフターピル")</f>
        <v>アフターピル</v>
      </c>
      <c r="D846" s="31" t="str">
        <f>IFERROR(__xludf.DUMMYFUNCTION("""COMPUTED_VALUE"""),"生理,いつ来る")</f>
        <v>生理,いつ来る</v>
      </c>
      <c r="E846" s="31"/>
    </row>
    <row r="847">
      <c r="A847" s="31" t="str">
        <f>IFERROR(__xludf.DUMMYFUNCTION("""COMPUTED_VALUE"""),"アフターピルの事前処方は可能ですか？")</f>
        <v>アフターピルの事前処方は可能ですか？</v>
      </c>
      <c r="B847" s="31" t="str">
        <f>IFERROR(__xludf.DUMMYFUNCTION("""COMPUTED_VALUE"""),"使用する予定がある場合や、お近くに婦人科がなくすぐに受診が難しい場合などは、医師の判断によりアフターピルの事前処方が可能な場合があります。ご希望がございましたら、お気軽にご相談ください。")</f>
        <v>使用する予定がある場合や、お近くに婦人科がなくすぐに受診が難しい場合などは、医師の判断によりアフターピルの事前処方が可能な場合があります。ご希望がございましたら、お気軽にご相談ください。</v>
      </c>
      <c r="C847" s="31" t="str">
        <f>IFERROR(__xludf.DUMMYFUNCTION("""COMPUTED_VALUE"""),"アフターピル")</f>
        <v>アフターピル</v>
      </c>
      <c r="D847" s="31" t="str">
        <f>IFERROR(__xludf.DUMMYFUNCTION("""COMPUTED_VALUE"""),"事前処方,予備")</f>
        <v>事前処方,予備</v>
      </c>
      <c r="E847" s="31"/>
    </row>
    <row r="848">
      <c r="A848" s="31" t="str">
        <f>IFERROR(__xludf.DUMMYFUNCTION("""COMPUTED_VALUE"""),"アフターピルを服用した方が良いか迷っています。")</f>
        <v>アフターピルを服用した方が良いか迷っています。</v>
      </c>
      <c r="B848" s="31" t="str">
        <f>IFERROR(__xludf.DUMMYFUNCTION("""COMPUTED_VALUE"""),"避妊の失敗やご不安がある場合は、性行為から120時間（5日）以内に、最も早めにアフターピルの服用を検討してください。 
すでに120時間を経過している場合は、妊娠検査薬で妊娠の有無をご確認ください。
望まない妊娠は、金銭面や精神的にも大きな負担となる可能性がありますので、早めの対応をおすすめします。")</f>
        <v>避妊の失敗やご不安がある場合は、性行為から120時間（5日）以内に、最も早めにアフターピルの服用を検討してください。 
すでに120時間を経過している場合は、妊娠検査薬で妊娠の有無をご確認ください。
望まない妊娠は、金銭面や精神的にも大きな負担となる可能性がありますので、早めの対応をおすすめします。</v>
      </c>
      <c r="C848" s="31" t="str">
        <f>IFERROR(__xludf.DUMMYFUNCTION("""COMPUTED_VALUE"""),"アフターピル")</f>
        <v>アフターピル</v>
      </c>
      <c r="D848" s="31" t="str">
        <f>IFERROR(__xludf.DUMMYFUNCTION("""COMPUTED_VALUE"""),"服用判断,不安")</f>
        <v>服用判断,不安</v>
      </c>
      <c r="E848" s="31"/>
    </row>
    <row r="849">
      <c r="A849" s="31" t="str">
        <f>IFERROR(__xludf.DUMMYFUNCTION("""COMPUTED_VALUE"""),"妊娠していないのに39日以上生理が来ません/生理周期が長くて心配です。")</f>
        <v>妊娠していないのに39日以上生理が来ません/生理周期が長くて心配です。</v>
      </c>
      <c r="B849" s="31" t="str">
        <f>IFERROR(__xludf.DUMMYFUNCTION("""COMPUTED_VALUE"""),"稀発（きはつ）月経とは、前の生理から39日以上たっても生理が始まらない状態をいいます。
症状は、突然起こったり、徐々に起こることがあり、間に正常な周期を挟むなど、さまざまです。
主な原因はホルモンバランスが崩れることですが、
病気（多嚢胞性卵巣症候群や下垂体腺腫、先天性副腎過形成症など）と関連していることもあります。
稀発月経では、生理周期の状況を把握することが大切です。
39日以上の生理周期であったとしても、規則正しく月経が訪れている場合は、問題ないこともあります。
個別の症状やお体のご状況については"&amp;"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amp;"りませんのであらかじめご了承くださいませ。")</f>
        <v>稀発（きはつ）月経とは、前の生理から39日以上たっても生理が始まらない状態をいいます。
症状は、突然起こったり、徐々に起こることがあり、間に正常な周期を挟むなど、さまざまです。
主な原因はホルモンバランスが崩れることですが、
病気（多嚢胞性卵巣症候群や下垂体腺腫、先天性副腎過形成症など）と関連していることもあります。
稀発月経では、生理周期の状況を把握することが大切です。
39日以上の生理周期であったとしても、規則正しく月経が訪れている場合は、問題ないこともあります。
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849" s="31" t="str">
        <f>IFERROR(__xludf.DUMMYFUNCTION("""COMPUTED_VALUE"""),"生理不順")</f>
        <v>生理不順</v>
      </c>
      <c r="D849" s="31" t="str">
        <f>IFERROR(__xludf.DUMMYFUNCTION("""COMPUTED_VALUE"""),"稀発月経,周期")</f>
        <v>稀発月経,周期</v>
      </c>
      <c r="E849" s="31"/>
    </row>
    <row r="850">
      <c r="A850" s="31" t="str">
        <f>IFERROR(__xludf.DUMMYFUNCTION("""COMPUTED_VALUE"""),"前回の生理から24日以内にまた生理が来ました/生理周期が短くて心配です。")</f>
        <v>前回の生理から24日以内にまた生理が来ました/生理周期が短くて心配です。</v>
      </c>
      <c r="B850" s="31" t="str">
        <f>IFERROR(__xludf.DUMMYFUNCTION("""COMPUTED_VALUE"""),"頻発（ひんぱつ）月経とは、前の生理から24日以内に生理が始まる、生理周期が短い状態のことです。
生理周期が短いということで、頻発月経（月経周期が23日以下ということは排卵がない）
または無排卵か、あっても質の良い排卵ではない（黄体機能不全）の可能性があります。
不正出血との鑑別が難しいことがあるため、原則として基礎体温を参考にして診断します。
治療方法については、年齢や貧血の有無、妊娠希望があるかどうかなど、
その方の状況によって異なります。
個別の症状やお体のご状況については診察にてご確認いただくことを"&amp;"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amp;"くださいませ。")</f>
        <v>頻発（ひんぱつ）月経とは、前の生理から24日以内に生理が始まる、生理周期が短い状態のことです。
生理周期が短いということで、頻発月経（月経周期が23日以下ということは排卵がない）
または無排卵か、あっても質の良い排卵ではない（黄体機能不全）の可能性があります。
不正出血との鑑別が難しいことがあるため、原則として基礎体温を参考にして診断します。
治療方法については、年齢や貧血の有無、妊娠希望があるかどうかなど、
その方の状況によって異なります。
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850" s="31" t="str">
        <f>IFERROR(__xludf.DUMMYFUNCTION("""COMPUTED_VALUE"""),"生理不順")</f>
        <v>生理不順</v>
      </c>
      <c r="D850" s="31" t="str">
        <f>IFERROR(__xludf.DUMMYFUNCTION("""COMPUTED_VALUE"""),"頻発月経,周期")</f>
        <v>頻発月経,周期</v>
      </c>
      <c r="E850" s="31"/>
    </row>
    <row r="851">
      <c r="A851" s="31" t="str">
        <f>IFERROR(__xludf.DUMMYFUNCTION("""COMPUTED_VALUE"""),"生理が8日以上続いています。受診した方が良いですか？/生理が長く続いていて、心配")</f>
        <v>生理が8日以上続いています。受診した方が良いですか？/生理が長く続いていて、心配</v>
      </c>
      <c r="B851" s="31" t="str">
        <f>IFERROR(__xludf.DUMMYFUNCTION("""COMPUTED_VALUE"""),"過長月経とは、月経期間が8日以上続く状態です。
ホルモンバランスの乱れや子宮の病気が原因と考えられます。
女性ホルモンの分泌に関係する器官（視床下部、脳下垂体、卵巣など）に何らかの
トラブルがあって無排卵周期になっていたり、または黄体ホルモンの
分泌が不十分なために黄体機能不全になっていたりする可能性があります。
個別の症状やお体のご状況については診察にてご確認いただくことをおすすめいたします。当院でのご受診をご希望の場合は、ご予約をお取りの上、クリニックにご受診ください。受診のご予約はLINEで受け付け"&amp;"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f>
        <v>過長月経とは、月経期間が8日以上続く状態です。
ホルモンバランスの乱れや子宮の病気が原因と考えられます。
女性ホルモンの分泌に関係する器官（視床下部、脳下垂体、卵巣など）に何らかの
トラブルがあって無排卵周期になっていたり、または黄体ホルモンの
分泌が不十分なために黄体機能不全になっていたりする可能性があります。
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851" s="31" t="str">
        <f>IFERROR(__xludf.DUMMYFUNCTION("""COMPUTED_VALUE"""),"生理不順")</f>
        <v>生理不順</v>
      </c>
      <c r="D851" s="31" t="str">
        <f>IFERROR(__xludf.DUMMYFUNCTION("""COMPUTED_VALUE"""),"過長月経,出血")</f>
        <v>過長月経,出血</v>
      </c>
      <c r="E851" s="31"/>
    </row>
    <row r="852">
      <c r="A852" s="31" t="str">
        <f>IFERROR(__xludf.DUMMYFUNCTION("""COMPUTED_VALUE"""),"生理が2日で終わってしまい心配です。/生理がすく終わる")</f>
        <v>生理が2日で終わってしまい心配です。/生理がすく終わる</v>
      </c>
      <c r="B852" s="31" t="str">
        <f>IFERROR(__xludf.DUMMYFUNCTION("""COMPUTED_VALUE"""),"過短月経は、2日以内に生理が終わってしまう状態です。
初潮を迎えたばかりの方や、更年期にはよくある症状なので心配ないケースが多いです。
しかし、いきなり生理の期間が短くなったり、成人を過ぎたのに生理期間が短い場合は、医師に相談しましょう。
原因は大きく分けて2つあります。
1つ目は機能性疾患で、ホルモンバランスが乱れるケースです。ストレスや無理なダイエット、過度な運動などでホルモンバランスが崩れる場合があります。
2つ目は器質性疾患です。器質性疾患とは、細胞や組織が何らかの原因で変化を受けた結果、症状"&amp;"として現れることをいいます。
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amp;"0kg以上の方への診療、救急対応（緊急搬送・急性期対応）は行っておりませんのであらかじめご了承くださいませ。")</f>
        <v>過短月経は、2日以内に生理が終わってしまう状態です。
初潮を迎えたばかりの方や、更年期にはよくある症状なので心配ないケースが多いです。
しかし、いきなり生理の期間が短くなったり、成人を過ぎたのに生理期間が短い場合は、医師に相談しましょう。
原因は大きく分けて2つあります。
1つ目は機能性疾患で、ホルモンバランスが乱れるケースです。ストレスや無理なダイエット、過度な運動などでホルモンバランスが崩れる場合があります。
2つ目は器質性疾患です。器質性疾患とは、細胞や組織が何らかの原因で変化を受けた結果、症状として現れることをいいます。
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852" s="31" t="str">
        <f>IFERROR(__xludf.DUMMYFUNCTION("""COMPUTED_VALUE"""),"生理不順")</f>
        <v>生理不順</v>
      </c>
      <c r="D852" s="31" t="str">
        <f>IFERROR(__xludf.DUMMYFUNCTION("""COMPUTED_VALUE"""),"過短月経,生理期間")</f>
        <v>過短月経,生理期間</v>
      </c>
      <c r="E852" s="31"/>
    </row>
    <row r="853">
      <c r="A853" s="31" t="str">
        <f>IFERROR(__xludf.DUMMYFUNCTION("""COMPUTED_VALUE"""),"生理の量が多い/血の塊が出ます。")</f>
        <v>生理の量が多い/血の塊が出ます。</v>
      </c>
      <c r="B853" s="31" t="str">
        <f>IFERROR(__xludf.DUMMYFUNCTION("""COMPUTED_VALUE"""),"出血量の目安として150ml以上の場合を指します。
昼でも夜用ナプキンを利用していたり、レバーのような血の塊が混ざったりすると過多月経の可能性があります。
原因は大きく分けて3つあります：
1つ目は、婦人科器質性疾患です。子宮筋腫・子宮腺筋症・子宮内膜ポリープ・子宮内膜増殖症などが代表的ですが、
子宮体がんや子宮頸がんのケースもあります。
2つ目は婦人科機能性疾患です。黄体機能不全・無排卵性周期症などから、過多月経になることもあります。
3つ目は内科的疾患です。血液の止血凝固機能の異常が原因で、過多"&amp;"月経を引き起こすこともあります。
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amp;"100kg以上の方への診療、救急対応（緊急搬送・急性期対応）は行っておりませんのであらかじめご了承くださいませ。")</f>
        <v>出血量の目安として150ml以上の場合を指します。
昼でも夜用ナプキンを利用していたり、レバーのような血の塊が混ざったりすると過多月経の可能性があります。
原因は大きく分けて3つあります：
1つ目は、婦人科器質性疾患です。子宮筋腫・子宮腺筋症・子宮内膜ポリープ・子宮内膜増殖症などが代表的ですが、
子宮体がんや子宮頸がんのケースもあります。
2つ目は婦人科機能性疾患です。黄体機能不全・無排卵性周期症などから、過多月経になることもあります。
3つ目は内科的疾患です。血液の止血凝固機能の異常が原因で、過多月経を引き起こすこともあります。
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853" s="31" t="str">
        <f>IFERROR(__xludf.DUMMYFUNCTION("""COMPUTED_VALUE"""),"生理不順")</f>
        <v>生理不順</v>
      </c>
      <c r="D853" s="31" t="str">
        <f>IFERROR(__xludf.DUMMYFUNCTION("""COMPUTED_VALUE"""),"過多月経,血の塊")</f>
        <v>過多月経,血の塊</v>
      </c>
      <c r="E853" s="31"/>
    </row>
    <row r="854">
      <c r="A854" s="31" t="str">
        <f>IFERROR(__xludf.DUMMYFUNCTION("""COMPUTED_VALUE"""),"生理の量がとても少なく心配です。/生理の血の量が少ない")</f>
        <v>生理の量がとても少なく心配です。/生理の血の量が少ない</v>
      </c>
      <c r="B854" s="31" t="str">
        <f>IFERROR(__xludf.DUMMYFUNCTION("""COMPUTED_VALUE"""),"過少月経とは、生理の出血量が20ml以下の場合をいいます。
生理開始2日目以内なのに、ナプキンに血がうっすらとしか付かなかったり、
おりものシートで間に合うようであれば、過少月経の可能性があります。
生理開始から3日目以降は出血量が減るのは、特に問題ありません。
生理の量が少ない原因は、大きく分けて2つです：
1つ目は、ホルモンバランスの乱れなどの内分泌系疾患です。高プロラクチン血症・黄体機能不全・無排卵周期症・甲状腺機能異常などが
原因で、これらの病気に合わせた治療が行われます。
2つ目は、器質性疾"&amp;"患です。子宮形態異常や子宮内腔癒着、子宮発育不全など、子宮の形状になんらかの異常が
あることが原因になるケースもあります。
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amp;"が、当院では乳房に関する診療（乳がん検診・乳腺外来など）、更年期障害の治療、不妊治療、体重100kg以上の方への診療、救急対応（緊急搬送・急性期対応）は行っておりませんのであらかじめご了承くださいませ。")</f>
        <v>過少月経とは、生理の出血量が20ml以下の場合をいいます。
生理開始2日目以内なのに、ナプキンに血がうっすらとしか付かなかったり、
おりものシートで間に合うようであれば、過少月経の可能性があります。
生理開始から3日目以降は出血量が減るのは、特に問題ありません。
生理の量が少ない原因は、大きく分けて2つです：
1つ目は、ホルモンバランスの乱れなどの内分泌系疾患です。高プロラクチン血症・黄体機能不全・無排卵周期症・甲状腺機能異常などが
原因で、これらの病気に合わせた治療が行われます。
2つ目は、器質性疾患です。子宮形態異常や子宮内腔癒着、子宮発育不全など、子宮の形状になんらかの異常が
あることが原因になるケースもあります。
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854" s="31" t="str">
        <f>IFERROR(__xludf.DUMMYFUNCTION("""COMPUTED_VALUE"""),"生理不順")</f>
        <v>生理不順</v>
      </c>
      <c r="D854" s="31" t="str">
        <f>IFERROR(__xludf.DUMMYFUNCTION("""COMPUTED_VALUE"""),"過少月経,出血量")</f>
        <v>過少月経,出血量</v>
      </c>
      <c r="E854" s="31"/>
    </row>
    <row r="855">
      <c r="A855" s="31" t="str">
        <f>IFERROR(__xludf.DUMMYFUNCTION("""COMPUTED_VALUE"""),"3か月以上生理が来ていません。")</f>
        <v>3か月以上生理が来ていません。</v>
      </c>
      <c r="B855" s="31" t="str">
        <f>IFERROR(__xludf.DUMMYFUNCTION("""COMPUTED_VALUE"""),"無月経とは、生理（月経）が3か月以上来ない状態です。
初潮を迎える前・妊娠中・授乳中・閉経後の無月経は正常ですが、それ以外は注意が必要です。
無月経の場合は、排卵されていないことが多く、妊娠ができません。
主な原因は、視床下部の機能不全・多嚢胞性卵巣症候群・甲状腺の機能不全・
高プロラクチン血症・早期閉経・薬剤の副作用などです。
まれに遺伝子性の疾患や先天異常がありますが、これは18歳以上になっても
生理がきたことがない方の原因です。
原因に合わせてホルモン療法などを行いますのでお早めに婦人科のご受診を"&amp;"おすすめいたします。
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amp;"上の方への診療、救急対応（緊急搬送・急性期対応）は行っておりませんのであらかじめご了承くださいませ。")</f>
        <v>無月経とは、生理（月経）が3か月以上来ない状態です。
初潮を迎える前・妊娠中・授乳中・閉経後の無月経は正常ですが、それ以外は注意が必要です。
無月経の場合は、排卵されていないことが多く、妊娠ができません。
主な原因は、視床下部の機能不全・多嚢胞性卵巣症候群・甲状腺の機能不全・
高プロラクチン血症・早期閉経・薬剤の副作用などです。
まれに遺伝子性の疾患や先天異常がありますが、これは18歳以上になっても
生理がきたことがない方の原因です。
原因に合わせてホルモン療法などを行いますのでお早めに婦人科のご受診をおすすめいたします。
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855" s="31" t="str">
        <f>IFERROR(__xludf.DUMMYFUNCTION("""COMPUTED_VALUE"""),"生理不順")</f>
        <v>生理不順</v>
      </c>
      <c r="D855" s="31" t="str">
        <f>IFERROR(__xludf.DUMMYFUNCTION("""COMPUTED_VALUE"""),"無月経")</f>
        <v>無月経</v>
      </c>
      <c r="E855" s="31"/>
    </row>
    <row r="856">
      <c r="A856" s="31" t="str">
        <f>IFERROR(__xludf.DUMMYFUNCTION("""COMPUTED_VALUE"""),"他院で処方された薬について質問しても良いですか？")</f>
        <v>他院で処方された薬について質問しても良いですか？</v>
      </c>
      <c r="B856" s="31" t="str">
        <f>IFERROR(__xludf.DUMMYFUNCTION("""COMPUTED_VALUE"""),"大変申し訳ございません。
当院で処方していないお薬についてはお答えが出来かねます。
かかりつけ医にご相談ください。")</f>
        <v>大変申し訳ございません。
当院で処方していないお薬についてはお答えが出来かねます。
かかりつけ医にご相談ください。</v>
      </c>
      <c r="C856" s="31" t="str">
        <f>IFERROR(__xludf.DUMMYFUNCTION("""COMPUTED_VALUE"""),"その他")</f>
        <v>その他</v>
      </c>
      <c r="D856" s="31" t="str">
        <f>IFERROR(__xludf.DUMMYFUNCTION("""COMPUTED_VALUE"""),"他院処方")</f>
        <v>他院処方</v>
      </c>
      <c r="E856" s="31"/>
    </row>
    <row r="857">
      <c r="A857" s="31" t="str">
        <f>IFERROR(__xludf.DUMMYFUNCTION("""COMPUTED_VALUE"""),"オンライン診療では薬の副作用について説明はありますか？")</f>
        <v>オンライン診療では薬の副作用について説明はありますか？</v>
      </c>
      <c r="B857" s="31" t="str">
        <f>IFERROR(__xludf.DUMMYFUNCTION("""COMPUTED_VALUE"""),"お薬の郵送時に、副作用についての説明用紙を同封しております。事前に不安な点がある場合は、お気軽にお問い合わせください。")</f>
        <v>お薬の郵送時に、副作用についての説明用紙を同封しております。事前に不安な点がある場合は、お気軽にお問い合わせください。</v>
      </c>
      <c r="C857" s="31" t="str">
        <f>IFERROR(__xludf.DUMMYFUNCTION("""COMPUTED_VALUE"""),"服薬")</f>
        <v>服薬</v>
      </c>
      <c r="D857" s="31" t="str">
        <f>IFERROR(__xludf.DUMMYFUNCTION("""COMPUTED_VALUE"""),"副作用")</f>
        <v>副作用</v>
      </c>
      <c r="E857" s="31"/>
    </row>
    <row r="858">
      <c r="A858" s="31" t="str">
        <f>IFERROR(__xludf.DUMMYFUNCTION("""COMPUTED_VALUE"""),"生理不順の原因は何ですか？")</f>
        <v>生理不順の原因は何ですか？</v>
      </c>
      <c r="B858" s="31" t="str">
        <f>IFERROR(__xludf.DUMMYFUNCTION("""COMPUTED_VALUE"""),"生理不順の最も多い原因は、ホルモンバランスの乱れです。
ホルモンバランスが乱れる原因は、生活習慣によるものもありますが、病気が隠れている場合もあります。
主な原因はストレス・疲労・生活習慣の乱れ、急激なダイエット（体重減少）・激しい運動、更年期、多嚢胞性卵巣症候群（PCOS）、
高プロラクチン血症、甲状腺機能障害、黄体機能不全、機能性子宮出血が考えられます。
個別の症状やお体のご状況については診察にてご確認いただくことをおすすめいたします。当院でのご受診をご希望の場合は、ご予約をお取りの上、クリニックに"&amp;"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f>
        <v>生理不順の最も多い原因は、ホルモンバランスの乱れです。
ホルモンバランスが乱れる原因は、生活習慣によるものもありますが、病気が隠れている場合もあります。
主な原因はストレス・疲労・生活習慣の乱れ、急激なダイエット（体重減少）・激しい運動、更年期、多嚢胞性卵巣症候群（PCOS）、
高プロラクチン血症、甲状腺機能障害、黄体機能不全、機能性子宮出血が考えられます。
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858" s="31" t="str">
        <f>IFERROR(__xludf.DUMMYFUNCTION("""COMPUTED_VALUE"""),"生理不順")</f>
        <v>生理不順</v>
      </c>
      <c r="D858" s="31" t="str">
        <f>IFERROR(__xludf.DUMMYFUNCTION("""COMPUTED_VALUE"""),"原因")</f>
        <v>原因</v>
      </c>
      <c r="E858" s="31"/>
    </row>
    <row r="859">
      <c r="A859" s="31" t="str">
        <f>IFERROR(__xludf.DUMMYFUNCTION("""COMPUTED_VALUE"""),"妊娠検査薬はいつ使えばよいですか？/クリニックで妊娠検査はできますか？")</f>
        <v>妊娠検査薬はいつ使えばよいですか？/クリニックで妊娠検査はできますか？</v>
      </c>
      <c r="B859" s="31" t="str">
        <f>IFERROR(__xludf.DUMMYFUNCTION("""COMPUTED_VALUE"""),"妊娠検査薬の使用は性行為から3週間後に検査薬にて検査いただき、この時点では妊娠していても
陰性の可能性がございますので、月経予定日になっても
月経が来なければ再検査をお願いいたします。
当院では2000円でその場でわかる妊娠検査のご利用が可能です。")</f>
        <v>妊娠検査薬の使用は性行為から3週間後に検査薬にて検査いただき、この時点では妊娠していても
陰性の可能性がございますので、月経予定日になっても
月経が来なければ再検査をお願いいたします。
当院では2000円でその場でわかる妊娠検査のご利用が可能です。</v>
      </c>
      <c r="C859" s="31" t="str">
        <f>IFERROR(__xludf.DUMMYFUNCTION("""COMPUTED_VALUE"""),"妊娠検査")</f>
        <v>妊娠検査</v>
      </c>
      <c r="D859" s="31" t="str">
        <f>IFERROR(__xludf.DUMMYFUNCTION("""COMPUTED_VALUE"""),"検査時期")</f>
        <v>検査時期</v>
      </c>
      <c r="E859" s="31"/>
    </row>
    <row r="860">
      <c r="A860" s="31" t="str">
        <f>IFERROR(__xludf.DUMMYFUNCTION("""COMPUTED_VALUE"""),"服用している薬の影響で妊娠検査薬が陽性になることはありますか？")</f>
        <v>服用している薬の影響で妊娠検査薬が陽性になることはありますか？</v>
      </c>
      <c r="B860" s="31" t="str">
        <f>IFERROR(__xludf.DUMMYFUNCTION("""COMPUTED_VALUE"""),"妊娠検査薬は基本的に服用しているお薬に影響はないと言われております。
陽性の反応が確認取れましたら、すぐに婦人科のご受診をお願い致します。")</f>
        <v>妊娠検査薬は基本的に服用しているお薬に影響はないと言われております。
陽性の反応が確認取れましたら、すぐに婦人科のご受診をお願い致します。</v>
      </c>
      <c r="C860" s="31" t="str">
        <f>IFERROR(__xludf.DUMMYFUNCTION("""COMPUTED_VALUE"""),"妊娠検査")</f>
        <v>妊娠検査</v>
      </c>
      <c r="D860" s="31" t="str">
        <f>IFERROR(__xludf.DUMMYFUNCTION("""COMPUTED_VALUE"""),"偽陽性")</f>
        <v>偽陽性</v>
      </c>
      <c r="E860" s="31"/>
    </row>
    <row r="861">
      <c r="A861" s="31" t="str">
        <f>IFERROR(__xludf.DUMMYFUNCTION("""COMPUTED_VALUE"""),"妊娠していないのに妊娠検査薬が陽性になる原因は何ですか？/妊娠していないのに妊娠検査薬が陽性")</f>
        <v>妊娠していないのに妊娠検査薬が陽性になる原因は何ですか？/妊娠していないのに妊娠検査薬が陽性</v>
      </c>
      <c r="B861" s="31" t="str">
        <f>IFERROR(__xludf.DUMMYFUNCTION("""COMPUTED_VALUE"""),"妊娠検査薬で陽性が出ても妊娠していなかった場合、考えられるのは、化学流産や、尿の異常値、腫瘍などがあります。
妊娠を希望されている場合は、一度、不妊治療専門のクリニックでご相談いただくことをおすすめいたします。")</f>
        <v>妊娠検査薬で陽性が出ても妊娠していなかった場合、考えられるのは、化学流産や、尿の異常値、腫瘍などがあります。
妊娠を希望されている場合は、一度、不妊治療専門のクリニックでご相談いただくことをおすすめいたします。</v>
      </c>
      <c r="C861" s="31" t="str">
        <f>IFERROR(__xludf.DUMMYFUNCTION("""COMPUTED_VALUE"""),"妊娠検査")</f>
        <v>妊娠検査</v>
      </c>
      <c r="D861" s="31" t="str">
        <f>IFERROR(__xludf.DUMMYFUNCTION("""COMPUTED_VALUE"""),"陽性反応")</f>
        <v>陽性反応</v>
      </c>
      <c r="E861" s="31"/>
    </row>
    <row r="862">
      <c r="A862" s="31" t="str">
        <f>IFERROR(__xludf.DUMMYFUNCTION("""COMPUTED_VALUE"""),"生理不順で婦人科を受診する目安はいつですか？")</f>
        <v>生理不順で婦人科を受診する目安はいつですか？</v>
      </c>
      <c r="B862" s="31" t="str">
        <f>IFERROR(__xludf.DUMMYFUNCTION("""COMPUTED_VALUE"""),"以下が期間ごとの目安となります。
■生理が1週間遅れている
妊娠の可能性が考えられる場合は、市販の妊娠検査薬を使用するとよいでしょう。
妊娠検査薬で陽性の場合は、妊娠している可能性があります。妊娠を望んでいるか、望んでいないかにかかわらず早めに受診しましょう。
妊娠の可能性がない、または妊娠検査薬で陰性だった場合は、生理不順にあたります。続くようでしたら受診しましょう。
※妊娠検査薬は、性行為から3週間後に検査薬にて検査いただき、この時点では妊娠していても陰性の可能性がございますので、月経予定日になっ"&amp;"ても
月経が来なければ再検査をお願いいたします。
■3カ月以上生理が来ない
3カ月以上生理が来ていないときは、正常に排卵が行われていない可能性があります。半年以上生理が来ていない場合は、
ホルモンの分泌に異常があることもございます。
■20歳以上で生理がいつも不規則
生理周期が安定せず、いつも生理不順の場合は受診しましょう。10代や40代半ば～後半は、問題ないことが多いのですが、
それ以外の方は原因を把握するためにも受診してください。
個別の症状やお体のご状況については診察にてご確認いただくことをお"&amp;"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amp;"ださいませ。")</f>
        <v>以下が期間ごとの目安となります。
■生理が1週間遅れている
妊娠の可能性が考えられる場合は、市販の妊娠検査薬を使用するとよいでしょう。
妊娠検査薬で陽性の場合は、妊娠している可能性があります。妊娠を望んでいるか、望んでいないかにかかわらず早めに受診しましょう。
妊娠の可能性がない、または妊娠検査薬で陰性だった場合は、生理不順にあたります。続くようでしたら受診しましょう。
※妊娠検査薬は、性行為から3週間後に検査薬にて検査いただき、この時点では妊娠していても陰性の可能性がございますので、月経予定日になっても
月経が来なければ再検査をお願いいたします。
■3カ月以上生理が来ない
3カ月以上生理が来ていないときは、正常に排卵が行われていない可能性があります。半年以上生理が来ていない場合は、
ホルモンの分泌に異常があることもございます。
■20歳以上で生理がいつも不規則
生理周期が安定せず、いつも生理不順の場合は受診しましょう。10代や40代半ば～後半は、問題ないことが多いのですが、
それ以外の方は原因を把握するためにも受診してください。
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862" s="31" t="str">
        <f>IFERROR(__xludf.DUMMYFUNCTION("""COMPUTED_VALUE"""),"生理不順")</f>
        <v>生理不順</v>
      </c>
      <c r="D862" s="31" t="str">
        <f>IFERROR(__xludf.DUMMYFUNCTION("""COMPUTED_VALUE"""),"受診目安")</f>
        <v>受診目安</v>
      </c>
      <c r="E862" s="31"/>
    </row>
    <row r="863">
      <c r="A863" s="31" t="str">
        <f>IFERROR(__xludf.DUMMYFUNCTION("""COMPUTED_VALUE"""),"多嚢胞性卵巣症候群（PCOS）の治療はできますか？")</f>
        <v>多嚢胞性卵巣症候群（PCOS）の治療はできますか？</v>
      </c>
      <c r="B863" s="31" t="str">
        <f>IFERROR(__xludf.DUMMYFUNCTION("""COMPUTED_VALUE"""),"多嚢胞性卵巣症候群は体質です。この体質そのものを変えることは難しいので、治療の目的は、将来の子宮体癌を
予防することと、ニキビや多毛があればそれを改善することになります。
ピルを内服することにより、生理不順の改善、ニキビの改善、子宮体癌予防、避妊が可能になります。
もし妊娠を希望されるのであれば、ピルをやめて排卵誘発剤の治療となります。
どちらにせよ、根本的な完治はいまのところ治療法として確立されていません。
また、肥満の場合は減量も改善するため大きな要素となります。")</f>
        <v>多嚢胞性卵巣症候群は体質です。この体質そのものを変えることは難しいので、治療の目的は、将来の子宮体癌を
予防することと、ニキビや多毛があればそれを改善することになります。
ピルを内服することにより、生理不順の改善、ニキビの改善、子宮体癌予防、避妊が可能になります。
もし妊娠を希望されるのであれば、ピルをやめて排卵誘発剤の治療となります。
どちらにせよ、根本的な完治はいまのところ治療法として確立されていません。
また、肥満の場合は減量も改善するため大きな要素となります。</v>
      </c>
      <c r="C863" s="31" t="str">
        <f>IFERROR(__xludf.DUMMYFUNCTION("""COMPUTED_VALUE"""),"生理不順")</f>
        <v>生理不順</v>
      </c>
      <c r="D863" s="31" t="str">
        <f>IFERROR(__xludf.DUMMYFUNCTION("""COMPUTED_VALUE"""),"PCOS")</f>
        <v>PCOS</v>
      </c>
      <c r="E863" s="31"/>
    </row>
    <row r="864">
      <c r="A864" s="31" t="str">
        <f>IFERROR(__xludf.DUMMYFUNCTION("""COMPUTED_VALUE"""),"生理をなくすことはできますか？")</f>
        <v>生理をなくすことはできますか？</v>
      </c>
      <c r="B864" s="31" t="str">
        <f>IFERROR(__xludf.DUMMYFUNCTION("""COMPUTED_VALUE"""),"完全に生理をなくすことはできかねますが、フレックス法という方法でピルを服用することで
月経の回数を減らすことが可能でございます。
オンラインでのご案内ができないため、当院での診察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amp;"外来など）、更年期障害の治療、不妊治療、体重100kg以上の方への診療、救急対応（緊急搬送・急性期対応）は行っておりませんのであらかじめご了承くださいませ。")</f>
        <v>完全に生理をなくすことはできかねますが、フレックス法という方法でピルを服用することで
月経の回数を減らすことが可能でございます。
オンラインでのご案内ができないため、当院での診察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864" s="31" t="str">
        <f>IFERROR(__xludf.DUMMYFUNCTION("""COMPUTED_VALUE"""),"月経調整")</f>
        <v>月経調整</v>
      </c>
      <c r="D864" s="31" t="str">
        <f>IFERROR(__xludf.DUMMYFUNCTION("""COMPUTED_VALUE"""),"生理を止めたい")</f>
        <v>生理を止めたい</v>
      </c>
      <c r="E864" s="31"/>
    </row>
    <row r="865">
      <c r="A865" s="31" t="str">
        <f>IFERROR(__xludf.DUMMYFUNCTION("""COMPUTED_VALUE"""),"産後はいつから生理が再開しますか？")</f>
        <v>産後はいつから生理が再開しますか？</v>
      </c>
      <c r="B865" s="31" t="str">
        <f>IFERROR(__xludf.DUMMYFUNCTION("""COMPUTED_VALUE"""),"一般的に、はじめから授乳をしていない場合、産後4～8週間後に生理が始まりますが、完全または混合母乳の場合はさらに遅れて再開します。
授乳の頻度が高く、授乳期間が長いほど生理の再開は遅れます。
卒乳後は約6週間で生理が再開することが多いようですが、授乳を続けている場合には
半年以上再開しないことも少なくありません。")</f>
        <v>一般的に、はじめから授乳をしていない場合、産後4～8週間後に生理が始まりますが、完全または混合母乳の場合はさらに遅れて再開します。
授乳の頻度が高く、授乳期間が長いほど生理の再開は遅れます。
卒乳後は約6週間で生理が再開することが多いようですが、授乳を続けている場合には
半年以上再開しないことも少なくありません。</v>
      </c>
      <c r="C865" s="31" t="str">
        <f>IFERROR(__xludf.DUMMYFUNCTION("""COMPUTED_VALUE"""),"産後")</f>
        <v>産後</v>
      </c>
      <c r="D865" s="31" t="str">
        <f>IFERROR(__xludf.DUMMYFUNCTION("""COMPUTED_VALUE"""),"生理再開")</f>
        <v>生理再開</v>
      </c>
      <c r="E865" s="31"/>
    </row>
    <row r="866">
      <c r="A866" s="31" t="str">
        <f>IFERROR(__xludf.DUMMYFUNCTION("""COMPUTED_VALUE"""),"生理痛やPMSがつらいです。")</f>
        <v>生理痛やPMSがつらいです。</v>
      </c>
      <c r="B866" s="31" t="str">
        <f>IFERROR(__xludf.DUMMYFUNCTION("""COMPUTED_VALUE"""),"生理痛や生理前の不快な症状（PMS）は「低用量ピル」で緩和されることが多くございます。
当院ではオンライン診療で相談ができますので、ぜひご検討ください。こちらのオンライン診療のLINE（https://liff-gateway.lineml.jp/landing?follow=%40590gpxrd&amp;lp=fX73yx&amp;liff_id=1657094566-LmjNPPbV）からオンライン診療のご予約が可能です。ご予約をされる場合は、オンライン診療の「低用量ピル」問診票へのご回答をお願いします。")</f>
        <v>生理痛や生理前の不快な症状（PMS）は「低用量ピル」で緩和されることが多くございます。
当院ではオンライン診療で相談ができますので、ぜひご検討ください。こちらのオンライン診療のLINE（https://liff-gateway.lineml.jp/landing?follow=%40590gpxrd&amp;lp=fX73yx&amp;liff_id=1657094566-LmjNPPbV）からオンライン診療のご予約が可能です。ご予約をされる場合は、オンライン診療の「低用量ピル」問診票へのご回答をお願いします。</v>
      </c>
      <c r="C866" s="31" t="str">
        <f>IFERROR(__xludf.DUMMYFUNCTION("""COMPUTED_VALUE"""),"生理症状")</f>
        <v>生理症状</v>
      </c>
      <c r="D866" s="31" t="str">
        <f>IFERROR(__xludf.DUMMYFUNCTION("""COMPUTED_VALUE"""),"生理痛,PMS")</f>
        <v>生理痛,PMS</v>
      </c>
      <c r="E866" s="31"/>
    </row>
    <row r="867">
      <c r="A867" s="31" t="str">
        <f>IFERROR(__xludf.DUMMYFUNCTION("""COMPUTED_VALUE"""),"生理不順はどうしたらよいですか？")</f>
        <v>生理不順はどうしたらよいですか？</v>
      </c>
      <c r="B867" s="31" t="str">
        <f>IFERROR(__xludf.DUMMYFUNCTION("""COMPUTED_VALUE"""),"妊娠反応が陰性で、妊活の予定がない場合は、低用量ピルの服用を検討されるとよい場合があります。低用量ピルは生理不順の改善や生理予定日の管理がしやすくなることが多いです。服用可否は医師の判断となるため、オンライン診療をご検討くださいませ。オンライン診療はLINEからご利用いただけます。こちらのオンライン診療のLINE（https://liff-gateway.lineml.jp/landing?follow=%40590gpxrd&amp;lp=fX73yx&amp;liff_id=1657094566-LmjNPPbV）か"&amp;"ら、オンライン診療の「低用量ピル」問診票へのご回答をお願いします。")</f>
        <v>妊娠反応が陰性で、妊活の予定がない場合は、低用量ピルの服用を検討されるとよい場合があります。低用量ピルは生理不順の改善や生理予定日の管理がしやすくなることが多いです。服用可否は医師の判断となるため、オンライン診療をご検討くださいませ。オンライン診療はLINEからご利用いただけます。こちらのオンライン診療のLINE（https://liff-gateway.lineml.jp/landing?follow=%40590gpxrd&amp;lp=fX73yx&amp;liff_id=1657094566-LmjNPPbV）から、オンライン診療の「低用量ピル」問診票へのご回答をお願いします。</v>
      </c>
      <c r="C867" s="31" t="str">
        <f>IFERROR(__xludf.DUMMYFUNCTION("""COMPUTED_VALUE"""),"生理不順")</f>
        <v>生理不順</v>
      </c>
      <c r="D867" s="31" t="str">
        <f>IFERROR(__xludf.DUMMYFUNCTION("""COMPUTED_VALUE"""),"生理不順,低用量ピル")</f>
        <v>生理不順,低用量ピル</v>
      </c>
      <c r="E867" s="31"/>
    </row>
    <row r="868">
      <c r="A868" s="31" t="str">
        <f>IFERROR(__xludf.DUMMYFUNCTION("""COMPUTED_VALUE"""),"不正出血が起きた場合はどうしたらよいですか？")</f>
        <v>不正出血が起きた場合はどうしたらよいですか？</v>
      </c>
      <c r="B868" s="31" t="str">
        <f>IFERROR(__xludf.DUMMYFUNCTION("""COMPUTED_VALUE"""),"不正出血の原因は、ホルモンバランスの乱れ、妊娠の可能性、子宮や卵巣の病気、性感染症、外傷や炎症などさまざまです。下腹部の痛みや出血がある場合、症状の内容によって受診可否やご案内が異なります。個別の確認が必要となるため、恐れ入りますがお電話にてご相談ください。お電話は 050-1730-2768 となります。")</f>
        <v>不正出血の原因は、ホルモンバランスの乱れ、妊娠の可能性、子宮や卵巣の病気、性感染症、外傷や炎症などさまざまです。下腹部の痛みや出血がある場合、症状の内容によって受診可否やご案内が異なります。個別の確認が必要となるため、恐れ入りますがお電話にてご相談ください。お電話は 050-1730-2768 となります。</v>
      </c>
      <c r="C868" s="31" t="str">
        <f>IFERROR(__xludf.DUMMYFUNCTION("""COMPUTED_VALUE"""),"不正出血")</f>
        <v>不正出血</v>
      </c>
      <c r="D868" s="31" t="str">
        <f>IFERROR(__xludf.DUMMYFUNCTION("""COMPUTED_VALUE"""),"不正出血,原因")</f>
        <v>不正出血,原因</v>
      </c>
      <c r="E868" s="31"/>
    </row>
    <row r="869">
      <c r="A869" s="31" t="str">
        <f>IFERROR(__xludf.DUMMYFUNCTION("""COMPUTED_VALUE"""),"妊活や不妊治療を希望しています。")</f>
        <v>妊活や不妊治療を希望しています。</v>
      </c>
      <c r="B869" s="31" t="str">
        <f>IFERROR(__xludf.DUMMYFUNCTION("""COMPUTED_VALUE"""),"申し訳ございませんが、当院では妊活・不妊治療の診療は行っておりません。お近くの婦人科や不妊治療専門クリニックへご相談ください。")</f>
        <v>申し訳ございませんが、当院では妊活・不妊治療の診療は行っておりません。お近くの婦人科や不妊治療専門クリニックへご相談ください。</v>
      </c>
      <c r="C869" s="31" t="str">
        <f>IFERROR(__xludf.DUMMYFUNCTION("""COMPUTED_VALUE"""),"妊活・不妊")</f>
        <v>妊活・不妊</v>
      </c>
      <c r="D869" s="31" t="str">
        <f>IFERROR(__xludf.DUMMYFUNCTION("""COMPUTED_VALUE"""),"不妊治療")</f>
        <v>不妊治療</v>
      </c>
      <c r="E869" s="31"/>
    </row>
    <row r="870">
      <c r="A870" s="31" t="str">
        <f>IFERROR(__xludf.DUMMYFUNCTION("""COMPUTED_VALUE"""),"膀胱炎になった場合はどうしたらよいですか？/膀胱炎の診察はできますか？/膀胱炎は診てもらえますか？/膀胱炎で受診したい")</f>
        <v>膀胱炎になった場合はどうしたらよいですか？/膀胱炎の診察はできますか？/膀胱炎は診てもらえますか？/膀胱炎で受診したい</v>
      </c>
      <c r="B870" s="31" t="str">
        <f>IFERROR(__xludf.DUMMYFUNCTION("""COMPUTED_VALUE"""),"軽度の膀胱炎であれば、水分をよく取っていると洗い流されて改善します。
水分摂取をよく取って解消しない場合には、検査と治療をおすすめします。
原因は、肛門と尿道口の間に膣があり、腟内に善玉菌がいると、腟内が酸性に保たれ、尿道へ菌が上がってきます。
乳酸桿菌膣剤の定期使用で、膀胱炎の再発予防という方法もあります。
乳酸桿菌のご購入は以下のURLより可能です。ご検討下さい。
https://shop.luna-dr.com/products/lactobacillus 
オンラインにて膀胱炎の検査・治療はで"&amp;"きかねます。治療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ま"&amp;"た、繰り返す膀胱炎や血尿の症状がある場合は、泌尿器科への受診をお願いいたします。")</f>
        <v>軽度の膀胱炎であれば、水分をよく取っていると洗い流されて改善します。
水分摂取をよく取って解消しない場合には、検査と治療をおすすめします。
原因は、肛門と尿道口の間に膣があり、腟内に善玉菌がいると、腟内が酸性に保たれ、尿道へ菌が上がってきます。
乳酸桿菌膣剤の定期使用で、膀胱炎の再発予防という方法もあります。
乳酸桿菌のご購入は以下のURLより可能です。ご検討下さい。
https://shop.luna-dr.com/products/lactobacillus 
オンラインにて膀胱炎の検査・治療はできかねます。治療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また、繰り返す膀胱炎や血尿の症状がある場合は、泌尿器科への受診をお願いいたします。</v>
      </c>
      <c r="C870" s="31" t="str">
        <f>IFERROR(__xludf.DUMMYFUNCTION("""COMPUTED_VALUE"""),"膀胱炎")</f>
        <v>膀胱炎</v>
      </c>
      <c r="D870" s="31" t="str">
        <f>IFERROR(__xludf.DUMMYFUNCTION("""COMPUTED_VALUE"""),"膀胱炎,頻尿")</f>
        <v>膀胱炎,頻尿</v>
      </c>
      <c r="E870" s="31"/>
    </row>
    <row r="871">
      <c r="A871" s="31" t="str">
        <f>IFERROR(__xludf.DUMMYFUNCTION("""COMPUTED_VALUE"""),"オンラインで紹介状を発行してもらえますか？")</f>
        <v>オンラインで紹介状を発行してもらえますか？</v>
      </c>
      <c r="B871" s="31" t="str">
        <f>IFERROR(__xludf.DUMMYFUNCTION("""COMPUTED_VALUE"""),"オンラインでの紹介状発行は行っておりません。お手数ですが、ご予約の上、クリニックにご受診ください。")</f>
        <v>オンラインでの紹介状発行は行っておりません。お手数ですが、ご予約の上、クリニックにご受診ください。</v>
      </c>
      <c r="C871" s="31" t="str">
        <f>IFERROR(__xludf.DUMMYFUNCTION("""COMPUTED_VALUE"""),"その他")</f>
        <v>その他</v>
      </c>
      <c r="D871" s="31" t="str">
        <f>IFERROR(__xludf.DUMMYFUNCTION("""COMPUTED_VALUE"""),"紹介状")</f>
        <v>紹介状</v>
      </c>
      <c r="E871" s="31"/>
    </row>
    <row r="872">
      <c r="A872" s="31" t="str">
        <f>IFERROR(__xludf.DUMMYFUNCTION("""COMPUTED_VALUE"""),"中絶手術について教えてください。")</f>
        <v>中絶手術について教えてください。</v>
      </c>
      <c r="B872" s="31" t="str">
        <f>IFERROR(__xludf.DUMMYFUNCTION("""COMPUTED_VALUE"""),"中絶手術には大きく分けて初期中絶と中期中絶があります。初期中絶は大きく分けて吸引法とソウハ法（掻き出す方法）があり、どちらも日帰りで手術が可能です。中期中絶は人工的な陣痛を起こし、痛みや入院が必要になる手術方法に分けられます。
当院にて行っている吸引法は、ストロー状の医療器具を用いて子宮内から胎児や胎盤などを吸い出す手術方法です。
メリットは前処置が不要、麻酔が使える、痛みが少ない、出血が少ない、手術時間が短い（日帰りで可能）で、安全性が高いです。
デメリットとしては、電動の器具を使った場合に生じる感染症"&amp;"のリスクがあります。
当クリニックでは、感染症のリスクが極めて低い「手動真空吸引法」を用いています。
手動真空吸引法は、滅菌された使い切りの製品を使用するため、ご安心して手術が可能でございます。")</f>
        <v>中絶手術には大きく分けて初期中絶と中期中絶があります。初期中絶は大きく分けて吸引法とソウハ法（掻き出す方法）があり、どちらも日帰りで手術が可能です。中期中絶は人工的な陣痛を起こし、痛みや入院が必要になる手術方法に分けられます。
当院にて行っている吸引法は、ストロー状の医療器具を用いて子宮内から胎児や胎盤などを吸い出す手術方法です。
メリットは前処置が不要、麻酔が使える、痛みが少ない、出血が少ない、手術時間が短い（日帰りで可能）で、安全性が高いです。
デメリットとしては、電動の器具を使った場合に生じる感染症のリスクがあります。
当クリニックでは、感染症のリスクが極めて低い「手動真空吸引法」を用いています。
手動真空吸引法は、滅菌された使い切りの製品を使用するため、ご安心して手術が可能でございます。</v>
      </c>
      <c r="C872" s="31" t="str">
        <f>IFERROR(__xludf.DUMMYFUNCTION("""COMPUTED_VALUE"""),"中絶")</f>
        <v>中絶</v>
      </c>
      <c r="D872" s="31" t="str">
        <f>IFERROR(__xludf.DUMMYFUNCTION("""COMPUTED_VALUE"""),"中絶手術")</f>
        <v>中絶手術</v>
      </c>
      <c r="E872" s="31"/>
    </row>
    <row r="873">
      <c r="A873" s="31" t="str">
        <f>IFERROR(__xludf.DUMMYFUNCTION("""COMPUTED_VALUE"""),"妊娠の可能性があり、中絶を希望しています。")</f>
        <v>妊娠の可能性があり、中絶を希望しています。</v>
      </c>
      <c r="B873" s="31" t="str">
        <f>IFERROR(__xludf.DUMMYFUNCTION("""COMPUTED_VALUE"""),"妊娠の可能性があり、中絶を希望ということでしたら、市販薬で構いませんので妊娠検査をして確認をしてください。
薬局などで1000円程度で売っているかと思います。
性行為から二週間たっていれば検査可能です。
そこで陰性であればピルの服用を再開するなど今後の対応を考えていただければと思います。
もし陽性であった場合、婦人科でのエコー検査を受けていただき、エコー検査でおおよその週数を確認し継続か中絶か、医師とお話しいただく形になります。
中絶は段階があり
初期中絶（初期流産）：妊娠6〜12週目未満（11週と6"&amp;"日）
中期中絶（後期流産）：12〜22週目未満（21週と6日）
週数を確認し初期中絶が可能な場合の費用は、当院ではエコー検査・採血検査をし手術日ご予約の段階で16,500円、手術当日92,400円～でございます。
どこの病院でも自費になりますので、健康保険の適用はございません。
お体にとってのご負担がかかるものなので陽性を確認されましたらお早めにご受診ください。
中期中絶となりますと当院では対応不可でございますのでご注意ください。")</f>
        <v>妊娠の可能性があり、中絶を希望ということでしたら、市販薬で構いませんので妊娠検査をして確認をしてください。
薬局などで1000円程度で売っているかと思います。
性行為から二週間たっていれば検査可能です。
そこで陰性であればピルの服用を再開するなど今後の対応を考えていただければと思います。
もし陽性であった場合、婦人科でのエコー検査を受けていただき、エコー検査でおおよその週数を確認し継続か中絶か、医師とお話しいただく形になります。
中絶は段階があり
初期中絶（初期流産）：妊娠6〜12週目未満（11週と6日）
中期中絶（後期流産）：12〜22週目未満（21週と6日）
週数を確認し初期中絶が可能な場合の費用は、当院ではエコー検査・採血検査をし手術日ご予約の段階で16,500円、手術当日92,400円～でございます。
どこの病院でも自費になりますので、健康保険の適用はございません。
お体にとってのご負担がかかるものなので陽性を確認されましたらお早めにご受診ください。
中期中絶となりますと当院では対応不可でございますのでご注意ください。</v>
      </c>
      <c r="C873" s="31" t="str">
        <f>IFERROR(__xludf.DUMMYFUNCTION("""COMPUTED_VALUE"""),"中絶")</f>
        <v>中絶</v>
      </c>
      <c r="D873" s="31" t="str">
        <f>IFERROR(__xludf.DUMMYFUNCTION("""COMPUTED_VALUE"""),"妊娠,中絶")</f>
        <v>妊娠,中絶</v>
      </c>
      <c r="E873" s="31"/>
    </row>
    <row r="874">
      <c r="A874" s="31" t="str">
        <f>IFERROR(__xludf.DUMMYFUNCTION("""COMPUTED_VALUE"""),"中絶手術後の取り残しは起こりますか？")</f>
        <v>中絶手術後の取り残しは起こりますか？</v>
      </c>
      <c r="B874" s="31" t="str">
        <f>IFERROR(__xludf.DUMMYFUNCTION("""COMPUTED_VALUE"""),"中絶後の取り残しとは、胎盤などが子宮内に残る状態です。中絶取り残しがあった場合は量にもよりますが再手術又はエコーで見えないくらいの少量の残存であれば、生理を数回繰り返すことによって子宮内遺残はなくなり、hCGホルモンもしだいに消失していきます。")</f>
        <v>中絶後の取り残しとは、胎盤などが子宮内に残る状態です。中絶取り残しがあった場合は量にもよりますが再手術又はエコーで見えないくらいの少量の残存であれば、生理を数回繰り返すことによって子宮内遺残はなくなり、hCGホルモンもしだいに消失していきます。</v>
      </c>
      <c r="C874" s="31" t="str">
        <f>IFERROR(__xludf.DUMMYFUNCTION("""COMPUTED_VALUE"""),"中絶")</f>
        <v>中絶</v>
      </c>
      <c r="D874" s="31" t="str">
        <f>IFERROR(__xludf.DUMMYFUNCTION("""COMPUTED_VALUE"""),"取り残し")</f>
        <v>取り残し</v>
      </c>
      <c r="E874" s="31"/>
    </row>
    <row r="875">
      <c r="A875" s="31" t="str">
        <f>IFERROR(__xludf.DUMMYFUNCTION("""COMPUTED_VALUE"""),"中絶後に妊娠しにくくなりますか？")</f>
        <v>中絶後に妊娠しにくくなりますか？</v>
      </c>
      <c r="B875" s="31" t="str">
        <f>IFERROR(__xludf.DUMMYFUNCTION("""COMPUTED_VALUE"""),"中絶手術を受けることで、将来妊娠しにくいのではないかと心配される方は多いです。 
一方で、中絶手術を受けたとしても、手術が原因で妊娠確率が下がるといったことは、ほとんどありませんのでご安心ください。")</f>
        <v>中絶手術を受けることで、将来妊娠しにくいのではないかと心配される方は多いです。 
一方で、中絶手術を受けたとしても、手術が原因で妊娠確率が下がるといったことは、ほとんどありませんのでご安心ください。</v>
      </c>
      <c r="C875" s="31" t="str">
        <f>IFERROR(__xludf.DUMMYFUNCTION("""COMPUTED_VALUE"""),"中絶")</f>
        <v>中絶</v>
      </c>
      <c r="D875" s="31" t="str">
        <f>IFERROR(__xludf.DUMMYFUNCTION("""COMPUTED_VALUE"""),"不妊")</f>
        <v>不妊</v>
      </c>
      <c r="E875" s="31"/>
    </row>
    <row r="876">
      <c r="A876" s="31" t="str">
        <f>IFERROR(__xludf.DUMMYFUNCTION("""COMPUTED_VALUE"""),"ジェノゲストの処方はできますか？/ディナゲストの処方はできますか？/ジエノゲストの処方はできますか？/ジェノゲストはいくらですか？/ディナゲストはいくらですか？/ジエノゲストはいくらですか？/経膣エコーをしないとジェノゲスト処方はしてもらえないのか/ジェノゲストとは？/ジェノゲストとは何ですか？")</f>
        <v>ジェノゲストの処方はできますか？/ディナゲストの処方はできますか？/ジエノゲストの処方はできますか？/ジェノゲストはいくらですか？/ディナゲストはいくらですか？/ジエノゲストはいくらですか？/経膣エコーをしないとジェノゲスト処方はしてもらえないのか/ジェノゲストとは？/ジェノゲストとは何ですか？</v>
      </c>
      <c r="B876" s="31" t="str">
        <f>IFERROR(__xludf.DUMMYFUNCTION("""COMPUTED_VALUE"""),"ジェノゲストは当院で処方しております。保険診療での処方となるため、オンラインでの処方はできません。診察をご希望の場合は、クリニックにご受診ください。受診のご予約はLINEで受け付けています。LINEはこちら→https://cline-app.com/qr-codes/98ad6f149bfa20f4f2a9a2e91aac4187/preview　※保険ピルの料金は保険診療の内容により異なるため、事前にお伝えすることができません。")</f>
        <v>ジェノゲストは当院で処方しております。保険診療での処方となるため、オンラインでの処方はできません。診察をご希望の場合は、クリニックにご受診ください。受診のご予約はLINEで受け付けています。LINEはこちら→https://cline-app.com/qr-codes/98ad6f149bfa20f4f2a9a2e91aac4187/preview　※保険ピルの料金は保険診療の内容により異なるため、事前にお伝えすることができません。</v>
      </c>
      <c r="C876" s="31" t="str">
        <f>IFERROR(__xludf.DUMMYFUNCTION("""COMPUTED_VALUE"""),"保険診療")</f>
        <v>保険診療</v>
      </c>
      <c r="D876" s="31" t="str">
        <f>IFERROR(__xludf.DUMMYFUNCTION("""COMPUTED_VALUE"""),"ジェノゲスト")</f>
        <v>ジェノゲスト</v>
      </c>
      <c r="E876" s="31"/>
    </row>
    <row r="877">
      <c r="A877" s="31" t="str">
        <f>IFERROR(__xludf.DUMMYFUNCTION("""COMPUTED_VALUE"""),"切れ痔の診察はできますか？")</f>
        <v>切れ痔の診察はできますか？</v>
      </c>
      <c r="B877" s="31" t="str">
        <f>IFERROR(__xludf.DUMMYFUNCTION("""COMPUTED_VALUE"""),"当院では切れ痔の診察は行っておりません。
肛門科のある病院であれば診察可能だと思われます。
もしくはお近くの婦人科様に直接連絡していただいて肛門も診てもらえるかご確認いただくのが良いかと思います。
お大事になさってください。")</f>
        <v>当院では切れ痔の診察は行っておりません。
肛門科のある病院であれば診察可能だと思われます。
もしくはお近くの婦人科様に直接連絡していただいて肛門も診てもらえるかご確認いただくのが良いかと思います。
お大事になさってください。</v>
      </c>
      <c r="C877" s="31" t="str">
        <f>IFERROR(__xludf.DUMMYFUNCTION("""COMPUTED_VALUE"""),"その他")</f>
        <v>その他</v>
      </c>
      <c r="D877" s="31" t="str">
        <f>IFERROR(__xludf.DUMMYFUNCTION("""COMPUTED_VALUE"""),"切れ痔")</f>
        <v>切れ痔</v>
      </c>
      <c r="E877" s="31"/>
    </row>
    <row r="878">
      <c r="A878" s="31" t="str">
        <f>IFERROR(__xludf.DUMMYFUNCTION("""COMPUTED_VALUE"""),"オンライン診療後、店舗で薬を受け取れますか？")</f>
        <v>オンライン診療後、店舗で薬を受け取れますか？</v>
      </c>
      <c r="B878" s="31" t="str">
        <f>IFERROR(__xludf.DUMMYFUNCTION("""COMPUTED_VALUE"""),"原則としてご本人様のご自宅でのお受け取りとなりますので、ご了承くださいませ。特別なご事情がある場合、決済前にカウンセラーへご相談ください。")</f>
        <v>原則としてご本人様のご自宅でのお受け取りとなりますので、ご了承くださいませ。特別なご事情がある場合、決済前にカウンセラーへご相談ください。</v>
      </c>
      <c r="C878" s="31" t="str">
        <f>IFERROR(__xludf.DUMMYFUNCTION("""COMPUTED_VALUE"""),"オンライン診療")</f>
        <v>オンライン診療</v>
      </c>
      <c r="D878" s="31" t="str">
        <f>IFERROR(__xludf.DUMMYFUNCTION("""COMPUTED_VALUE"""),"薬受け取り")</f>
        <v>薬受け取り</v>
      </c>
      <c r="E878" s="31"/>
    </row>
    <row r="879">
      <c r="A879" s="31" t="str">
        <f>IFERROR(__xludf.DUMMYFUNCTION("""COMPUTED_VALUE"""),"HPVワクチンを接種したいです/子宮頸がんワクチンを接種したいです。")</f>
        <v>HPVワクチンを接種したいです/子宮頸がんワクチンを接種したいです。</v>
      </c>
      <c r="B879" s="31" t="str">
        <f>IFERROR(__xludf.DUMMYFUNCTION("""COMPUTED_VALUE"""),"当院ではシルガード9という種類のHPVワクチン接種を行っております。
HPVワクチンは予防するものでございますので、すでに感染したウイルスを排除する力はありません。
副反応としては局所の痛みが起こる可能性があります。
当院でHPVワクチン接種をご希望の場合、予約制になっております。ご予約はお電話（050-1730-2768）で承っております。
※クリニック地域にお住まいかつ、手元に公費の案内用紙がある場合、1週間以降のご予約でご利用いただけます。")</f>
        <v>当院ではシルガード9という種類のHPVワクチン接種を行っております。
HPVワクチンは予防するものでございますので、すでに感染したウイルスを排除する力はありません。
副反応としては局所の痛みが起こる可能性があります。
当院でHPVワクチン接種をご希望の場合、予約制になっております。ご予約はお電話（050-1730-2768）で承っております。
※クリニック地域にお住まいかつ、手元に公費の案内用紙がある場合、1週間以降のご予約でご利用いただけます。</v>
      </c>
      <c r="C879" s="31" t="str">
        <f>IFERROR(__xludf.DUMMYFUNCTION("""COMPUTED_VALUE"""),"HPVワクチン")</f>
        <v>HPVワクチン</v>
      </c>
      <c r="D879" s="31" t="str">
        <f>IFERROR(__xludf.DUMMYFUNCTION("""COMPUTED_VALUE"""),"HPVワクチン,子宮頸がん")</f>
        <v>HPVワクチン,子宮頸がん</v>
      </c>
      <c r="E879" s="31"/>
    </row>
    <row r="880">
      <c r="A880" s="31" t="str">
        <f>IFERROR(__xludf.DUMMYFUNCTION("""COMPUTED_VALUE"""),"HPV感染と低用量ピルは関係ありますか？")</f>
        <v>HPV感染と低用量ピルは関係ありますか？</v>
      </c>
      <c r="B880" s="31" t="str">
        <f>IFERROR(__xludf.DUMMYFUNCTION("""COMPUTED_VALUE"""),"低容量ピルを内服すると子宮頸がんの原因となるヒトパピローマウイルスが排出されにくくなり、
子宮頸がんとなる可能性が高まります。
基本的には軽快することも多いウイルスのため、手術方向となるまでは様子を見ていただくことが多いです。
しかし、ご不安が強いようであれば、ピル以外でも生理不順を治療するホルモン剤はございますので、
一度婦人科を受診し、その旨を相談してみても良いと思います。
個別の症状やお体のご状況については診察にてご確認いただくことをおすすめいたします。当院でのご受診をご希望の場合は、ご予約をお取"&amp;"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f>
        <v>低容量ピルを内服すると子宮頸がんの原因となるヒトパピローマウイルスが排出されにくくなり、
子宮頸がんとなる可能性が高まります。
基本的には軽快することも多いウイルスのため、手術方向となるまでは様子を見ていただくことが多いです。
しかし、ご不安が強いようであれば、ピル以外でも生理不順を治療するホルモン剤はございますので、
一度婦人科を受診し、その旨を相談してみても良いと思います。
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880" s="31" t="str">
        <f>IFERROR(__xludf.DUMMYFUNCTION("""COMPUTED_VALUE"""),"HPV")</f>
        <v>HPV</v>
      </c>
      <c r="D880" s="31" t="str">
        <f>IFERROR(__xludf.DUMMYFUNCTION("""COMPUTED_VALUE"""),"低用量ピル,HPVワクチン,子宮頸がん")</f>
        <v>低用量ピル,HPVワクチン,子宮頸がん</v>
      </c>
      <c r="E880" s="31"/>
    </row>
    <row r="881">
      <c r="A881" s="31" t="str">
        <f>IFERROR(__xludf.DUMMYFUNCTION("""COMPUTED_VALUE"""),"性行為のときに痛みがあります。原因はありますか？")</f>
        <v>性行為のときに痛みがあります。原因はありますか？</v>
      </c>
      <c r="B881" s="31" t="str">
        <f>IFERROR(__xludf.DUMMYFUNCTION("""COMPUTED_VALUE"""),"性行痛の原因は排卵期の性交による卵巣からの出血（卵胞出血）が多いです。
排卵のとき、卵巣の表面が破れて少量の出血とともに卵子が出てくるのですが、
たまたまそのときに性交による刺激が卵巣に加わったりすると、多くの血液が出ることがあります。
また、精神的なもの、子宮内膜症、子宮筋腫、性感染症、カンジダ外陰膣炎なども原因として考えられます。
うずきが一時的であれば様子見で構いませんが、長引いたり頻度が増える場合は、婦人科を受診されることをお勧めいたします。
個別の症状やお体のご状況については診察にてご確認"&amp;"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amp;"らかじめご了承くださいませ。")</f>
        <v>性行痛の原因は排卵期の性交による卵巣からの出血（卵胞出血）が多いです。
排卵のとき、卵巣の表面が破れて少量の出血とともに卵子が出てくるのですが、
たまたまそのときに性交による刺激が卵巣に加わったりすると、多くの血液が出ることがあります。
また、精神的なもの、子宮内膜症、子宮筋腫、性感染症、カンジダ外陰膣炎なども原因として考えられます。
うずきが一時的であれば様子見で構いませんが、長引いたり頻度が増える場合は、婦人科を受診されることをお勧めいたします。
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881" s="31" t="str">
        <f>IFERROR(__xludf.DUMMYFUNCTION("""COMPUTED_VALUE"""),"性行為トラブル")</f>
        <v>性行為トラブル</v>
      </c>
      <c r="D881" s="31" t="str">
        <f>IFERROR(__xludf.DUMMYFUNCTION("""COMPUTED_VALUE"""),"性行痛")</f>
        <v>性行痛</v>
      </c>
      <c r="E881" s="31"/>
    </row>
    <row r="882">
      <c r="A882" s="31" t="str">
        <f>IFERROR(__xludf.DUMMYFUNCTION("""COMPUTED_VALUE"""),"性行為中に出血しました。大丈夫ですか？/性行為後による出血")</f>
        <v>性行為中に出血しました。大丈夫ですか？/性行為後による出血</v>
      </c>
      <c r="B882" s="31" t="str">
        <f>IFERROR(__xludf.DUMMYFUNCTION("""COMPUTED_VALUE"""),"下腹部の痛みや出血がある場合、症状の内容によって受診可否やご案内が異なります。個別の確認が必要となるため、恐れ入りますがお電話にてご相談ください。お電話は 050-1730-2768 となります。")</f>
        <v>下腹部の痛みや出血がある場合、症状の内容によって受診可否やご案内が異なります。個別の確認が必要となるため、恐れ入りますがお電話にてご相談ください。お電話は 050-1730-2768 となります。</v>
      </c>
      <c r="C882" s="31" t="str">
        <f>IFERROR(__xludf.DUMMYFUNCTION("""COMPUTED_VALUE"""),"不正出血")</f>
        <v>不正出血</v>
      </c>
      <c r="D882" s="31" t="str">
        <f>IFERROR(__xludf.DUMMYFUNCTION("""COMPUTED_VALUE"""),"性交後出血")</f>
        <v>性交後出血</v>
      </c>
      <c r="E882" s="31"/>
    </row>
    <row r="883">
      <c r="A883" s="31" t="str">
        <f>IFERROR(__xludf.DUMMYFUNCTION("""COMPUTED_VALUE"""),"膣に異物が入ってしまいました。どうすればよいですか？")</f>
        <v>膣に異物が入ってしまいました。どうすればよいですか？</v>
      </c>
      <c r="B883" s="31" t="str">
        <f>IFERROR(__xludf.DUMMYFUNCTION("""COMPUTED_VALUE"""),"膣に異物が入ってしまい取り出せない場合は、異臭の原因になることもございます。
お早めに取り除くことをおすすめいたします。
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amp;"、当院では乳房に関する診療（乳がん検診・乳腺外来など）、更年期障害の治療、不妊治療、体重100kg以上の方への診療、救急対応（緊急搬送・急性期対応）は行っておりませんのであらかじめご了承くださいませ。")</f>
        <v>膣に異物が入ってしまい取り出せない場合は、異臭の原因になることもございます。
お早めに取り除くことをおすすめいたします。
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883" s="31" t="str">
        <f>IFERROR(__xludf.DUMMYFUNCTION("""COMPUTED_VALUE"""),"トラブル")</f>
        <v>トラブル</v>
      </c>
      <c r="D883" s="31" t="str">
        <f>IFERROR(__xludf.DUMMYFUNCTION("""COMPUTED_VALUE"""),"異物")</f>
        <v>異物</v>
      </c>
      <c r="E883" s="31"/>
    </row>
    <row r="884">
      <c r="A884" s="31" t="str">
        <f>IFERROR(__xludf.DUMMYFUNCTION("""COMPUTED_VALUE"""),"子宮筋腫について教えてください。")</f>
        <v>子宮筋腫について教えてください。</v>
      </c>
      <c r="B884" s="31" t="str">
        <f>IFERROR(__xludf.DUMMYFUNCTION("""COMPUTED_VALUE"""),"子宮筋腫とは、子宮の筋肉にできる良性の腫瘍です。大きさやできた場所によって、生理痛や過多月経の原因となります。
低用量ピルで子宮筋腫が増大するスピードを下げられることが多いですが、
子宮筋腫の場所と大きさによっては手術が必要となる場合があります。
まずはご自身の状況を知るためにも、受診をお勧めいたします。
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amp;"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f>
        <v>子宮筋腫とは、子宮の筋肉にできる良性の腫瘍です。大きさやできた場所によって、生理痛や過多月経の原因となります。
低用量ピルで子宮筋腫が増大するスピードを下げられることが多いですが、
子宮筋腫の場所と大きさによっては手術が必要となる場合があります。
まずはご自身の状況を知るためにも、受診をお勧めいたします。
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884" s="31" t="str">
        <f>IFERROR(__xludf.DUMMYFUNCTION("""COMPUTED_VALUE"""),"子宮疾患")</f>
        <v>子宮疾患</v>
      </c>
      <c r="D884" s="31" t="str">
        <f>IFERROR(__xludf.DUMMYFUNCTION("""COMPUTED_VALUE"""),"子宮筋腫")</f>
        <v>子宮筋腫</v>
      </c>
      <c r="E884" s="31"/>
    </row>
    <row r="885">
      <c r="A885" s="31" t="str">
        <f>IFERROR(__xludf.DUMMYFUNCTION("""COMPUTED_VALUE"""),"流産後の妊娠について")</f>
        <v>流産後の妊娠について</v>
      </c>
      <c r="B885" s="31" t="str">
        <f>IFERROR(__xludf.DUMMYFUNCTION("""COMPUTED_VALUE"""),"流産後に妊娠ができなくなることはありません。一般的に流産後1カ月半〜2カ月ほどで生理が再開し、体の回復が進めば再び妊娠を目指すことができます。次の妊娠に影響を及ぼすことも基本的にはありません。")</f>
        <v>流産後に妊娠ができなくなることはありません。一般的に流産後1カ月半〜2カ月ほどで生理が再開し、体の回復が進めば再び妊娠を目指すことができます。次の妊娠に影響を及ぼすことも基本的にはありません。</v>
      </c>
      <c r="C885" s="31" t="str">
        <f>IFERROR(__xludf.DUMMYFUNCTION("""COMPUTED_VALUE"""),"妊娠・出産・流産")</f>
        <v>妊娠・出産・流産</v>
      </c>
      <c r="D885" s="31" t="str">
        <f>IFERROR(__xludf.DUMMYFUNCTION("""COMPUTED_VALUE"""),"流産後,妊娠,妊活,再妊娠,生理再開")</f>
        <v>流産後,妊娠,妊活,再妊娠,生理再開</v>
      </c>
      <c r="E885" s="31"/>
    </row>
    <row r="886">
      <c r="A886" s="31" t="str">
        <f>IFERROR(__xludf.DUMMYFUNCTION("""COMPUTED_VALUE"""),"流産後の生理について")</f>
        <v>流産後の生理について</v>
      </c>
      <c r="B886" s="31" t="str">
        <f>IFERROR(__xludf.DUMMYFUNCTION("""COMPUTED_VALUE"""),"個人差はありますが、流産後は1カ月半〜2カ月ほどで月経が再開することが一般的です。")</f>
        <v>個人差はありますが、流産後は1カ月半〜2カ月ほどで月経が再開することが一般的です。</v>
      </c>
      <c r="C886" s="31" t="str">
        <f>IFERROR(__xludf.DUMMYFUNCTION("""COMPUTED_VALUE"""),"妊娠・出産・流産")</f>
        <v>妊娠・出産・流産</v>
      </c>
      <c r="D886" s="31" t="str">
        <f>IFERROR(__xludf.DUMMYFUNCTION("""COMPUTED_VALUE"""),"流産後,生理,月経,再開時期")</f>
        <v>流産後,生理,月経,再開時期</v>
      </c>
      <c r="E886" s="31"/>
    </row>
    <row r="887">
      <c r="A887" s="31" t="str">
        <f>IFERROR(__xludf.DUMMYFUNCTION("""COMPUTED_VALUE"""),"生活保護の医療費補助にて受診は可能ですか？/生活保護を受けていますが医療券で受診できますか？/医療券で受診可能ですか？")</f>
        <v>生活保護の医療費補助にて受診は可能ですか？/生活保護を受けていますが医療券で受診できますか？/医療券で受診可能ですか？</v>
      </c>
      <c r="B887" s="31" t="str">
        <f>IFERROR(__xludf.DUMMYFUNCTION("""COMPUTED_VALUE"""),"大変申し訳ございません。当院では生活保護による医療費補助を利用した診察のご案内は行っておりません。")</f>
        <v>大変申し訳ございません。当院では生活保護による医療費補助を利用した診察のご案内は行っておりません。</v>
      </c>
      <c r="C887" s="31" t="str">
        <f>IFERROR(__xludf.DUMMYFUNCTION("""COMPUTED_VALUE"""),"受診・制度・費用")</f>
        <v>受診・制度・費用</v>
      </c>
      <c r="D887" s="31" t="str">
        <f>IFERROR(__xludf.DUMMYFUNCTION("""COMPUTED_VALUE"""),"生活保護,医療費補助,受診可否")</f>
        <v>生活保護,医療費補助,受診可否</v>
      </c>
      <c r="E887" s="31"/>
    </row>
    <row r="888">
      <c r="A888" s="31" t="str">
        <f>IFERROR(__xludf.DUMMYFUNCTION("""COMPUTED_VALUE"""),"ミレーナを外してからどれくらいで排卵しますか？")</f>
        <v>ミレーナを外してからどれくらいで排卵しますか？</v>
      </c>
      <c r="B888" s="31" t="str">
        <f>IFERROR(__xludf.DUMMYFUNCTION("""COMPUTED_VALUE"""),"排卵の再開時期は避妊リングの種類や個人差によって異なります。詳しくは医師にご相談ください。")</f>
        <v>排卵の再開時期は避妊リングの種類や個人差によって異なります。詳しくは医師にご相談ください。</v>
      </c>
      <c r="C888" s="31" t="str">
        <f>IFERROR(__xludf.DUMMYFUNCTION("""COMPUTED_VALUE"""),"避妊・ミレーナ")</f>
        <v>避妊・ミレーナ</v>
      </c>
      <c r="D888" s="31" t="str">
        <f>IFERROR(__xludf.DUMMYFUNCTION("""COMPUTED_VALUE"""),"ミレーナ,排卵,外した後,妊娠")</f>
        <v>ミレーナ,排卵,外した後,妊娠</v>
      </c>
      <c r="E888" s="31"/>
    </row>
    <row r="889">
      <c r="A889" s="31" t="str">
        <f>IFERROR(__xludf.DUMMYFUNCTION("""COMPUTED_VALUE"""),"ミレーナ挿入後の性行為による出血")</f>
        <v>ミレーナ挿入後の性行為による出血</v>
      </c>
      <c r="B889" s="31" t="str">
        <f>IFERROR(__xludf.DUMMYFUNCTION("""COMPUTED_VALUE"""),"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amp;"（緊急搬送・急性期対応）は行っておりませんのであらかじめご了承くださいませ。")</f>
        <v>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889" s="31" t="str">
        <f>IFERROR(__xludf.DUMMYFUNCTION("""COMPUTED_VALUE"""),"避妊・ミレーナ")</f>
        <v>避妊・ミレーナ</v>
      </c>
      <c r="D889" s="31" t="str">
        <f>IFERROR(__xludf.DUMMYFUNCTION("""COMPUTED_VALUE"""),"ミレーナ,性交後出血,不正出血,ホルモン")</f>
        <v>ミレーナ,性交後出血,不正出血,ホルモン</v>
      </c>
      <c r="E889" s="31"/>
    </row>
    <row r="890">
      <c r="A890" s="31" t="str">
        <f>IFERROR(__xludf.DUMMYFUNCTION("""COMPUTED_VALUE"""),"おりもの異常があるのですが、どうしたら良いですか？/排尿時に痛みがあるのですが、どうしたら良いでしょうか？/喉の違和感がある場合どうしたらよいですか？")</f>
        <v>おりもの異常があるのですが、どうしたら良いですか？/排尿時に痛みがあるのですが、どうしたら良いでしょうか？/喉の違和感がある場合どうしたらよいですか？</v>
      </c>
      <c r="B890" s="31" t="str">
        <f>IFERROR(__xludf.DUMMYFUNCTION("""COMPUTED_VALUE"""),"おりものの異常・かゆみ・咽頭の違和感は、体の異常を伝えるサインですので、
放置せずに検査などをして原因を知ることが大切です。
きちんと対応することによって、不妊や病気の可能性を下げることにつながります。
性行為経験がなくてもトリコモナスは感染力が強く、公共のお手洗いなどで感染することもございます。
当院では「FemCHECK」という検査キットを販売しており、こちらはご自宅で検査していただき、キットを送っていただければ、結果もWEBから確認が可能でございます。
購入はこちら
https://shop.l"&amp;"una-dr.com/collections/femcheck/products/femcheck")</f>
        <v>おりものの異常・かゆみ・咽頭の違和感は、体の異常を伝えるサインですので、
放置せずに検査などをして原因を知ることが大切です。
きちんと対応することによって、不妊や病気の可能性を下げることにつながります。
性行為経験がなくてもトリコモナスは感染力が強く、公共のお手洗いなどで感染することもございます。
当院では「FemCHECK」という検査キットを販売しており、こちらはご自宅で検査していただき、キットを送っていただければ、結果もWEBから確認が可能でございます。
購入はこちら
https://shop.luna-dr.com/collections/femcheck/products/femcheck</v>
      </c>
      <c r="C890" s="31" t="str">
        <f>IFERROR(__xludf.DUMMYFUNCTION("""COMPUTED_VALUE"""),"おりもの・性病検査")</f>
        <v>おりもの・性病検査</v>
      </c>
      <c r="D890" s="31" t="str">
        <f>IFERROR(__xludf.DUMMYFUNCTION("""COMPUTED_VALUE"""),"おりもの異常,排尿痛,喉違和感,性病,FemCHECK")</f>
        <v>おりもの異常,排尿痛,喉違和感,性病,FemCHECK</v>
      </c>
      <c r="E890" s="31"/>
    </row>
    <row r="891">
      <c r="A891" s="31" t="str">
        <f>IFERROR(__xludf.DUMMYFUNCTION("""COMPUTED_VALUE"""),"カンジダが陽性だったが治療は必要ですか？/細菌性膣炎が陽性だったが治療は必要ですか？/カンジダが再発した/カンジダに繰り返しなる/細菌性膣炎が再発した/細菌性膣炎に繰り返しなる")</f>
        <v>カンジダが陽性だったが治療は必要ですか？/細菌性膣炎が陽性だったが治療は必要ですか？/カンジダが再発した/カンジダに繰り返しなる/細菌性膣炎が再発した/細菌性膣炎に繰り返しなる</v>
      </c>
      <c r="B891" s="31" t="str">
        <f>IFERROR(__xludf.DUMMYFUNCTION("""COMPUTED_VALUE"""),"クラミジア・淋菌・ウレアプラズマ・マイコプラズマ等の性病が陽性でない場合は様子を見ていただくで特に問題はございません。
カンジダ・細菌性膣炎は常在菌でございます。生理と共に洗い流され改善する場合もございますが、膀胱炎になってしまったり、症状がお辛い場合は抗生剤をご使用ください。
カンジダ・細菌性膣炎は繰り返しなることが多いため、乳酸桿菌で膣内環境を整えることがとても重要です。
乳酸桿菌の定期配送は以下のURLよりご購入が可能です。ご検討下さい。
https://shop.luna-dr.com/prod"&amp;"ucts/lactobacillus ")</f>
        <v>クラミジア・淋菌・ウレアプラズマ・マイコプラズマ等の性病が陽性でない場合は様子を見ていただくで特に問題はございません。
カンジダ・細菌性膣炎は常在菌でございます。生理と共に洗い流され改善する場合もございますが、膀胱炎になってしまったり、症状がお辛い場合は抗生剤をご使用ください。
カンジダ・細菌性膣炎は繰り返しなることが多いため、乳酸桿菌で膣内環境を整えることがとても重要です。
乳酸桿菌の定期配送は以下のURLよりご購入が可能です。ご検討下さい。
https://shop.luna-dr.com/products/lactobacillus </v>
      </c>
      <c r="C891" s="31" t="str">
        <f>IFERROR(__xludf.DUMMYFUNCTION("""COMPUTED_VALUE"""),"おりもの・膣炎")</f>
        <v>おりもの・膣炎</v>
      </c>
      <c r="D891" s="31" t="str">
        <f>IFERROR(__xludf.DUMMYFUNCTION("""COMPUTED_VALUE"""),"カンジダ,細菌性膣炎,再発,乳酸桿菌,膣内環境")</f>
        <v>カンジダ,細菌性膣炎,再発,乳酸桿菌,膣内環境</v>
      </c>
      <c r="E891" s="31"/>
    </row>
    <row r="892">
      <c r="A892" s="31" t="str">
        <f>IFERROR(__xludf.DUMMYFUNCTION("""COMPUTED_VALUE"""),"パートナーにお薬処方は可能ですか？")</f>
        <v>パートナーにお薬処方は可能ですか？</v>
      </c>
      <c r="B892" s="31" t="str">
        <f>IFERROR(__xludf.DUMMYFUNCTION("""COMPUTED_VALUE"""),"医薬品となりますので、原則ご本人様への処方の対応となります。処方をご希望のご本人様は、LINEアカウントよりオンライン診療をお申込み、ご相談ください。オンライン診療はLINEからご利用いただけます。こちらのオンライン診療ページ（https://liff-gateway.lineml.jp/landing?follow=%40590gpxrd&amp;lp=fX73yx&amp;liff_id=1657094566-LmjNPPbV）からご利用ください。")</f>
        <v>医薬品となりますので、原則ご本人様への処方の対応となります。処方をご希望のご本人様は、LINEアカウントよりオンライン診療をお申込み、ご相談ください。オンライン診療はLINEからご利用いただけます。こちらのオンライン診療ページ（https://liff-gateway.lineml.jp/landing?follow=%40590gpxrd&amp;lp=fX73yx&amp;liff_id=1657094566-LmjNPPbV）からご利用ください。</v>
      </c>
      <c r="C892" s="31" t="str">
        <f>IFERROR(__xludf.DUMMYFUNCTION("""COMPUTED_VALUE"""),"受診・処方")</f>
        <v>受診・処方</v>
      </c>
      <c r="D892" s="31" t="str">
        <f>IFERROR(__xludf.DUMMYFUNCTION("""COMPUTED_VALUE"""),"パートナー,処方,本人のみ,LINE,オンライン診療")</f>
        <v>パートナー,処方,本人のみ,LINE,オンライン診療</v>
      </c>
      <c r="E892" s="31"/>
    </row>
    <row r="893">
      <c r="A893" s="31" t="str">
        <f>IFERROR(__xludf.DUMMYFUNCTION("""COMPUTED_VALUE"""),"乳酸桿菌の使用方法")</f>
        <v>乳酸桿菌の使用方法</v>
      </c>
      <c r="B893" s="31" t="str">
        <f>IFERROR(__xludf.DUMMYFUNCTION("""COMPUTED_VALUE"""),"乳酸桿菌は膣・内服どちらでもご使用可能でございます。ですが、膣に直接入れることで、繰り返すカンジダ、膀胱炎、細菌の増殖によるおりもの異常に直接アプローチが可能です。また、継続的に使用することでより予防効果が高まります。乳酸桿菌の定期配送は以下のURLよりご購入が可能です。ご検討下さい。
https://shop.luna-dr.com/products/lactobacillus")</f>
        <v>乳酸桿菌は膣・内服どちらでもご使用可能でございます。ですが、膣に直接入れることで、繰り返すカンジダ、膀胱炎、細菌の増殖によるおりもの異常に直接アプローチが可能です。また、継続的に使用することでより予防効果が高まります。乳酸桿菌の定期配送は以下のURLよりご購入が可能です。ご検討下さい。
https://shop.luna-dr.com/products/lactobacillus</v>
      </c>
      <c r="C893" s="31" t="str">
        <f>IFERROR(__xludf.DUMMYFUNCTION("""COMPUTED_VALUE"""),"おりもの・ケア")</f>
        <v>おりもの・ケア</v>
      </c>
      <c r="D893" s="31" t="str">
        <f>IFERROR(__xludf.DUMMYFUNCTION("""COMPUTED_VALUE"""),"乳酸桿菌,使用方法,膣,内服,カンジダ,膀胱炎,予防")</f>
        <v>乳酸桿菌,使用方法,膣,内服,カンジダ,膀胱炎,予防</v>
      </c>
      <c r="E893" s="31"/>
    </row>
    <row r="894">
      <c r="A894" s="31" t="str">
        <f>IFERROR(__xludf.DUMMYFUNCTION("""COMPUTED_VALUE"""),"乳酸桿菌を使用したら治りますか")</f>
        <v>乳酸桿菌を使用したら治りますか</v>
      </c>
      <c r="B894" s="31" t="str">
        <f>IFERROR(__xludf.DUMMYFUNCTION("""COMPUTED_VALUE"""),"乳酸桿菌はあくまで一般細菌（常在菌）の予防薬でございます。治療を終えた後に使用していただくことで、膣内環境を整え再発防止をする膣剤です。まずは、陽性の項目の治療を行うことをおすすめいたします。乳酸桿菌の定期配送は以下のURLよりご購入が可能です。ご検討下さい。
https://shop.luna-dr.com/products/lactobacillus")</f>
        <v>乳酸桿菌はあくまで一般細菌（常在菌）の予防薬でございます。治療を終えた後に使用していただくことで、膣内環境を整え再発防止をする膣剤です。まずは、陽性の項目の治療を行うことをおすすめいたします。乳酸桿菌の定期配送は以下のURLよりご購入が可能です。ご検討下さい。
https://shop.luna-dr.com/products/lactobacillus</v>
      </c>
      <c r="C894" s="31" t="str">
        <f>IFERROR(__xludf.DUMMYFUNCTION("""COMPUTED_VALUE"""),"おりもの・ケア")</f>
        <v>おりもの・ケア</v>
      </c>
      <c r="D894" s="31" t="str">
        <f>IFERROR(__xludf.DUMMYFUNCTION("""COMPUTED_VALUE"""),"乳酸桿菌,治る,予防,再発防止,膣内環境")</f>
        <v>乳酸桿菌,治る,予防,再発防止,膣内環境</v>
      </c>
      <c r="E894" s="31"/>
    </row>
    <row r="895">
      <c r="A895" s="31" t="str">
        <f>IFERROR(__xludf.DUMMYFUNCTION("""COMPUTED_VALUE"""),"生理中の性行為")</f>
        <v>生理中の性行為</v>
      </c>
      <c r="B895" s="31" t="str">
        <f>IFERROR(__xludf.DUMMYFUNCTION("""COMPUTED_VALUE"""),"生理中の性行為は通常時よりも気を付けないといけないところがございます。
①妊娠しないから性行為をしても良い？それは間違いです。通常、精子の寿命が2～3日と言われていますが、5日生き延びたこともあります。つまり、生理が終わったときにその精子と受精をするということです。
②性感染症のリスクが上がる：生理中は膣の中に傷ができやすく、クラミジア・淋菌・梅毒・HPVなどの性感染症に加え、HIVの感染率も上昇します。
③子宮内膜症のリスクが上がる：経血が子宮内に逆流し、雑菌やウイルスを運び込む危険があり、子宮内膜症リ"&amp;"スクを高めるとも言われています。")</f>
        <v>生理中の性行為は通常時よりも気を付けないといけないところがございます。
①妊娠しないから性行為をしても良い？それは間違いです。通常、精子の寿命が2～3日と言われていますが、5日生き延びたこともあります。つまり、生理が終わったときにその精子と受精をするということです。
②性感染症のリスクが上がる：生理中は膣の中に傷ができやすく、クラミジア・淋菌・梅毒・HPVなどの性感染症に加え、HIVの感染率も上昇します。
③子宮内膜症のリスクが上がる：経血が子宮内に逆流し、雑菌やウイルスを運び込む危険があり、子宮内膜症リスクを高めるとも言われています。</v>
      </c>
      <c r="C895" s="31" t="str">
        <f>IFERROR(__xludf.DUMMYFUNCTION("""COMPUTED_VALUE"""),"性行為・注意事項")</f>
        <v>性行為・注意事項</v>
      </c>
      <c r="D895" s="31" t="str">
        <f>IFERROR(__xludf.DUMMYFUNCTION("""COMPUTED_VALUE"""),"生理中,性行為,妊娠,性感染症,HPV,HIV,子宮内膜症")</f>
        <v>生理中,性行為,妊娠,性感染症,HPV,HIV,子宮内膜症</v>
      </c>
      <c r="E895" s="31"/>
    </row>
    <row r="896">
      <c r="A896" s="31" t="str">
        <f>IFERROR(__xludf.DUMMYFUNCTION("""COMPUTED_VALUE"""),"子宮内膜症の疑いがあり")</f>
        <v>子宮内膜症の疑いがあり</v>
      </c>
      <c r="B896" s="31" t="str">
        <f>IFERROR(__xludf.DUMMYFUNCTION("""COMPUTED_VALUE"""),"子宮内膜症とは、子宮の中にある子宮内膜組織が、子宮以外の場所で女性ホルモンに反応して増殖や出血を起こす病気です。症状は下腹部の痛みに伴って、腰が痛む場合もあります。放置しておくと血液が卵巣内部に満たされ、それが各臓器にまで広がるようになります。臓器まで広がるほど放置しておくと、実生活に支障が出るほど激しい痛みを伴うことになります。オンライン診療でのエコー検査は難しいため、一度婦人科の受診をおすすめいたします。当院でのご受診をご希望の場合は、ご予約をお取りの上、クリニックにご受診ください。受診のご予約はLI"&amp;"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f>
        <v>子宮内膜症とは、子宮の中にある子宮内膜組織が、子宮以外の場所で女性ホルモンに反応して増殖や出血を起こす病気です。症状は下腹部の痛みに伴って、腰が痛む場合もあります。放置しておくと血液が卵巣内部に満たされ、それが各臓器にまで広がるようになります。臓器まで広がるほど放置しておくと、実生活に支障が出るほど激しい痛みを伴うことになります。オンライン診療でのエコー検査は難しいため、一度婦人科の受診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896" s="31" t="str">
        <f>IFERROR(__xludf.DUMMYFUNCTION("""COMPUTED_VALUE"""),"婦人科疾患")</f>
        <v>婦人科疾患</v>
      </c>
      <c r="D896" s="31" t="str">
        <f>IFERROR(__xludf.DUMMYFUNCTION("""COMPUTED_VALUE"""),"子宮内膜症,下腹部痛,腰痛,エコー,受診")</f>
        <v>子宮内膜症,下腹部痛,腰痛,エコー,受診</v>
      </c>
      <c r="E896" s="31"/>
    </row>
    <row r="897">
      <c r="A897" s="31" t="str">
        <f>IFERROR(__xludf.DUMMYFUNCTION("""COMPUTED_VALUE"""),"下腹部痛があり心配/お腹の下が痛い/下腹部が痛い/お腹痛い/お腹が痛い/腹痛がある")</f>
        <v>下腹部痛があり心配/お腹の下が痛い/下腹部が痛い/お腹痛い/お腹が痛い/腹痛がある</v>
      </c>
      <c r="B897" s="31" t="str">
        <f>IFERROR(__xludf.DUMMYFUNCTION("""COMPUTED_VALUE"""),"下腹部痛は、月経困難症、子宮内膜症、卵巣嚢腫、性感染症、子宮筋腫、卵巣捻転、卵巣がんなどさまざまな原因が考えられます。オンライン診療にて検査が難しいため、原因を知るために一度婦人科の受診をおすすめいたします。下腹部の痛みや出血がある場合、症状の内容によって受診可否やご案内が異なります。個別の確認が必要となるため、恐れ入りますがお電話にてご相談ください。お電話は 050-1730-2768 となります。")</f>
        <v>下腹部痛は、月経困難症、子宮内膜症、卵巣嚢腫、性感染症、子宮筋腫、卵巣捻転、卵巣がんなどさまざまな原因が考えられます。オンライン診療にて検査が難しいため、原因を知るために一度婦人科の受診をおすすめいたします。下腹部の痛みや出血がある場合、症状の内容によって受診可否やご案内が異なります。個別の確認が必要となるため、恐れ入りますがお電話にてご相談ください。お電話は 050-1730-2768 となります。</v>
      </c>
      <c r="C897" s="31" t="str">
        <f>IFERROR(__xludf.DUMMYFUNCTION("""COMPUTED_VALUE"""),"症状・腹痛")</f>
        <v>症状・腹痛</v>
      </c>
      <c r="D897" s="31" t="str">
        <f>IFERROR(__xludf.DUMMYFUNCTION("""COMPUTED_VALUE"""),"下腹部痛,原因,婦人科,受診,お腹痛い,腹痛")</f>
        <v>下腹部痛,原因,婦人科,受診,お腹痛い,腹痛</v>
      </c>
      <c r="E897" s="31"/>
    </row>
    <row r="898">
      <c r="A898" s="31" t="str">
        <f>IFERROR(__xludf.DUMMYFUNCTION("""COMPUTED_VALUE"""),"卵巣嚢腫とは")</f>
        <v>卵巣嚢腫とは</v>
      </c>
      <c r="B898" s="31" t="str">
        <f>IFERROR(__xludf.DUMMYFUNCTION("""COMPUTED_VALUE"""),"卵巣嚢腫とは、通常月経がある方では子宮が親指くらいの大きさですが、大きく腫れた状態を卵巣腫瘍といいます。腫瘍の中に液体がたまる嚢胞性卵巣腫瘍（卵巣嚢腫）と硬い塊が大きくなる充実性卵巣腫瘍の2つに分類され、放置しておくとがんになる恐れがあります。また、卵巣嚢腫が小さいうちは自覚症状がなく、大きくなった時におなかの張りなどで見つかることもあります。原因が分からず、妊娠してから発見すると治療が難しくなるため、婦人科へ定期検査をお勧めいたします。当院でのご受診をご希望の場合は、ご予約をお取りの上、クリニックにご受"&amp;"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f>
        <v>卵巣嚢腫とは、通常月経がある方では子宮が親指くらいの大きさですが、大きく腫れた状態を卵巣腫瘍といいます。腫瘍の中に液体がたまる嚢胞性卵巣腫瘍（卵巣嚢腫）と硬い塊が大きくなる充実性卵巣腫瘍の2つに分類され、放置しておくとがんになる恐れがあります。また、卵巣嚢腫が小さいうちは自覚症状がなく、大きくなった時におなかの張りなどで見つかることもあります。原因が分からず、妊娠してから発見すると治療が難しくなるため、婦人科へ定期検査をお勧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898" s="31" t="str">
        <f>IFERROR(__xludf.DUMMYFUNCTION("""COMPUTED_VALUE"""),"婦人科疾患")</f>
        <v>婦人科疾患</v>
      </c>
      <c r="D898" s="31" t="str">
        <f>IFERROR(__xludf.DUMMYFUNCTION("""COMPUTED_VALUE"""),"卵巣嚢腫,卵巣腫瘍,お腹の張り,定期検査")</f>
        <v>卵巣嚢腫,卵巣腫瘍,お腹の張り,定期検査</v>
      </c>
      <c r="E898" s="31"/>
    </row>
    <row r="899">
      <c r="A899" s="31" t="str">
        <f>IFERROR(__xludf.DUMMYFUNCTION("""COMPUTED_VALUE"""),"低用量ピルの服用規定に反している為、服用できないが他の方法でPMS・月経痛を抑えるのとは可能ですか")</f>
        <v>低用量ピルの服用規定に反している為、服用できないが他の方法でPMS・月経痛を抑えるのとは可能ですか</v>
      </c>
      <c r="B899" s="31" t="str">
        <f>IFERROR(__xludf.DUMMYFUNCTION("""COMPUTED_VALUE"""),"低用量ピルの服用規定に反している内容にもよりますが、「ミレーナ」、「ジェノゲスト」、「漢方」を活用してみるのもよいかと思います。オンライン診療では視診が難しいため、一度医師・看護師にご相談される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amp;"恐れ入りますが、当院では乳房に関する診療（乳がん検診・乳腺外来など）、更年期障害の治療、不妊治療、体重100kg以上の方への診療、救急対応（緊急搬送・急性期対応）は行っておりませんのであらかじめご了承くださいませ。")</f>
        <v>低用量ピルの服用規定に反している内容にもよりますが、「ミレーナ」、「ジェノゲスト」、「漢方」を活用してみるのもよいかと思います。オンライン診療では視診が難しいため、一度医師・看護師にご相談される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899" s="31" t="str">
        <f>IFERROR(__xludf.DUMMYFUNCTION("""COMPUTED_VALUE"""),"PMS・月経痛")</f>
        <v>PMS・月経痛</v>
      </c>
      <c r="D899" s="31" t="str">
        <f>IFERROR(__xludf.DUMMYFUNCTION("""COMPUTED_VALUE"""),"低用量ピル不可,ミレーナ,ジェノゲスト,漢方,PMS,月経痛")</f>
        <v>低用量ピル不可,ミレーナ,ジェノゲスト,漢方,PMS,月経痛</v>
      </c>
      <c r="E899" s="31"/>
    </row>
    <row r="900">
      <c r="A900" s="31" t="str">
        <f>IFERROR(__xludf.DUMMYFUNCTION("""COMPUTED_VALUE"""),"ルナレディースクリニックで検査した結果が確認できない")</f>
        <v>ルナレディースクリニックで検査した結果が確認できない</v>
      </c>
      <c r="B900" s="31" t="str">
        <f>IFERROR(__xludf.DUMMYFUNCTION("""COMPUTED_VALUE"""),"クリックで検査した結果は基本的にオンラインで確認が可能でございます。一部血液検査・子宮頸がん等の結果はご来院頂いての結果通知になります。ご了承ください。当院では、診察券が無いため領収書にて患者番号のご確認をお願いします。")</f>
        <v>クリックで検査した結果は基本的にオンラインで確認が可能でございます。一部血液検査・子宮頸がん等の結果はご来院頂いての結果通知になります。ご了承ください。当院では、診察券が無いため領収書にて患者番号のご確認をお願いします。</v>
      </c>
      <c r="C900" s="31" t="str">
        <f>IFERROR(__xludf.DUMMYFUNCTION("""COMPUTED_VALUE"""),"検査・結果確認")</f>
        <v>検査・結果確認</v>
      </c>
      <c r="D900" s="31" t="str">
        <f>IFERROR(__xludf.DUMMYFUNCTION("""COMPUTED_VALUE"""),"検査結果,オンライン,血液検査,子宮頸がん,診察券番号")</f>
        <v>検査結果,オンライン,血液検査,子宮頸がん,診察券番号</v>
      </c>
      <c r="E900" s="31"/>
    </row>
    <row r="901">
      <c r="A901" s="31" t="str">
        <f>IFERROR(__xludf.DUMMYFUNCTION("""COMPUTED_VALUE"""),"PMS異常であるが妊娠も考えている")</f>
        <v>PMS異常であるが妊娠も考えている</v>
      </c>
      <c r="B901" s="31" t="str">
        <f>IFERROR(__xludf.DUMMYFUNCTION("""COMPUTED_VALUE"""),"ご妊娠を考えているのであれば、低用量ピルの服用はおすすめしておりません。漢方を服用することで、PMSを軽減することが可能な場合もございます。一度婦人科をご受診の上、医師にご相談ください。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amp;"る診療（乳がん検診・乳腺外来など）、更年期障害の治療、不妊治療、体重100kg以上の方への診療、救急対応（緊急搬送・急性期対応）は行っておりませんのであらかじめご了承くださいませ。")</f>
        <v>ご妊娠を考えているのであれば、低用量ピルの服用はおすすめしておりません。漢方を服用することで、PMSを軽減することが可能な場合もございます。一度婦人科をご受診の上、医師にご相談ください。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901" s="31" t="str">
        <f>IFERROR(__xludf.DUMMYFUNCTION("""COMPUTED_VALUE"""),"PMS・妊娠")</f>
        <v>PMS・妊娠</v>
      </c>
      <c r="D901" s="31" t="str">
        <f>IFERROR(__xludf.DUMMYFUNCTION("""COMPUTED_VALUE"""),"妊娠希望,PMS,低用量ピル,漢方,受診")</f>
        <v>妊娠希望,PMS,低用量ピル,漢方,受診</v>
      </c>
      <c r="E901" s="31"/>
    </row>
    <row r="902">
      <c r="A902" s="31" t="str">
        <f>IFERROR(__xludf.DUMMYFUNCTION("""COMPUTED_VALUE"""),"月経前不快気分障害とは/PMDDとは")</f>
        <v>月経前不快気分障害とは/PMDDとは</v>
      </c>
      <c r="B902" s="31" t="str">
        <f>IFERROR(__xludf.DUMMYFUNCTION("""COMPUTED_VALUE"""),"月経が始まる2週間前ごろから心身が不安定でとてもつらい状態を「月経前症候群（PMS）」といいます。
その中でも心の不安定さが際立って強く出てしまう場合は「月経前不快気分障害（PMDD）」と診断されます。
PMDDは抑うつ気分、不安・緊張、情緒不安定、怒り・イライラの4症状が中心で、食行動の変化や睡眠障害などの特徴的な症状が月経前に
出現することで社会活動や人間関係に支障をきたします。
低用量ピルや漢方を用いて治療を行います。
低用量ピルの処方はオンラインでも可能ですが、あまりにもひどい場合には一度医師ま"&amp;"たは看護師にご相談をおすすめいたします。
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amp;"んのであらかじめご了承くださいませ。")</f>
        <v>月経が始まる2週間前ごろから心身が不安定でとてもつらい状態を「月経前症候群（PMS）」といいます。
その中でも心の不安定さが際立って強く出てしまう場合は「月経前不快気分障害（PMDD）」と診断されます。
PMDDは抑うつ気分、不安・緊張、情緒不安定、怒り・イライラの4症状が中心で、食行動の変化や睡眠障害などの特徴的な症状が月経前に
出現することで社会活動や人間関係に支障をきたします。
低用量ピルや漢方を用いて治療を行います。
低用量ピルの処方はオンラインでも可能ですが、あまりにもひどい場合には一度医師または看護師にご相談をおすすめいたします。
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902" s="31" t="str">
        <f>IFERROR(__xludf.DUMMYFUNCTION("""COMPUTED_VALUE"""),"PMS・PMDD")</f>
        <v>PMS・PMDD</v>
      </c>
      <c r="D902" s="31" t="str">
        <f>IFERROR(__xludf.DUMMYFUNCTION("""COMPUTED_VALUE"""),"PMDD,PMS,月経前,抑うつ,不安,イライラ,治療")</f>
        <v>PMDD,PMS,月経前,抑うつ,不安,イライラ,治療</v>
      </c>
      <c r="E902" s="31"/>
    </row>
    <row r="903">
      <c r="A903" s="31" t="str">
        <f>IFERROR(__xludf.DUMMYFUNCTION("""COMPUTED_VALUE"""),"膣剤の使用をやめたら症状が再燃")</f>
        <v>膣剤の使用をやめたら症状が再燃</v>
      </c>
      <c r="B903" s="31" t="str">
        <f>IFERROR(__xludf.DUMMYFUNCTION("""COMPUTED_VALUE"""),"カンジダ（クロトリマゾール）や一般細菌（フラジール膣剤）のお薬を使用された後に症状が再発している場合、医師の判断により別のお薬に変更する必要があることもございま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amp;"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
【乳酸桿菌】膣に直接的に入れることで、繰り返すカンジダ、膀胱炎、細菌の増殖によるおりもの異常に直接アプローチが可能でございます。また、継続的に使用することでより予防効果が効果が高まります。乳酸桿菌の定期配送は以下のURLより、ご購入が可能です。ご検討下さい。http"&amp;"s://shop.luna-dr.com/products/lactobacillus")</f>
        <v>カンジダ（クロトリマゾール）や一般細菌（フラジール膣剤）のお薬を使用された後に症状が再発している場合、医師の判断により別のお薬に変更する必要があることもございま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
【乳酸桿菌】膣に直接的に入れることで、繰り返すカンジダ、膀胱炎、細菌の増殖によるおりもの異常に直接アプローチが可能でございます。また、継続的に使用することでより予防効果が効果が高まります。乳酸桿菌の定期配送は以下のURLより、ご購入が可能です。ご検討下さい。https://shop.luna-dr.com/products/lactobacillus</v>
      </c>
      <c r="C903" s="31" t="str">
        <f>IFERROR(__xludf.DUMMYFUNCTION("""COMPUTED_VALUE"""),"おりもの・再発")</f>
        <v>おりもの・再発</v>
      </c>
      <c r="D903" s="31" t="str">
        <f>IFERROR(__xludf.DUMMYFUNCTION("""COMPUTED_VALUE"""),"膣剤,再燃,カンジダ,フラジール,乳酸桿菌,再発")</f>
        <v>膣剤,再燃,カンジダ,フラジール,乳酸桿菌,再発</v>
      </c>
      <c r="E903" s="31"/>
    </row>
    <row r="904">
      <c r="A904" s="31" t="str">
        <f>IFERROR(__xludf.DUMMYFUNCTION("""COMPUTED_VALUE"""),"カンジダが陰性であったが、性病の抗生剤を使用したらカンジダの症状（おりもの異常）になった")</f>
        <v>カンジダが陰性であったが、性病の抗生剤を使用したらカンジダの症状（おりもの異常）になった</v>
      </c>
      <c r="B904" s="31" t="str">
        <f>IFERROR(__xludf.DUMMYFUNCTION("""COMPUTED_VALUE"""),"性病の抗生剤を服用することで、膣内の免疫が低下し、カンジダになる場合がございます。カンジダの症状（チーズのポロポロとしたおりもの・臭いなど）がある場合には、医師の判断でお薬の処方が可能でございま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amp;"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f>
        <v>性病の抗生剤を服用することで、膣内の免疫が低下し、カンジダになる場合がございます。カンジダの症状（チーズのポロポロとしたおりもの・臭いなど）がある場合には、医師の判断でお薬の処方が可能でございま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904" s="31" t="str">
        <f>IFERROR(__xludf.DUMMYFUNCTION("""COMPUTED_VALUE"""),"おりもの・副作用")</f>
        <v>おりもの・副作用</v>
      </c>
      <c r="D904" s="31" t="str">
        <f>IFERROR(__xludf.DUMMYFUNCTION("""COMPUTED_VALUE"""),"抗生剤,カンジダ,おりもの異常,免疫低下")</f>
        <v>抗生剤,カンジダ,おりもの異常,免疫低下</v>
      </c>
      <c r="E904" s="31"/>
    </row>
    <row r="905">
      <c r="A905" s="31" t="str">
        <f>IFERROR(__xludf.DUMMYFUNCTION("""COMPUTED_VALUE"""),"カンジダの症状があるのでお薬が欲しい")</f>
        <v>カンジダの症状があるのでお薬が欲しい</v>
      </c>
      <c r="B905" s="31" t="str">
        <f>IFERROR(__xludf.DUMMYFUNCTION("""COMPUTED_VALUE"""),"症状のみでの判断は難しいため、状況の確認が必要です。オンライン診療では視診ができかねますので、ご予約のうえクリニックにご受診ください。受診のご予約はLINEで受け付けています。LINEはこちら→https://cline-app.com/qr-codes/98ad6f149bfa20f4f2a9a2e91aac4187/preview")</f>
        <v>症状のみでの判断は難しいため、状況の確認が必要です。オンライン診療では視診ができかねますので、ご予約のうえクリニックにご受診ください。受診のご予約はLINEで受け付けています。LINEはこちら→https://cline-app.com/qr-codes/98ad6f149bfa20f4f2a9a2e91aac4187/preview</v>
      </c>
      <c r="C905" s="31" t="str">
        <f>IFERROR(__xludf.DUMMYFUNCTION("""COMPUTED_VALUE"""),"おりもの・カンジダ")</f>
        <v>おりもの・カンジダ</v>
      </c>
      <c r="D905" s="31" t="str">
        <f>IFERROR(__xludf.DUMMYFUNCTION("""COMPUTED_VALUE"""),"カンジダ,症状,薬,視診,受診")</f>
        <v>カンジダ,症状,薬,視診,受診</v>
      </c>
      <c r="E905" s="31"/>
    </row>
    <row r="906">
      <c r="A906" s="31" t="str">
        <f>IFERROR(__xludf.DUMMYFUNCTION("""COMPUTED_VALUE"""),"陰部にできものがある")</f>
        <v>陰部にできものがある</v>
      </c>
      <c r="B906" s="31" t="str">
        <f>IFERROR(__xludf.DUMMYFUNCTION("""COMPUTED_VALUE"""),"陰部にできものがあるとのことから考えられることは、性器ヘルペス・細菌増殖・尖圭コンジローマなどの性感染症です。オンライン診療では視診が必要な診断、処方ができかねま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amp;"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f>
        <v>陰部にできものがあるとのことから考えられることは、性器ヘルペス・細菌増殖・尖圭コンジローマなどの性感染症です。オンライン診療では視診が必要な診断、処方ができかねま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906" s="31" t="str">
        <f>IFERROR(__xludf.DUMMYFUNCTION("""COMPUTED_VALUE"""),"症状・できもの")</f>
        <v>症状・できもの</v>
      </c>
      <c r="D906" s="31" t="str">
        <f>IFERROR(__xludf.DUMMYFUNCTION("""COMPUTED_VALUE"""),"陰部,できもの,ヘルペス,尖圭コンジローマ,性病")</f>
        <v>陰部,できもの,ヘルペス,尖圭コンジローマ,性病</v>
      </c>
      <c r="E906" s="31"/>
    </row>
    <row r="907">
      <c r="A907" s="31" t="str">
        <f>IFERROR(__xludf.DUMMYFUNCTION("""COMPUTED_VALUE"""),"性病のお薬を服用/使用したら治りますか？")</f>
        <v>性病のお薬を服用/使用したら治りますか？</v>
      </c>
      <c r="B907" s="31" t="str">
        <f>IFERROR(__xludf.DUMMYFUNCTION("""COMPUTED_VALUE"""),"抗生剤を服用すると性病に対して、基本的には効果があります。ですが、稀に耐性菌という患者様や抗生剤の相性、また感染してから時間が経過している場合には、通常量の抗生剤や種類では完治しない場合もございます。抗生剤の服用終了2週間後に再検査をしていただき、陰性の確認ができるまで何度も治療を行う場合がございます。また、その間は治療中扱いとなりますので、性行為はお控えください。")</f>
        <v>抗生剤を服用すると性病に対して、基本的には効果があります。ですが、稀に耐性菌という患者様や抗生剤の相性、また感染してから時間が経過している場合には、通常量の抗生剤や種類では完治しない場合もございます。抗生剤の服用終了2週間後に再検査をしていただき、陰性の確認ができるまで何度も治療を行う場合がございます。また、その間は治療中扱いとなりますので、性行為はお控えください。</v>
      </c>
      <c r="C907" s="31" t="str">
        <f>IFERROR(__xludf.DUMMYFUNCTION("""COMPUTED_VALUE"""),"性病治療")</f>
        <v>性病治療</v>
      </c>
      <c r="D907" s="31" t="str">
        <f>IFERROR(__xludf.DUMMYFUNCTION("""COMPUTED_VALUE"""),"性病,抗生剤,耐性菌,再検査,陰性確認")</f>
        <v>性病,抗生剤,耐性菌,再検査,陰性確認</v>
      </c>
      <c r="E907" s="31"/>
    </row>
    <row r="908">
      <c r="A908" s="31" t="str">
        <f>IFERROR(__xludf.DUMMYFUNCTION("""COMPUTED_VALUE"""),"おりものが完全にない")</f>
        <v>おりものが完全にない</v>
      </c>
      <c r="B908" s="31" t="str">
        <f>IFERROR(__xludf.DUMMYFUNCTION("""COMPUTED_VALUE"""),"おりものが完全に無くなる主な原因として、ストレスや疲労が考えられます。ですが、何らかの疾患が原因の場合もありますので、受診していただくことをお勧めいたしま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am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f>
        <v>おりものが完全に無くなる主な原因として、ストレスや疲労が考えられます。ですが、何らかの疾患が原因の場合もありますので、受診していただくことをお勧めいたしま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908" s="31" t="str">
        <f>IFERROR(__xludf.DUMMYFUNCTION("""COMPUTED_VALUE"""),"おりもの異常")</f>
        <v>おりもの異常</v>
      </c>
      <c r="D908" s="31" t="str">
        <f>IFERROR(__xludf.DUMMYFUNCTION("""COMPUTED_VALUE"""),"おりものなし,ストレス,疲労,疾患,受診")</f>
        <v>おりものなし,ストレス,疲労,疾患,受診</v>
      </c>
      <c r="E908" s="31"/>
    </row>
    <row r="909">
      <c r="A909" s="31" t="str">
        <f>IFERROR(__xludf.DUMMYFUNCTION("""COMPUTED_VALUE"""),"我慢汁（ガウパー液）にて妊娠する可能性はありますか？")</f>
        <v>我慢汁（ガウパー液）にて妊娠する可能性はありますか？</v>
      </c>
      <c r="B909" s="31" t="str">
        <f>IFERROR(__xludf.DUMMYFUNCTION("""COMPUTED_VALUE"""),"我慢汁（ガウパー液）にて妊娠する可能性はございます。なぜなら、我慢汁に精子は含まれず生殖能力はないものの、我慢汁に精子が混ざる可能性があるからです。ご不安な場合はオンライン診療にてアフターピル服用をご検討下さい（性行為後120時間以内）。性行為から120時間過ぎている場合は妊娠検査薬をご使用ください。妊娠検査薬は性行為から3週間後に検査し、月経予定日になっても月経が来なければ再検査をお願いいたします。")</f>
        <v>我慢汁（ガウパー液）にて妊娠する可能性はございます。なぜなら、我慢汁に精子は含まれず生殖能力はないものの、我慢汁に精子が混ざる可能性があるからです。ご不安な場合はオンライン診療にてアフターピル服用をご検討下さい（性行為後120時間以内）。性行為から120時間過ぎている場合は妊娠検査薬をご使用ください。妊娠検査薬は性行為から3週間後に検査し、月経予定日になっても月経が来なければ再検査をお願いいたします。</v>
      </c>
      <c r="C909" s="31" t="str">
        <f>IFERROR(__xludf.DUMMYFUNCTION("""COMPUTED_VALUE"""),"妊娠リスク")</f>
        <v>妊娠リスク</v>
      </c>
      <c r="D909" s="31" t="str">
        <f>IFERROR(__xludf.DUMMYFUNCTION("""COMPUTED_VALUE"""),"我慢汁,ガウパー液,妊娠,アフターピル,妊娠検査薬")</f>
        <v>我慢汁,ガウパー液,妊娠,アフターピル,妊娠検査薬</v>
      </c>
      <c r="E909" s="31"/>
    </row>
    <row r="910">
      <c r="A910" s="31" t="str">
        <f>IFERROR(__xludf.DUMMYFUNCTION("""COMPUTED_VALUE"""),"PMS診断は可能ですか？")</f>
        <v>PMS診断は可能ですか？</v>
      </c>
      <c r="B910" s="31" t="str">
        <f>IFERROR(__xludf.DUMMYFUNCTION("""COMPUTED_VALUE"""),"PMS診断は問診、血液検査、尿検査、内診、超音波検査を行い、その後医師とPMSを改善させるためのプランをご提案いたしております。
オンライン診療では視診が難しいため、一度医師または看護師にご相談されることをおすすめいたします。
当院でのご受診をご希望の場合は、ご予約をお取りの上、クリニックにご受診ください。受診のご予約はLINEで受け付けています。LINEはこちら→https://cline-app.com/qr-codes/98ad6f149bfa20f4f2a9a2e91aac4187/previe"&amp;"w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f>
        <v>PMS診断は問診、血液検査、尿検査、内診、超音波検査を行い、その後医師とPMSを改善させるためのプランをご提案いたしております。
オンライン診療では視診が難しいため、一度医師または看護師にご相談されることをおすすめいたします。
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910" s="31" t="str">
        <f>IFERROR(__xludf.DUMMYFUNCTION("""COMPUTED_VALUE"""),"PMS・診断")</f>
        <v>PMS・診断</v>
      </c>
      <c r="D910" s="31" t="str">
        <f>IFERROR(__xludf.DUMMYFUNCTION("""COMPUTED_VALUE"""),"PMS,診断,問診,血液検査,尿検査,内診,超音波")</f>
        <v>PMS,診断,問診,血液検査,尿検査,内診,超音波</v>
      </c>
      <c r="E910" s="31"/>
    </row>
    <row r="911">
      <c r="A911" s="31" t="str">
        <f>IFERROR(__xludf.DUMMYFUNCTION("""COMPUTED_VALUE"""),"生理前後の胸が張る症状が続く")</f>
        <v>生理前後の胸が張る症状が続く</v>
      </c>
      <c r="B911" s="31" t="str">
        <f>IFERROR(__xludf.DUMMYFUNCTION("""COMPUTED_VALUE"""),"胸の張る原因としては一時的なホルモンバランスの乱れで様子を見てもらっても良い場合もあります。ただ、乳腺炎などの疾患によって張っている可能性もあります。そのため、症状が続くようであれば、一度受診していただくことをお勧めいたします。当院は胸部に関する診療ができないため、お手数をおかけしますが、お近くの婦人科にてご相談ください。")</f>
        <v>胸の張る原因としては一時的なホルモンバランスの乱れで様子を見てもらっても良い場合もあります。ただ、乳腺炎などの疾患によって張っている可能性もあります。そのため、症状が続くようであれば、一度受診していただくことをお勧めいたします。当院は胸部に関する診療ができないため、お手数をおかけしますが、お近くの婦人科にてご相談ください。</v>
      </c>
      <c r="C911" s="31" t="str">
        <f>IFERROR(__xludf.DUMMYFUNCTION("""COMPUTED_VALUE"""),"PMS・月経関連")</f>
        <v>PMS・月経関連</v>
      </c>
      <c r="D911" s="31" t="str">
        <f>IFERROR(__xludf.DUMMYFUNCTION("""COMPUTED_VALUE"""),"胸が張る,胸の痛み,乳房の張り,生理前,生理後,PMS,ホルモンバランス,乳腺炎,受診目安")</f>
        <v>胸が張る,胸の痛み,乳房の張り,生理前,生理後,PMS,ホルモンバランス,乳腺炎,受診目安</v>
      </c>
      <c r="E911" s="31"/>
    </row>
    <row r="912">
      <c r="A912" s="31" t="str">
        <f>IFERROR(__xludf.DUMMYFUNCTION("""COMPUTED_VALUE"""),"卵巣膿腫とは")</f>
        <v>卵巣膿腫とは</v>
      </c>
      <c r="B912" s="31" t="str">
        <f>IFERROR(__xludf.DUMMYFUNCTION("""COMPUTED_VALUE"""),"卵巣膿腫とは、卵巣内またはその周辺にできる液体が溜まった嚢細胞のことを指します。卵巣膿腫の主な原因には、感染炎症が関与している場合が多く、特に骨盤内の感染症などが卵巣や卵管に広がることで発症することがあります。また、卵管が感染症により閉塞し、膿が溜まることで卵管膿腫としても知られます。超音波検査やCT、MRIなどの画像診断がよく用いられます。小さな膿腫であれば自然に治癒することもありますが、大きなものや症状が重い場合、特に感染がある場合には抗生物質の投与や、場合によっては手術による排膿や嚢細胞の除去が必要"&amp;"になる場合があります。オンライン診療では視診が難しいため一度医師・看護師にご相談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amp;"の方への診療、救急対応（緊急搬送・急性期対応）は行っておりませんのであらかじめご了承くださいませ。")</f>
        <v>卵巣膿腫とは、卵巣内またはその周辺にできる液体が溜まった嚢細胞のことを指します。卵巣膿腫の主な原因には、感染炎症が関与している場合が多く、特に骨盤内の感染症などが卵巣や卵管に広がることで発症することがあります。また、卵管が感染症により閉塞し、膿が溜まることで卵管膿腫としても知られます。超音波検査やCT、MRIなどの画像診断がよく用いられます。小さな膿腫であれば自然に治癒することもありますが、大きなものや症状が重い場合、特に感染がある場合には抗生物質の投与や、場合によっては手術による排膿や嚢細胞の除去が必要になる場合があります。オンライン診療では視診が難しいため一度医師・看護師にご相談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912" s="31" t="str">
        <f>IFERROR(__xludf.DUMMYFUNCTION("""COMPUTED_VALUE"""),"婦人科疾患（卵巣・卵管）")</f>
        <v>婦人科疾患（卵巣・卵管）</v>
      </c>
      <c r="D912" s="31" t="str">
        <f>IFERROR(__xludf.DUMMYFUNCTION("""COMPUTED_VALUE"""),"卵巣膿腫,卵管膿腫,骨盤内感染,感染,炎症,超音波,CT,MRI,抗生物質,手術,受診")</f>
        <v>卵巣膿腫,卵管膿腫,骨盤内感染,感染,炎症,超音波,CT,MRI,抗生物質,手術,受診</v>
      </c>
      <c r="E912" s="31"/>
    </row>
    <row r="913">
      <c r="A913" s="31" t="str">
        <f>IFERROR(__xludf.DUMMYFUNCTION("""COMPUTED_VALUE"""),"着床出血とは")</f>
        <v>着床出血とは</v>
      </c>
      <c r="B913" s="31" t="str">
        <f>IFERROR(__xludf.DUMMYFUNCTION("""COMPUTED_VALUE"""),"着床出血とは、受精卵が着床する際に子宮内膜の血管を傷つけてしまうために起こる少量の出血のことです。着床出血が起こる時期は妊娠4週頃とされています。残念ながら、出血のみで着床出血かの判断は難しいです。よって、可能性のある性交渉から3週間後にご自身で妊娠検査薬を行っていただき、妊娠しているかの判断をしていただくことになります。妊娠検査薬は性行為から3週間後に検査いただき、この時点では妊娠をしていても陰性の可能性がございますので月経予定日になっても月経が来なければ再検査をお願いいたします。")</f>
        <v>着床出血とは、受精卵が着床する際に子宮内膜の血管を傷つけてしまうために起こる少量の出血のことです。着床出血が起こる時期は妊娠4週頃とされています。残念ながら、出血のみで着床出血かの判断は難しいです。よって、可能性のある性交渉から3週間後にご自身で妊娠検査薬を行っていただき、妊娠しているかの判断をしていただくことになります。妊娠検査薬は性行為から3週間後に検査いただき、この時点では妊娠をしていても陰性の可能性がございますので月経予定日になっても月経が来なければ再検査をお願いいたします。</v>
      </c>
      <c r="C913" s="31" t="str">
        <f>IFERROR(__xludf.DUMMYFUNCTION("""COMPUTED_VALUE"""),"妊娠・妊娠判定")</f>
        <v>妊娠・妊娠判定</v>
      </c>
      <c r="D913" s="31" t="str">
        <f>IFERROR(__xludf.DUMMYFUNCTION("""COMPUTED_VALUE"""),"着床出血,妊娠初期,少量出血,茶色い出血,妊娠4週,妊娠検査薬,いつから,性行為3週間後,陰性,再検査")</f>
        <v>着床出血,妊娠初期,少量出血,茶色い出血,妊娠4週,妊娠検査薬,いつから,性行為3週間後,陰性,再検査</v>
      </c>
      <c r="E913" s="31"/>
    </row>
    <row r="914">
      <c r="A914" s="31" t="str">
        <f>IFERROR(__xludf.DUMMYFUNCTION("""COMPUTED_VALUE"""),"尖圭コンジローマ治療後に症状が出た/ベセルナクリームによって症状が出た")</f>
        <v>尖圭コンジローマ治療後に症状が出た/ベセルナクリームによって症状が出た</v>
      </c>
      <c r="B914" s="31" t="str">
        <f>IFERROR(__xludf.DUMMYFUNCTION("""COMPUTED_VALUE"""),"ベセルナクリームとは尖圭コンジローマの治療に用いるお薬で、2日おきにお風呂上り清潔な状態で使用、朝に洗い流す塗薬でございます。今一度使用方法に誤りが無いか、ご確認をお願い致します。症状が治まらない場合は直ちに使用を中断し、シャワーで洗い流してください。オンライン診療では視診が難しいためかかりつけ医にご相談ください。当院での処方歴がある場合は、ご予約をお取りの上、クリニックにご受診下さい。受診のご予約はLINEで受け付けています。LINEはこちら→https://cline-app.com/qr-codes"&amp;"/98ad6f149bfa20f4f2a9a2e91aac4187/preview")</f>
        <v>ベセルナクリームとは尖圭コンジローマの治療に用いるお薬で、2日おきにお風呂上り清潔な状態で使用、朝に洗い流す塗薬でございます。今一度使用方法に誤りが無いか、ご確認をお願い致します。症状が治まらない場合は直ちに使用を中断し、シャワーで洗い流してください。オンライン診療では視診が難しいためかかりつけ医にご相談ください。当院での処方歴がある場合は、ご予約をお取りの上、クリニックにご受診下さい。受診のご予約はLINEで受け付けています。LINEはこちら→https://cline-app.com/qr-codes/98ad6f149bfa20f4f2a9a2e91aac4187/preview</v>
      </c>
      <c r="C914" s="31" t="str">
        <f>IFERROR(__xludf.DUMMYFUNCTION("""COMPUTED_VALUE"""),"性感染症（HPV/いぼ）・薬の使い方")</f>
        <v>性感染症（HPV/いぼ）・薬の使い方</v>
      </c>
      <c r="D914" s="31" t="str">
        <f>IFERROR(__xludf.DUMMYFUNCTION("""COMPUTED_VALUE"""),"尖圭コンジローマ,ベセルナ,イミキモド,塗り薬,副作用,ヒリヒリ,赤み,使い方,洗い流す,中止,受診")</f>
        <v>尖圭コンジローマ,ベセルナ,イミキモド,塗り薬,副作用,ヒリヒリ,赤み,使い方,洗い流す,中止,受診</v>
      </c>
      <c r="E914" s="31"/>
    </row>
    <row r="915">
      <c r="A915" s="31" t="str">
        <f>IFERROR(__xludf.DUMMYFUNCTION("""COMPUTED_VALUE"""),"性行為後による下痢は妊娠の可能性があるか")</f>
        <v>性行為後による下痢は妊娠の可能性があるか</v>
      </c>
      <c r="B915" s="31" t="str">
        <f>IFERROR(__xludf.DUMMYFUNCTION("""COMPUTED_VALUE"""),"妊娠したことで便の調子が変わるという可能性はもちろんございますが、下痢をした＝妊娠したということにはならないと考えられます。妊娠したかどうかについては、妊娠検査薬を使用していただくのが確実です。また、下痢については食べ物や他の原因でなることも考えられますので、長く続き症状が気になるようであれば、消化器内科への受診をおすすめいたします。また、妊娠をご希望されない場合は、性行為から120時間以内であればアフターピルを内服するという選択肢もございます。オンラインで処方が可能でございますので、ご検討ください。妊娠"&amp;"検査薬は性行為から3週間後に検査いただき、この時点では妊娠をしていても陰性の可能性がございますので月経予定日になっても月経が来なければ再検査をお願いいたします。")</f>
        <v>妊娠したことで便の調子が変わるという可能性はもちろんございますが、下痢をした＝妊娠したということにはならないと考えられます。妊娠したかどうかについては、妊娠検査薬を使用していただくのが確実です。また、下痢については食べ物や他の原因でなることも考えられますので、長く続き症状が気になるようであれば、消化器内科への受診をおすすめいたします。また、妊娠をご希望されない場合は、性行為から120時間以内であればアフターピルを内服するという選択肢もございます。オンラインで処方が可能でございますので、ご検討ください。妊娠検査薬は性行為から3週間後に検査いただき、この時点では妊娠をしていても陰性の可能性がございますので月経予定日になっても月経が来なければ再検査をお願いいたします。</v>
      </c>
      <c r="C915" s="31" t="str">
        <f>IFERROR(__xludf.DUMMYFUNCTION("""COMPUTED_VALUE"""),"妊娠不安・アフターピル/検査")</f>
        <v>妊娠不安・アフターピル/検査</v>
      </c>
      <c r="D915" s="31" t="str">
        <f>IFERROR(__xludf.DUMMYFUNCTION("""COMPUTED_VALUE"""),"性行為後,下痢,妊娠初期症状,妊娠の可能性,妊娠検査薬,性行為3週間後,アフターピル,120時間,避妊失敗")</f>
        <v>性行為後,下痢,妊娠初期症状,妊娠の可能性,妊娠検査薬,性行為3週間後,アフターピル,120時間,避妊失敗</v>
      </c>
      <c r="E915" s="31"/>
    </row>
    <row r="916">
      <c r="A916" s="31" t="str">
        <f>IFERROR(__xludf.DUMMYFUNCTION("""COMPUTED_VALUE"""),"膣外射精でも妊娠の可能性はありますか")</f>
        <v>膣外射精でも妊娠の可能性はありますか</v>
      </c>
      <c r="B916" s="31" t="str">
        <f>IFERROR(__xludf.DUMMYFUNCTION("""COMPUTED_VALUE"""),"膣外射精であっても妊娠の可能性はございます。なぜなら、膣外に出したつもりでも、無意識に膣内に出してしまっている方もいるからです。射精の妊娠率は22％、ピル服用による避妊確率は99.7％と言われます。また、妊娠をご希望されない場合は、性行為から120時間以内であればアフターピルを内服するという選択肢もございます。オンラインで処方が可能でございますので、ご検討ください。性行為から120時間が過ぎている場合はアフターピルの使用ができないため、妊娠検査薬にてご確認ください。妊娠検査薬は性行為から3週間後に検査いた"&amp;"だき、この時点では妊娠をしていても陰性の可能性がございますので月経予定日になっても月経が来なければ再検査をお願いいたします。")</f>
        <v>膣外射精であっても妊娠の可能性はございます。なぜなら、膣外に出したつもりでも、無意識に膣内に出してしまっている方もいるからです。射精の妊娠率は22％、ピル服用による避妊確率は99.7％と言われます。また、妊娠をご希望されない場合は、性行為から120時間以内であればアフターピルを内服するという選択肢もございます。オンラインで処方が可能でございますので、ご検討ください。性行為から120時間が過ぎている場合はアフターピルの使用ができないため、妊娠検査薬にてご確認ください。妊娠検査薬は性行為から3週間後に検査いただき、この時点では妊娠をしていても陰性の可能性がございますので月経予定日になっても月経が来なければ再検査をお願いいたします。</v>
      </c>
      <c r="C916" s="31" t="str">
        <f>IFERROR(__xludf.DUMMYFUNCTION("""COMPUTED_VALUE"""),"避妊・妊娠不安")</f>
        <v>避妊・妊娠不安</v>
      </c>
      <c r="D916" s="31" t="str">
        <f>IFERROR(__xludf.DUMMYFUNCTION("""COMPUTED_VALUE"""),"膣外射精,外出し,妊娠確率,妊娠の可能性,避妊失敗,アフターピル,120時間,妊娠検査薬,性行為3週間後")</f>
        <v>膣外射精,外出し,妊娠確率,妊娠の可能性,避妊失敗,アフターピル,120時間,妊娠検査薬,性行為3週間後</v>
      </c>
      <c r="E916" s="31"/>
    </row>
    <row r="917">
      <c r="A917" s="31" t="str">
        <f>IFERROR(__xludf.DUMMYFUNCTION("""COMPUTED_VALUE"""),"妊娠が可能なのか確認をしたい")</f>
        <v>妊娠が可能なのか確認をしたい</v>
      </c>
      <c r="B917" s="31" t="str">
        <f>IFERROR(__xludf.DUMMYFUNCTION("""COMPUTED_VALUE"""),"不妊には様々な原因が考えられます。当院では卵子の活動確認を除くブライダルチェック検査は可能でございます。一度ご自身の状況を確認するためにもブライダルチェック検査をおすすめいたします。※卵巣機能などの不妊に関する診療は出来かねます。ご了承ください。当院での検査はご予約をお取りの上、クリニックにご受診下さい。受診のご予約はLINEで受け付けています。LINEはこちら→https://cline-app.com/qr-codes/98ad6f149bfa20f4f2a9a2e91aac4187/preview
"&amp;"※大変恐縮ですが、当院では、不妊治療は行っていません。不妊治療をご希望の場合は、お近くの婦人科へご相談ください。")</f>
        <v>不妊には様々な原因が考えられます。当院では卵子の活動確認を除くブライダルチェック検査は可能でございます。一度ご自身の状況を確認するためにもブライダルチェック検査をおすすめいたします。※卵巣機能などの不妊に関する診療は出来かねます。ご了承ください。当院での検査はご予約をお取りの上、クリニックにご受診下さい。受診のご予約はLINEで受け付けています。LINEはこちら→https://cline-app.com/qr-codes/98ad6f149bfa20f4f2a9a2e91aac4187/preview
※大変恐縮ですが、当院では、不妊治療は行っていません。不妊治療をご希望の場合は、お近くの婦人科へご相談ください。</v>
      </c>
      <c r="C917" s="31" t="str">
        <f>IFERROR(__xludf.DUMMYFUNCTION("""COMPUTED_VALUE"""),"妊活・不妊の相談/検査")</f>
        <v>妊活・不妊の相談/検査</v>
      </c>
      <c r="D917" s="31" t="str">
        <f>IFERROR(__xludf.DUMMYFUNCTION("""COMPUTED_VALUE"""),"妊娠できるか,不妊検査,ブライダルチェック,妊活,原因,卵巣機能,AMH,受診,予約")</f>
        <v>妊娠できるか,不妊検査,ブライダルチェック,妊活,原因,卵巣機能,AMH,受診,予約</v>
      </c>
      <c r="E917" s="31"/>
    </row>
    <row r="918">
      <c r="A918" s="31" t="str">
        <f>IFERROR(__xludf.DUMMYFUNCTION("""COMPUTED_VALUE"""),"ホットフラッシュとは")</f>
        <v>ホットフラッシュとは</v>
      </c>
      <c r="B918" s="31" t="str">
        <f>IFERROR(__xludf.DUMMYFUNCTION("""COMPUTED_VALUE"""),"ホットフラッシュとは上半身ののぼせ、ほてり、発汗などが起こる、急に顔が熱くなり、汗が止まらなくなったりする症状が一日に何回も出ては消えることを言います。原因は更年期による急激なホルモンの低下によるものです。治療法はホルモン薬や漢方を用いて行います。当院では更年期治療が難しいため、お近くの医療機関にご相談ください。")</f>
        <v>ホットフラッシュとは上半身ののぼせ、ほてり、発汗などが起こる、急に顔が熱くなり、汗が止まらなくなったりする症状が一日に何回も出ては消えることを言います。原因は更年期による急激なホルモンの低下によるものです。治療法はホルモン薬や漢方を用いて行います。当院では更年期治療が難しいため、お近くの医療機関にご相談ください。</v>
      </c>
      <c r="C918" s="31" t="str">
        <f>IFERROR(__xludf.DUMMYFUNCTION("""COMPUTED_VALUE"""),"更年期")</f>
        <v>更年期</v>
      </c>
      <c r="D918" s="31" t="str">
        <f>IFERROR(__xludf.DUMMYFUNCTION("""COMPUTED_VALUE"""),"ホットフラッシュ,のぼせ,ほてり,発汗,更年期,女性ホルモン低下,治療,ホルモン療法,漢方")</f>
        <v>ホットフラッシュ,のぼせ,ほてり,発汗,更年期,女性ホルモン低下,治療,ホルモン療法,漢方</v>
      </c>
      <c r="E918" s="31"/>
    </row>
    <row r="919">
      <c r="A919" s="31" t="str">
        <f>IFERROR(__xludf.DUMMYFUNCTION("""COMPUTED_VALUE"""),"卵管留水腫とは")</f>
        <v>卵管留水腫とは</v>
      </c>
      <c r="B919" s="31" t="str">
        <f>IFERROR(__xludf.DUMMYFUNCTION("""COMPUTED_VALUE"""),"卵管水腫とは卵管に水が溜まって腫れていることを言います。この卵管に溜まっている水が子宮内に流れ込むことによって、子宮内膜に悪影響を及ぼし、着床しない反復着床障害や流産の原因になっていることが指摘されております。オンライン診療では視診が難しいため一度医師・看護師にご相談をおすすめいたします。当院でのご受診をご希望の場合は、ご予約をお取りの上、クリニックにご受診ください。受診のご予約はLINEで受け付けています。LINEはこちら→https://cline-app.com/qr-codes/98ad6f149"&amp;"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f>
        <v>卵管水腫とは卵管に水が溜まって腫れていることを言います。この卵管に溜まっている水が子宮内に流れ込むことによって、子宮内膜に悪影響を及ぼし、着床しない反復着床障害や流産の原因になっていることが指摘されております。オンライン診療では視診が難しいため一度医師・看護師にご相談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919" s="31" t="str">
        <f>IFERROR(__xludf.DUMMYFUNCTION("""COMPUTED_VALUE"""),"妊活・不妊（卵管）")</f>
        <v>妊活・不妊（卵管）</v>
      </c>
      <c r="D919" s="31" t="str">
        <f>IFERROR(__xludf.DUMMYFUNCTION("""COMPUTED_VALUE"""),"卵管水腫,卵管留水腫,卵管,着床障害,反復着床障害,流産,子宮内膜,受診,相談")</f>
        <v>卵管水腫,卵管留水腫,卵管,着床障害,反復着床障害,流産,子宮内膜,受診,相談</v>
      </c>
      <c r="E919" s="31"/>
    </row>
    <row r="920">
      <c r="A920" s="31" t="str">
        <f>IFERROR(__xludf.DUMMYFUNCTION("""COMPUTED_VALUE"""),"注射にて月経を止めることは出来ますか？")</f>
        <v>注射にて月経を止めることは出来ますか？</v>
      </c>
      <c r="B920" s="31" t="str">
        <f>IFERROR(__xludf.DUMMYFUNCTION("""COMPUTED_VALUE"""),"注射にて月経を止める方法は偽閉経（ぎへいけい）療法と呼ばれる治療法です。リュープリン注射は、GnRHアゴニストと呼ばれる薬の一種であり、脳下垂体に働いて排卵を止めます。そのため、排卵が止まるので、生理も止まります。当院にてお取り扱いがないため、お近くの婦人科にご相談ください。")</f>
        <v>注射にて月経を止める方法は偽閉経（ぎへいけい）療法と呼ばれる治療法です。リュープリン注射は、GnRHアゴニストと呼ばれる薬の一種であり、脳下垂体に働いて排卵を止めます。そのため、排卵が止まるので、生理も止まります。当院にてお取り扱いがないため、お近くの婦人科にご相談ください。</v>
      </c>
      <c r="C920" s="31" t="str">
        <f>IFERROR(__xludf.DUMMYFUNCTION("""COMPUTED_VALUE"""),"月経を止める・治療")</f>
        <v>月経を止める・治療</v>
      </c>
      <c r="D920" s="31" t="str">
        <f>IFERROR(__xludf.DUMMYFUNCTION("""COMPUTED_VALUE"""),"生理を止める,注射,偽閉経療法,リュープリン,GnRHアゴニスト,排卵抑制,月経停止,婦人科")</f>
        <v>生理を止める,注射,偽閉経療法,リュープリン,GnRHアゴニスト,排卵抑制,月経停止,婦人科</v>
      </c>
      <c r="E920" s="31"/>
    </row>
    <row r="921">
      <c r="A921" s="31" t="str">
        <f>IFERROR(__xludf.DUMMYFUNCTION("""COMPUTED_VALUE"""),"性行為で膣が裂けた")</f>
        <v>性行為で膣が裂けた</v>
      </c>
      <c r="B921" s="31" t="str">
        <f>IFERROR(__xludf.DUMMYFUNCTION("""COMPUTED_VALUE"""),"膣口が狭く性交で切れてしまうのは、体質のことが原因の場合がありますし、精神的なことが原因の場合もあります。性交痛で検索していただき、その相談を受け付けている婦人科に相談されることをおすすめいたします。")</f>
        <v>膣口が狭く性交で切れてしまうのは、体質のことが原因の場合がありますし、精神的なことが原因の場合もあります。性交痛で検索していただき、その相談を受け付けている婦人科に相談されることをおすすめいたします。</v>
      </c>
      <c r="C921" s="31" t="str">
        <f>IFERROR(__xludf.DUMMYFUNCTION("""COMPUTED_VALUE"""),"性交痛・デリケートゾーン")</f>
        <v>性交痛・デリケートゾーン</v>
      </c>
      <c r="D921" s="31" t="str">
        <f>IFERROR(__xludf.DUMMYFUNCTION("""COMPUTED_VALUE"""),"性交痛,膣が切れる,膣口が狭い,性交で痛い,体質,精神的要因,婦人科,相談")</f>
        <v>性交痛,膣が切れる,膣口が狭い,性交で痛い,体質,精神的要因,婦人科,相談</v>
      </c>
      <c r="E921" s="31"/>
    </row>
    <row r="922">
      <c r="A922" s="31" t="str">
        <f>IFERROR(__xludf.DUMMYFUNCTION("""COMPUTED_VALUE"""),"鼠径部（そけいぶ）にしこりがある")</f>
        <v>鼠径部（そけいぶ）にしこりがある</v>
      </c>
      <c r="B922" s="31" t="str">
        <f>IFERROR(__xludf.DUMMYFUNCTION("""COMPUTED_VALUE"""),"陰部にできものがある以外に考えられる原因としては①毛包炎（傷口が細菌感染して発症。大きさは1ミリ程度から1センチ以上までさまざま）②粉瘤（1ミリ以下～数センチ以上。中心部が白っぽい、または黒っぽく透けて見え、腫れ・痛みを感じる場合があります）③汗腺炎（膿・赤み・腫れを伴うできものが複数発生し、半年以内に2回程度の再発が多い）が考えられます。いずれにしても、症状があるときは皮膚科を受診することをお勧めいたします。")</f>
        <v>陰部にできものがある以外に考えられる原因としては①毛包炎（傷口が細菌感染して発症。大きさは1ミリ程度から1センチ以上までさまざま）②粉瘤（1ミリ以下～数センチ以上。中心部が白っぽい、または黒っぽく透けて見え、腫れ・痛みを感じる場合があります）③汗腺炎（膿・赤み・腫れを伴うできものが複数発生し、半年以内に2回程度の再発が多い）が考えられます。いずれにしても、症状があるときは皮膚科を受診することをお勧めいたします。</v>
      </c>
      <c r="C922" s="31" t="str">
        <f>IFERROR(__xludf.DUMMYFUNCTION("""COMPUTED_VALUE"""),"外陰部・皮膚症状")</f>
        <v>外陰部・皮膚症状</v>
      </c>
      <c r="D922" s="31" t="str">
        <f>IFERROR(__xludf.DUMMYFUNCTION("""COMPUTED_VALUE"""),"鼠径部,そけい部,しこり,陰部,毛包炎,粉瘤,汗腺炎,腫れ,痛み,皮膚科")</f>
        <v>鼠径部,そけい部,しこり,陰部,毛包炎,粉瘤,汗腺炎,腫れ,痛み,皮膚科</v>
      </c>
      <c r="E922" s="31"/>
    </row>
    <row r="923">
      <c r="A923" s="31" t="str">
        <f>IFERROR(__xludf.DUMMYFUNCTION("""COMPUTED_VALUE"""),"BMIと生理の関係性")</f>
        <v>BMIと生理の関係性</v>
      </c>
      <c r="B923" s="31" t="str">
        <f>IFERROR(__xludf.DUMMYFUNCTION("""COMPUTED_VALUE"""),"BMIと生理には大きな関係があります。BMIが17以下になると3カ月以上生理が来なくなり、無月経になることがあります。生理が来ないから楽で良いと思う方もいるかと思いますが、無月経は不妊の原因となり、長時間放置していると月経が再開しにくくなります。")</f>
        <v>BMIと生理には大きな関係があります。BMIが17以下になると3カ月以上生理が来なくなり、無月経になることがあります。生理が来ないから楽で良いと思う方もいるかと思いますが、無月経は不妊の原因となり、長時間放置していると月経が再開しにくくなります。</v>
      </c>
      <c r="C923" s="31" t="str">
        <f>IFERROR(__xludf.DUMMYFUNCTION("""COMPUTED_VALUE"""),"生理不順・無月経")</f>
        <v>生理不順・無月経</v>
      </c>
      <c r="D923" s="31" t="str">
        <f>IFERROR(__xludf.DUMMYFUNCTION("""COMPUTED_VALUE"""),"BMI,低体重,BMI17,無月経,生理が来ない,生理不順,ダイエット,不妊,月経再開")</f>
        <v>BMI,低体重,BMI17,無月経,生理が来ない,生理不順,ダイエット,不妊,月経再開</v>
      </c>
      <c r="E923" s="31"/>
    </row>
    <row r="924">
      <c r="A924" s="31" t="str">
        <f>IFERROR(__xludf.DUMMYFUNCTION("""COMPUTED_VALUE"""),"卵子凍結とは")</f>
        <v>卵子凍結とは</v>
      </c>
      <c r="B924" s="31" t="str">
        <f>IFERROR(__xludf.DUMMYFUNCTION("""COMPUTED_VALUE"""),"卵子は20代～30代にかけて加齢とともに衰えていきますが、若い卵子を保存することで将来妊娠したいタイミングで出産する準備が可能でございます。卵子凍結はさまざまな要因で実施する方が増えております。社会的要因は現在の生活が落ち着いたタイミングで子育てを考えている方、医学的要因は悪性腫瘍などで今後卵子の使用ができなくなるが治療を終え、妊娠を考えている方が利用します。当院では卵子凍結などの治療は行っていないため、専門のクリニックで専門の医療者から正しい説明を受けてご利用をお考えください。")</f>
        <v>卵子は20代～30代にかけて加齢とともに衰えていきますが、若い卵子を保存することで将来妊娠したいタイミングで出産する準備が可能でございます。卵子凍結はさまざまな要因で実施する方が増えております。社会的要因は現在の生活が落ち着いたタイミングで子育てを考えている方、医学的要因は悪性腫瘍などで今後卵子の使用ができなくなるが治療を終え、妊娠を考えている方が利用します。当院では卵子凍結などの治療は行っていないため、専門のクリニックで専門の医療者から正しい説明を受けてご利用をお考えください。</v>
      </c>
      <c r="C924" s="31" t="str">
        <f>IFERROR(__xludf.DUMMYFUNCTION("""COMPUTED_VALUE"""),"妊活・将来の妊娠（卵子凍結）")</f>
        <v>妊活・将来の妊娠（卵子凍結）</v>
      </c>
      <c r="D924" s="31" t="str">
        <f>IFERROR(__xludf.DUMMYFUNCTION("""COMPUTED_VALUE"""),"卵子凍結,卵子保存,将来妊娠,年齢,加齢,20代,30代,社会的卵子凍結,がん治療,専門クリニック")</f>
        <v>卵子凍結,卵子保存,将来妊娠,年齢,加齢,20代,30代,社会的卵子凍結,がん治療,専門クリニック</v>
      </c>
      <c r="E924" s="31"/>
    </row>
    <row r="925">
      <c r="A925" s="31" t="str">
        <f>IFERROR(__xludf.DUMMYFUNCTION("""COMPUTED_VALUE"""),"子宮下垂とは？/子宮脱とは？")</f>
        <v>子宮下垂とは？/子宮脱とは？</v>
      </c>
      <c r="B925" s="31" t="str">
        <f>IFERROR(__xludf.DUMMYFUNCTION("""COMPUTED_VALUE"""),"子宮下垂・子宮脱とは、通常の場所より下がっていることで、ひどくなると外陰部より子宮が出ている状態を言います。軽度の場合は自身では気づかず、婦人科で指摘されて初めて気づき、ひどくなると何かが出ている・外陰部に違和感があると自覚症状が現れます。原因は骨盤底が、出産や外科手術、その他の原因により障害され、内臓を支えきれなくなることによって起こります。少しでも違和感を感じる場合は、お早めに子宮下垂・子宮脱の治療ができる婦人科にご相談ください。")</f>
        <v>子宮下垂・子宮脱とは、通常の場所より下がっていることで、ひどくなると外陰部より子宮が出ている状態を言います。軽度の場合は自身では気づかず、婦人科で指摘されて初めて気づき、ひどくなると何かが出ている・外陰部に違和感があると自覚症状が現れます。原因は骨盤底が、出産や外科手術、その他の原因により障害され、内臓を支えきれなくなることによって起こります。少しでも違和感を感じる場合は、お早めに子宮下垂・子宮脱の治療ができる婦人科にご相談ください。</v>
      </c>
      <c r="C925" s="31" t="str">
        <f>IFERROR(__xludf.DUMMYFUNCTION("""COMPUTED_VALUE"""),"骨盤底・子宮脱")</f>
        <v>骨盤底・子宮脱</v>
      </c>
      <c r="D925" s="31" t="str">
        <f>IFERROR(__xludf.DUMMYFUNCTION("""COMPUTED_VALUE"""),"子宮下垂,子宮脱,骨盤臓器脱,外陰部違和感,何か出てくる,出産後,骨盤底筋,婦人科,治療")</f>
        <v>子宮下垂,子宮脱,骨盤臓器脱,外陰部違和感,何か出てくる,出産後,骨盤底筋,婦人科,治療</v>
      </c>
      <c r="E925" s="31"/>
    </row>
    <row r="926">
      <c r="A926" s="31" t="str">
        <f>IFERROR(__xludf.DUMMYFUNCTION("""COMPUTED_VALUE"""),"フォアダイスとは/性器にポツポツ")</f>
        <v>フォアダイスとは/性器にポツポツ</v>
      </c>
      <c r="B926" s="31" t="str">
        <f>IFERROR(__xludf.DUMMYFUNCTION("""COMPUTED_VALUE"""),"一見ヘルペスや性病と不安になる場合もありますが、皮脂腺が詰まり唇や性器にポツポツができる〖フォアダイス〗かもしれません。
フォアダイスは性器にできることが多いため性病と勘違いされやすいですが、実際は皮脂が皮脂腺にたまっているだけの生理現象です。
痛みやかゆみなどの症状はありませんし、感染症でもないので、性行為を避けたり治療をしたりする必要はありません。
病的意義はないため、治療は不要です。しかし見た目上どうしても気になるということであれば、手術で取り除くことができます。
")</f>
        <v>一見ヘルペスや性病と不安になる場合もありますが、皮脂腺が詰まり唇や性器にポツポツができる〖フォアダイス〗かもしれません。
フォアダイスは性器にできることが多いため性病と勘違いされやすいですが、実際は皮脂が皮脂腺にたまっているだけの生理現象です。
痛みやかゆみなどの症状はありませんし、感染症でもないので、性行為を避けたり治療をしたりする必要はありません。
病的意義はないため、治療は不要です。しかし見た目上どうしても気になるということであれば、手術で取り除くことができます。
</v>
      </c>
      <c r="C926" s="31" t="str">
        <f>IFERROR(__xludf.DUMMYFUNCTION("""COMPUTED_VALUE"""),"外陰部・皮膚症状")</f>
        <v>外陰部・皮膚症状</v>
      </c>
      <c r="D926" s="31" t="str">
        <f>IFERROR(__xludf.DUMMYFUNCTION("""COMPUTED_VALUE"""),"フォアダイス,性器のぶつぶつ,唇のぶつぶつ,皮脂腺,皮脂腺の詰まり,性病と勘違い,ヘルペス,痛みなし,かゆみなし,感染しない,治療不要,手術")</f>
        <v>フォアダイス,性器のぶつぶつ,唇のぶつぶつ,皮脂腺,皮脂腺の詰まり,性病と勘違い,ヘルペス,痛みなし,かゆみなし,感染しない,治療不要,手術</v>
      </c>
      <c r="E926" s="31"/>
    </row>
    <row r="927">
      <c r="A927" s="31" t="str">
        <f>IFERROR(__xludf.DUMMYFUNCTION("""COMPUTED_VALUE"""),"シンナーと妊娠の関係性/シンナーと不妊の関係性")</f>
        <v>シンナーと妊娠の関係性/シンナーと不妊の関係性</v>
      </c>
      <c r="B927" s="31" t="str">
        <f>IFERROR(__xludf.DUMMYFUNCTION("""COMPUTED_VALUE"""),"長期的にシンナーを吸い続けると不妊や生理不順などのリスクがあると言われています。妊娠中に吸引することで、胎児の神経系や臓器の発育に障害が生じるリスクが指摘されています。また、大人よりも子どもへの影響が強く、換気せずにマニキュアの除光液を使用すると赤ちゃんはぐったりとしてしまいます。")</f>
        <v>長期的にシンナーを吸い続けると不妊や生理不順などのリスクがあると言われています。妊娠中に吸引することで、胎児の神経系や臓器の発育に障害が生じるリスクが指摘されています。また、大人よりも子どもへの影響が強く、換気せずにマニキュアの除光液を使用すると赤ちゃんはぐったりとしてしまいます。</v>
      </c>
      <c r="C927" s="31" t="str">
        <f>IFERROR(__xludf.DUMMYFUNCTION("""COMPUTED_VALUE"""),"妊娠・生活習慣/有害物質")</f>
        <v>妊娠・生活習慣/有害物質</v>
      </c>
      <c r="D927" s="31" t="str">
        <f>IFERROR(__xludf.DUMMYFUNCTION("""COMPUTED_VALUE"""),"シンナー,吸引,有機溶剤,不妊,生理不順,妊娠中,胎児,神経系,臓器,発育障害,除光液,マニキュア,換気,赤ちゃん")</f>
        <v>シンナー,吸引,有機溶剤,不妊,生理不順,妊娠中,胎児,神経系,臓器,発育障害,除光液,マニキュア,換気,赤ちゃん</v>
      </c>
      <c r="E927" s="31"/>
    </row>
    <row r="928">
      <c r="A928" s="31" t="str">
        <f>IFERROR(__xludf.DUMMYFUNCTION("""COMPUTED_VALUE"""),"妊娠中の性行為")</f>
        <v>妊娠中の性行為</v>
      </c>
      <c r="B928" s="31" t="str">
        <f>IFERROR(__xludf.DUMMYFUNCTION("""COMPUTED_VALUE"""),"妊娠の経過については個人によってそれぞれ差がありますので、かかりつけ医の指示に従いましょう。性行為が直接的におなかの赤ちゃんの成長に影響を及ぼすことはほとんどありませんが、妊娠中の体にはかなりの負担がかかります。また、性感染症や性行為による早産・流産のリスク、さらには精子が細菌を運ぶ恐れがあります。")</f>
        <v>妊娠の経過については個人によってそれぞれ差がありますので、かかりつけ医の指示に従いましょう。性行為が直接的におなかの赤ちゃんの成長に影響を及ぼすことはほとんどありませんが、妊娠中の体にはかなりの負担がかかります。また、性感染症や性行為による早産・流産のリスク、さらには精子が細菌を運ぶ恐れがあります。</v>
      </c>
      <c r="C928" s="31" t="str">
        <f>IFERROR(__xludf.DUMMYFUNCTION("""COMPUTED_VALUE"""),"妊娠中の過ごし方")</f>
        <v>妊娠中の過ごし方</v>
      </c>
      <c r="D928" s="31" t="str">
        <f>IFERROR(__xludf.DUMMYFUNCTION("""COMPUTED_VALUE"""),"妊娠中,性行為,セックス,赤ちゃんへの影響,負担,性感染症,早産,流産,リスク,精子,細菌,かかりつけ医")</f>
        <v>妊娠中,性行為,セックス,赤ちゃんへの影響,負担,性感染症,早産,流産,リスク,精子,細菌,かかりつけ医</v>
      </c>
      <c r="E928" s="31"/>
    </row>
    <row r="929">
      <c r="A929" s="31" t="str">
        <f>IFERROR(__xludf.DUMMYFUNCTION("""COMPUTED_VALUE"""),"子宮頸がん・子宮体がん検査について")</f>
        <v>子宮頸がん・子宮体がん検査について</v>
      </c>
      <c r="B929" s="31" t="str">
        <f>IFERROR(__xludf.DUMMYFUNCTION("""COMPUTED_VALUE"""),"子宮頸がんは子宮の入り口部分である頸部にがんが発生し、子宮体がんでは子宮の奥、つまり体部にがんが発生します。子宮頸がんは20代～40代の方、子宮体がんは40代（閉経後）～の方に定期的に検査をおすすめいたします。早期に発見、治療を行うことで子宮全摘出を行わなくても良い可能性があります。一度ご自身の状況を確認するためにも検査をおすすめいたします。当院での検査はご予約をお取りの上、クリニックにご受診ください。受診のご予約はLINEで受け付けています。LINEはこちら→https://cline-app.com/"&amp;"qr-codes/98ad6f149bfa20f4f2a9a2e91aac4187/preview")</f>
        <v>子宮頸がんは子宮の入り口部分である頸部にがんが発生し、子宮体がんでは子宮の奥、つまり体部にがんが発生します。子宮頸がんは20代～40代の方、子宮体がんは40代（閉経後）～の方に定期的に検査をおすすめいたします。早期に発見、治療を行うことで子宮全摘出を行わなくても良い可能性があります。一度ご自身の状況を確認するためにも検査をおすすめいたします。当院での検査はご予約をお取りの上、クリニックにご受診ください。受診のご予約はLINEで受け付けています。LINEはこちら→https://cline-app.com/qr-codes/98ad6f149bfa20f4f2a9a2e91aac4187/preview</v>
      </c>
      <c r="C929" s="31" t="str">
        <f>IFERROR(__xludf.DUMMYFUNCTION("""COMPUTED_VALUE"""),"子宮がん検診")</f>
        <v>子宮がん検診</v>
      </c>
      <c r="D929" s="31" t="str">
        <f>IFERROR(__xludf.DUMMYFUNCTION("""COMPUTED_VALUE"""),"子宮頸がん,子宮体がん,検査,違い,頸部,体部,20代,30代,40代,閉経後,定期検査,早期発見,予約,受診")</f>
        <v>子宮頸がん,子宮体がん,検査,違い,頸部,体部,20代,30代,40代,閉経後,定期検査,早期発見,予約,受診</v>
      </c>
      <c r="E929" s="31"/>
    </row>
    <row r="930">
      <c r="A930" s="31" t="str">
        <f>IFERROR(__xludf.DUMMYFUNCTION("""COMPUTED_VALUE"""),"伝染性単核球症とは/キス病とは？")</f>
        <v>伝染性単核球症とは/キス病とは？</v>
      </c>
      <c r="B930" s="31" t="str">
        <f>IFERROR(__xludf.DUMMYFUNCTION("""COMPUTED_VALUE"""),"伝染性単核球症の原因となるEBウイルスは、唾液に含まれ、キスを介して感染するため、別名キス病と言われています。また、ウイルスが唾液に含まれているため、回し飲みでも感染し、感染してから発症まで30〜60日程度の期間が空くため、特定が難しいです。ウイルスが多い時はパートナーにうつすのを避けるため、行動には気をつけましょう。通常4～6日で自然に症状は収まりますが、根本的な治療法はありません。ただし、咽頭痛や全身倦怠感が強く、水分の経口摂取が難しくなった場合には、病院にて点滴などで補充を行いましょう。")</f>
        <v>伝染性単核球症の原因となるEBウイルスは、唾液に含まれ、キスを介して感染するため、別名キス病と言われています。また、ウイルスが唾液に含まれているため、回し飲みでも感染し、感染してから発症まで30〜60日程度の期間が空くため、特定が難しいです。ウイルスが多い時はパートナーにうつすのを避けるため、行動には気をつけましょう。通常4～6日で自然に症状は収まりますが、根本的な治療法はありません。ただし、咽頭痛や全身倦怠感が強く、水分の経口摂取が難しくなった場合には、病院にて点滴などで補充を行いましょう。</v>
      </c>
      <c r="C930" s="31" t="str">
        <f>IFERROR(__xludf.DUMMYFUNCTION("""COMPUTED_VALUE"""),"感染症（口・喉）")</f>
        <v>感染症（口・喉）</v>
      </c>
      <c r="D930" s="31" t="str">
        <f>IFERROR(__xludf.DUMMYFUNCTION("""COMPUTED_VALUE"""),"伝染性単核球症,キス病,EBウイルス,唾液,キス,回し飲み,潜伏期間,30〜60日,咽頭痛,倦怠感,自然軽快,点滴")</f>
        <v>伝染性単核球症,キス病,EBウイルス,唾液,キス,回し飲み,潜伏期間,30〜60日,咽頭痛,倦怠感,自然軽快,点滴</v>
      </c>
      <c r="E930" s="31"/>
    </row>
    <row r="931">
      <c r="A931" s="31" t="str">
        <f>IFERROR(__xludf.DUMMYFUNCTION("""COMPUTED_VALUE"""),"消退出血と着床出血の違い")</f>
        <v>消退出血と着床出血の違い</v>
      </c>
      <c r="B931" s="31" t="str">
        <f>IFERROR(__xludf.DUMMYFUNCTION("""COMPUTED_VALUE"""),"消退出血はアフターピルの服用後、ホルモンバランスが崩れ子宮内膜が剥がれ落ちることが原因です。着床出血は妊娠初期の兆候で、受精卵が子宮内膜に着床する際に起こります。それぞれ出血するタイミングが違いますが、出血をしたからと決めつけず、不安な場合は妊娠検査薬の使用をおすすめいたします。妊娠検査薬は性行為から3週間後に検査いただき、この時点では妊娠をしていても陰性の可能性がございますので月経予定日になっても月経が来なければ再検査をお願いいたします。")</f>
        <v>消退出血はアフターピルの服用後、ホルモンバランスが崩れ子宮内膜が剥がれ落ちることが原因です。着床出血は妊娠初期の兆候で、受精卵が子宮内膜に着床する際に起こります。それぞれ出血するタイミングが違いますが、出血をしたからと決めつけず、不安な場合は妊娠検査薬の使用をおすすめいたします。妊娠検査薬は性行為から3週間後に検査いただき、この時点では妊娠をしていても陰性の可能性がございますので月経予定日になっても月経が来なければ再検査をお願いいたします。</v>
      </c>
      <c r="C931" s="31" t="str">
        <f>IFERROR(__xludf.DUMMYFUNCTION("""COMPUTED_VALUE"""),"妊娠不安・出血/アフターピル")</f>
        <v>妊娠不安・出血/アフターピル</v>
      </c>
      <c r="D931" s="31" t="str">
        <f>IFERROR(__xludf.DUMMYFUNCTION("""COMPUTED_VALUE"""),"消退出血,着床出血,違い,アフターピル,ホルモンバランス,子宮内膜,妊娠初期,受精卵,妊娠検査薬,性行為3週間後,陰性,再検査")</f>
        <v>消退出血,着床出血,違い,アフターピル,ホルモンバランス,子宮内膜,妊娠初期,受精卵,妊娠検査薬,性行為3週間後,陰性,再検査</v>
      </c>
      <c r="E931" s="31"/>
    </row>
    <row r="932">
      <c r="A932" s="31" t="str">
        <f>IFERROR(__xludf.DUMMYFUNCTION("""COMPUTED_VALUE"""),"排卵期出血がある")</f>
        <v>排卵期出血がある</v>
      </c>
      <c r="B932" s="31" t="str">
        <f>IFERROR(__xludf.DUMMYFUNCTION("""COMPUTED_VALUE"""),"排卵期出血は排卵期の数日前から出血があり、高温期になると自然に止まり、特に問題のない出血です。個人差はありますが、おりものや下腹部痛が起こる場合もあります。ただし、出血量が多い場合や、痛みが強い場合には、症状の内容によって受診可否やご案内が異なります。個別の確認が必要となるため、恐れ入りますがお電話にてご相談ください。お電話は 050-1730-2768 となります。")</f>
        <v>排卵期出血は排卵期の数日前から出血があり、高温期になると自然に止まり、特に問題のない出血です。個人差はありますが、おりものや下腹部痛が起こる場合もあります。ただし、出血量が多い場合や、痛みが強い場合には、症状の内容によって受診可否やご案内が異なります。個別の確認が必要となるため、恐れ入りますがお電話にてご相談ください。お電話は 050-1730-2768 となります。</v>
      </c>
      <c r="C932" s="31" t="str">
        <f>IFERROR(__xludf.DUMMYFUNCTION("""COMPUTED_VALUE"""),"不正出血・排卵")</f>
        <v>不正出血・排卵</v>
      </c>
      <c r="D932" s="31" t="str">
        <f>IFERROR(__xludf.DUMMYFUNCTION("""COMPUTED_VALUE"""),"排卵期出血,中間期出血,排卵,高温期,自然に止まる,おりもの,下腹部痛,出血量が多い,痛みが強い,婦人科")</f>
        <v>排卵期出血,中間期出血,排卵,高温期,自然に止まる,おりもの,下腹部痛,出血量が多い,痛みが強い,婦人科</v>
      </c>
      <c r="E932" s="31"/>
    </row>
    <row r="933">
      <c r="A933" s="31" t="str">
        <f>IFERROR(__xludf.DUMMYFUNCTION("""COMPUTED_VALUE"""),"生理前の胸の張り")</f>
        <v>生理前の胸の張り</v>
      </c>
      <c r="B933" s="31" t="str">
        <f>IFERROR(__xludf.DUMMYFUNCTION("""COMPUTED_VALUE"""),"個人差はございますが、生理前はホルモンの影響で水分を身体に溜め込もうとする作用が働くため、胸が張ったり胸が大きくなったと感じる方もいらっしゃいます。長く続き気になるようでしたら、乳房の診察が可能な婦人科にご相談ください。")</f>
        <v>個人差はございますが、生理前はホルモンの影響で水分を身体に溜め込もうとする作用が働くため、胸が張ったり胸が大きくなったと感じる方もいらっしゃいます。長く続き気になるようでしたら、乳房の診察が可能な婦人科にご相談ください。</v>
      </c>
      <c r="C933" s="31" t="str">
        <f>IFERROR(__xludf.DUMMYFUNCTION("""COMPUTED_VALUE"""),"PMS・月経関連")</f>
        <v>PMS・月経関連</v>
      </c>
      <c r="D933" s="31" t="str">
        <f>IFERROR(__xludf.DUMMYFUNCTION("""COMPUTED_VALUE"""),"生理前,胸の張り,胸が大きい,乳房痛,ホルモン,水分貯留,PMS,受診,婦人科,乳房診察")</f>
        <v>生理前,胸の張り,胸が大きい,乳房痛,ホルモン,水分貯留,PMS,受診,婦人科,乳房診察</v>
      </c>
      <c r="E933" s="31"/>
    </row>
    <row r="934">
      <c r="A934" s="31" t="str">
        <f>IFERROR(__xludf.DUMMYFUNCTION("""COMPUTED_VALUE"""),"生理前の発熱/生理前の吐き気/生理時に吐き気がある場合の診療/生理中の吐き気")</f>
        <v>生理前の発熱/生理前の吐き気/生理時に吐き気がある場合の診療/生理中の吐き気</v>
      </c>
      <c r="B934" s="31" t="str">
        <f>IFERROR(__xludf.DUMMYFUNCTION("""COMPUTED_VALUE"""),"個人差はありますが、ホルモンの影響で体温が高い状態になったり、吐き気を強く感じたりすることがあります。微熱や吐き気の症状が続くようであれば、内科受診をお勧めいたします。")</f>
        <v>個人差はありますが、ホルモンの影響で体温が高い状態になったり、吐き気を強く感じたりすることがあります。微熱や吐き気の症状が続くようであれば、内科受診をお勧めいたします。</v>
      </c>
      <c r="C934" s="31" t="str">
        <f>IFERROR(__xludf.DUMMYFUNCTION("""COMPUTED_VALUE"""),"PMS・月経関連")</f>
        <v>PMS・月経関連</v>
      </c>
      <c r="D934" s="31" t="str">
        <f>IFERROR(__xludf.DUMMYFUNCTION("""COMPUTED_VALUE"""),"生理前,発熱,微熱,吐き気,PMS,ホルモン,体温が高い,体調不良,内科受診")</f>
        <v>生理前,発熱,微熱,吐き気,PMS,ホルモン,体温が高い,体調不良,内科受診</v>
      </c>
      <c r="E934" s="31"/>
    </row>
    <row r="935">
      <c r="A935" s="31" t="str">
        <f>IFERROR(__xludf.DUMMYFUNCTION("""COMPUTED_VALUE"""),"生理中の受診は可能ですか？/生理中でもピルを処方してもらえますか？/生理中でも診察は受けられますか？/生理中でも検査できますか？/生理中でもピルの処方は可能ですか？/2回目の処方は生理中でも大丈夫ですか？/月経不順で生理中でも受診できますか？/クラミジア陽性で生理中でも受診できますか？/ピルの検診の日に生理がきても大丈夫ですか？/生理中でもピルの処方は可能ですか？/クラミジアの治療は生理中でもできますか？/生理中でも性病検査はできますか？/生理中でも膀胱炎の検査はできますか？/カンジダで受診したいのですが"&amp;"生理中です/生理中でも子宮内膜症の検査はできますか？/HPV検査は生理中でも受けられますか？/コルポスコピーは生理中でも可能ですか？")</f>
        <v>生理中の受診は可能ですか？/生理中でもピルを処方してもらえますか？/生理中でも診察は受けられますか？/生理中でも検査できますか？/生理中でもピルの処方は可能ですか？/2回目の処方は生理中でも大丈夫ですか？/月経不順で生理中でも受診できますか？/クラミジア陽性で生理中でも受診できますか？/ピルの検診の日に生理がきても大丈夫ですか？/生理中でもピルの処方は可能ですか？/クラミジアの治療は生理中でもできますか？/生理中でも性病検査はできますか？/生理中でも膀胱炎の検査はできますか？/カンジダで受診したいのですが生理中です/生理中でも子宮内膜症の検査はできますか？/HPV検査は生理中でも受けられますか？/コルポスコピーは生理中でも可能ですか？</v>
      </c>
      <c r="B935" s="31" t="str">
        <f>IFERROR(__xludf.DUMMYFUNCTION("""COMPUTED_VALUE"""),"生理中でも診察やピルの処方は可能です。ただし、HPV検査・子宮頸がん検査・性感染症検査は、出血量が多い場合に正確な検査ができないことがあるため、生理の日にちを避けていただくことをおすすめします。不正出血などで悩まれている場合は、生理中でもご受診いただけます。生理中でも内診台に乗っていただく場合がございますので、気になるようでしたら生理後にご受診ください。")</f>
        <v>生理中でも診察やピルの処方は可能です。ただし、HPV検査・子宮頸がん検査・性感染症検査は、出血量が多い場合に正確な検査ができないことがあるため、生理の日にちを避けていただくことをおすすめします。不正出血などで悩まれている場合は、生理中でもご受診いただけます。生理中でも内診台に乗っていただく場合がございますので、気になるようでしたら生理後にご受診ください。</v>
      </c>
      <c r="C935" s="31" t="str">
        <f>IFERROR(__xludf.DUMMYFUNCTION("""COMPUTED_VALUE"""),"受診案内")</f>
        <v>受診案内</v>
      </c>
      <c r="D935" s="31" t="str">
        <f>IFERROR(__xludf.DUMMYFUNCTION("""COMPUTED_VALUE"""),"生理中,受診,検査,HPV検査,子宮頸がん検査,性病検査,避けた方が良い,不正出血,内診台,予約,出血,血が出る,出血中,受診できる")</f>
        <v>生理中,受診,検査,HPV検査,子宮頸がん検査,性病検査,避けた方が良い,不正出血,内診台,予約,出血,血が出る,出血中,受診できる</v>
      </c>
      <c r="E935" s="31"/>
    </row>
    <row r="936">
      <c r="A936" s="31" t="str">
        <f>IFERROR(__xludf.DUMMYFUNCTION("""COMPUTED_VALUE"""),"処女膜強靭症とは")</f>
        <v>処女膜強靭症とは</v>
      </c>
      <c r="B936" s="31" t="str">
        <f>IFERROR(__xludf.DUMMYFUNCTION("""COMPUTED_VALUE"""),"処女膜強靭症は、生まれつき処女膜が固くて厚い状態です。そのため、時間が経過しても自然治癒の可能性は極めて低いです。治療は外陰部・腟口・後に続いている腟の状態を確認し、狭くなっている部分を確認し手術を行います。人によっては、腟や子宮に奇形を伴っており腟や子宮２つ認められることもあるため、安易に処女膜だけを手術で解決するだけではなく、子宮や腟に異常がないかを確認することが大切です。お近くの形成外科または総合病院婦人科にご受診ください。")</f>
        <v>処女膜強靭症は、生まれつき処女膜が固くて厚い状態です。そのため、時間が経過しても自然治癒の可能性は極めて低いです。治療は外陰部・腟口・後に続いている腟の状態を確認し、狭くなっている部分を確認し手術を行います。人によっては、腟や子宮に奇形を伴っており腟や子宮２つ認められることもあるため、安易に処女膜だけを手術で解決するだけではなく、子宮や腟に異常がないかを確認することが大切です。お近くの形成外科または総合病院婦人科にご受診ください。</v>
      </c>
      <c r="C936" s="31" t="str">
        <f>IFERROR(__xludf.DUMMYFUNCTION("""COMPUTED_VALUE"""),"婦人科手術・形成")</f>
        <v>婦人科手術・形成</v>
      </c>
      <c r="D936" s="31" t="str">
        <f>IFERROR(__xludf.DUMMYFUNCTION("""COMPUTED_VALUE"""),"処女膜強靭症,処女膜が固い,処女膜が厚い,性交痛,挿入できない,手術,腟,子宮,奇形,形成外科,総合病院,婦人科")</f>
        <v>処女膜強靭症,処女膜が固い,処女膜が厚い,性交痛,挿入できない,手術,腟,子宮,奇形,形成外科,総合病院,婦人科</v>
      </c>
      <c r="E936" s="31"/>
    </row>
    <row r="937">
      <c r="A937" s="31" t="str">
        <f>IFERROR(__xludf.DUMMYFUNCTION("""COMPUTED_VALUE"""),"デュファストンに避妊の効果はありますか？")</f>
        <v>デュファストンに避妊の効果はありますか？</v>
      </c>
      <c r="B937" s="31" t="str">
        <f>IFERROR(__xludf.DUMMYFUNCTION("""COMPUTED_VALUE"""),"デュファストンとは経口の黄体ホルモンのみで構成されるお薬です。そのため、避妊の効果がありません。妊娠を希望していない場合はコンドームなど別の避妊方法を使用しましょう。")</f>
        <v>デュファストンとは経口の黄体ホルモンのみで構成されるお薬です。そのため、避妊の効果がありません。妊娠を希望していない場合はコンドームなど別の避妊方法を使用しましょう。</v>
      </c>
      <c r="C937" s="31" t="str">
        <f>IFERROR(__xludf.DUMMYFUNCTION("""COMPUTED_VALUE"""),"薬剤（ホルモン剤）")</f>
        <v>薬剤（ホルモン剤）</v>
      </c>
      <c r="D937" s="31" t="str">
        <f>IFERROR(__xludf.DUMMYFUNCTION("""COMPUTED_VALUE"""),"デュファストン,黄体ホルモン,経口,避妊効果なし,避妊,コンドーム,妊娠希望なし")</f>
        <v>デュファストン,黄体ホルモン,経口,避妊効果なし,避妊,コンドーム,妊娠希望なし</v>
      </c>
      <c r="E937" s="31"/>
    </row>
    <row r="938">
      <c r="A938" s="31" t="str">
        <f>IFERROR(__xludf.DUMMYFUNCTION("""COMPUTED_VALUE"""),"子宮脱についての相談")</f>
        <v>子宮脱についての相談</v>
      </c>
      <c r="B938" s="31" t="str">
        <f>IFERROR(__xludf.DUMMYFUNCTION("""COMPUTED_VALUE"""),"子宮脱につきましては当院でご受診ができない項目でございます。お手数おかけいたしますが、お近くの婦人科にご相談ください。")</f>
        <v>子宮脱につきましては当院でご受診ができない項目でございます。お手数おかけいたしますが、お近くの婦人科にご相談ください。</v>
      </c>
      <c r="C938" s="31" t="str">
        <f>IFERROR(__xludf.DUMMYFUNCTION("""COMPUTED_VALUE"""),"受診不可・他院案内")</f>
        <v>受診不可・他院案内</v>
      </c>
      <c r="D938" s="31" t="str">
        <f>IFERROR(__xludf.DUMMYFUNCTION("""COMPUTED_VALUE"""),"子宮脱,相談,当院では不可,受診できない,婦人科,近くの病院")</f>
        <v>子宮脱,相談,当院では不可,受診できない,婦人科,近くの病院</v>
      </c>
      <c r="E938" s="31"/>
    </row>
    <row r="939">
      <c r="A939" s="31" t="str">
        <f>IFERROR(__xludf.DUMMYFUNCTION("""COMPUTED_VALUE"""),"オンラインでの診断書発行は可能ですか")</f>
        <v>オンラインでの診断書発行は可能ですか</v>
      </c>
      <c r="B939" s="31" t="str">
        <f>IFERROR(__xludf.DUMMYFUNCTION("""COMPUTED_VALUE"""),"大変申し訳ございません。オンラインでの診断書発行はできます。お手数をおかけしますが、ご予約をお取りの上、クリニックにご受診下さい。")</f>
        <v>大変申し訳ございません。オンラインでの診断書発行はできます。お手数をおかけしますが、ご予約をお取りの上、クリニックにご受診下さい。</v>
      </c>
      <c r="C939" s="31" t="str">
        <f>IFERROR(__xludf.DUMMYFUNCTION("""COMPUTED_VALUE"""),"書類・診断書")</f>
        <v>書類・診断書</v>
      </c>
      <c r="D939" s="31" t="str">
        <f>IFERROR(__xludf.DUMMYFUNCTION("""COMPUTED_VALUE"""),"診断書,オンライン発行,発行可否,来院,予約,クリニック受診")</f>
        <v>診断書,オンライン発行,発行可否,来院,予約,クリニック受診</v>
      </c>
      <c r="E939" s="31"/>
    </row>
    <row r="940">
      <c r="A940" s="31" t="str">
        <f>IFERROR(__xludf.DUMMYFUNCTION("""COMPUTED_VALUE"""),"妊娠の可能性はありますか？／これは着床出血ですか？")</f>
        <v>妊娠の可能性はありますか？／これは着床出血ですか？</v>
      </c>
      <c r="B940" s="31" t="str">
        <f>IFERROR(__xludf.DUMMYFUNCTION("""COMPUTED_VALUE"""),"ご不安な場合は、妊娠検査薬をご使用いただきご確認ください。妊娠検査薬は性行為から3週間後に検査いただき、この時点では妊娠をしていても陰性の可能性がございますので月経予定日になっても月経が来なければ再検査をお願いいたします。")</f>
        <v>ご不安な場合は、妊娠検査薬をご使用いただきご確認ください。妊娠検査薬は性行為から3週間後に検査いただき、この時点では妊娠をしていても陰性の可能性がございますので月経予定日になっても月経が来なければ再検査をお願いいたします。</v>
      </c>
      <c r="C940" s="31" t="str">
        <f>IFERROR(__xludf.DUMMYFUNCTION("""COMPUTED_VALUE"""),"妊娠不安・妊娠判定")</f>
        <v>妊娠不安・妊娠判定</v>
      </c>
      <c r="D940" s="31" t="str">
        <f>IFERROR(__xludf.DUMMYFUNCTION("""COMPUTED_VALUE"""),"妊娠の可能性,着床出血,妊娠検査薬,性行為3週間後,陰性,再検査,生理が来ない,不安")</f>
        <v>妊娠の可能性,着床出血,妊娠検査薬,性行為3週間後,陰性,再検査,生理が来ない,不安</v>
      </c>
      <c r="E940" s="31"/>
    </row>
    <row r="941">
      <c r="A941" s="31" t="str">
        <f>IFERROR(__xludf.DUMMYFUNCTION("""COMPUTED_VALUE"""),"美容点滴はありますか？")</f>
        <v>美容点滴はありますか？</v>
      </c>
      <c r="B941" s="31" t="str">
        <f>IFERROR(__xludf.DUMMYFUNCTION("""COMPUTED_VALUE"""),"若返り点滴（2025年7月末終了）、美白点滴（2025年8月15日終了）、疲労回復点滴（2025年8月末終了）、プラセンタ点滴（2025年8月末終了）の提供は終了しております。ご愛顧いただいていた患者様にはご不便をおかけいたしますが、何卒ご理解賜りますようお願い申し上げます。")</f>
        <v>若返り点滴（2025年7月末終了）、美白点滴（2025年8月15日終了）、疲労回復点滴（2025年8月末終了）、プラセンタ点滴（2025年8月末終了）の提供は終了しております。ご愛顧いただいていた患者様にはご不便をおかけいたしますが、何卒ご理解賜りますようお願い申し上げます。</v>
      </c>
      <c r="C941" s="31" t="str">
        <f>IFERROR(__xludf.DUMMYFUNCTION("""COMPUTED_VALUE"""),"美容医療")</f>
        <v>美容医療</v>
      </c>
      <c r="D941" s="31" t="str">
        <f>IFERROR(__xludf.DUMMYFUNCTION("""COMPUTED_VALUE"""),"美容点滴,点滴,メニュー,予約,受診,クリニック")</f>
        <v>美容点滴,点滴,メニュー,予約,受診,クリニック</v>
      </c>
      <c r="E941" s="31"/>
    </row>
    <row r="942">
      <c r="A942" s="31" t="str">
        <f>IFERROR(__xludf.DUMMYFUNCTION("""COMPUTED_VALUE"""),"他院にて処方された薬")</f>
        <v>他院にて処方された薬</v>
      </c>
      <c r="B942" s="31" t="str">
        <f>IFERROR(__xludf.DUMMYFUNCTION("""COMPUTED_VALUE"""),"当院にて処方されていない薬に関しては服用状況が分かりかねるため、お答えが出来かねます。お手数おかけいたしますが、処方されました医療機関にてご相談ください。")</f>
        <v>当院にて処方されていない薬に関しては服用状況が分かりかねるため、お答えが出来かねます。お手数おかけいたしますが、処方されました医療機関にてご相談ください。</v>
      </c>
      <c r="C942" s="31" t="str">
        <f>IFERROR(__xludf.DUMMYFUNCTION("""COMPUTED_VALUE"""),"受診案内・薬/他院処方")</f>
        <v>受診案内・薬/他院処方</v>
      </c>
      <c r="D942" s="31" t="str">
        <f>IFERROR(__xludf.DUMMYFUNCTION("""COMPUTED_VALUE"""),"他院処方,他の病院の薬,処方薬,服用状況,わからない,回答不可,処方元に相談,ピル")</f>
        <v>他院処方,他の病院の薬,処方薬,服用状況,わからない,回答不可,処方元に相談,ピル</v>
      </c>
      <c r="E942" s="31"/>
    </row>
    <row r="943">
      <c r="A943" s="31" t="str">
        <f>IFERROR(__xludf.DUMMYFUNCTION("""COMPUTED_VALUE"""),"性病が陽性でした。家族・性行為で移りますか？")</f>
        <v>性病が陽性でした。家族・性行為で移りますか？</v>
      </c>
      <c r="B943" s="31" t="str">
        <f>IFERROR(__xludf.DUMMYFUNCTION("""COMPUTED_VALUE"""),"クラミジア・淋菌・ウレアプラズマ・マイコプラズマといった性感染症は基本的に性行為にて感染がございますが、
どちらも咽頭に感染している可能性もございますので、その際は同じ食事にて食器を返して、感染する可能性もございます。
トリコモナスは感染力が強く、同じお手洗いや入浴によって感染する可能性がございます。
ご使用前後に亜塩素酸ナトリウムや消毒用エタノールで消毒することをおすすめいたします。
梅毒・HIV・ヘルペスは皮膚に症状が出るため、避妊具を使用しても感染する恐れがございます。
ご自身が感染している場合は"&amp;"再検査にて陰性が確認できるまで生活を見直し、性行為は控えるようにしましょう。
パートナーが陽性の場合は症状がなくても婦人科にて検査をすることをおすすめいたします。
※梅毒・HIVは感染の恐れのある性行為から1カ月以降にご受診ください。
症状やお体のご状況については診察にてご確認いただく必要がございます。当院でのご受診をご希望の場合は、ご予約をお取りの上、クリニックにご受診下さい。
受診のご予約はLINEで受け付けています。LINEはこちら→https://cline-app.com/qr-codes/9"&amp;"8ad6f149bfa20f4f2a9a2e91aac4187/preview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
また、当院では「FemCHECK」という検査キットを販売しており、こちらはご自宅で検査していただきキットを送っていただければ、
結果もWEBから確認が可能でございます。
購入はこちら
https://sho"&amp;"p.luna-dr.com/collections/femcheck/products/femcheck")</f>
        <v>クラミジア・淋菌・ウレアプラズマ・マイコプラズマといった性感染症は基本的に性行為にて感染がございますが、
どちらも咽頭に感染している可能性もございますので、その際は同じ食事にて食器を返して、感染する可能性もございます。
トリコモナスは感染力が強く、同じお手洗いや入浴によって感染する可能性がございます。
ご使用前後に亜塩素酸ナトリウムや消毒用エタノールで消毒することをおすすめいたします。
梅毒・HIV・ヘルペスは皮膚に症状が出るため、避妊具を使用しても感染する恐れがございます。
ご自身が感染している場合は再検査にて陰性が確認できるまで生活を見直し、性行為は控えるようにしましょう。
パートナーが陽性の場合は症状がなくても婦人科にて検査をすることをおすすめいたします。
※梅毒・HIVは感染の恐れのある性行為から1カ月以降にご受診ください。
症状やお体のご状況については診察にてご確認いただく必要がございます。当院でのご受診をご希望の場合は、ご予約をお取りの上、クリニックにご受診下さい。
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
また、当院では「FemCHECK」という検査キットを販売しており、こちらはご自宅で検査していただきキットを送っていただければ、
結果もWEBから確認が可能でございます。
購入はこちら
https://shop.luna-dr.com/collections/femcheck/products/femcheck</v>
      </c>
      <c r="C943" s="31" t="str">
        <f>IFERROR(__xludf.DUMMYFUNCTION("""COMPUTED_VALUE"""),"性感染症（性病）")</f>
        <v>性感染症（性病）</v>
      </c>
      <c r="D943" s="31" t="str">
        <f>IFERROR(__xludf.DUMMYFUNCTION("""COMPUTED_VALUE"""),"性病,陽性,家族にうつる,性行為でうつる,感染経路,クラミジア,淋菌,ウレアプラズマ,マイコプラズマ,咽頭感染,食器,トリコモナス,トイレ,入浴,消毒,次亜塩素酸,エタノール,梅毒,HIV,ヘルペス,避妊具,再検査,陰性確認,性行為控える,FemCHECK")</f>
        <v>性病,陽性,家族にうつる,性行為でうつる,感染経路,クラミジア,淋菌,ウレアプラズマ,マイコプラズマ,咽頭感染,食器,トリコモナス,トイレ,入浴,消毒,次亜塩素酸,エタノール,梅毒,HIV,ヘルペス,避妊具,再検査,陰性確認,性行為控える,FemCHECK</v>
      </c>
      <c r="E943" s="31"/>
    </row>
    <row r="944">
      <c r="A944" s="31" t="str">
        <f>IFERROR(__xludf.DUMMYFUNCTION("""COMPUTED_VALUE"""),"性病がいつ感染したものなのか知りたい")</f>
        <v>性病がいつ感染したものなのか知りたい</v>
      </c>
      <c r="B944" s="31" t="str">
        <f>IFERROR(__xludf.DUMMYFUNCTION("""COMPUTED_VALUE"""),"性病がいつ感染したものなのかお調べすることができかねます。もし、定期検査を行っている場合には陰性の確認ができた日～陽性の確認ができた日までに性行為を行ったすべてのパートナーが対象となり、初めての性病検査にて陽性の場合には今まで性行為を行ったすべてのパートナーが該当します。")</f>
        <v>性病がいつ感染したものなのかお調べすることができかねます。もし、定期検査を行っている場合には陰性の確認ができた日～陽性の確認ができた日までに性行為を行ったすべてのパートナーが対象となり、初めての性病検査にて陽性の場合には今まで性行為を行ったすべてのパートナーが該当します。</v>
      </c>
      <c r="C944" s="31" t="str">
        <f>IFERROR(__xludf.DUMMYFUNCTION("""COMPUTED_VALUE"""),"性感染症（性病）")</f>
        <v>性感染症（性病）</v>
      </c>
      <c r="D944" s="31" t="str">
        <f>IFERROR(__xludf.DUMMYFUNCTION("""COMPUTED_VALUE"""),"性病,いつ感染,感染時期,特定できない,定期検査,陰性日,陽性日,パートナー,初めての検査,過去の性行為")</f>
        <v>性病,いつ感染,感染時期,特定できない,定期検査,陰性日,陽性日,パートナー,初めての検査,過去の性行為</v>
      </c>
      <c r="E944" s="31"/>
    </row>
    <row r="945">
      <c r="A945" s="31" t="str">
        <f>IFERROR(__xludf.DUMMYFUNCTION("""COMPUTED_VALUE"""),"いつ陰性の確認に行ったらよろしいでしょうか")</f>
        <v>いつ陰性の確認に行ったらよろしいでしょうか</v>
      </c>
      <c r="B945" s="31" t="str">
        <f>IFERROR(__xludf.DUMMYFUNCTION("""COMPUTED_VALUE"""),"処方されたお薬の服用終了2週間後以降に陰性の確認を行ってください。服用終了1週間たっても症状の改善が見られない場合は再度ご相談ください。")</f>
        <v>処方されたお薬の服用終了2週間後以降に陰性の確認を行ってください。服用終了1週間たっても症状の改善が見られない場合は再度ご相談ください。</v>
      </c>
      <c r="C945" s="31" t="str">
        <f>IFERROR(__xludf.DUMMYFUNCTION("""COMPUTED_VALUE"""),"性感染症（性病）")</f>
        <v>性感染症（性病）</v>
      </c>
      <c r="D945" s="31" t="str">
        <f>IFERROR(__xludf.DUMMYFUNCTION("""COMPUTED_VALUE"""),"陰性確認,再検査,いつ,治療後,服用終了,2週間後,偽陽性,再治療,症状改善しない,1週間,相談,性行為できない")</f>
        <v>陰性確認,再検査,いつ,治療後,服用終了,2週間後,偽陽性,再治療,症状改善しない,1週間,相談,性行為できない</v>
      </c>
      <c r="E945" s="31"/>
    </row>
    <row r="946">
      <c r="A946" s="31" t="str">
        <f>IFERROR(__xludf.DUMMYFUNCTION("""COMPUTED_VALUE"""),"ビブラマイシン処方後の吐き気")</f>
        <v>ビブラマイシン処方後の吐き気</v>
      </c>
      <c r="B946" s="31" t="str">
        <f>IFERROR(__xludf.DUMMYFUNCTION("""COMPUTED_VALUE"""),"ビブラマイシンの副作用には吐き気がございます。徐々に体になれて吐き気が治まるかと思いますが、市販の吐き気止めを使用しても耐えられない場合は、お薬が合わないと思いますので、ご相談ください。")</f>
        <v>ビブラマイシンの副作用には吐き気がございます。徐々に体になれて吐き気が治まるかと思いますが、市販の吐き気止めを使用しても耐えられない場合は、お薬が合わないと思いますので、ご相談ください。</v>
      </c>
      <c r="C946" s="31" t="str">
        <f>IFERROR(__xludf.DUMMYFUNCTION("""COMPUTED_VALUE"""),"薬の副作用")</f>
        <v>薬の副作用</v>
      </c>
      <c r="D946" s="31" t="str">
        <f>IFERROR(__xludf.DUMMYFUNCTION("""COMPUTED_VALUE"""),"ビブラマイシン,吐き気,副作用,慣れる,市販の吐き気止め,耐えられない,薬が合わない,相談")</f>
        <v>ビブラマイシン,吐き気,副作用,慣れる,市販の吐き気止め,耐えられない,薬が合わない,相談</v>
      </c>
      <c r="E946" s="31"/>
    </row>
    <row r="947">
      <c r="A947" s="31" t="str">
        <f>IFERROR(__xludf.DUMMYFUNCTION("""COMPUTED_VALUE"""),"他の医療機関で検査した結果を元に処方は可能ですか？/他院で検査をしたが、こちらで薬の処方できるか？")</f>
        <v>他の医療機関で検査した結果を元に処方は可能ですか？/他院で検査をしたが、こちらで薬の処方できるか？</v>
      </c>
      <c r="B947" s="31" t="str">
        <f>IFERROR(__xludf.DUMMYFUNCTION("""COMPUTED_VALUE"""),"患者様の氏名・検査日・検査結果が記載されている用紙をご提示にて処方が可能でございます。")</f>
        <v>患者様の氏名・検査日・検査結果が記載されている用紙をご提示にて処方が可能でございます。</v>
      </c>
      <c r="C947" s="31" t="str">
        <f>IFERROR(__xludf.DUMMYFUNCTION("""COMPUTED_VALUE"""),"受診案内・薬/処方")</f>
        <v>受診案内・薬/処方</v>
      </c>
      <c r="D947" s="31" t="str">
        <f>IFERROR(__xludf.DUMMYFUNCTION("""COMPUTED_VALUE"""),"他院検査結果,持参,用紙,氏名,検査日,検査結果,提示,処方可能,他院")</f>
        <v>他院検査結果,持参,用紙,氏名,検査日,検査結果,提示,処方可能,他院</v>
      </c>
      <c r="E947" s="31"/>
    </row>
    <row r="948">
      <c r="A948" s="31" t="str">
        <f>IFERROR(__xludf.DUMMYFUNCTION("""COMPUTED_VALUE"""),"カンジダ・一般細菌が陽性であったが内服薬の処方は可能ですか")</f>
        <v>カンジダ・一般細菌が陽性であったが内服薬の処方は可能ですか</v>
      </c>
      <c r="B948" s="31" t="str">
        <f>IFERROR(__xludf.DUMMYFUNCTION("""COMPUTED_VALUE"""),"カンジダ・一般細菌の感染が膣内で起こっており、内服薬は膣に到達するのに時間を要するため、直接的に膣錠を入れた方が効果的でございます。膣錠の使用が難しい場合は婦人科にて毎日の挿入お手伝い、医師の判断で内服薬に変更できる場合もございますのでご相談ください。")</f>
        <v>カンジダ・一般細菌の感染が膣内で起こっており、内服薬は膣に到達するのに時間を要するため、直接的に膣錠を入れた方が効果的でございます。膣錠の使用が難しい場合は婦人科にて毎日の挿入お手伝い、医師の判断で内服薬に変更できる場合もございますのでご相談ください。</v>
      </c>
      <c r="C948" s="31" t="str">
        <f>IFERROR(__xludf.DUMMYFUNCTION("""COMPUTED_VALUE"""),"おりもの・腟トラブル")</f>
        <v>おりもの・腟トラブル</v>
      </c>
      <c r="D948" s="31" t="str">
        <f>IFERROR(__xludf.DUMMYFUNCTION("""COMPUTED_VALUE"""),"カンジダ,一般細菌,陽性,内服薬,膣内感染,膣に届くのに時間,膣錠,膣剤,効果的,挿入が難しい,婦人科,医師判断,内服に変更")</f>
        <v>カンジダ,一般細菌,陽性,内服薬,膣内感染,膣に届くのに時間,膣錠,膣剤,効果的,挿入が難しい,婦人科,医師判断,内服に変更</v>
      </c>
      <c r="E948" s="31"/>
    </row>
    <row r="949">
      <c r="A949" s="31" t="str">
        <f>IFERROR(__xludf.DUMMYFUNCTION("""COMPUTED_VALUE"""),"性感染症の薬を使用したが、症状が改善しない")</f>
        <v>性感染症の薬を使用したが、症状が改善しない</v>
      </c>
      <c r="B949" s="31" t="str">
        <f>IFERROR(__xludf.DUMMYFUNCTION("""COMPUTED_VALUE"""),"抗生剤を使用する場合、免疫力が低下しカンジダになりやすくなります。また、使用してから1週間たっても症状が改善しない場合は、抗生剤が効いていない可能性も考えられます。治療効果の確認として2週間後に再検査を行い、再び陽性の場合には再治療をおすすめします。治療中に我慢できない症状が出た場合は、ご遠慮なくご相談ください。個別の症状やお体のご状況については診察にてご確認いただくことをおすすめいたします。当院でのご受診をご希望の場合は、ご予約をお取りの上、クリニックにご受診ください。受診のご予約はLINEで受け付けて"&amp;"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f>
        <v>抗生剤を使用する場合、免疫力が低下しカンジダになりやすくなります。また、使用してから1週間たっても症状が改善しない場合は、抗生剤が効いていない可能性も考えられます。治療効果の確認として2週間後に再検査を行い、再び陽性の場合には再治療をおすすめします。治療中に我慢できない症状が出た場合は、ご遠慮なくご相談ください。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949" s="31" t="str">
        <f>IFERROR(__xludf.DUMMYFUNCTION("""COMPUTED_VALUE"""),"性感染症（性病）/治療")</f>
        <v>性感染症（性病）/治療</v>
      </c>
      <c r="D949" s="31" t="str">
        <f>IFERROR(__xludf.DUMMYFUNCTION("""COMPUTED_VALUE"""),"薬を使った,症状改善しない,抗生剤,免疫低下,カンジダ,1週間,効いていない,2週間後,再検査,再治療,相談")</f>
        <v>薬を使った,症状改善しない,抗生剤,免疫低下,カンジダ,1週間,効いていない,2週間後,再検査,再治療,相談</v>
      </c>
      <c r="E949" s="31"/>
    </row>
    <row r="950">
      <c r="A950" s="31" t="str">
        <f>IFERROR(__xludf.DUMMYFUNCTION("""COMPUTED_VALUE"""),"クラミジア・ウレアプラズマ・マイコプラズマとは")</f>
        <v>クラミジア・ウレアプラズマ・マイコプラズマとは</v>
      </c>
      <c r="B950" s="31" t="str">
        <f>IFERROR(__xludf.DUMMYFUNCTION("""COMPUTED_VALUE"""),"クラミジア・ウレアプラズマ・マイコプラズマとは性病の一種です。原則として内服薬にて治療を行い、性行為・粘膜接触（キス・オーラルセックス）によって感染する恐れがあります。そのため、陰部だけでなく咽頭や目にも感染する恐れがございます。異変を感じたら当院のご受診をご検討ください。当院では【川崎駅前院】のみ検査のご案内が可能です。また、当院では「FemCHECK」という検査キットを販売しております。こちらはご自宅で検査していただきキットを送っていただければ、結果もWEBから確認が可能です。購入はこちら→https"&amp;"://shop.luna-dr.com/collections/femcheck/products/femcheck")</f>
        <v>クラミジア・ウレアプラズマ・マイコプラズマとは性病の一種です。原則として内服薬にて治療を行い、性行為・粘膜接触（キス・オーラルセックス）によって感染する恐れがあります。そのため、陰部だけでなく咽頭や目にも感染する恐れがございます。異変を感じたら当院のご受診をご検討ください。当院では【川崎駅前院】のみ検査のご案内が可能です。また、当院では「FemCHECK」という検査キットを販売しております。こちらはご自宅で検査していただきキットを送っていただければ、結果もWEBから確認が可能です。購入はこちら→https://shop.luna-dr.com/collections/femcheck/products/femcheck</v>
      </c>
      <c r="C950" s="31" t="str">
        <f>IFERROR(__xludf.DUMMYFUNCTION("""COMPUTED_VALUE"""),"性感染症（性病）")</f>
        <v>性感染症（性病）</v>
      </c>
      <c r="D950" s="31" t="str">
        <f>IFERROR(__xludf.DUMMYFUNCTION("""COMPUTED_VALUE"""),"クラミジア,ウレアプラズマ,マイコプラズマ,性病,治療,内服薬,感染,性行為,粘膜接触,キス,オーラルセックス,咽頭,目,FemCHECK,検査キット,自宅検査")</f>
        <v>クラミジア,ウレアプラズマ,マイコプラズマ,性病,治療,内服薬,感染,性行為,粘膜接触,キス,オーラルセックス,咽頭,目,FemCHECK,検査キット,自宅検査</v>
      </c>
      <c r="E950" s="31"/>
    </row>
    <row r="951">
      <c r="A951" s="31" t="str">
        <f>IFERROR(__xludf.DUMMYFUNCTION("""COMPUTED_VALUE"""),"淋菌とは")</f>
        <v>淋菌とは</v>
      </c>
      <c r="B951" s="31" t="str">
        <f>IFERROR(__xludf.DUMMYFUNCTION("""COMPUTED_VALUE"""),"淋菌とは性感染症の一種です。原則、点滴薬または筋肉注射にて治療を行い、性行為・粘膜接触（キス・オーラルセックス）によって感染する恐れがあります。そのため、陰部だけでなく咽頭にも感染する恐れがございます。異変を感じたら当院では「FemCHECK」という検査キットを販売しており、こちらはご自宅で検査していただきキットを送っていただければ、結果もWEBから確認が可能でございます。購入はこちら→https://shop.luna-dr.com/collections/femcheck/products/femch"&amp;"eck")</f>
        <v>淋菌とは性感染症の一種です。原則、点滴薬または筋肉注射にて治療を行い、性行為・粘膜接触（キス・オーラルセックス）によって感染する恐れがあります。そのため、陰部だけでなく咽頭にも感染する恐れがございます。異変を感じたら当院では「FemCHECK」という検査キットを販売しており、こちらはご自宅で検査していただきキットを送っていただければ、結果もWEBから確認が可能でございます。購入はこちら→https://shop.luna-dr.com/collections/femcheck/products/femcheck</v>
      </c>
      <c r="C951" s="31" t="str">
        <f>IFERROR(__xludf.DUMMYFUNCTION("""COMPUTED_VALUE"""),"性感染症（性病）")</f>
        <v>性感染症（性病）</v>
      </c>
      <c r="D951" s="31" t="str">
        <f>IFERROR(__xludf.DUMMYFUNCTION("""COMPUTED_VALUE"""),"淋菌,性病,治療,点滴,筋肉注射,感染,性行為,粘膜接触,キス,オーラルセックス,咽頭感染,FemCHECK,検査キット,自宅検査")</f>
        <v>淋菌,性病,治療,点滴,筋肉注射,感染,性行為,粘膜接触,キス,オーラルセックス,咽頭感染,FemCHECK,検査キット,自宅検査</v>
      </c>
      <c r="E951" s="31"/>
    </row>
    <row r="952">
      <c r="A952" s="31" t="str">
        <f>IFERROR(__xludf.DUMMYFUNCTION("""COMPUTED_VALUE"""),"トリコモナスとは")</f>
        <v>トリコモナスとは</v>
      </c>
      <c r="B952" s="31" t="str">
        <f>IFERROR(__xludf.DUMMYFUNCTION("""COMPUTED_VALUE"""),"トリコモナスとは性病の一種です。原則、内服薬にて治療を行い、性行為だけでなく、お手洗いやお風呂、共有のタオルの使用でも感染する恐れがあり、とても感染力が強い性病です。感染している恐れがある場合は、次亜塩素酸ナトリウムや消毒用エタノールを使用し、やけどに注意して42度以上のお湯で洗い流すと良いです。異変を感じたら当院では「FemCHECK」という検査キットを販売しており、こちらはご自宅で検査していただきキットを送っていただければ、結果もWEBから確認が可能でございます。購入はこちら→https://shop"&amp;".luna-dr.com/collections/femcheck/products/femcheck")</f>
        <v>トリコモナスとは性病の一種です。原則、内服薬にて治療を行い、性行為だけでなく、お手洗いやお風呂、共有のタオルの使用でも感染する恐れがあり、とても感染力が強い性病です。感染している恐れがある場合は、次亜塩素酸ナトリウムや消毒用エタノールを使用し、やけどに注意して42度以上のお湯で洗い流すと良いです。異変を感じたら当院では「FemCHECK」という検査キットを販売しており、こちらはご自宅で検査していただきキットを送っていただければ、結果もWEBから確認が可能でございます。購入はこちら→https://shop.luna-dr.com/collections/femcheck/products/femcheck</v>
      </c>
      <c r="C952" s="31" t="str">
        <f>IFERROR(__xludf.DUMMYFUNCTION("""COMPUTED_VALUE"""),"性感染症（性病）")</f>
        <v>性感染症（性病）</v>
      </c>
      <c r="D952" s="31" t="str">
        <f>IFERROR(__xludf.DUMMYFUNCTION("""COMPUTED_VALUE"""),"トリコモナス,性病,感染力が強い,内服薬,性行為以外,トイレ,お風呂,タオル共有,次亜塩素酸,エタノール,42度以上,やけど注意,FemCHECK,検査キット,自宅検査")</f>
        <v>トリコモナス,性病,感染力が強い,内服薬,性行為以外,トイレ,お風呂,タオル共有,次亜塩素酸,エタノール,42度以上,やけど注意,FemCHECK,検査キット,自宅検査</v>
      </c>
      <c r="E952" s="31"/>
    </row>
    <row r="953">
      <c r="A953" s="31" t="str">
        <f>IFERROR(__xludf.DUMMYFUNCTION("""COMPUTED_VALUE"""),"梅毒とは")</f>
        <v>梅毒とは</v>
      </c>
      <c r="B953" s="31" t="str">
        <f>IFERROR(__xludf.DUMMYFUNCTION("""COMPUTED_VALUE"""),"梅毒は個人差がありますが、陰部に限らず全身に発疹が出るのが特徴です。基本的に粘膜接触により感染し、避妊具を使用しても防ぐことが難しいです。潜伏期間があるため、不安な性行為から1カ月後・3カ月後に一度、ご自身の状況を確認するためにも血液検査をおすすめいたします。当院での検査はご予約をお取りの上、クリニックにご受診ください。受診のご予約はLINEで受け付けています。LINEはこちら→https://cline-app.com/qr-codes/98ad6f149bfa20f4f2a9a2e91aac4187/"&amp;"preview")</f>
        <v>梅毒は個人差がありますが、陰部に限らず全身に発疹が出るのが特徴です。基本的に粘膜接触により感染し、避妊具を使用しても防ぐことが難しいです。潜伏期間があるため、不安な性行為から1カ月後・3カ月後に一度、ご自身の状況を確認するためにも血液検査をおすすめいたします。当院での検査はご予約をお取りの上、クリニックにご受診ください。受診のご予約はLINEで受け付けています。LINEはこちら→https://cline-app.com/qr-codes/98ad6f149bfa20f4f2a9a2e91aac4187/preview</v>
      </c>
      <c r="C953" s="31" t="str">
        <f>IFERROR(__xludf.DUMMYFUNCTION("""COMPUTED_VALUE"""),"性感染症（性病）")</f>
        <v>性感染症（性病）</v>
      </c>
      <c r="D953" s="31" t="str">
        <f>IFERROR(__xludf.DUMMYFUNCTION("""COMPUTED_VALUE"""),"梅毒,全身の発疹,陰部以外,粘膜接触,避妊具でも防ぎにくい,潜伏期間,1カ月後,3カ月後,血液検査,不安な性行為,予約,受診")</f>
        <v>梅毒,全身の発疹,陰部以外,粘膜接触,避妊具でも防ぎにくい,潜伏期間,1カ月後,3カ月後,血液検査,不安な性行為,予約,受診</v>
      </c>
      <c r="E953" s="31"/>
    </row>
    <row r="954">
      <c r="A954" s="31" t="str">
        <f>IFERROR(__xludf.DUMMYFUNCTION("""COMPUTED_VALUE"""),"カンジダとは")</f>
        <v>カンジダとは</v>
      </c>
      <c r="B954" s="31" t="str">
        <f>IFERROR(__xludf.DUMMYFUNCTION("""COMPUTED_VALUE"""),"カンジダ（真菌）は常在菌であるカビでございます。一定数の値が超えるとチーズのようなおりもの異常/カスが出る・臭いが特徴的な症状です。常在菌（誰もが保有している）だが、パートナーとオーラルセックスにて口腔内・陰部に症状が出たり、する場合がございます。治療法としては膣剤・外用薬を用いて真菌を減らして、症状の改善を行います。オンラインでは視診が難しいため、婦人科のご受診をおすすめいたします。当院でのご受診をご希望の場合は、ご予約をお取りの上、クリニックにご受診ください。受診のご予約はLINEで受け付けています。"&amp;"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
【乳酸桿菌】膣に直接的に入れることで、繰り返すカンジダ、膀胱炎、細菌の増殖によるおりもの異常に直接アプローチが可能でございま"&amp;"す。また、継続的に使用することでより予防効果が効果が高まります。乳酸桿菌の定期配送は以下のURLよりご購入が可能です。https://shop.luna-dr.com/products/lactobacillus")</f>
        <v>カンジダ（真菌）は常在菌であるカビでございます。一定数の値が超えるとチーズのようなおりもの異常/カスが出る・臭いが特徴的な症状です。常在菌（誰もが保有している）だが、パートナーとオーラルセックスにて口腔内・陰部に症状が出たり、する場合がございます。治療法としては膣剤・外用薬を用いて真菌を減らして、症状の改善を行います。オンラインでは視診が難しいため、婦人科のご受診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
【乳酸桿菌】膣に直接的に入れることで、繰り返すカンジダ、膀胱炎、細菌の増殖によるおりもの異常に直接アプローチが可能でございます。また、継続的に使用することでより予防効果が効果が高まります。乳酸桿菌の定期配送は以下のURLよりご購入が可能です。https://shop.luna-dr.com/products/lactobacillus</v>
      </c>
      <c r="C954" s="31" t="str">
        <f>IFERROR(__xludf.DUMMYFUNCTION("""COMPUTED_VALUE"""),"おりもの・腟トラブル")</f>
        <v>おりもの・腟トラブル</v>
      </c>
      <c r="D954" s="31" t="str">
        <f>IFERROR(__xludf.DUMMYFUNCTION("""COMPUTED_VALUE"""),"カンジダ,真菌,常在菌,カビ,おりもの異常,チーズ状,カス,臭い,オーラルセックス,口腔内,陰部,膣剤,外用薬,オンライン不可,視診,婦人科,予約,乳酸桿菌,再発予防,膀胱炎,定期配送")</f>
        <v>カンジダ,真菌,常在菌,カビ,おりもの異常,チーズ状,カス,臭い,オーラルセックス,口腔内,陰部,膣剤,外用薬,オンライン不可,視診,婦人科,予約,乳酸桿菌,再発予防,膀胱炎,定期配送</v>
      </c>
      <c r="E954" s="31"/>
    </row>
    <row r="955">
      <c r="A955" s="31" t="str">
        <f>IFERROR(__xludf.DUMMYFUNCTION("""COMPUTED_VALUE"""),"パートナーの分のお薬が欲しい")</f>
        <v>パートナーの分のお薬が欲しい</v>
      </c>
      <c r="B955" s="31" t="str">
        <f>IFERROR(__xludf.DUMMYFUNCTION("""COMPUTED_VALUE"""),"医薬品になりますので、代理処方ができず、ご本人へのみ処方が可能でございます。処方ご希望の患者様ご自身でオンライン診療をお申し込みください。")</f>
        <v>医薬品になりますので、代理処方ができず、ご本人へのみ処方が可能でございます。処方ご希望の患者様ご自身でオンライン診療をお申し込みください。</v>
      </c>
      <c r="C955" s="31" t="str">
        <f>IFERROR(__xludf.DUMMYFUNCTION("""COMPUTED_VALUE"""),"受診案内・薬/処方")</f>
        <v>受診案内・薬/処方</v>
      </c>
      <c r="D955" s="31" t="str">
        <f>IFERROR(__xludf.DUMMYFUNCTION("""COMPUTED_VALUE"""),"パートナー分,代理処方不可,本人のみ,薬が欲しい,オンライン診療,申込み")</f>
        <v>パートナー分,代理処方不可,本人のみ,薬が欲しい,オンライン診療,申込み</v>
      </c>
      <c r="E955" s="31"/>
    </row>
    <row r="956">
      <c r="A956" s="31" t="str">
        <f>IFERROR(__xludf.DUMMYFUNCTION("""COMPUTED_VALUE"""),"パートナーが性病陽性だが自身は陰性であった時の対応はどうしたらよいですか？")</f>
        <v>パートナーが性病陽性だが自身は陰性であった時の対応はどうしたらよいですか？</v>
      </c>
      <c r="B956" s="31" t="str">
        <f>IFERROR(__xludf.DUMMYFUNCTION("""COMPUTED_VALUE"""),"性行為をしているのに結果がちぐはぐな場合は疑問になるのも当然のことです。いくつかの憶測が考えられます。採取がうまくできていない・迅速検査・感染場所が咽頭であったため陰性の結果が出た。元彼が性感染症に感染しており、幸いにも新しいパートナーから移らなかった。何か別の病気で病院に行った際に処方された薬が偶然にも性感染症にも効果があり、気づかないうちに治療をしていた、などが考えられます。")</f>
        <v>性行為をしているのに結果がちぐはぐな場合は疑問になるのも当然のことです。いくつかの憶測が考えられます。採取がうまくできていない・迅速検査・感染場所が咽頭であったため陰性の結果が出た。元彼が性感染症に感染しており、幸いにも新しいパートナーから移らなかった。何か別の病気で病院に行った際に処方された薬が偶然にも性感染症にも効果があり、気づかないうちに治療をしていた、などが考えられます。</v>
      </c>
      <c r="C956" s="31" t="str">
        <f>IFERROR(__xludf.DUMMYFUNCTION("""COMPUTED_VALUE"""),"性感染症（性病）")</f>
        <v>性感染症（性病）</v>
      </c>
      <c r="D956" s="31" t="str">
        <f>IFERROR(__xludf.DUMMYFUNCTION("""COMPUTED_VALUE"""),"パートナー陽性,自分は陰性,結果がちぐはぐ,採取ミス,迅速検査,咽頭感染,元彼,移らなかった,別の薬が効いた,気づかない治療")</f>
        <v>パートナー陽性,自分は陰性,結果がちぐはぐ,採取ミス,迅速検査,咽頭感染,元彼,移らなかった,別の薬が効いた,気づかない治療</v>
      </c>
      <c r="E956" s="31"/>
    </row>
    <row r="957">
      <c r="A957" s="31" t="str">
        <f>IFERROR(__xludf.DUMMYFUNCTION("""COMPUTED_VALUE"""),"カンジダの追加処方希望")</f>
        <v>カンジダの追加処方希望</v>
      </c>
      <c r="B957" s="31"/>
      <c r="C957" s="31" t="str">
        <f>IFERROR(__xludf.DUMMYFUNCTION("""COMPUTED_VALUE"""),"おりもの・腟トラブル")</f>
        <v>おりもの・腟トラブル</v>
      </c>
      <c r="D957" s="31" t="str">
        <f>IFERROR(__xludf.DUMMYFUNCTION("""COMPUTED_VALUE"""),"カンジダ,追加処方,再発,薬が欲しい,膣剤,外用薬")</f>
        <v>カンジダ,追加処方,再発,薬が欲しい,膣剤,外用薬</v>
      </c>
      <c r="E957" s="31"/>
    </row>
    <row r="958">
      <c r="A958" s="31" t="str">
        <f>IFERROR(__xludf.DUMMYFUNCTION("""COMPUTED_VALUE"""),"返送したFemCHECK検査キットが検査室に届いているのか／検査結果の確認をしたい")</f>
        <v>返送したFemCHECK検査キットが検査室に届いているのか／検査結果の確認をしたい</v>
      </c>
      <c r="B958" s="31" t="str">
        <f>IFERROR(__xludf.DUMMYFUNCTION("""COMPUTED_VALUE"""),"返送してから1週間以上経っているのにも関わらず、検査結果の反映がされない場合は検査室に届いた時点でFemCHECKIDの登録がされておらず保留中となっている可能性がございます。今一度FemCHECKID登録が済んでいるか確認の上、FemCHECKID、登録メールアドレス、氏名を明記し、ご連絡をお願い致します。検査結果は、[【こちら】](https://result.luna-dr.com/clinic_login)よりご確認いただけます。
※必ず受診クリニックを正しくご選択の上、ご確認ください。患者番号"&amp;"は、会計時にお渡ししている領収書に記載のある10桁の番号となります。")</f>
        <v>返送してから1週間以上経っているのにも関わらず、検査結果の反映がされない場合は検査室に届いた時点でFemCHECKIDの登録がされておらず保留中となっている可能性がございます。今一度FemCHECKID登録が済んでいるか確認の上、FemCHECKID、登録メールアドレス、氏名を明記し、ご連絡をお願い致します。検査結果は、[【こちら】](https://result.luna-dr.com/clinic_login)よりご確認いただけます。
※必ず受診クリニックを正しくご選択の上、ご確認ください。患者番号は、会計時にお渡ししている領収書に記載のある10桁の番号となります。</v>
      </c>
      <c r="C958" s="31" t="str">
        <f>IFERROR(__xludf.DUMMYFUNCTION("""COMPUTED_VALUE"""),"FemCHECK（検査キット）")</f>
        <v>FemCHECK（検査キット）</v>
      </c>
      <c r="D958" s="31" t="str">
        <f>IFERROR(__xludf.DUMMYFUNCTION("""COMPUTED_VALUE"""),"FemCHECK,検査キット,返送,届いているか,検査結果,反映されない,1週間以上,FemCHECKID,登録,保留中,メールアドレス,氏名,連絡")</f>
        <v>FemCHECK,検査キット,返送,届いているか,検査結果,反映されない,1週間以上,FemCHECKID,登録,保留中,メールアドレス,氏名,連絡</v>
      </c>
      <c r="E958" s="31"/>
    </row>
    <row r="959">
      <c r="A959" s="31" t="str">
        <f>IFERROR(__xludf.DUMMYFUNCTION("""COMPUTED_VALUE"""),"予約方法を教えてください")</f>
        <v>予約方法を教えてください</v>
      </c>
      <c r="B959" s="31" t="str">
        <f>IFERROR(__xludf.DUMMYFUNCTION("""COMPUTED_VALUE"""),"当院のご予約は、公式LINEから受け付けています。LINEはこちら→https://cline-app.com/qr-codes/98ad6f149bfa20f4f2a9a2e91aac4187/preview")</f>
        <v>当院のご予約は、公式LINEから受け付けています。LINEはこちら→https://cline-app.com/qr-codes/98ad6f149bfa20f4f2a9a2e91aac4187/preview</v>
      </c>
      <c r="C959" s="31" t="str">
        <f>IFERROR(__xludf.DUMMYFUNCTION("""COMPUTED_VALUE"""),"予約")</f>
        <v>予約</v>
      </c>
      <c r="D959" s="31" t="str">
        <f>IFERROR(__xludf.DUMMYFUNCTION("""COMPUTED_VALUE"""),"予約方法,予約,LINE,公式LINE,予約はどこから")</f>
        <v>予約方法,予約,LINE,公式LINE,予約はどこから</v>
      </c>
      <c r="E959" s="32" t="str">
        <f>IFERROR(__xludf.DUMMYFUNCTION("""COMPUTED_VALUE"""),"https://cline-app.com/qr-codes/98ad6f149bfa20f4f2a9a2e91aac4187/preview")</f>
        <v>https://cline-app.com/qr-codes/98ad6f149bfa20f4f2a9a2e91aac4187/preview</v>
      </c>
    </row>
    <row r="960">
      <c r="A960" s="31" t="str">
        <f>IFERROR(__xludf.DUMMYFUNCTION("""COMPUTED_VALUE"""),"初診は予約が必要ですか？")</f>
        <v>初診は予約が必要ですか？</v>
      </c>
      <c r="B960" s="31" t="str">
        <f>IFERROR(__xludf.DUMMYFUNCTION("""COMPUTED_VALUE"""),"当院では、予約なしでのご来院も受け付けておりますが、スムーズなご案内のため基本的にご予約をお願いします。受診のご予約はLINEで受け付けています。LINEはこちら→https://cline-app.com/qr-codes/98ad6f149bfa20f4f2a9a2e91aac4187/preview")</f>
        <v>当院では、予約なしでのご来院も受け付けておりますが、スムーズなご案内のため基本的にご予約をお願いします。受診のご予約はLINEで受け付けています。LINEはこちら→https://cline-app.com/qr-codes/98ad6f149bfa20f4f2a9a2e91aac4187/preview</v>
      </c>
      <c r="C960" s="31" t="str">
        <f>IFERROR(__xludf.DUMMYFUNCTION("""COMPUTED_VALUE"""),"予約")</f>
        <v>予約</v>
      </c>
      <c r="D960" s="31" t="str">
        <f>IFERROR(__xludf.DUMMYFUNCTION("""COMPUTED_VALUE"""),"初診,予約必要,予約なし,来院,受診,LINE")</f>
        <v>初診,予約必要,予約なし,来院,受診,LINE</v>
      </c>
      <c r="E960" s="32" t="str">
        <f>IFERROR(__xludf.DUMMYFUNCTION("""COMPUTED_VALUE"""),"https://cline-app.com/qr-codes/98ad6f149bfa20f4f2a9a2e91aac4187/preview")</f>
        <v>https://cline-app.com/qr-codes/98ad6f149bfa20f4f2a9a2e91aac4187/preview</v>
      </c>
    </row>
    <row r="961">
      <c r="A961" s="31" t="str">
        <f>IFERROR(__xludf.DUMMYFUNCTION("""COMPUTED_VALUE"""),"再診は予約が必要ですか？")</f>
        <v>再診は予約が必要ですか？</v>
      </c>
      <c r="B961" s="31" t="str">
        <f>IFERROR(__xludf.DUMMYFUNCTION("""COMPUTED_VALUE"""),"当院では、予約なしでのご来院も受け付けておりますが、スムーズなご案内のため基本的にご予約をお願いします。受診のご予約はLINEで受け付けています。LINEはこちら→https://cline-app.com/qr-codes/98ad6f149bfa20f4f2a9a2e91aac4187/preview")</f>
        <v>当院では、予約なしでのご来院も受け付けておりますが、スムーズなご案内のため基本的にご予約をお願いします。受診のご予約はLINEで受け付けています。LINEはこちら→https://cline-app.com/qr-codes/98ad6f149bfa20f4f2a9a2e91aac4187/preview</v>
      </c>
      <c r="C961" s="31" t="str">
        <f>IFERROR(__xludf.DUMMYFUNCTION("""COMPUTED_VALUE"""),"予約")</f>
        <v>予約</v>
      </c>
      <c r="D961" s="31" t="str">
        <f>IFERROR(__xludf.DUMMYFUNCTION("""COMPUTED_VALUE"""),"再診,予約必要,予約なし,来院,受診,LINE")</f>
        <v>再診,予約必要,予約なし,来院,受診,LINE</v>
      </c>
      <c r="E961" s="32" t="str">
        <f>IFERROR(__xludf.DUMMYFUNCTION("""COMPUTED_VALUE"""),"https://cline-app.com/qr-codes/98ad6f149bfa20f4f2a9a2e91aac4187/preview")</f>
        <v>https://cline-app.com/qr-codes/98ad6f149bfa20f4f2a9a2e91aac4187/preview</v>
      </c>
    </row>
    <row r="962">
      <c r="A962" s="31" t="str">
        <f>IFERROR(__xludf.DUMMYFUNCTION("""COMPUTED_VALUE"""),"当日予約は可能ですか？/当日予約は何時まで可能ですか？/当日の予約は何時まで？")</f>
        <v>当日予約は可能ですか？/当日予約は何時まで可能ですか？/当日の予約は何時まで？</v>
      </c>
      <c r="B962" s="31" t="str">
        <f>IFERROR(__xludf.DUMMYFUNCTION("""COMPUTED_VALUE"""),"予約枠が空いている場合、当日のご予約が可能です。LINEから予約枠をご確認くださいませ。LINEはこちら→https://cline-app.com/qr-codes/98ad6f149bfa20f4f2a9a2e91aac4187/preview")</f>
        <v>予約枠が空いている場合、当日のご予約が可能です。LINEから予約枠をご確認くださいませ。LINEはこちら→https://cline-app.com/qr-codes/98ad6f149bfa20f4f2a9a2e91aac4187/preview</v>
      </c>
      <c r="C962" s="31" t="str">
        <f>IFERROR(__xludf.DUMMYFUNCTION("""COMPUTED_VALUE"""),"予約")</f>
        <v>予約</v>
      </c>
      <c r="D962" s="31" t="str">
        <f>IFERROR(__xludf.DUMMYFUNCTION("""COMPUTED_VALUE"""),"当日予約,当日,空き,予約枠,LINE")</f>
        <v>当日予約,当日,空き,予約枠,LINE</v>
      </c>
      <c r="E962" s="32" t="str">
        <f>IFERROR(__xludf.DUMMYFUNCTION("""COMPUTED_VALUE"""),"https://cline-app.com/qr-codes/98ad6f149bfa20f4f2a9a2e91aac4187/preview")</f>
        <v>https://cline-app.com/qr-codes/98ad6f149bfa20f4f2a9a2e91aac4187/preview</v>
      </c>
    </row>
    <row r="963">
      <c r="A963" s="31" t="str">
        <f>IFERROR(__xludf.DUMMYFUNCTION("""COMPUTED_VALUE"""),"翌日の予約は可能ですか？")</f>
        <v>翌日の予約は可能ですか？</v>
      </c>
      <c r="B963" s="31" t="str">
        <f>IFERROR(__xludf.DUMMYFUNCTION("""COMPUTED_VALUE"""),"予約枠が空いている場合、ご予約が可能です。LINEから予約枠をご確認くださいませ。LINEはこちら→https://cline-app.com/qr-codes/98ad6f149bfa20f4f2a9a2e91aac4187/preview")</f>
        <v>予約枠が空いている場合、ご予約が可能です。LINEから予約枠をご確認くださいませ。LINEはこちら→https://cline-app.com/qr-codes/98ad6f149bfa20f4f2a9a2e91aac4187/preview</v>
      </c>
      <c r="C963" s="31" t="str">
        <f>IFERROR(__xludf.DUMMYFUNCTION("""COMPUTED_VALUE"""),"予約")</f>
        <v>予約</v>
      </c>
      <c r="D963" s="31" t="str">
        <f>IFERROR(__xludf.DUMMYFUNCTION("""COMPUTED_VALUE"""),"翌日予約,明日,予約枠,空き,LINE")</f>
        <v>翌日予約,明日,予約枠,空き,LINE</v>
      </c>
      <c r="E963" s="32" t="str">
        <f>IFERROR(__xludf.DUMMYFUNCTION("""COMPUTED_VALUE"""),"https://cline-app.com/qr-codes/98ad6f149bfa20f4f2a9a2e91aac4187/preview")</f>
        <v>https://cline-app.com/qr-codes/98ad6f149bfa20f4f2a9a2e91aac4187/preview</v>
      </c>
    </row>
    <row r="964">
      <c r="A964" s="31" t="str">
        <f>IFERROR(__xludf.DUMMYFUNCTION("""COMPUTED_VALUE"""),"WEB予約は可能ですか？")</f>
        <v>WEB予約は可能ですか？</v>
      </c>
      <c r="B964" s="31" t="str">
        <f>IFERROR(__xludf.DUMMYFUNCTION("""COMPUTED_VALUE"""),"当院では、24時間WEBで予約を承っております。ご予約はLINEアプリからWEB予約をしてただく流れとなります。
LINEはこちら→https://cline-app.com/qr-codes/98ad6f149bfa20f4f2a9a2e91aac4187/preview")</f>
        <v>当院では、24時間WEBで予約を承っております。ご予約はLINEアプリからWEB予約をしてただく流れとなります。
LINEはこちら→https://cline-app.com/qr-codes/98ad6f149bfa20f4f2a9a2e91aac4187/preview</v>
      </c>
      <c r="C964" s="31" t="str">
        <f>IFERROR(__xludf.DUMMYFUNCTION("""COMPUTED_VALUE"""),"予約")</f>
        <v>予約</v>
      </c>
      <c r="D964" s="31" t="str">
        <f>IFERROR(__xludf.DUMMYFUNCTION("""COMPUTED_VALUE"""),"WEB予約,ネット予約,オンライン予約,24時間,LINE")</f>
        <v>WEB予約,ネット予約,オンライン予約,24時間,LINE</v>
      </c>
      <c r="E964" s="32" t="str">
        <f>IFERROR(__xludf.DUMMYFUNCTION("""COMPUTED_VALUE"""),"https://cline-app.com/qr-codes/98ad6f149bfa20f4f2a9a2e91aac4187/preview")</f>
        <v>https://cline-app.com/qr-codes/98ad6f149bfa20f4f2a9a2e91aac4187/preview</v>
      </c>
    </row>
    <row r="965">
      <c r="A965" s="31" t="str">
        <f>IFERROR(__xludf.DUMMYFUNCTION("""COMPUTED_VALUE"""),"LINEで予約できますか？")</f>
        <v>LINEで予約できますか？</v>
      </c>
      <c r="B965" s="31" t="str">
        <f>IFERROR(__xludf.DUMMYFUNCTION("""COMPUTED_VALUE"""),"当院では、24時間LINEで予約を承っております。ご予約はLINEアプリから予約をしてただく流れとなります。
LINEはこちら→https://cline-app.com/qr-codes/98ad6f149bfa20f4f2a9a2e91aac4187/preview")</f>
        <v>当院では、24時間LINEで予約を承っております。ご予約はLINEアプリから予約をしてただく流れとなります。
LINEはこちら→https://cline-app.com/qr-codes/98ad6f149bfa20f4f2a9a2e91aac4187/preview</v>
      </c>
      <c r="C965" s="31" t="str">
        <f>IFERROR(__xludf.DUMMYFUNCTION("""COMPUTED_VALUE"""),"予約")</f>
        <v>予約</v>
      </c>
      <c r="D965" s="31" t="str">
        <f>IFERROR(__xludf.DUMMYFUNCTION("""COMPUTED_VALUE"""),"LINE予約,LINE,オンライン予約,24時間")</f>
        <v>LINE予約,LINE,オンライン予約,24時間</v>
      </c>
      <c r="E965" s="32" t="str">
        <f>IFERROR(__xludf.DUMMYFUNCTION("""COMPUTED_VALUE"""),"https://cline-app.com/qr-codes/98ad6f149bfa20f4f2a9a2e91aac4187/preview")</f>
        <v>https://cline-app.com/qr-codes/98ad6f149bfa20f4f2a9a2e91aac4187/preview</v>
      </c>
    </row>
    <row r="966">
      <c r="A966" s="31" t="str">
        <f>IFERROR(__xludf.DUMMYFUNCTION("""COMPUTED_VALUE"""),"電話で予約できますか？")</f>
        <v>電話で予約できますか？</v>
      </c>
      <c r="B966" s="31" t="str">
        <f>IFERROR(__xludf.DUMMYFUNCTION("""COMPUTED_VALUE"""),"LINEでの予約後、事前問診等もLINEから行うことができ、スムーズに受診ができるため、当院ではLINEでのご予約を推奨しております。LINEはこちら→https://cline-app.com/qr-codes/98ad6f149bfa20f4f2a9a2e91aac4187/preview")</f>
        <v>LINEでの予約後、事前問診等もLINEから行うことができ、スムーズに受診ができるため、当院ではLINEでのご予約を推奨しております。LINEはこちら→https://cline-app.com/qr-codes/98ad6f149bfa20f4f2a9a2e91aac4187/preview</v>
      </c>
      <c r="C966" s="31" t="str">
        <f>IFERROR(__xludf.DUMMYFUNCTION("""COMPUTED_VALUE"""),"予約")</f>
        <v>予約</v>
      </c>
      <c r="D966" s="31" t="str">
        <f>IFERROR(__xludf.DUMMYFUNCTION("""COMPUTED_VALUE"""),"電話予約,電話,予約方法,LINE推奨,事前問診")</f>
        <v>電話予約,電話,予約方法,LINE推奨,事前問診</v>
      </c>
      <c r="E966" s="32" t="str">
        <f>IFERROR(__xludf.DUMMYFUNCTION("""COMPUTED_VALUE"""),"https://cline-app.com/qr-codes/98ad6f149bfa20f4f2a9a2e91aac4187/preview")</f>
        <v>https://cline-app.com/qr-codes/98ad6f149bfa20f4f2a9a2e91aac4187/preview</v>
      </c>
    </row>
    <row r="967">
      <c r="A967" s="31" t="str">
        <f>IFERROR(__xludf.DUMMYFUNCTION("""COMPUTED_VALUE"""),"予約時間どおりに受診できますか？")</f>
        <v>予約時間どおりに受診できますか？</v>
      </c>
      <c r="B967" s="31" t="str">
        <f>IFERROR(__xludf.DUMMYFUNCTION("""COMPUTED_VALUE"""),"診療状況によって診療時間は予約時間通りにできるかは前後いたします。ご了承いただけますと幸いです。")</f>
        <v>診療状況によって診療時間は予約時間通りにできるかは前後いたします。ご了承いただけますと幸いです。</v>
      </c>
      <c r="C967" s="31" t="str">
        <f>IFERROR(__xludf.DUMMYFUNCTION("""COMPUTED_VALUE"""),"予約")</f>
        <v>予約</v>
      </c>
      <c r="D967" s="31" t="str">
        <f>IFERROR(__xludf.DUMMYFUNCTION("""COMPUTED_VALUE"""),"予約時間,時間通り,待ち時間,診療状況")</f>
        <v>予約時間,時間通り,待ち時間,診療状況</v>
      </c>
      <c r="E967" s="31"/>
    </row>
    <row r="968">
      <c r="A968" s="31" t="str">
        <f>IFERROR(__xludf.DUMMYFUNCTION("""COMPUTED_VALUE"""),"予約なしでも受診できますか？")</f>
        <v>予約なしでも受診できますか？</v>
      </c>
      <c r="B968" s="31" t="str">
        <f>IFERROR(__xludf.DUMMYFUNCTION("""COMPUTED_VALUE"""),"当院では、予約なしでも受診が可能です。
外来の混雑状況によっては、受付をお受けできない場合がございますので、あらかじめご了承ください。
予約をされていない場合の最終受付時間は、以下の通りです。
【処方済みのピル処方・アフターピル・月経移動】
・午前：13:30まで
・午後：平日19:30まで／土日祝18:30まで
【それ以外のご相談】
・午前：平日13:00まで／土日祝12:00まで
・午後：平日18:00まで／土日祝17:00まで
平日18:00以降は特に混み合うため、予約なしでご来院の場合は、"&amp;"できるだけ17:00までに受付いただけますと幸いです。
なお、混雑状況によっては、18:00以降はピル処方・中絶相談以外の予約なし診察の受付を制限させていただく場合がございます。")</f>
        <v>当院では、予約なしでも受診が可能です。
外来の混雑状況によっては、受付をお受けできない場合がございますので、あらかじめご了承ください。
予約をされていない場合の最終受付時間は、以下の通りです。
【処方済みのピル処方・アフターピル・月経移動】
・午前：13:30まで
・午後：平日19:30まで／土日祝18:30まで
【それ以外のご相談】
・午前：平日13:00まで／土日祝12:00まで
・午後：平日18:00まで／土日祝17:00まで
平日18:00以降は特に混み合うため、予約なしでご来院の場合は、できるだけ17:00までに受付いただけますと幸いです。
なお、混雑状況によっては、18:00以降はピル処方・中絶相談以外の予約なし診察の受付を制限させていただく場合がございます。</v>
      </c>
      <c r="C968" s="31" t="str">
        <f>IFERROR(__xludf.DUMMYFUNCTION("""COMPUTED_VALUE"""),"予約")</f>
        <v>予約</v>
      </c>
      <c r="D968" s="31" t="str">
        <f>IFERROR(__xludf.DUMMYFUNCTION("""COMPUTED_VALUE"""),"予約なし,飛び込み,受診可否,最終受付,受付時間,ピル,アフターピル,月経移動")</f>
        <v>予約なし,飛び込み,受診可否,最終受付,受付時間,ピル,アフターピル,月経移動</v>
      </c>
      <c r="E968" s="31"/>
    </row>
    <row r="969">
      <c r="A969" s="31" t="str">
        <f>IFERROR(__xludf.DUMMYFUNCTION("""COMPUTED_VALUE"""),"遅刻したらどうなりますか？/10分以上遅れた場合は受診できますか？/何分遅れたら自動キャンセルですか？/何分遅刻したらキャンセルになりますか？/遅刻したらキャンセル扱いですか？")</f>
        <v>遅刻したらどうなりますか？/10分以上遅れた場合は受診できますか？/何分遅れたら自動キャンセルですか？/何分遅刻したらキャンセルになりますか？/遅刻したらキャンセル扱いですか？</v>
      </c>
      <c r="B969" s="31" t="str">
        <f>IFERROR(__xludf.DUMMYFUNCTION("""COMPUTED_VALUE"""),"予約されている方であれば、10分以内の遅れであれば診察が可能です。
ただし、10分以上遅刻された場合は、事前にご連絡をいただいていても予約外来院扱いとなります。
なお、診療内容によって最終受付時間が異なる場合がございますので、あらかじめご了承ください。")</f>
        <v>予約されている方であれば、10分以内の遅れであれば診察が可能です。
ただし、10分以上遅刻された場合は、事前にご連絡をいただいていても予約外来院扱いとなります。
なお、診療内容によって最終受付時間が異なる場合がございますので、あらかじめご了承ください。</v>
      </c>
      <c r="C969" s="31" t="str">
        <f>IFERROR(__xludf.DUMMYFUNCTION("""COMPUTED_VALUE"""),"予約・受診")</f>
        <v>予約・受診</v>
      </c>
      <c r="D969" s="31" t="str">
        <f>IFERROR(__xludf.DUMMYFUNCTION("""COMPUTED_VALUE"""),"遅刻,10分,キャンセル,予約,自動キャンセル,キャンセル扱い")</f>
        <v>遅刻,10分,キャンセル,予約,自動キャンセル,キャンセル扱い</v>
      </c>
      <c r="E969" s="31"/>
    </row>
    <row r="970">
      <c r="A970" s="31" t="str">
        <f>IFERROR(__xludf.DUMMYFUNCTION("""COMPUTED_VALUE"""),"予約の日時変更はどうすればいいですか？")</f>
        <v>予約の日時変更はどうすればいいですか？</v>
      </c>
      <c r="B970" s="31" t="str">
        <f>IFERROR(__xludf.DUMMYFUNCTION("""COMPUTED_VALUE"""),"予約の日時変更はLINEの「予約状況の確認」からお進みください。LINEはこちら→https://cline-app.com/qr-codes/98ad6f149bfa20f4f2a9a2e91aac4187/preview")</f>
        <v>予約の日時変更はLINEの「予約状況の確認」からお進みください。LINEはこちら→https://cline-app.com/qr-codes/98ad6f149bfa20f4f2a9a2e91aac4187/preview</v>
      </c>
      <c r="C970" s="31" t="str">
        <f>IFERROR(__xludf.DUMMYFUNCTION("""COMPUTED_VALUE"""),"予約・受診")</f>
        <v>予約・受診</v>
      </c>
      <c r="D970" s="31" t="str">
        <f>IFERROR(__xludf.DUMMYFUNCTION("""COMPUTED_VALUE"""),"予約変更,日時変更,キャンセル,LINE")</f>
        <v>予約変更,日時変更,キャンセル,LINE</v>
      </c>
      <c r="E970" s="32" t="str">
        <f>IFERROR(__xludf.DUMMYFUNCTION("""COMPUTED_VALUE"""),"https://cline-app.com/qr-codes/98ad6f149bfa20f4f2a9a2e91aac4187/preview")</f>
        <v>https://cline-app.com/qr-codes/98ad6f149bfa20f4f2a9a2e91aac4187/preview</v>
      </c>
    </row>
    <row r="971">
      <c r="A971" s="31" t="str">
        <f>IFERROR(__xludf.DUMMYFUNCTION("""COMPUTED_VALUE"""),"予約のキャンセルしたいです/当日キャンセルしたい/体調不良でキャンセルしたい/いつまでにキャンセルすればいいですか？/キャンセルはいつまで？
")</f>
        <v>予約のキャンセルしたいです/当日キャンセルしたい/体調不良でキャンセルしたい/いつまでにキャンセルすればいいですか？/キャンセルはいつまで？
</v>
      </c>
      <c r="B971" s="31" t="str">
        <f>IFERROR(__xludf.DUMMYFUNCTION("""COMPUTED_VALUE"""),"予約の日時変更はLINEの「予約状況の確認」からお進みください。キャンセルの場合は、画面下の「予約確認」からお進みください。キャンセル料もかかりませんので、次回もお気兼ねなくご予約ください。LINEはこちら→https://cline-app.com/qr-codes/98ad6f149bfa20f4f2a9a2e91aac4187/preview
※中絶手術（オペ）のご予約をお取りされている方はキャンセル期限がございますので、お電話（050-1730-2768）にてご連絡をお願いいたします。中絶の相談の"&amp;"ご予約は、期限なくキャンセル可能です。")</f>
        <v>予約の日時変更はLINEの「予約状況の確認」からお進みください。キャンセルの場合は、画面下の「予約確認」からお進みください。キャンセル料もかかりませんので、次回もお気兼ねなくご予約ください。LINEはこちら→https://cline-app.com/qr-codes/98ad6f149bfa20f4f2a9a2e91aac4187/preview
※中絶手術（オペ）のご予約をお取りされている方はキャンセル期限がございますので、お電話（050-1730-2768）にてご連絡をお願いいたします。中絶の相談のご予約は、期限なくキャンセル可能です。</v>
      </c>
      <c r="C971" s="31" t="str">
        <f>IFERROR(__xludf.DUMMYFUNCTION("""COMPUTED_VALUE"""),"予約・受診")</f>
        <v>予約・受診</v>
      </c>
      <c r="D971" s="31" t="str">
        <f>IFERROR(__xludf.DUMMYFUNCTION("""COMPUTED_VALUE"""),"予約,キャンセル,LINE")</f>
        <v>予約,キャンセル,LINE</v>
      </c>
      <c r="E971" s="32" t="str">
        <f>IFERROR(__xludf.DUMMYFUNCTION("""COMPUTED_VALUE"""),"https://cline-app.com/qr-codes/98ad6f149bfa20f4f2a9a2e91aac4187/preview")</f>
        <v>https://cline-app.com/qr-codes/98ad6f149bfa20f4f2a9a2e91aac4187/preview</v>
      </c>
    </row>
    <row r="972">
      <c r="A972" s="31" t="str">
        <f>IFERROR(__xludf.DUMMYFUNCTION("""COMPUTED_VALUE"""),"初診は予約が必要か")</f>
        <v>初診は予約が必要か</v>
      </c>
      <c r="B972" s="31" t="str">
        <f>IFERROR(__xludf.DUMMYFUNCTION("""COMPUTED_VALUE"""),"当院では、予約なしでのご来院も受け付けておりますが、スムーズなご案内のため基本的にご予約をお願いします。受診のご予約はLINEで受け付けています。LINEはこちら→https://cline-app.com/qr-codes/98ad6f149bfa20f4f2a9a2e91aac4187/preview")</f>
        <v>当院では、予約なしでのご来院も受け付けておりますが、スムーズなご案内のため基本的にご予約をお願いします。受診のご予約はLINEで受け付けています。LINEはこちら→https://cline-app.com/qr-codes/98ad6f149bfa20f4f2a9a2e91aac4187/preview</v>
      </c>
      <c r="C972" s="31" t="str">
        <f>IFERROR(__xludf.DUMMYFUNCTION("""COMPUTED_VALUE"""),"予約")</f>
        <v>予約</v>
      </c>
      <c r="D972" s="31" t="str">
        <f>IFERROR(__xludf.DUMMYFUNCTION("""COMPUTED_VALUE"""),"初診,予約必要,来院,受診,予約をお取りの上")</f>
        <v>初診,予約必要,来院,受診,予約をお取りの上</v>
      </c>
      <c r="E972" s="32" t="str">
        <f>IFERROR(__xludf.DUMMYFUNCTION("""COMPUTED_VALUE"""),"https://cline-app.com/qr-codes/98ad6f149bfa20f4f2a9a2e91aac4187/preview")</f>
        <v>https://cline-app.com/qr-codes/98ad6f149bfa20f4f2a9a2e91aac4187/preview</v>
      </c>
    </row>
    <row r="973">
      <c r="A973" s="31" t="str">
        <f>IFERROR(__xludf.DUMMYFUNCTION("""COMPUTED_VALUE"""),"再診は予約が必要か")</f>
        <v>再診は予約が必要か</v>
      </c>
      <c r="B973" s="31" t="str">
        <f>IFERROR(__xludf.DUMMYFUNCTION("""COMPUTED_VALUE"""),"当院では、予約なしでのご来院も受け付けておりますが、スムーズなご案内のため基本的にご予約をお願いします。受診のご予約はLINEで受け付けています。LINEはこちら→https://cline-app.com/qr-codes/98ad6f149bfa20f4f2a9a2e91aac4187/preview")</f>
        <v>当院では、予約なしでのご来院も受け付けておりますが、スムーズなご案内のため基本的にご予約をお願いします。受診のご予約はLINEで受け付けています。LINEはこちら→https://cline-app.com/qr-codes/98ad6f149bfa20f4f2a9a2e91aac4187/preview</v>
      </c>
      <c r="C973" s="31" t="str">
        <f>IFERROR(__xludf.DUMMYFUNCTION("""COMPUTED_VALUE"""),"予約")</f>
        <v>予約</v>
      </c>
      <c r="D973" s="31" t="str">
        <f>IFERROR(__xludf.DUMMYFUNCTION("""COMPUTED_VALUE"""),"再診,予約必要,来院,受診,予約をお取りの上")</f>
        <v>再診,予約必要,来院,受診,予約をお取りの上</v>
      </c>
      <c r="E973" s="32" t="str">
        <f>IFERROR(__xludf.DUMMYFUNCTION("""COMPUTED_VALUE"""),"https://cline-app.com/qr-codes/98ad6f149bfa20f4f2a9a2e91aac4187/preview")</f>
        <v>https://cline-app.com/qr-codes/98ad6f149bfa20f4f2a9a2e91aac4187/preview</v>
      </c>
    </row>
    <row r="974">
      <c r="A974" s="31" t="str">
        <f>IFERROR(__xludf.DUMMYFUNCTION("""COMPUTED_VALUE"""),"予約内容を間違えた")</f>
        <v>予約内容を間違えた</v>
      </c>
      <c r="B974" s="31" t="str">
        <f>IFERROR(__xludf.DUMMYFUNCTION("""COMPUTED_VALUE"""),"予約内容をお間違いの場合、LINEの「予約状況の確認」からキャンセルの上、再度ご予約をお取り直しください。お電話でご予約された方は、お電話（050-1730-2768）にて変更をお願いします。")</f>
        <v>予約内容をお間違いの場合、LINEの「予約状況の確認」からキャンセルの上、再度ご予約をお取り直しください。お電話でご予約された方は、お電話（050-1730-2768）にて変更をお願いします。</v>
      </c>
      <c r="C974" s="31"/>
      <c r="D974" s="31"/>
      <c r="E974" s="31"/>
    </row>
    <row r="975">
      <c r="A975" s="31" t="str">
        <f>IFERROR(__xludf.DUMMYFUNCTION("""COMPUTED_VALUE"""),"いつも横浜駅前院に通っていますが、川崎駅前院や町田駅前院に行っても良いですか？/別の院で受診すると初診扱いですか？/他の院に行くと初診料がかかりますか？/病院を違う院にいきたい/別の院で同じ薬をもらいたい/他の院で経過を聞きたい/店舗変更/院を変更したい/通う院を変えたい/横浜駅前院に行くのは始めてですが初診になりますか？/川崎駅前院に行くのは始めてですが初診になりますか？/町田駅前院に行くのは初めてですが初診になりますか？/別の院は初めてですが初診ですか？/別の院でピルのみ受け取ることはできますか？/他"&amp;"の院で薬だけもらえますか？/川崎院→横浜院に変えるとき初めてを選ぶ？/町田に通っていたが横浜に通いたい、ピルだけ処方は可能？")</f>
        <v>いつも横浜駅前院に通っていますが、川崎駅前院や町田駅前院に行っても良いですか？/別の院で受診すると初診扱いですか？/他の院に行くと初診料がかかりますか？/病院を違う院にいきたい/別の院で同じ薬をもらいたい/他の院で経過を聞きたい/店舗変更/院を変更したい/通う院を変えたい/横浜駅前院に行くのは始めてですが初診になりますか？/川崎駅前院に行くのは始めてですが初診になりますか？/町田駅前院に行くのは初めてですが初診になりますか？/別の院は初めてですが初診ですか？/別の院でピルのみ受け取ることはできますか？/他の院で薬だけもらえますか？/川崎院→横浜院に変えるとき初めてを選ぶ？/町田に通っていたが横浜に通いたい、ピルだけ処方は可能？</v>
      </c>
      <c r="B975" s="31" t="str">
        <f>IFERROR(__xludf.DUMMYFUNCTION("""COMPUTED_VALUE"""),"ルナレディースクリニックでは、当院の別の院（横浜駅前院・川崎駅前院・町田駅前院）でのご受診も可能です。ただし、保険診療の場合は別途初診料が発生する可能性がございます。
また、当院より紹介状を発行しMRI検査を受けられた方につきましては、検査結果のご説明は紹介元のクリニックのみで行っております。あらかじめご了承くださいますようお願い申し上げます。")</f>
        <v>ルナレディースクリニックでは、当院の別の院（横浜駅前院・川崎駅前院・町田駅前院）でのご受診も可能です。ただし、保険診療の場合は別途初診料が発生する可能性がございます。
また、当院より紹介状を発行しMRI検査を受けられた方につきましては、検査結果のご説明は紹介元のクリニックのみで行っております。あらかじめご了承くださいますようお願い申し上げます。</v>
      </c>
      <c r="C975" s="31" t="str">
        <f>IFERROR(__xludf.DUMMYFUNCTION("""COMPUTED_VALUE"""),"受診案内・院変更")</f>
        <v>受診案内・院変更</v>
      </c>
      <c r="D975" s="31" t="str">
        <f>IFERROR(__xludf.DUMMYFUNCTION("""COMPUTED_VALUE"""),"院変更,横浜駅前院,川崎駅前院,町田駅前院,初診料,保険診療,MRI,紹介状,検査結果,初診,別の院,他の院")</f>
        <v>院変更,横浜駅前院,川崎駅前院,町田駅前院,初診料,保険診療,MRI,紹介状,検査結果,初診,別の院,他の院</v>
      </c>
      <c r="E975" s="31"/>
    </row>
    <row r="976">
      <c r="A976" s="31" t="str">
        <f>IFERROR(__xludf.DUMMYFUNCTION("""COMPUTED_VALUE"""),"いつも川崎駅前院に通っていますが、横浜駅前院や町田駅前院に行っても良いですか？/別の院で受診すると初診扱いですか？/他の院に行くと初診料がかかりますか？/病院を違う院にいきたい/別の院で同じ薬をもらいたい/他の院で経過を聞きたい/店舗変更/院を変更したい/通う院を変えたい/横浜駅前院に行くのは始めてですが初診になりますか？/川崎駅前院に行くのは始めてですが初診になりますか？/町田駅前院に行くのは初めてですが初診になりますか？/別の院は初めてですが初診ですか？/別の院でピルのみ受け取ることはできますか？/他"&amp;"の院で薬だけもらえますか？/横浜院→川崎院は初診扱いですか？/川崎院に行ったことがあれば初回ではない？")</f>
        <v>いつも川崎駅前院に通っていますが、横浜駅前院や町田駅前院に行っても良いですか？/別の院で受診すると初診扱いですか？/他の院に行くと初診料がかかりますか？/病院を違う院にいきたい/別の院で同じ薬をもらいたい/他の院で経過を聞きたい/店舗変更/院を変更したい/通う院を変えたい/横浜駅前院に行くのは始めてですが初診になりますか？/川崎駅前院に行くのは始めてですが初診になりますか？/町田駅前院に行くのは初めてですが初診になりますか？/別の院は初めてですが初診ですか？/別の院でピルのみ受け取ることはできますか？/他の院で薬だけもらえますか？/横浜院→川崎院は初診扱いですか？/川崎院に行ったことがあれば初回ではない？</v>
      </c>
      <c r="B976" s="31" t="str">
        <f>IFERROR(__xludf.DUMMYFUNCTION("""COMPUTED_VALUE"""),"ルナレディースクリニックでは、当院の別の院（横浜駅前院・川崎駅前院・町田駅前院）でのご受診も可能です。ただし、保険診療の場合は別途初診料が発生する可能性がございます。
また、当院より紹介状を発行しMRI検査を受けられた方につきましては、検査結果のご説明は紹介元のクリニックのみで行っております。あらかじめご了承くださいますようお願い申し上げます。")</f>
        <v>ルナレディースクリニックでは、当院の別の院（横浜駅前院・川崎駅前院・町田駅前院）でのご受診も可能です。ただし、保険診療の場合は別途初診料が発生する可能性がございます。
また、当院より紹介状を発行しMRI検査を受けられた方につきましては、検査結果のご説明は紹介元のクリニックのみで行っております。あらかじめご了承くださいますようお願い申し上げます。</v>
      </c>
      <c r="C976" s="31" t="str">
        <f>IFERROR(__xludf.DUMMYFUNCTION("""COMPUTED_VALUE"""),"受診案内・院変更")</f>
        <v>受診案内・院変更</v>
      </c>
      <c r="D976" s="31" t="str">
        <f>IFERROR(__xludf.DUMMYFUNCTION("""COMPUTED_VALUE"""),"院変更,横浜駅前院,川崎駅前院,町田駅前院,初診料,保険診療,MRI,紹介状,検査結果,初診,別の院,他の院")</f>
        <v>院変更,横浜駅前院,川崎駅前院,町田駅前院,初診料,保険診療,MRI,紹介状,検査結果,初診,別の院,他の院</v>
      </c>
      <c r="E976" s="31"/>
    </row>
    <row r="977">
      <c r="A977" s="31" t="str">
        <f>IFERROR(__xludf.DUMMYFUNCTION("""COMPUTED_VALUE"""),"いつも町田駅前院に通っていますが、川崎駅前院や横浜駅前院に行っても良いですか？/別の院で受診すると初診扱いですか？/他の院に行くと初診料がかかりますか？/病院を違う院にいきたい/別の院で同じ薬をもらいたい/他の院で経過を聞きたい/店舗変更/院を変更したい/通う院を変えたい/横浜駅前院に行くのは始めてですが初診になりますか？/川崎駅前院に行くのは始めてですが初診になりますか？/町田駅前院に行くのは初めてですが初診になりますか？/別の院は初めてですが初診ですか？/別の院でピルのみ受け取ることはできますか？/他"&amp;"の院で薬だけもらえますか？/町田駅前院で診察した内容を横浜院で診察してもらえるか")</f>
        <v>いつも町田駅前院に通っていますが、川崎駅前院や横浜駅前院に行っても良いですか？/別の院で受診すると初診扱いですか？/他の院に行くと初診料がかかりますか？/病院を違う院にいきたい/別の院で同じ薬をもらいたい/他の院で経過を聞きたい/店舗変更/院を変更したい/通う院を変えたい/横浜駅前院に行くのは始めてですが初診になりますか？/川崎駅前院に行くのは始めてですが初診になりますか？/町田駅前院に行くのは初めてですが初診になりますか？/別の院は初めてですが初診ですか？/別の院でピルのみ受け取ることはできますか？/他の院で薬だけもらえますか？/町田駅前院で診察した内容を横浜院で診察してもらえるか</v>
      </c>
      <c r="B977" s="31" t="str">
        <f>IFERROR(__xludf.DUMMYFUNCTION("""COMPUTED_VALUE"""),"ルナレディースクリニックでは、当院の別の院（横浜駅前院・川崎駅前院・町田駅前院）でのご受診も可能です。ただし、保険診療の場合は別途初診料が発生する可能性がございます。
また、当院より紹介状を発行しMRI検査を受けられた方につきましては、検査結果のご説明は紹介元のクリニックのみで行っております。あらかじめご了承くださいますようお願い申し上げます。")</f>
        <v>ルナレディースクリニックでは、当院の別の院（横浜駅前院・川崎駅前院・町田駅前院）でのご受診も可能です。ただし、保険診療の場合は別途初診料が発生する可能性がございます。
また、当院より紹介状を発行しMRI検査を受けられた方につきましては、検査結果のご説明は紹介元のクリニックのみで行っております。あらかじめご了承くださいますようお願い申し上げます。</v>
      </c>
      <c r="C977" s="31" t="str">
        <f>IFERROR(__xludf.DUMMYFUNCTION("""COMPUTED_VALUE"""),"受診案内・院変更")</f>
        <v>受診案内・院変更</v>
      </c>
      <c r="D977" s="31" t="str">
        <f>IFERROR(__xludf.DUMMYFUNCTION("""COMPUTED_VALUE"""),"院変更,横浜駅前院,川崎駅前院,町田駅前院,初診料,保険診療,MRI,紹介状,検査結果,初診,別の院,他の院")</f>
        <v>院変更,横浜駅前院,川崎駅前院,町田駅前院,初診料,保険診療,MRI,紹介状,検査結果,初診,別の院,他の院</v>
      </c>
      <c r="E977" s="31"/>
    </row>
    <row r="978">
      <c r="A978" s="31" t="str">
        <f>IFERROR(__xludf.DUMMYFUNCTION("""COMPUTED_VALUE"""),"LINEがない/LINEアプリをインストールしていない/LINEできない/電話したい/電話番号を教えて")</f>
        <v>LINEがない/LINEアプリをインストールしていない/LINEできない/電話したい/電話番号を教えて</v>
      </c>
      <c r="B978" s="31" t="str">
        <f>IFERROR(__xludf.DUMMYFUNCTION("""COMPUTED_VALUE"""),"当院の電話番号は050-1730-2768 （受付時間：平日9:45〜13:40・15:15〜19:40、土日祝9:45〜13:40・15:15〜18:40）になります。（電話番号は全院共通です。）")</f>
        <v>当院の電話番号は050-1730-2768 （受付時間：平日9:45〜13:40・15:15〜19:40、土日祝9:45〜13:40・15:15〜18:40）になります。（電話番号は全院共通です。）</v>
      </c>
      <c r="C978" s="31" t="str">
        <f>IFERROR(__xludf.DUMMYFUNCTION("""COMPUTED_VALUE"""),"LINE")</f>
        <v>LINE</v>
      </c>
      <c r="D978" s="31" t="str">
        <f>IFERROR(__xludf.DUMMYFUNCTION("""COMPUTED_VALUE"""),"LINE,LINEない,電話")</f>
        <v>LINE,LINEない,電話</v>
      </c>
      <c r="E978" s="31"/>
    </row>
    <row r="979">
      <c r="A979" s="31" t="str">
        <f>IFERROR(__xludf.DUMMYFUNCTION("""COMPUTED_VALUE"""),"駐車場はありますか？")</f>
        <v>駐車場はありますか？</v>
      </c>
      <c r="B979" s="31" t="str">
        <f>IFERROR(__xludf.DUMMYFUNCTION("""COMPUTED_VALUE"""),"大変恐縮ですが、当院では駐車場のご用意はございません。お近くのコインパーキングをご利用いただけますと幸いです。（駐車料金はご利用者さまのご負担となります）")</f>
        <v>大変恐縮ですが、当院では駐車場のご用意はございません。お近くのコインパーキングをご利用いただけますと幸いです。（駐車料金はご利用者さまのご負担となります）</v>
      </c>
      <c r="C979" s="31" t="str">
        <f>IFERROR(__xludf.DUMMYFUNCTION("""COMPUTED_VALUE"""),"駐車場")</f>
        <v>駐車場</v>
      </c>
      <c r="D979" s="31" t="str">
        <f>IFERROR(__xludf.DUMMYFUNCTION("""COMPUTED_VALUE"""),"駐車場,コインパーク,コインパーキング")</f>
        <v>駐車場,コインパーク,コインパーキング</v>
      </c>
      <c r="E979" s="31"/>
    </row>
    <row r="980">
      <c r="A980" s="31" t="str">
        <f>IFERROR(__xludf.DUMMYFUNCTION("""COMPUTED_VALUE"""),"医療ローンはありますか？/分割払いはできますか？")</f>
        <v>医療ローンはありますか？/分割払いはできますか？</v>
      </c>
      <c r="B980" s="31" t="str">
        <f>IFERROR(__xludf.DUMMYFUNCTION("""COMPUTED_VALUE"""),"大変恐縮ではございますが、当院では医療ローンのお取り扱いはございません。ご了承くださいませ。")</f>
        <v>大変恐縮ではございますが、当院では医療ローンのお取り扱いはございません。ご了承くださいませ。</v>
      </c>
      <c r="C980" s="31" t="str">
        <f>IFERROR(__xludf.DUMMYFUNCTION("""COMPUTED_VALUE"""),"支払い方法")</f>
        <v>支払い方法</v>
      </c>
      <c r="D980" s="31" t="str">
        <f>IFERROR(__xludf.DUMMYFUNCTION("""COMPUTED_VALUE"""),"医療ローン,分割払い,支払い方法")</f>
        <v>医療ローン,分割払い,支払い方法</v>
      </c>
      <c r="E980" s="31"/>
    </row>
    <row r="981">
      <c r="A981" s="31" t="str">
        <f>IFERROR(__xludf.DUMMYFUNCTION("""COMPUTED_VALUE"""),"休診日はいつですか？")</f>
        <v>休診日はいつですか？</v>
      </c>
      <c r="B981" s="31" t="str">
        <f>IFERROR(__xludf.DUMMYFUNCTION("""COMPUTED_VALUE"""),"ルナレディースクリニックでは、院によって休診日・診療日が異なります。
・横浜駅前院：土日祝日も含め、毎日診療を行っています。平日は午前診療が10:00〜14:00、午後診療が15:30〜20:00です。土日祝は午前診療が10:00〜14:00、午後診療が15:30〜19:00です。診療時間はこちら：https://luna-dr.com/yokohama/consultation-hours/ 
・川崎駅前院：土日祝日も含め、毎日診療を行っています。平日は午前診療が10:00〜14:00、午後診療が15:"&amp;"30〜20:00です。土日祝は午前診療が10:00〜14:00、午後診療が15:30〜19:00です。診療時間はこちら：https://luna-dr.com/kawasaki/consultation-hours/ 
・町田駅前院：定休日は日曜日です。その他の曜日は診療を行っています。診療時間はこちら：https://luna-dr.com/machida/consultation-hours/")</f>
        <v>ルナレディースクリニックでは、院によって休診日・診療日が異なります。
・横浜駅前院：土日祝日も含め、毎日診療を行っています。平日は午前診療が10:00〜14:00、午後診療が15:30〜20:00です。土日祝は午前診療が10:00〜14:00、午後診療が15:30〜19:00です。診療時間はこちら：https://luna-dr.com/yokohama/consultation-hours/ 
・川崎駅前院：土日祝日も含め、毎日診療を行っています。平日は午前診療が10:00〜14:00、午後診療が15:30〜20:00です。土日祝は午前診療が10:00〜14:00、午後診療が15:30〜19:00です。診療時間はこちら：https://luna-dr.com/kawasaki/consultation-hours/ 
・町田駅前院：定休日は日曜日です。その他の曜日は診療を行っています。診療時間はこちら：https://luna-dr.com/machida/consultation-hours/</v>
      </c>
      <c r="C981" s="31" t="str">
        <f>IFERROR(__xludf.DUMMYFUNCTION("""COMPUTED_VALUE"""),"診療時間")</f>
        <v>診療時間</v>
      </c>
      <c r="D981" s="31" t="str">
        <f>IFERROR(__xludf.DUMMYFUNCTION("""COMPUTED_VALUE"""),"休診日,定休日,日曜休診,院未指定")</f>
        <v>休診日,定休日,日曜休診,院未指定</v>
      </c>
      <c r="E981" s="31"/>
    </row>
    <row r="982">
      <c r="A982" s="31" t="str">
        <f>IFERROR(__xludf.DUMMYFUNCTION("""COMPUTED_VALUE"""),"診療時間を教えてください/受付可能時間は何時ですか？/受付は何時までですか？/何時まで開いていますか？/営業時間を教えてください")</f>
        <v>診療時間を教えてください/受付可能時間は何時ですか？/受付は何時までですか？/何時まで開いていますか？/営業時間を教えてください</v>
      </c>
      <c r="B982" s="31" t="str">
        <f>IFERROR(__xludf.DUMMYFUNCTION("""COMPUTED_VALUE"""),"ルナレディースクリニックでは院によって診療時間・休診日が異なります。
・横浜駅前院：平日は午前診療が10:00〜14:00、午後診療が15:30〜20:00です。土日祝は午前診療が10:00〜14:00、午後診療が15:30〜19:00です。土日祝日も含め、毎日診療を行っています。診療時間はこちら：https://luna-dr.com/yokohama/consultation-hours/ 
・川崎駅前院：平日は午前診療が10:00〜14:00、午後診療が15:30〜20:00です。土日祝は午前診療が"&amp;"10:00〜14:00、午後診療が15:30〜19:00です。土日祝日も含め、毎日診療を行っています。診療時間はこちら：https://luna-dr.com/kawasaki/consultation-hours/ 
・町田駅前院：午前診療が10:00〜14:00、午後診療が15:30〜20:00です。日曜は休診となります。土曜日の午後診療は15:30〜19:00です。診療時間はこちら：https://luna-dr.com/machida/consultation-hours/")</f>
        <v>ルナレディースクリニックでは院によって診療時間・休診日が異なります。
・横浜駅前院：平日は午前診療が10:00〜14:00、午後診療が15:30〜20:00です。土日祝は午前診療が10:00〜14:00、午後診療が15:30〜19:00です。土日祝日も含め、毎日診療を行っています。診療時間はこちら：https://luna-dr.com/yokohama/consultation-hours/ 
・川崎駅前院：平日は午前診療が10:00〜14:00、午後診療が15:30〜20:00です。土日祝は午前診療が10:00〜14:00、午後診療が15:30〜19:00です。土日祝日も含め、毎日診療を行っています。診療時間はこちら：https://luna-dr.com/kawasaki/consultation-hours/ 
・町田駅前院：午前診療が10:00〜14:00、午後診療が15:30〜20:00です。日曜は休診となります。土曜日の午後診療は15:30〜19:00です。診療時間はこちら：https://luna-dr.com/machida/consultation-hours/</v>
      </c>
      <c r="C982" s="31" t="str">
        <f>IFERROR(__xludf.DUMMYFUNCTION("""COMPUTED_VALUE"""),"診療時間")</f>
        <v>診療時間</v>
      </c>
      <c r="D982" s="31" t="str">
        <f>IFERROR(__xludf.DUMMYFUNCTION("""COMPUTED_VALUE"""),"診療時間,営業時間,院未指定,町田駅前院,川")</f>
        <v>診療時間,営業時間,院未指定,町田駅前院,川</v>
      </c>
      <c r="E982" s="31"/>
    </row>
    <row r="983">
      <c r="A983" s="31" t="str">
        <f>IFERROR(__xludf.DUMMYFUNCTION("""COMPUTED_VALUE"""),"今日診療していますか？")</f>
        <v>今日診療していますか？</v>
      </c>
      <c r="B983" s="31" t="str">
        <f>IFERROR(__xludf.DUMMYFUNCTION("""COMPUTED_VALUE"""),"ルナレディースクリニックでは院によって診療日が異なります。
・横浜駅前院：土日祝日も含め、毎日診療を行っています。平日は午前診療が10:00〜14:00、午後診療が15:30〜20:00です。土日祝は午前診療が10:00〜14:00、午後診療が15:30〜19:00です。診療時間はこちら：https://luna-dr.com/yokohama/consultation-hours/ 
・川崎駅前院：土日祝日も含め、毎日診療を行っています。平日は午前診療が10:00〜14:00、午後診療が15:30〜20"&amp;":00です。土日祝は午前診療が10:00〜14:00、午後診療が15:30〜19:00です。診療時間はこちら：https://luna-dr.com/kawasaki/consultation-hours/ 
・町田駅前院：午前10:00〜14:00／午後15:30〜20:00で診療しており、日曜は休診です（土曜午後は15:30〜19:00）。診療時間はこちら：https://luna-dr.com/machida/consultation-hours/")</f>
        <v>ルナレディースクリニックでは院によって診療日が異なります。
・横浜駅前院：土日祝日も含め、毎日診療を行っています。平日は午前診療が10:00〜14:00、午後診療が15:30〜20:00です。土日祝は午前診療が10:00〜14:00、午後診療が15:30〜19:00です。診療時間はこちら：https://luna-dr.com/yokohama/consultation-hours/ 
・川崎駅前院：土日祝日も含め、毎日診療を行っています。平日は午前診療が10:00〜14:00、午後診療が15:30〜20:00です。土日祝は午前診療が10:00〜14:00、午後診療が15:30〜19:00です。診療時間はこちら：https://luna-dr.com/kawasaki/consultation-hours/ 
・町田駅前院：午前10:00〜14:00／午後15:30〜20:00で診療しており、日曜は休診です（土曜午後は15:30〜19:00）。診療時間はこちら：https://luna-dr.com/machida/consultation-hours/</v>
      </c>
      <c r="C983" s="31" t="str">
        <f>IFERROR(__xludf.DUMMYFUNCTION("""COMPUTED_VALUE"""),"診療時間")</f>
        <v>診療時間</v>
      </c>
      <c r="D983" s="31" t="str">
        <f>IFERROR(__xludf.DUMMYFUNCTION("""COMPUTED_VALUE"""),"今日,本日,診療,やってる,診療日,休診日,祝日,土日,院未指定,横浜駅前院,川崎駅前院,町田駅前院")</f>
        <v>今日,本日,診療,やってる,診療日,休診日,祝日,土日,院未指定,横浜駅前院,川崎駅前院,町田駅前院</v>
      </c>
      <c r="E983" s="31" t="str">
        <f>IFERROR(__xludf.DUMMYFUNCTION("""COMPUTED_VALUE"""),"https://luna-dr.com/yokohama/ | https://luna-dr.com/kawasaki/ | https://luna-dr.com/machida/")</f>
        <v>https://luna-dr.com/yokohama/ | https://luna-dr.com/kawasaki/ | https://luna-dr.com/machida/</v>
      </c>
    </row>
    <row r="984">
      <c r="A984" s="31" t="str">
        <f>IFERROR(__xludf.DUMMYFUNCTION("""COMPUTED_VALUE"""),"夜も診療していますか？")</f>
        <v>夜も診療していますか？</v>
      </c>
      <c r="B984" s="31" t="str">
        <f>IFERROR(__xludf.DUMMYFUNCTION("""COMPUTED_VALUE"""),"ルナレディースクリニックでは院によって診療時間が異なります。
・横浜駅前院：平日の午後診療は15:30〜20:00です。土日祝の午後診療は15:30〜19:00です。診療時間はこちら：https://luna-dr.com/yokohama/consultation-hours/ 
・川崎駅前院：平日の午後診療は15:30〜20:00です。土日祝の午後診療は15:30〜19:00です。診療時間はこちら：https://luna-dr.com/kawasaki/consultation-hours/ 
・町"&amp;"田駅前院：午後診療は15:30〜20:00です。土曜日の午後診療は15:30〜19:00です。日曜は休診です。診療時間はこちら：https://luna-dr.com/machida/consultation-hours/")</f>
        <v>ルナレディースクリニックでは院によって診療時間が異なります。
・横浜駅前院：平日の午後診療は15:30〜20:00です。土日祝の午後診療は15:30〜19:00です。診療時間はこちら：https://luna-dr.com/yokohama/consultation-hours/ 
・川崎駅前院：平日の午後診療は15:30〜20:00です。土日祝の午後診療は15:30〜19:00です。診療時間はこちら：https://luna-dr.com/kawasaki/consultation-hours/ 
・町田駅前院：午後診療は15:30〜20:00です。土曜日の午後診療は15:30〜19:00です。日曜は休診です。診療時間はこちら：https://luna-dr.com/machida/consultation-hours/</v>
      </c>
      <c r="C984" s="31" t="str">
        <f>IFERROR(__xludf.DUMMYFUNCTION("""COMPUTED_VALUE"""),"診療時間")</f>
        <v>診療時間</v>
      </c>
      <c r="D984" s="31" t="str">
        <f>IFERROR(__xludf.DUMMYFUNCTION("""COMPUTED_VALUE"""),"夜,夜間,午後,20時,遅くまで,診療時間,院未指定,横浜駅前院,川崎駅前院,町田駅前院")</f>
        <v>夜,夜間,午後,20時,遅くまで,診療時間,院未指定,横浜駅前院,川崎駅前院,町田駅前院</v>
      </c>
      <c r="E984" s="31" t="str">
        <f>IFERROR(__xludf.DUMMYFUNCTION("""COMPUTED_VALUE"""),"https://luna-dr.com/machida/ | https://luna-dr.com/kawasaki/ | https://luna-dr.com/yokohama/")</f>
        <v>https://luna-dr.com/machida/ | https://luna-dr.com/kawasaki/ | https://luna-dr.com/yokohama/</v>
      </c>
    </row>
    <row r="985">
      <c r="A985" s="31" t="str">
        <f>IFERROR(__xludf.DUMMYFUNCTION("""COMPUTED_VALUE"""),"土日・祝日は診療していますか？")</f>
        <v>土日・祝日は診療していますか？</v>
      </c>
      <c r="B985" s="31" t="str">
        <f>IFERROR(__xludf.DUMMYFUNCTION("""COMPUTED_VALUE"""),"ルナレディースクリニックでは院によって診療日が異なります。
・横浜駅前院：土日祝日も含め、毎日診療を行っています（土日祝の診療時間は午前10:00〜14:00／午後15:30〜19:00です）。詳しくはこちら：https://luna-dr.com/yokohama/consultation-hours/ 
・川崎駅前院：土日祝日も含め、毎日診療を行っています（土日祝の診療時間は午前10:00〜14:00／午後15:30〜19:00です）。詳しくはこちら：https://luna-dr.com/kawas"&amp;"aki/consultation-hours/ 
・町田駅前院：日曜は休診です。土曜日に診療時間は午前10:00〜14:00／午後15:30〜19:00です。詳しくはこちら：https://luna-dr.com/machida/consultation-hours/")</f>
        <v>ルナレディースクリニックでは院によって診療日が異なります。
・横浜駅前院：土日祝日も含め、毎日診療を行っています（土日祝の診療時間は午前10:00〜14:00／午後15:30〜19:00です）。詳しくはこちら：https://luna-dr.com/yokohama/consultation-hours/ 
・川崎駅前院：土日祝日も含め、毎日診療を行っています（土日祝の診療時間は午前10:00〜14:00／午後15:30〜19:00です）。詳しくはこちら：https://luna-dr.com/kawasaki/consultation-hours/ 
・町田駅前院：日曜は休診です。土曜日に診療時間は午前10:00〜14:00／午後15:30〜19:00です。詳しくはこちら：https://luna-dr.com/machida/consultation-hours/</v>
      </c>
      <c r="C985" s="31" t="str">
        <f>IFERROR(__xludf.DUMMYFUNCTION("""COMPUTED_VALUE"""),"診療時間")</f>
        <v>診療時間</v>
      </c>
      <c r="D985" s="31" t="str">
        <f>IFERROR(__xludf.DUMMYFUNCTION("""COMPUTED_VALUE"""),"土日,祝日,休日,診療,やってる,開いてる,診療日,休診日,院未指定,横浜駅前院,川崎駅前院,町田駅前院")</f>
        <v>土日,祝日,休日,診療,やってる,開いてる,診療日,休診日,院未指定,横浜駅前院,川崎駅前院,町田駅前院</v>
      </c>
      <c r="E985" s="31" t="str">
        <f>IFERROR(__xludf.DUMMYFUNCTION("""COMPUTED_VALUE"""),"https://luna-dr.com/yokohama/ | https://luna-dr.com/kawasaki/ | https://luna-dr.com/machida/")</f>
        <v>https://luna-dr.com/yokohama/ | https://luna-dr.com/kawasaki/ | https://luna-dr.com/machida/</v>
      </c>
    </row>
    <row r="986">
      <c r="A986" s="31" t="str">
        <f>IFERROR(__xludf.DUMMYFUNCTION("""COMPUTED_VALUE"""),"住所を教えてください")</f>
        <v>住所を教えてください</v>
      </c>
      <c r="B986" s="31" t="str">
        <f>IFERROR(__xludf.DUMMYFUNCTION("""COMPUTED_VALUE"""),"ルナレディースクリニックの住所は院によって異なります。
・横浜駅前院：〒220-0004 神奈川県横浜市西区北幸1丁目1-8 エキニア横浜7F（横浜駅から徒歩2分）。詳しくはこちら：https://luna-dr.com/yokohama/
・川崎駅前院：〒210-0007 神奈川県川崎市川崎区駅前本町3-1 NMF川崎東口ビルB1F（川崎駅から徒歩30秒）。詳しくはこちら：https://luna-dr.com/kawasaki/
・町田駅前院：〒194-0013 東京都町田市原町田6丁目3-20 TK"&amp;"町田ビル3階（町田駅から徒歩2分）。詳しくはこちら：https://luna-dr.com/")</f>
        <v>ルナレディースクリニックの住所は院によって異なります。
・横浜駅前院：〒220-0004 神奈川県横浜市西区北幸1丁目1-8 エキニア横浜7F（横浜駅から徒歩2分）。詳しくはこちら：https://luna-dr.com/yokohama/
・川崎駅前院：〒210-0007 神奈川県川崎市川崎区駅前本町3-1 NMF川崎東口ビルB1F（川崎駅から徒歩30秒）。詳しくはこちら：https://luna-dr.com/kawasaki/
・町田駅前院：〒194-0013 東京都町田市原町田6丁目3-20 TK町田ビル3階（町田駅から徒歩2分）。詳しくはこちら：https://luna-dr.com/</v>
      </c>
      <c r="C986" s="31" t="str">
        <f>IFERROR(__xludf.DUMMYFUNCTION("""COMPUTED_VALUE"""),"アクセス")</f>
        <v>アクセス</v>
      </c>
      <c r="D986" s="31" t="str">
        <f>IFERROR(__xludf.DUMMYFUNCTION("""COMPUTED_VALUE"""),"住所,所在地,どこ,場所,アクセス,院未指定,横浜駅前院,川崎駅前院,町田駅前院")</f>
        <v>住所,所在地,どこ,場所,アクセス,院未指定,横浜駅前院,川崎駅前院,町田駅前院</v>
      </c>
      <c r="E986" s="31" t="str">
        <f>IFERROR(__xludf.DUMMYFUNCTION("""COMPUTED_VALUE"""),"https://luna-dr.com/yokohama/ | https://luna-dr.com/kawasaki/ | https://luna-dr.com/")</f>
        <v>https://luna-dr.com/yokohama/ | https://luna-dr.com/kawasaki/ | https://luna-dr.com/</v>
      </c>
    </row>
    <row r="987">
      <c r="A987" s="31" t="str">
        <f>IFERROR(__xludf.DUMMYFUNCTION("""COMPUTED_VALUE"""),"駅から近いですか？/交通アクセスを教えてください/アクセスは？/駅からどう行けばいいですか？")</f>
        <v>駅から近いですか？/交通アクセスを教えてください/アクセスは？/駅からどう行けばいいですか？</v>
      </c>
      <c r="B987" s="31" t="str">
        <f>IFERROR(__xludf.DUMMYFUNCTION("""COMPUTED_VALUE"""),"ルナレディースクリニックは院によって最寄駅からの距離が異なります。
・横浜駅前院：最寄り駅は「横浜駅」となります。JR横浜駅西口から徒歩2分、地下直結のエキニア横浜7Fにあります。詳しくはこちら：https://luna-dr.com/yokohama/
・川崎駅前院：最寄り駅は「川崎駅」となります。JR川崎駅東口から徒歩30秒（アゼリア直結:地下26番出口）のNMF川崎東口ビルB1Fにあります。詳しくはこちら：https://luna-dr.com/kawasaki/
・町田駅前院：最寄り駅は「町田駅」"&amp;"となります。JR町田駅北口、小田急線町田駅西口から徒歩3分のTK町田ビル3階にあります。詳しくはこちら：https://luna-dr.com/machida/")</f>
        <v>ルナレディースクリニックは院によって最寄駅からの距離が異なります。
・横浜駅前院：最寄り駅は「横浜駅」となります。JR横浜駅西口から徒歩2分、地下直結のエキニア横浜7Fにあります。詳しくはこちら：https://luna-dr.com/yokohama/
・川崎駅前院：最寄り駅は「川崎駅」となります。JR川崎駅東口から徒歩30秒（アゼリア直結:地下26番出口）のNMF川崎東口ビルB1Fにあります。詳しくはこちら：https://luna-dr.com/kawasaki/
・町田駅前院：最寄り駅は「町田駅」となります。JR町田駅北口、小田急線町田駅西口から徒歩3分のTK町田ビル3階にあります。詳しくはこちら：https://luna-dr.com/machida/</v>
      </c>
      <c r="C987" s="31" t="str">
        <f>IFERROR(__xludf.DUMMYFUNCTION("""COMPUTED_VALUE"""),"アクセス")</f>
        <v>アクセス</v>
      </c>
      <c r="D987" s="31" t="str">
        <f>IFERROR(__xludf.DUMMYFUNCTION("""COMPUTED_VALUE"""),"駅から近い,交通アクセス,最寄駅,徒歩,院未指定,横浜駅,川崎駅,町田駅,横浜駅前院,川崎駅前院,町田駅前院,行き方, 道順, ルート, 地図, 乗り換え, 出口, 徒歩, 駅から, 案内, アクセス方法")</f>
        <v>駅から近い,交通アクセス,最寄駅,徒歩,院未指定,横浜駅,川崎駅,町田駅,横浜駅前院,川崎駅前院,町田駅前院,行き方, 道順, ルート, 地図, 乗り換え, 出口, 徒歩, 駅から, 案内, アクセス方法</v>
      </c>
      <c r="E987" s="31" t="str">
        <f>IFERROR(__xludf.DUMMYFUNCTION("""COMPUTED_VALUE"""),"https://luna-dr.com/yokohama/ | https://luna-dr.com/kawasaki/ | https://luna-dr.com/machida/")</f>
        <v>https://luna-dr.com/yokohama/ | https://luna-dr.com/kawasaki/ | https://luna-dr.com/machida/</v>
      </c>
    </row>
    <row r="988">
      <c r="A988" s="31" t="str">
        <f>IFERROR(__xludf.DUMMYFUNCTION("""COMPUTED_VALUE"""),"料金を教えてください/料金を教えて/料金/費用/いくらですか/値段/価格/料金一覧/いくらぐらいかかる？/いくらかかりますか？/費用はどのくらい？/だいたいいくら？")</f>
        <v>料金を教えてください/料金を教えて/料金/費用/いくらですか/値段/価格/料金一覧/いくらぐらいかかる？/いくらかかりますか？/費用はどのくらい？/だいたいいくら？</v>
      </c>
      <c r="B988" s="31" t="str">
        <f>IFERROR(__xludf.DUMMYFUNCTION("""COMPUTED_VALUE"""),"ルナレディースクリニックの料金は、院によって異なる場合があります。詳しい情報は各院の料金ページをご確認ください。・町田駅前院の料金はこちら：https://luna-dr.com/machida/price/　・川崎駅前院の料金はこちら：https://luna-dr.com/kawasaki/price/　・横浜駅前院の料金はこちら：https://luna-dr.com/yokohama/price/")</f>
        <v>ルナレディースクリニックの料金は、院によって異なる場合があります。詳しい情報は各院の料金ページをご確認ください。・町田駅前院の料金はこちら：https://luna-dr.com/machida/price/　・川崎駅前院の料金はこちら：https://luna-dr.com/kawasaki/price/　・横浜駅前院の料金はこちら：https://luna-dr.com/yokohama/price/</v>
      </c>
      <c r="C988" s="31" t="str">
        <f>IFERROR(__xludf.DUMMYFUNCTION("""COMPUTED_VALUE"""),"料金")</f>
        <v>料金</v>
      </c>
      <c r="D988" s="31" t="str">
        <f>IFERROR(__xludf.DUMMYFUNCTION("""COMPUTED_VALUE"""),"料金,費用,いくら,値段,価格,院未指定,町田駅前院,川崎駅前院,横浜駅前院,料金ページ")</f>
        <v>料金,費用,いくら,値段,価格,院未指定,町田駅前院,川崎駅前院,横浜駅前院,料金ページ</v>
      </c>
      <c r="E988" s="31" t="str">
        <f>IFERROR(__xludf.DUMMYFUNCTION("""COMPUTED_VALUE"""),"https://luna-dr.com/machida/price/ | https://luna-dr.com/kawasaki/price/ | https://luna-dr.com/yokohama/price/")</f>
        <v>https://luna-dr.com/machida/price/ | https://luna-dr.com/kawasaki/price/ | https://luna-dr.com/yokohama/price/</v>
      </c>
    </row>
    <row r="989">
      <c r="A989" s="31" t="str">
        <f>IFERROR(__xludf.DUMMYFUNCTION("""COMPUTED_VALUE"""),"料金と支払い方法を教えてください
")</f>
        <v>料金と支払い方法を教えてください
</v>
      </c>
      <c r="B989" s="31" t="str">
        <f>IFERROR(__xludf.DUMMYFUNCTION("""COMPUTED_VALUE"""),"ルナレディースクリニックの料金は、院によって異なる場合があります。詳しい情報は各院の料金ページをご確認ください。・町田駅前院の料金はこちら：https://luna-dr.com/machida/price/　・川崎駅前院の料金はこちら：https://luna-dr.com/kawasaki/price/　・横浜駅前院の料金はこちら：https://luna-dr.com/yokohama/price/
お支払いは、現金のほか、クレジットカード（VISA、Mastercard、JCB、American "&amp;"Express、Diners Club、Discover）、交通系電子マネー（Suica、PASMO、Kitaca、TOICA、manaca、ICOCA、SUGOCA、nimoca、はやかけん）、電子マネー（QUICPay、iD、WAON）、QRコード決済（Alipay、WeChat Pay、PayPay、d払い、mPay）をご利用いただけます。")</f>
        <v>ルナレディースクリニックの料金は、院によって異なる場合があります。詳しい情報は各院の料金ページをご確認ください。・町田駅前院の料金はこちら：https://luna-dr.com/machida/price/　・川崎駅前院の料金はこちら：https://luna-dr.com/kawasaki/price/　・横浜駅前院の料金はこちら：https://luna-dr.com/yokohama/price/
お支払いは、現金のほか、クレジットカード（VISA、Mastercard、JCB、American Express、Diners Club、Discover）、交通系電子マネー（Suica、PASMO、Kitaca、TOICA、manaca、ICOCA、SUGOCA、nimoca、はやかけん）、電子マネー（QUICPay、iD、WAON）、QRコード決済（Alipay、WeChat Pay、PayPay、d払い、mPay）をご利用いただけます。</v>
      </c>
      <c r="C989" s="31" t="str">
        <f>IFERROR(__xludf.DUMMYFUNCTION("""COMPUTED_VALUE"""),"料金・支払い")</f>
        <v>料金・支払い</v>
      </c>
      <c r="D989" s="31" t="str">
        <f>IFERROR(__xludf.DUMMYFUNCTION("""COMPUTED_VALUE"""),"料金,初診料,費用,支払い方法,決済")</f>
        <v>料金,初診料,費用,支払い方法,決済</v>
      </c>
      <c r="E989" s="31" t="str">
        <f>IFERROR(__xludf.DUMMYFUNCTION("""COMPUTED_VALUE"""),"https://luna-dr.com/machida/price/ | https://luna-dr.com/kawasaki/price/ | https://luna-dr.com/yokohama/price/")</f>
        <v>https://luna-dr.com/machida/price/ | https://luna-dr.com/kawasaki/price/ | https://luna-dr.com/yokohama/price/</v>
      </c>
    </row>
    <row r="990">
      <c r="A990" s="31" t="str">
        <f>IFERROR(__xludf.DUMMYFUNCTION("""COMPUTED_VALUE"""),"チャットを終了したい/チャットを消したい/じゃま/消えて/消して")</f>
        <v>チャットを終了したい/チャットを消したい/じゃま/消えて/消して</v>
      </c>
      <c r="B990" s="31" t="str">
        <f>IFERROR(__xludf.DUMMYFUNCTION("""COMPUTED_VALUE"""),"操作が分かりにくく、申し訳ありません。右下のバナーをもう一度押していただければ本チャットは終了致します。ご利用いただき、ありがとうございました。")</f>
        <v>操作が分かりにくく、申し訳ありません。右下のバナーをもう一度押していただければ本チャットは終了致します。ご利用いただき、ありがとうございました。</v>
      </c>
      <c r="C990" s="31" t="str">
        <f>IFERROR(__xludf.DUMMYFUNCTION("""COMPUTED_VALUE"""),"操作")</f>
        <v>操作</v>
      </c>
      <c r="D990" s="31" t="str">
        <f>IFERROR(__xludf.DUMMYFUNCTION("""COMPUTED_VALUE"""),"チャット,終了,終わりたい,消したい")</f>
        <v>チャット,終了,終わりたい,消したい</v>
      </c>
      <c r="E990" s="31"/>
    </row>
    <row r="991">
      <c r="A991" s="31" t="str">
        <f>IFERROR(__xludf.DUMMYFUNCTION("""COMPUTED_VALUE"""),"男性も来院できますか？/男性の同伴はできますか？/パートナーは院内で待てますか？/付き添いは可能ですか？/連れの男性は院内に入れますか？")</f>
        <v>男性も来院できますか？/男性の同伴はできますか？/パートナーは院内で待てますか？/付き添いは可能ですか？/連れの男性は院内に入れますか？</v>
      </c>
      <c r="B991" s="31" t="str">
        <f>IFERROR(__xludf.DUMMYFUNCTION("""COMPUTED_VALUE"""),"大変恐縮ですが、当院では男性のご来院はお控えいただいております。")</f>
        <v>大変恐縮ですが、当院では男性のご来院はお控えいただいております。</v>
      </c>
      <c r="C991" s="31" t="str">
        <f>IFERROR(__xludf.DUMMYFUNCTION("""COMPUTED_VALUE"""),"受診ルール・院内ルール")</f>
        <v>受診ルール・院内ルール</v>
      </c>
      <c r="D991" s="31" t="str">
        <f>IFERROR(__xludf.DUMMYFUNCTION("""COMPUTED_VALUE"""),"男性,来院,同伴,院内ルール")</f>
        <v>男性,来院,同伴,院内ルール</v>
      </c>
      <c r="E991" s="31"/>
    </row>
    <row r="992">
      <c r="A992" s="31" t="str">
        <f>IFERROR(__xludf.DUMMYFUNCTION("""COMPUTED_VALUE"""),"救急対応はしていますか？/急な症状でも診てもらえますか？/発熱や激しい腹痛、出血が多いときは受診できますか？/救急の場合はどうしたらいいですか？/緊急の場合はどうすればいいですか？/たくさん血が出ている/大量出血で動けない/出血がひどくて動けません")</f>
        <v>救急対応はしていますか？/急な症状でも診てもらえますか？/発熱や激しい腹痛、出血が多いときは受診できますか？/救急の場合はどうしたらいいですか？/緊急の場合はどうすればいいですか？/たくさん血が出ている/大量出血で動けない/出血がひどくて動けません</v>
      </c>
      <c r="B992" s="31" t="str">
        <f>IFERROR(__xludf.DUMMYFUNCTION("""COMPUTED_VALUE"""),"恐れ入りますが、当院は救急対応施設ではないため、発熱、急性腹症、大量の性器出血といった症状がある場合は、当院では診療を行えない可能性が高いため、救急対応の行える医療機関へのご受診をお願いいたします。")</f>
        <v>恐れ入りますが、当院は救急対応施設ではないため、発熱、急性腹症、大量の性器出血といった症状がある場合は、当院では診療を行えない可能性が高いため、救急対応の行える医療機関へのご受診をお願いいたします。</v>
      </c>
      <c r="C992" s="31" t="str">
        <f>IFERROR(__xludf.DUMMYFUNCTION("""COMPUTED_VALUE"""),"受診ルール・院内ルール")</f>
        <v>受診ルール・院内ルール</v>
      </c>
      <c r="D992" s="31" t="str">
        <f>IFERROR(__xludf.DUMMYFUNCTION("""COMPUTED_VALUE"""),"救急,発熱,急性腹症,大量出血,総合病院,救急,緊急,どうしたらいい,急患,血が止まらない,動けない,激しい,急性")</f>
        <v>救急,発熱,急性腹症,大量出血,総合病院,救急,緊急,どうしたらいい,急患,血が止まらない,動けない,激しい,急性</v>
      </c>
      <c r="E992" s="31"/>
    </row>
    <row r="993">
      <c r="A993" s="31" t="str">
        <f>IFERROR(__xludf.DUMMYFUNCTION("""COMPUTED_VALUE"""),"体重が重くても受診できますか？/体重100kg以上でも診察できますか？")</f>
        <v>体重が重くても受診できますか？/体重100kg以上でも診察できますか？</v>
      </c>
      <c r="B993" s="31" t="str">
        <f>IFERROR(__xludf.DUMMYFUNCTION("""COMPUTED_VALUE"""),"当院では、診察台の仕様上、体重100kgを超える患者さまはお受け入れできません。")</f>
        <v>当院では、診察台の仕様上、体重100kgを超える患者さまはお受け入れできません。</v>
      </c>
      <c r="C993" s="31" t="str">
        <f>IFERROR(__xludf.DUMMYFUNCTION("""COMPUTED_VALUE"""),"受診ルール・院内ルール")</f>
        <v>受診ルール・院内ルール</v>
      </c>
      <c r="D993" s="31" t="str">
        <f>IFERROR(__xludf.DUMMYFUNCTION("""COMPUTED_VALUE"""),"体重,100kg,受診可否,診察台")</f>
        <v>体重,100kg,受診可否,診察台</v>
      </c>
      <c r="E993" s="31"/>
    </row>
    <row r="994">
      <c r="A994" s="31" t="str">
        <f>IFERROR(__xludf.DUMMYFUNCTION("""COMPUTED_VALUE"""),"初めてですが保険でピルは処方できますか？/初診で保険ピルを希望する場合に検査は必要ですか？")</f>
        <v>初めてですが保険でピルは処方できますか？/初診で保険ピルを希望する場合に検査は必要ですか？</v>
      </c>
      <c r="B994" s="31" t="str">
        <f>IFERROR(__xludf.DUMMYFUNCTION("""COMPUTED_VALUE"""),"当院では、当院受診が初めてで保険ピル処方をご希望の場合、経腟エコー検査が必要になります。")</f>
        <v>当院では、当院受診が初めてで保険ピル処方をご希望の場合、経腟エコー検査が必要になります。</v>
      </c>
      <c r="C994" s="31" t="str">
        <f>IFERROR(__xludf.DUMMYFUNCTION("""COMPUTED_VALUE"""),"ピル・月経")</f>
        <v>ピル・月経</v>
      </c>
      <c r="D994" s="31" t="str">
        <f>IFERROR(__xludf.DUMMYFUNCTION("""COMPUTED_VALUE"""),"保険ピル,初診,ピル処方,経腟エコー")</f>
        <v>保険ピル,初診,ピル処方,経腟エコー</v>
      </c>
      <c r="E994" s="31"/>
    </row>
    <row r="995">
      <c r="A995" s="31" t="str">
        <f>IFERROR(__xludf.DUMMYFUNCTION("""COMPUTED_VALUE"""),"妊娠中の診察は何週まで可能ですか？/妊娠中の子宮頸がん検診は受けられますか？")</f>
        <v>妊娠中の診察は何週まで可能ですか？/妊娠中の子宮頸がん検診は受けられますか？</v>
      </c>
      <c r="B995" s="31" t="str">
        <f>IFERROR(__xludf.DUMMYFUNCTION("""COMPUTED_VALUE"""),"当院では、妊娠12週まで診察可能です。子宮頸がん検診については、当院で妊娠経過を診ている方は妊娠10週まで受けられます。なお、他院で妊娠経過を診てもらっている方は、かかりつけ医にて子宮頸がん検診を受けてください。")</f>
        <v>当院では、妊娠12週まで診察可能です。子宮頸がん検診については、当院で妊娠経過を診ている方は妊娠10週まで受けられます。なお、他院で妊娠経過を診てもらっている方は、かかりつけ医にて子宮頸がん検診を受けてください。</v>
      </c>
      <c r="C995" s="31" t="str">
        <f>IFERROR(__xludf.DUMMYFUNCTION("""COMPUTED_VALUE"""),"妊娠・妊婦健診")</f>
        <v>妊娠・妊婦健診</v>
      </c>
      <c r="D995" s="31" t="str">
        <f>IFERROR(__xludf.DUMMYFUNCTION("""COMPUTED_VALUE"""),"妊娠12週,妊娠10週,子宮頸がん検診,妊娠中")</f>
        <v>妊娠12週,妊娠10週,子宮頸がん検診,妊娠中</v>
      </c>
      <c r="E995" s="31"/>
    </row>
    <row r="996">
      <c r="A996" s="31" t="str">
        <f>IFERROR(__xludf.DUMMYFUNCTION("""COMPUTED_VALUE"""),"キャンセル待ちはできますか？/キャンセル待ちできますか？")</f>
        <v>キャンセル待ちはできますか？/キャンセル待ちできますか？</v>
      </c>
      <c r="B996" s="31" t="str">
        <f>IFERROR(__xludf.DUMMYFUNCTION("""COMPUTED_VALUE"""),"当院では、キャンセル待ちは承っておりません。")</f>
        <v>当院では、キャンセル待ちは承っておりません。</v>
      </c>
      <c r="C996" s="31" t="str">
        <f>IFERROR(__xludf.DUMMYFUNCTION("""COMPUTED_VALUE"""),"予約・受診")</f>
        <v>予約・受診</v>
      </c>
      <c r="D996" s="31" t="str">
        <f>IFERROR(__xludf.DUMMYFUNCTION("""COMPUTED_VALUE"""),"キャンセル待ち,予約")</f>
        <v>キャンセル待ち,予約</v>
      </c>
      <c r="E996" s="31"/>
    </row>
    <row r="997">
      <c r="A997" s="31" t="str">
        <f>IFERROR(__xludf.DUMMYFUNCTION("""COMPUTED_VALUE"""),"妊娠できるか調べられますか？/妊娠できるか検査できますか？/妊娠したいのですが相談できますか？/妊娠したい")</f>
        <v>妊娠できるか調べられますか？/妊娠できるか検査できますか？/妊娠したいのですが相談できますか？/妊娠したい</v>
      </c>
      <c r="B997" s="31" t="str">
        <f>IFERROR(__xludf.DUMMYFUNCTION("""COMPUTED_VALUE"""),"ルナレディースクリニックでは、妊娠できるかどうかを調べるための診療や、妊活を目的とした検査・治療は行っておりません。妊娠や妊活についての詳しい検査・ご相談をご希望の場合は、専門の医療機関への受診をご検討ください。")</f>
        <v>ルナレディースクリニックでは、妊娠できるかどうかを調べるための診療や、妊活を目的とした検査・治療は行っておりません。妊娠や妊活についての詳しい検査・ご相談をご希望の場合は、専門の医療機関への受診をご検討ください。</v>
      </c>
      <c r="C997" s="31" t="str">
        <f>IFERROR(__xludf.DUMMYFUNCTION("""COMPUTED_VALUE"""),"妊娠・妊活")</f>
        <v>妊娠・妊活</v>
      </c>
      <c r="D997" s="31" t="str">
        <f>IFERROR(__xludf.DUMMYFUNCTION("""COMPUTED_VALUE"""),"妊娠できるか,妊活,検査")</f>
        <v>妊娠できるか,妊活,検査</v>
      </c>
      <c r="E997" s="31"/>
    </row>
    <row r="998">
      <c r="A998" s="31" t="str">
        <f>IFERROR(__xludf.DUMMYFUNCTION("""COMPUTED_VALUE"""),"子供の同伴は可能ですか？")</f>
        <v>子供の同伴は可能ですか？</v>
      </c>
      <c r="B998" s="31" t="str">
        <f>IFERROR(__xludf.DUMMYFUNCTION("""COMPUTED_VALUE"""),"ルナレディースクリニックでは、お子様の同伴について以下の通りご案内しております。
・女児は制限はございません。
・男児は未就学児まで診察室への入室が可能です。
いずれの場合も、患者様ご本人が責任をもってお子様を見守っていただくことを条件といたします。お子様を待合室にお一人でお待たせいただくことはご遠慮ください。必ず診察室内でご一緒にお待ちください。なお、当院は男性の入室をご遠慮いただいております。未就学児を超える男児につきましても、院内への入室（待合室での待機を含む）はご遠慮いただいております。該当す"&amp;"るお子様をお連れの場合は、ご来院をお控えくださいますようお願い申し上げます。")</f>
        <v>ルナレディースクリニックでは、お子様の同伴について以下の通りご案内しております。
・女児は制限はございません。
・男児は未就学児まで診察室への入室が可能です。
いずれの場合も、患者様ご本人が責任をもってお子様を見守っていただくことを条件といたします。お子様を待合室にお一人でお待たせいただくことはご遠慮ください。必ず診察室内でご一緒にお待ちください。なお、当院は男性の入室をご遠慮いただいております。未就学児を超える男児につきましても、院内への入室（待合室での待機を含む）はご遠慮いただいております。該当するお子様をお連れの場合は、ご来院をお控えくださいますようお願い申し上げます。</v>
      </c>
      <c r="C998" s="31" t="str">
        <f>IFERROR(__xludf.DUMMYFUNCTION("""COMPUTED_VALUE"""),"受診案内・院内ルール")</f>
        <v>受診案内・院内ルール</v>
      </c>
      <c r="D998" s="31" t="str">
        <f>IFERROR(__xludf.DUMMYFUNCTION("""COMPUTED_VALUE"""),"子供同伴,お子様同伴,男児,女児,未就学児,入室制限,待合室,院内ルール")</f>
        <v>子供同伴,お子様同伴,男児,女児,未就学児,入室制限,待合室,院内ルール</v>
      </c>
      <c r="E998" s="31"/>
    </row>
    <row r="999">
      <c r="A999" s="31" t="str">
        <f>IFERROR(__xludf.DUMMYFUNCTION("""COMPUTED_VALUE"""),"健康診断で細胞診が陽性でしたが受診できますか？")</f>
        <v>健康診断で細胞診が陽性でしたが受診できますか？</v>
      </c>
      <c r="B999" s="31" t="str">
        <f>IFERROR(__xludf.DUMMYFUNCTION("""COMPUTED_VALUE"""),"健康診断での細胞診結果が陽性の場合、検査結果の内容によってお受けできるものと出来かねるものがございます。そのため、詳細につきましては恐れ入りますがお電話にてご相談ください。お電話は 050-1730-2768 となります。なお、本件はオンライン診療では対応できかねますので、受診可能な内容の場合はご来院でのご案内となります。")</f>
        <v>健康診断での細胞診結果が陽性の場合、検査結果の内容によってお受けできるものと出来かねるものがございます。そのため、詳細につきましては恐れ入りますがお電話にてご相談ください。お電話は 050-1730-2768 となります。なお、本件はオンライン診療では対応できかねますので、受診可能な内容の場合はご来院でのご案内となります。</v>
      </c>
      <c r="C999" s="31" t="str">
        <f>IFERROR(__xludf.DUMMYFUNCTION("""COMPUTED_VALUE"""),"受診可否・検査結果")</f>
        <v>受診可否・検査結果</v>
      </c>
      <c r="D999" s="31" t="str">
        <f>IFERROR(__xludf.DUMMYFUNCTION("""COMPUTED_VALUE"""),"健康診断,細胞診,陽性,受診可否,来院診療,オンライン診療不可,要電話確認")</f>
        <v>健康診断,細胞診,陽性,受診可否,来院診療,オンライン診療不可,要電話確認</v>
      </c>
      <c r="E999" s="31"/>
    </row>
    <row r="1000">
      <c r="A1000" s="31" t="str">
        <f>IFERROR(__xludf.DUMMYFUNCTION("""COMPUTED_VALUE"""),"受診内容が分からない場合はどうすればよいですか？/受診内容が分からない/受診ないようどれがいい")</f>
        <v>受診内容が分からない場合はどうすればよいですか？/受診内容が分からない/受診ないようどれがいい</v>
      </c>
      <c r="B1000" s="31" t="str">
        <f>IFERROR(__xludf.DUMMYFUNCTION("""COMPUTED_VALUE"""),"受診内容がご不明な場合は、お電話にてご相談くださいませ。症状やご希望内容をお伺いし、適切な受診内容をご案内いたします。お電話は 050-1730-2768 となります。")</f>
        <v>受診内容がご不明な場合は、お電話にてご相談くださいませ。症状やご希望内容をお伺いし、適切な受診内容をご案内いたします。お電話は 050-1730-2768 となります。</v>
      </c>
      <c r="C1000" s="31" t="str">
        <f>IFERROR(__xludf.DUMMYFUNCTION("""COMPUTED_VALUE"""),"受診案内・予約相談")</f>
        <v>受診案内・予約相談</v>
      </c>
      <c r="D1000" s="31" t="str">
        <f>IFERROR(__xludf.DUMMYFUNCTION("""COMPUTED_VALUE"""),"受診内容が分からない,どれで予約,予約内容不明,症状相談,電話相談,予約相談")</f>
        <v>受診内容が分からない,どれで予約,予約内容不明,症状相談,電話相談,予約相談</v>
      </c>
      <c r="E1000" s="31"/>
    </row>
    <row r="1001">
      <c r="A1001" s="31" t="str">
        <f>IFERROR(__xludf.DUMMYFUNCTION("""COMPUTED_VALUE"""),"セカンドオピニオンは受けられますか？/紹介状なしでセカンドオピニオンは受け付けている？/他院の診断について相談したい/セカンドオピニオンについて教えてください")</f>
        <v>セカンドオピニオンは受けられますか？/紹介状なしでセカンドオピニオンは受け付けている？/他院の診断について相談したい/セカンドオピニオンについて教えてください</v>
      </c>
      <c r="B1001" s="31" t="str">
        <f>IFERROR(__xludf.DUMMYFUNCTION("""COMPUTED_VALUE"""),"ルナレディースクリニックでは、セカンドオピニオンのみの対応は行っておりません。ただし、通常の診察として現在の症状やご状況についてご相談いただくことは可能です。")</f>
        <v>ルナレディースクリニックでは、セカンドオピニオンのみの対応は行っておりません。ただし、通常の診察として現在の症状やご状況についてご相談いただくことは可能です。</v>
      </c>
      <c r="C1001" s="31" t="str">
        <f>IFERROR(__xludf.DUMMYFUNCTION("""COMPUTED_VALUE"""),"受診案内・診察体制")</f>
        <v>受診案内・診察体制</v>
      </c>
      <c r="D1001" s="31" t="str">
        <f>IFERROR(__xludf.DUMMYFUNCTION("""COMPUTED_VALUE"""),"セカンドオピニオン,他院意見,相談,通常診察,受診可否")</f>
        <v>セカンドオピニオン,他院意見,相談,通常診察,受診可否</v>
      </c>
      <c r="E1001" s="31"/>
    </row>
    <row r="1002">
      <c r="A1002" s="31" t="str">
        <f>IFERROR(__xludf.DUMMYFUNCTION("""COMPUTED_VALUE"""),"検査結果で陽性が出た場合は受診したほうが良いですか？/別の病院で検査したら陽性")</f>
        <v>検査結果で陽性が出た場合は受診したほうが良いですか？/別の病院で検査したら陽性</v>
      </c>
      <c r="B1002" s="31" t="str">
        <f>IFERROR(__xludf.DUMMYFUNCTION("""COMPUTED_VALUE"""),"ルナレディースクリニックでは、検査の種類によってご案内が異なります。◆FemCHECK（郵送検査）で陽性の場合 WEB上の案内よりオンライン診療が可能です。◆当院で受けた検査（がん検診・細菌培養・淋病検査・クラミジア検査など）で陽性の場合 お薬の処方や治療についてご案内いたしますのでお電話にてお問い合わせください。◆がん検診で陽性（要精密検査）の場合 内容により対応が異なりますのでお電話にてお問い合わせください。◆他院で受けた検査で陽性の場合 検査結果の内容やご希望内容をお伺いし、適切な受診内容をご案内い"&amp;"たしますのでお電話にてお問い合わせください。お電話は 050-1730-2768 となります。")</f>
        <v>ルナレディースクリニックでは、検査の種類によってご案内が異なります。◆FemCHECK（郵送検査）で陽性の場合 WEB上の案内よりオンライン診療が可能です。◆当院で受けた検査（がん検診・細菌培養・淋病検査・クラミジア検査など）で陽性の場合 お薬の処方や治療についてご案内いたしますのでお電話にてお問い合わせください。◆がん検診で陽性（要精密検査）の場合 内容により対応が異なりますのでお電話にてお問い合わせください。◆他院で受けた検査で陽性の場合 検査結果の内容やご希望内容をお伺いし、適切な受診内容をご案内いたしますのでお電話にてお問い合わせください。お電話は 050-1730-2768 となります。</v>
      </c>
      <c r="C1002" s="31" t="str">
        <f>IFERROR(__xludf.DUMMYFUNCTION("""COMPUTED_VALUE"""),"検査結果・陽性対応")</f>
        <v>検査結果・陽性対応</v>
      </c>
      <c r="D1002" s="31" t="str">
        <f>IFERROR(__xludf.DUMMYFUNCTION("""COMPUTED_VALUE"""),"陽性,検査結果,受診,オンライン診療,FemCHECK,性感染症検査,がん検診,他院検査")</f>
        <v>陽性,検査結果,受診,オンライン診療,FemCHECK,性感染症検査,がん検診,他院検査</v>
      </c>
      <c r="E1002" s="31"/>
    </row>
    <row r="1003">
      <c r="A1003" s="31" t="str">
        <f>IFERROR(__xludf.DUMMYFUNCTION("""COMPUTED_VALUE"""),"産後の受診はできますか？/産後の相談はできますか？/産後の体調について相談したい/産後の診察はしていますか？")</f>
        <v>産後の受診はできますか？/産後の相談はできますか？/産後の体調について相談したい/産後の診察はしていますか？</v>
      </c>
      <c r="B1003" s="31" t="str">
        <f>IFERROR(__xludf.DUMMYFUNCTION("""COMPUTED_VALUE"""),"恐れ入りますが、ルナレディースクリニックでは、産後1ヶ月以内の診療は行っておりません。産後まもない時期は、出産時の経過や処置内容などの情報が診療上重要となるため、まずは出産された医療機関にお問い合わせください。")</f>
        <v>恐れ入りますが、ルナレディースクリニックでは、産後1ヶ月以内の診療は行っておりません。産後まもない時期は、出産時の経過や処置内容などの情報が診療上重要となるため、まずは出産された医療機関にお問い合わせください。</v>
      </c>
      <c r="C1003" s="31" t="str">
        <f>IFERROR(__xludf.DUMMYFUNCTION("""COMPUTED_VALUE"""),"産後ケア・受診案内")</f>
        <v>産後ケア・受診案内</v>
      </c>
      <c r="D1003" s="31" t="str">
        <f>IFERROR(__xludf.DUMMYFUNCTION("""COMPUTED_VALUE"""),"産後,産後受診,1ヶ月以内,診療不可,電話問い合わせ,産後相談,産後ケア,産後受診")</f>
        <v>産後,産後受診,1ヶ月以内,診療不可,電話問い合わせ,産後相談,産後ケア,産後受診</v>
      </c>
      <c r="E1003" s="31"/>
    </row>
    <row r="1004">
      <c r="A1004" s="31" t="str">
        <f>IFERROR(__xludf.DUMMYFUNCTION("""COMPUTED_VALUE"""),"悪阻がひどいので点滴希望/つわりの薬を出してもらえますか？/悪阻の薬はありますか？")</f>
        <v>悪阻がひどいので点滴希望/つわりの薬を出してもらえますか？/悪阻の薬はありますか？</v>
      </c>
      <c r="B1004" s="31" t="str">
        <f>IFERROR(__xludf.DUMMYFUNCTION("""COMPUTED_VALUE"""),"当院では吐き気止めの処方は可能ですが、悪阻に対する点滴治療は行っておりません。吐き気止めをご希望の場合は「一般婦人科診療」のメニューでご予約ください。→https://cline-app.com/qr-codes/98ad6f149bfa20f4f2a9a2e91aac4187/preview")</f>
        <v>当院では吐き気止めの処方は可能ですが、悪阻に対する点滴治療は行っておりません。吐き気止めをご希望の場合は「一般婦人科診療」のメニューでご予約ください。→https://cline-app.com/qr-codes/98ad6f149bfa20f4f2a9a2e91aac4187/preview</v>
      </c>
      <c r="C1004" s="31" t="str">
        <f>IFERROR(__xludf.DUMMYFUNCTION("""COMPUTED_VALUE"""),"診療可否")</f>
        <v>診療可否</v>
      </c>
      <c r="D1004" s="31" t="str">
        <f>IFERROR(__xludf.DUMMYFUNCTION("""COMPUTED_VALUE"""),"悪阻,つわり,点滴,妊娠,治療不可")</f>
        <v>悪阻,つわり,点滴,妊娠,治療不可</v>
      </c>
      <c r="E1004" s="31"/>
    </row>
    <row r="1005">
      <c r="A1005" s="31" t="str">
        <f>IFERROR(__xludf.DUMMYFUNCTION("""COMPUTED_VALUE"""),"異形成の受診はできますか？")</f>
        <v>異形成の受診はできますか？</v>
      </c>
      <c r="B1005" s="31" t="str">
        <f>IFERROR(__xludf.DUMMYFUNCTION("""COMPUTED_VALUE"""),"大変恐縮ではございますが、当院では異形成の検査・診察は行っておりません。恐れ入りますが、お近くの婦人科をご受診ください。")</f>
        <v>大変恐縮ではございますが、当院では異形成の検査・診察は行っておりません。恐れ入りますが、お近くの婦人科をご受診ください。</v>
      </c>
      <c r="C1005" s="31" t="str">
        <f>IFERROR(__xludf.DUMMYFUNCTION("""COMPUTED_VALUE"""),"受診可否・対応不可")</f>
        <v>受診可否・対応不可</v>
      </c>
      <c r="D1005" s="31" t="str">
        <f>IFERROR(__xludf.DUMMYFUNCTION("""COMPUTED_VALUE"""),"異形成,子宮頸部異形成,CIN,軽度異形成,中等度異形成,高度異形成,健診異常,細胞診異常,受診可否,受診不可")</f>
        <v>異形成,子宮頸部異形成,CIN,軽度異形成,中等度異形成,高度異形成,健診異常,細胞診異常,受診可否,受診不可</v>
      </c>
      <c r="E1005" s="31"/>
    </row>
    <row r="1006">
      <c r="A1006" s="31" t="str">
        <f>IFERROR(__xludf.DUMMYFUNCTION("""COMPUTED_VALUE"""),"クレームを伝えたい/不満があります/対応に問題がありました/改善してほしいことがあります/スタッフの対応が気になりました/医師の態度")</f>
        <v>クレームを伝えたい/不満があります/対応に問題がありました/改善してほしいことがあります/スタッフの対応が気になりました/医師の態度</v>
      </c>
      <c r="B1006" s="31" t="str">
        <f>IFERROR(__xludf.DUMMYFUNCTION("""COMPUTED_VALUE"""),"ご不便・ご不満をおかけしてしまい、大変申し訳ございません。
いただいたご意見は、より良い医療サービスのために真摯に受け止めております。
以下のご意見フォームより詳しくお聞かせいただけますと幸いです。
→ https://docs.google.com/forms/d/e/1FAIpQLSc3UbKV7RThiDP2RwV5SJUs203CQCPFY-8VJJCWJch0nVxBOQ/viewform?usp=header
ご返答をご希望の場合は、フォーム内にメールアドレスのご入力をお願いいたします。追って"&amp;"メールにてご連絡いたします。なお、内容により事実確認にお時間をいただく場合がございます。
※ 診察のご予約や体調に関するお急ぎのご相談は、お電話にて直接ご連絡ください。")</f>
        <v>ご不便・ご不満をおかけしてしまい、大変申し訳ございません。
いただいたご意見は、より良い医療サービスのために真摯に受け止めております。
以下のご意見フォームより詳しくお聞かせいただけますと幸いです。
→ https://docs.google.com/forms/d/e/1FAIpQLSc3UbKV7RThiDP2RwV5SJUs203CQCPFY-8VJJCWJch0nVxBOQ/viewform?usp=header
ご返答をご希望の場合は、フォーム内にメールアドレスのご入力をお願いいたします。追ってメールにてご連絡いたします。なお、内容により事実確認にお時間をいただく場合がございます。
※ 診察のご予約や体調に関するお急ぎのご相談は、お電話にて直接ご連絡ください。</v>
      </c>
      <c r="C1006" s="31" t="str">
        <f>IFERROR(__xludf.DUMMYFUNCTION("""COMPUTED_VALUE"""),"クレーム・ご意見")</f>
        <v>クレーム・ご意見</v>
      </c>
      <c r="D1006" s="31" t="str">
        <f>IFERROR(__xludf.DUMMYFUNCTION("""COMPUTED_VALUE"""),"クレーム, 苦情, 不満, 改善, ご意見, フィードバック, 対応, スタッフ, 問題")</f>
        <v>クレーム, 苦情, 不満, 改善, ご意見, フィードバック, 対応, スタッフ, 問題</v>
      </c>
      <c r="E1006" s="32" t="str">
        <f>IFERROR(__xludf.DUMMYFUNCTION("""COMPUTED_VALUE"""),"https://docs.google.com/forms/d/e/1FAIpQLSc3UbKV7RThiDP2RwV5SJUs203CQCPFY-8VJJCWJch0nVxBOQ/viewform?usp=header")</f>
        <v>https://docs.google.com/forms/d/e/1FAIpQLSc3UbKV7RThiDP2RwV5SJUs203CQCPFY-8VJJCWJch0nVxBOQ/viewform?usp=header</v>
      </c>
    </row>
    <row r="1007">
      <c r="A1007" s="31" t="str">
        <f>IFERROR(__xludf.DUMMYFUNCTION("""COMPUTED_VALUE"""),"相模原市のがん検診は受けられますか？/相模原市の子宮頸がん検診は対応していますか？/相模原市のクーポンは使えますか？/相模原市の子宮がん検診はできますか？")</f>
        <v>相模原市のがん検診は受けられますか？/相模原市の子宮頸がん検診は対応していますか？/相模原市のクーポンは使えますか？/相模原市の子宮がん検診はできますか？</v>
      </c>
      <c r="B1007" s="31" t="str">
        <f>IFERROR(__xludf.DUMMYFUNCTION("""COMPUTED_VALUE"""),"大変恐縮ですが、当院で対応している自治体のがん検診は横浜市・川崎市・町田市のみとなっており、相模原市のがん検診（子宮頸がん検診）には対応しておりません。相模原市にお住まいの方は、自費での子宮頸がん検診（5,000円・税込）をお受けいただくことは可能です。ご予約は公式LINEから承っております。LINEはこちら→https://cline-app.com/qr-codes/98ad6f149bfa20f4f2a9a2e91aac4187/preview")</f>
        <v>大変恐縮ですが、当院で対応している自治体のがん検診は横浜市・川崎市・町田市のみとなっており、相模原市のがん検診（子宮頸がん検診）には対応しておりません。相模原市にお住まいの方は、自費での子宮頸がん検診（5,000円・税込）をお受けいただくことは可能です。ご予約は公式LINEから承っております。LINEはこちら→https://cline-app.com/qr-codes/98ad6f149bfa20f4f2a9a2e91aac4187/preview</v>
      </c>
      <c r="C1007" s="31" t="str">
        <f>IFERROR(__xludf.DUMMYFUNCTION("""COMPUTED_VALUE"""),"婦人科健診")</f>
        <v>婦人科健診</v>
      </c>
      <c r="D1007" s="31" t="str">
        <f>IFERROR(__xludf.DUMMYFUNCTION("""COMPUTED_VALUE"""),"相模原市,がん検診,子宮頸がん検診,自治体検診,クーポン,対応外")</f>
        <v>相模原市,がん検診,子宮頸がん検診,自治体検診,クーポン,対応外</v>
      </c>
      <c r="E1007" s="31"/>
    </row>
    <row r="1008">
      <c r="A1008" s="31" t="str">
        <f>IFERROR(__xludf.DUMMYFUNCTION("""COMPUTED_VALUE"""),"性病検査は保険診療で受けられますか？/性感染症検査は保険適用ですか？/性病検査は保険がききますか？/性感染症の検査は自費ですか？")</f>
        <v>性病検査は保険診療で受けられますか？/性感染症検査は保険適用ですか？/性病検査は保険がききますか？/性感染症の検査は自費ですか？</v>
      </c>
      <c r="B1008" s="31" t="str">
        <f>IFERROR(__xludf.DUMMYFUNCTION("""COMPUTED_VALUE"""),"■ 症状がある場合
おりものの異常・かゆみ・痛みなど具体的な症状がある方は、医師の判断により健康保険を適用した検査が可能です
■ 症状がない場合
「念のためチェックしておきたい」「パートナーのために確認したい」など、無症状でのスクリーニングをご希望の場合は、原則、自由診療（自費）となります。
保険適用の可否や検査内容は、診察時に状態を確認しながらご説明いたします。
検査をご希望の方は、ご予約のうえご来院ください。ご予約は公式LINEから承っております。ご予約はLINE予約画面の「一般婦人科診療」のメニ"&amp;"ューからお取りください。→https://cline-app.com/qr-codes/98ad6f149bfa20f4f2a9a2e91aac4187/preview")</f>
        <v>■ 症状がある場合
おりものの異常・かゆみ・痛みなど具体的な症状がある方は、医師の判断により健康保険を適用した検査が可能です
■ 症状がない場合
「念のためチェックしておきたい」「パートナーのために確認したい」など、無症状でのスクリーニングをご希望の場合は、原則、自由診療（自費）となります。
保険適用の可否や検査内容は、診察時に状態を確認しながらご説明いたします。
検査をご希望の方は、ご予約のうえご来院ください。ご予約は公式LINEから承っております。ご予約はLINE予約画面の「一般婦人科診療」のメニューからお取りください。→https://cline-app.com/qr-codes/98ad6f149bfa20f4f2a9a2e91aac4187/preview</v>
      </c>
      <c r="C1008" s="31" t="str">
        <f>IFERROR(__xludf.DUMMYFUNCTION("""COMPUTED_VALUE"""),"性感染症検査")</f>
        <v>性感染症検査</v>
      </c>
      <c r="D1008" s="31" t="str">
        <f>IFERROR(__xludf.DUMMYFUNCTION("""COMPUTED_VALUE"""),"性病検査,保険診療,保険適用,自費,性感染症検査,スクリーニング")</f>
        <v>性病検査,保険診療,保険適用,自費,性感染症検査,スクリーニング</v>
      </c>
      <c r="E1008" s="31"/>
    </row>
    <row r="1009">
      <c r="A1009" s="31" t="str">
        <f>IFERROR(__xludf.DUMMYFUNCTION("""COMPUTED_VALUE"""),"肛門ポリープの診察はできますか？/肛門の診察はできますか？/肛門の症状は診てもらえますか？")</f>
        <v>肛門ポリープの診察はできますか？/肛門の診察はできますか？/肛門の症状は診てもらえますか？</v>
      </c>
      <c r="B1009" s="31" t="str">
        <f>IFERROR(__xludf.DUMMYFUNCTION("""COMPUTED_VALUE"""),"大変恐縮ですが、当院は婦人科クリニックのため、肛門に関する診療は行っておりません。肛門ポリープについては、肛門科（肛門外科）をご受診ください。")</f>
        <v>大変恐縮ですが、当院は婦人科クリニックのため、肛門に関する診療は行っておりません。肛門ポリープについては、肛門科（肛門外科）をご受診ください。</v>
      </c>
      <c r="C1009" s="31" t="str">
        <f>IFERROR(__xludf.DUMMYFUNCTION("""COMPUTED_VALUE"""),"受診可否・対応不可")</f>
        <v>受診可否・対応不可</v>
      </c>
      <c r="D1009" s="31" t="str">
        <f>IFERROR(__xludf.DUMMYFUNCTION("""COMPUTED_VALUE"""),"肛門,肛門ポリープ,診療不可,対応外")</f>
        <v>肛門,肛門ポリープ,診療不可,対応外</v>
      </c>
      <c r="E1009" s="31"/>
    </row>
    <row r="1010">
      <c r="A1010" s="31" t="str">
        <f>IFERROR(__xludf.DUMMYFUNCTION("""COMPUTED_VALUE"""),"ブライダルチェックを予約したいのですが、メニューで何を選べばいいですか？/ブライダルチェックの予約は何のメニューで取ればいいですか？/ブライダルチェックは何の項目で予約しますか？")</f>
        <v>ブライダルチェックを予約したいのですが、メニューで何を選べばいいですか？/ブライダルチェックの予約は何のメニューで取ればいいですか？/ブライダルチェックは何の項目で予約しますか？</v>
      </c>
      <c r="B1010" s="31" t="str">
        <f>IFERROR(__xludf.DUMMYFUNCTION("""COMPUTED_VALUE"""),"ブライダルチェックのご予約は、LINE予約画面の「一般婦人科診療」のメニューからお取りください。ご予約は公式LINEから承っております。LINEはこちら→https://cline-app.com/qr-codes/98ad6f149bfa20f4f2a9a2e91aac4187/preview")</f>
        <v>ブライダルチェックのご予約は、LINE予約画面の「一般婦人科診療」のメニューからお取りください。ご予約は公式LINEから承っております。LINEはこちら→https://cline-app.com/qr-codes/98ad6f149bfa20f4f2a9a2e91aac4187/preview</v>
      </c>
      <c r="C1010" s="31" t="str">
        <f>IFERROR(__xludf.DUMMYFUNCTION("""COMPUTED_VALUE"""),"ブライダルチェック")</f>
        <v>ブライダルチェック</v>
      </c>
      <c r="D1010" s="31" t="str">
        <f>IFERROR(__xludf.DUMMYFUNCTION("""COMPUTED_VALUE"""),"ブライダルチェック,予約メニュー,一般婦人科診療,予約方法,メニュー選択")</f>
        <v>ブライダルチェック,予約メニュー,一般婦人科診療,予約方法,メニュー選択</v>
      </c>
      <c r="E1010" s="31"/>
    </row>
    <row r="1011">
      <c r="A1011" s="31" t="str">
        <f>IFERROR(__xludf.DUMMYFUNCTION("""COMPUTED_VALUE"""),"LINEで診察券番号はどこで確認できますか？/診察番号の確認方法を教えてください/診察番号を教えてください/診察番号の確認方法")</f>
        <v>LINEで診察券番号はどこで確認できますか？/診察番号の確認方法を教えてください/診察番号を教えてください/診察番号の確認方法</v>
      </c>
      <c r="B1011" s="31" t="str">
        <f>IFERROR(__xludf.DUMMYFUNCTION("""COMPUTED_VALUE"""),"LINEでの診察券番号の確認方法については、こちらのページをご参照ください。→https://luna-dr.notion.site/f0a26ab231534d8fa9cb069193c411a4")</f>
        <v>LINEでの診察券番号の確認方法については、こちらのページをご参照ください。→https://luna-dr.notion.site/f0a26ab231534d8fa9cb069193c411a4</v>
      </c>
      <c r="C1011" s="31" t="str">
        <f>IFERROR(__xludf.DUMMYFUNCTION("""COMPUTED_VALUE"""),"受診案内・本人確認")</f>
        <v>受診案内・本人確認</v>
      </c>
      <c r="D1011" s="31" t="str">
        <f>IFERROR(__xludf.DUMMYFUNCTION("""COMPUTED_VALUE"""),"LINE,診察券番号,確認方法,番号,どこで確認,診察番号")</f>
        <v>LINE,診察券番号,確認方法,番号,どこで確認,診察番号</v>
      </c>
      <c r="E1011" s="32" t="str">
        <f>IFERROR(__xludf.DUMMYFUNCTION("""COMPUTED_VALUE"""),"https://luna-dr.notion.site/f0a26ab231534d8fa9cb069193c411a4")</f>
        <v>https://luna-dr.notion.site/f0a26ab231534d8fa9cb069193c411a4</v>
      </c>
    </row>
    <row r="1012">
      <c r="A1012" s="31" t="str">
        <f>IFERROR(__xludf.DUMMYFUNCTION("""COMPUTED_VALUE"""),"自費のピルはクレジットカードで払えますか？/ピルの支払いはクレジットカードは使えますか？/自費ピルの支払い方法は？")</f>
        <v>自費のピルはクレジットカードで払えますか？/ピルの支払いはクレジットカードは使えますか？/自費ピルの支払い方法は？</v>
      </c>
      <c r="B1012" s="31" t="str">
        <f>IFERROR(__xludf.DUMMYFUNCTION("""COMPUTED_VALUE"""),"ルナレディースクリニックでは、自費のピル処方を含め、現金のほか、クレジットカード（VISA、Mastercard、JCB、American Express、Diners Club、Discover）、交通系電子マネー、QRコード決済（PayPayなど）でお支払いいただけます。")</f>
        <v>ルナレディースクリニックでは、自費のピル処方を含め、現金のほか、クレジットカード（VISA、Mastercard、JCB、American Express、Diners Club、Discover）、交通系電子マネー、QRコード決済（PayPayなど）でお支払いいただけます。</v>
      </c>
      <c r="C1012" s="31" t="str">
        <f>IFERROR(__xludf.DUMMYFUNCTION("""COMPUTED_VALUE"""),"料金・支払い")</f>
        <v>料金・支払い</v>
      </c>
      <c r="D1012" s="31" t="str">
        <f>IFERROR(__xludf.DUMMYFUNCTION("""COMPUTED_VALUE"""),"自費ピル,クレジットカード,支払い方法,ピル,決済")</f>
        <v>自費ピル,クレジットカード,支払い方法,ピル,決済</v>
      </c>
      <c r="E1012" s="32" t="str">
        <f>IFERROR(__xludf.DUMMYFUNCTION("""COMPUTED_VALUE"""),"https://luna-dr.com/")</f>
        <v>https://luna-dr.com/</v>
      </c>
    </row>
    <row r="1013">
      <c r="A1013" s="31" t="str">
        <f>IFERROR(__xludf.DUMMYFUNCTION("""COMPUTED_VALUE"""),"ベビーカーで行けますか？/ベビーカーで来院できますか？/ベビーカーは持ち込めますか？/赤ちゃん連れで行けますか？")</f>
        <v>ベビーカーで行けますか？/ベビーカーで来院できますか？/ベビーカーは持ち込めますか？/赤ちゃん連れで行けますか？</v>
      </c>
      <c r="B1013" s="31" t="str">
        <f>IFERROR(__xludf.DUMMYFUNCTION("""COMPUTED_VALUE"""),"ベビーカーでのご来院は可能です。ただし、ベビーカーの大きさによっては院内で折りたたんでいただく場合がございます。その際は、患者さまご本人様にお子様を抱っこしていただく必要がございますので、あらかじめご了承ください。")</f>
        <v>ベビーカーでのご来院は可能です。ただし、ベビーカーの大きさによっては院内で折りたたんでいただく場合がございます。その際は、患者さまご本人様にお子様を抱っこしていただく必要がございますので、あらかじめご了承ください。</v>
      </c>
      <c r="C1013" s="31" t="str">
        <f>IFERROR(__xludf.DUMMYFUNCTION("""COMPUTED_VALUE"""),"受診ルール・院内ルール")</f>
        <v>受診ルール・院内ルール</v>
      </c>
      <c r="D1013" s="31" t="str">
        <f>IFERROR(__xludf.DUMMYFUNCTION("""COMPUTED_VALUE"""),"ベビーカー,赤ちゃん連れ,子連れ,抱っこ,来院")</f>
        <v>ベビーカー,赤ちゃん連れ,子連れ,抱っこ,来院</v>
      </c>
      <c r="E1013" s="31"/>
    </row>
    <row r="1014">
      <c r="A1014" s="31" t="str">
        <f>IFERROR(__xludf.DUMMYFUNCTION("""COMPUTED_VALUE"""),"保険診療の料金はいくらですか？/保険診療の大体の金額を教えてください/保険診療の費用はいくらくらいですか？/保険診療の値段を知りたい")</f>
        <v>保険診療の料金はいくらですか？/保険診療の大体の金額を教えてください/保険診療の費用はいくらくらいですか？/保険診療の値段を知りたい</v>
      </c>
      <c r="B1014" s="31" t="str">
        <f>IFERROR(__xludf.DUMMYFUNCTION("""COMPUTED_VALUE"""),"保険診療の料金は、診察内容や検査項目によって異なります。おおよその目安につきましては、各院の料金ページをご確認ください。※診察内容により変動する可能性がございます。横浜駅前院：https://luna-dr.com/yokohama/price/ →川崎駅前院：https://luna-dr.com/kawasaki/price/ →町田駅前院：https://luna-dr.com/machida/price/")</f>
        <v>保険診療の料金は、診察内容や検査項目によって異なります。おおよその目安につきましては、各院の料金ページをご確認ください。※診察内容により変動する可能性がございます。横浜駅前院：https://luna-dr.com/yokohama/price/ →川崎駅前院：https://luna-dr.com/kawasaki/price/ →町田駅前院：https://luna-dr.com/machida/price/</v>
      </c>
      <c r="C1014" s="31" t="str">
        <f>IFERROR(__xludf.DUMMYFUNCTION("""COMPUTED_VALUE"""),"料金・保険")</f>
        <v>料金・保険</v>
      </c>
      <c r="D1014" s="31" t="str">
        <f>IFERROR(__xludf.DUMMYFUNCTION("""COMPUTED_VALUE"""),"保険診療,料金,金額,費用,いくら,保険適用")</f>
        <v>保険診療,料金,金額,費用,いくら,保険適用</v>
      </c>
      <c r="E1014" s="31" t="str">
        <f>IFERROR(__xludf.DUMMYFUNCTION("""COMPUTED_VALUE"""),"https://luna-dr.com/yokohama/price/ | https://luna-dr.com/kawasaki/price/ | https://luna-dr.com/machida/price/")</f>
        <v>https://luna-dr.com/yokohama/price/ | https://luna-dr.com/kawasaki/price/ | https://luna-dr.com/machida/price/</v>
      </c>
    </row>
    <row r="1015">
      <c r="A1015" s="31" t="str">
        <f>IFERROR(__xludf.DUMMYFUNCTION("""COMPUTED_VALUE"""),"これから予約なしで行きたいのですが大丈夫ですか？/今から予約なしで行けますか？/今日予約なしで行っても大丈夫ですか？/今から行きたいのですが予約なしで受診できますか？ /今日今から行けますか？/今から行けますか？/当日予約はできますか？/予約がいっぱいの場合直接行って待てば見てもらえますか？/予約が取れないが直接行っていいか /今日今から行けますか？/予約がいっぱいの場合直接行って待てば見てもらえますか？")</f>
        <v>これから予約なしで行きたいのですが大丈夫ですか？/今から予約なしで行けますか？/今日予約なしで行っても大丈夫ですか？/今から行きたいのですが予約なしで受診できますか？ /今日今から行けますか？/今から行けますか？/当日予約はできますか？/予約がいっぱいの場合直接行って待てば見てもらえますか？/予約が取れないが直接行っていいか /今日今から行けますか？/予約がいっぱいの場合直接行って待てば見てもらえますか？</v>
      </c>
      <c r="B1015" s="31" t="str">
        <f>IFERROR(__xludf.DUMMYFUNCTION("""COMPUTED_VALUE"""),"直接のご来院も可能ですが、待ち時間が発生する場合がございます。また、混雑状況によってはお受けできない場合や、ご案内を終了している場合もございます。事前にご予約をいただくことでスムーズに診察に進むことができます。ご予約は公式LINEからお取りください。LINEはこちら→https://cline-app.com/qr-codes/98ad6f149bfa20f4f2a9a2e91aac4187/preview
本日のご受診をご希望の場合は、ご受診内容によっては受付時間が異なるため、お電話（050-1730-"&amp;"2768）にてご確認ください。")</f>
        <v>直接のご来院も可能ですが、待ち時間が発生する場合がございます。また、混雑状況によってはお受けできない場合や、ご案内を終了している場合もございます。事前にご予約をいただくことでスムーズに診察に進むことができます。ご予約は公式LINEからお取りください。LINEはこちら→https://cline-app.com/qr-codes/98ad6f149bfa20f4f2a9a2e91aac4187/preview
本日のご受診をご希望の場合は、ご受診内容によっては受付時間が異なるため、お電話（050-1730-2768）にてご確認ください。</v>
      </c>
      <c r="C1015" s="31" t="str">
        <f>IFERROR(__xludf.DUMMYFUNCTION("""COMPUTED_VALUE"""),"予約・受診")</f>
        <v>予約・受診</v>
      </c>
      <c r="D1015" s="31" t="str">
        <f>IFERROR(__xludf.DUMMYFUNCTION("""COMPUTED_VALUE"""),"これから,今から,予約なし,当日,飛び込み,今日行きたい")</f>
        <v>これから,今から,予約なし,当日,飛び込み,今日行きたい</v>
      </c>
      <c r="E1015" s="31"/>
    </row>
    <row r="1016">
      <c r="A1016" s="31" t="str">
        <f>IFERROR(__xludf.DUMMYFUNCTION("""COMPUTED_VALUE"""),"熱があっても診療してもらえますか？/発熱していても受診できますか？/熱があるのですが受診できますか？/体温が高くても診察してもらえますか？")</f>
        <v>熱があっても診療してもらえますか？/発熱していても受診できますか？/熱があるのですが受診できますか？/体温が高くても診察してもらえますか？</v>
      </c>
      <c r="B1016" s="31" t="str">
        <f>IFERROR(__xludf.DUMMYFUNCTION("""COMPUTED_VALUE"""),"37.5度以上の発熱がある場合は、受診をお受けすることができません。恐れ入りますが、熱が下がってからの受診をお願いいたします。")</f>
        <v>37.5度以上の発熱がある場合は、受診をお受けすることができません。恐れ入りますが、熱が下がってからの受診をお願いいたします。</v>
      </c>
      <c r="C1016" s="31" t="str">
        <f>IFERROR(__xludf.DUMMYFUNCTION("""COMPUTED_VALUE"""),"受診ルール・院内ルール")</f>
        <v>受診ルール・院内ルール</v>
      </c>
      <c r="D1016" s="31" t="str">
        <f>IFERROR(__xludf.DUMMYFUNCTION("""COMPUTED_VALUE"""),"発熱,熱,37.5度,体温,受診不可,受け入れ")</f>
        <v>発熱,熱,37.5度,体温,受診不可,受け入れ</v>
      </c>
      <c r="E1016" s="31"/>
    </row>
    <row r="1017">
      <c r="A1017" s="31" t="str">
        <f>IFERROR(__xludf.DUMMYFUNCTION("""COMPUTED_VALUE"""),"定期便の料金はいくらですか？/定期配送の料金を教えてください/定期便はいくらですか？/ピルの定期配送の値段を知りたい/定期便の費用")</f>
        <v>定期便の料金はいくらですか？/定期配送の料金を教えてください/定期便はいくらですか？/ピルの定期配送の値段を知りたい/定期便の費用</v>
      </c>
      <c r="B1017" s="31" t="str">
        <f>IFERROR(__xludf.DUMMYFUNCTION("""COMPUTED_VALUE"""),"定期配送の料金は、こちらのページからご確認ください。→https://shop.luna-dr.com/collections/low_dose_pill_subscription")</f>
        <v>定期配送の料金は、こちらのページからご確認ください。→https://shop.luna-dr.com/collections/low_dose_pill_subscription</v>
      </c>
      <c r="C1017" s="31" t="str">
        <f>IFERROR(__xludf.DUMMYFUNCTION("""COMPUTED_VALUE"""),"定期配送")</f>
        <v>定期配送</v>
      </c>
      <c r="D1017" s="31" t="str">
        <f>IFERROR(__xludf.DUMMYFUNCTION("""COMPUTED_VALUE"""),"定期便,定期配送,料金,値段,いくら,費用,ピル,サブスク")</f>
        <v>定期便,定期配送,料金,値段,いくら,費用,ピル,サブスク</v>
      </c>
      <c r="E1017" s="32" t="str">
        <f>IFERROR(__xludf.DUMMYFUNCTION("""COMPUTED_VALUE"""),"https://shop.luna-dr.com/collections/low_dose_pill_subscription")</f>
        <v>https://shop.luna-dr.com/collections/low_dose_pill_subscription</v>
      </c>
    </row>
    <row r="1018">
      <c r="A1018" s="31" t="str">
        <f>IFERROR(__xludf.DUMMYFUNCTION("""COMPUTED_VALUE"""),"お電話の受付時間は【平日：9:45〜13:40、15:15〜19:40、土日祝：9:45〜13:40、15:15〜18:40】となります。お電話は050-1730-2768（全員共通）となります。")</f>
        <v>お電話の受付時間は【平日：9:45〜13:40、15:15〜19:40、土日祝：9:45〜13:40、15:15〜18:40】となります。お電話は050-1730-2768（全員共通）となります。</v>
      </c>
      <c r="B1018" s="31" t="str">
        <f>IFERROR(__xludf.DUMMYFUNCTION("""COMPUTED_VALUE"""),"お電話の受付時間は【平日：9:45〜13:40、15:15〜19:40、土日祝：9:45〜13:40、15:15〜18:40】となります。お電話は050-1730-2768となります。")</f>
        <v>お電話の受付時間は【平日：9:45〜13:40、15:15〜19:40、土日祝：9:45〜13:40、15:15〜18:40】となります。お電話は050-1730-2768となります。</v>
      </c>
      <c r="C1018" s="31" t="str">
        <f>IFERROR(__xludf.DUMMYFUNCTION("""COMPUTED_VALUE"""),"診療時間")</f>
        <v>診療時間</v>
      </c>
      <c r="D1018" s="31" t="str">
        <f>IFERROR(__xludf.DUMMYFUNCTION("""COMPUTED_VALUE"""),"電話,受付時間,電話番号,何時まで,つながる時間")</f>
        <v>電話,受付時間,電話番号,何時まで,つながる時間</v>
      </c>
      <c r="E1018" s="31"/>
    </row>
    <row r="1019">
      <c r="A1019" s="31" t="str">
        <f>IFERROR(__xludf.DUMMYFUNCTION("""COMPUTED_VALUE"""),"診療時間と料金を教えてください/診療時間と料金/営業時間と料金を知りたい")</f>
        <v>診療時間と料金を教えてください/診療時間と料金/営業時間と料金を知りたい</v>
      </c>
      <c r="B1019" s="31" t="str">
        <f>IFERROR(__xludf.DUMMYFUNCTION("""COMPUTED_VALUE"""),"ルナレディースクリニックの診療時間は院によって異なります。・横浜駅前院：平日は午前10:00〜14:00、午後15:30〜20:00。土日祝は午前10:00〜14:00、午後15:30〜19:00。毎日診療しています。詳しくはこちら→https://luna-dr.com/yokohama/ ・川崎駅前院：平日は午前10:00〜14:00、午後15:30〜20:00。土日祝は午前10:00〜14:00、午後15:30〜19:00。毎日診療。詳しくはこちら→https://luna-dr.com/kawas"&amp;"aki/ ・町田駅前院：平日は午前10:00〜14:00、午後15:30〜20:00。日曜は休診。土曜の午後は15:30〜19:00。詳しくはこちら→https://luna-dr.com/machida/ 各院の料金については、料金ページをご確認ください。・横浜駅前院：https://luna-dr.com/yokohama/price/ ・川崎駅前院：https://luna-dr.com/kawasaki/price/ ・町田駅前院：https://luna-dr.com/machida/price"&amp;"/")</f>
        <v>ルナレディースクリニックの診療時間は院によって異なります。・横浜駅前院：平日は午前10:00〜14:00、午後15:30〜20:00。土日祝は午前10:00〜14:00、午後15:30〜19:00。毎日診療しています。詳しくはこちら→https://luna-dr.com/yokohama/ ・川崎駅前院：平日は午前10:00〜14:00、午後15:30〜20:00。土日祝は午前10:00〜14:00、午後15:30〜19:00。毎日診療。詳しくはこちら→https://luna-dr.com/kawasaki/ ・町田駅前院：平日は午前10:00〜14:00、午後15:30〜20:00。日曜は休診。土曜の午後は15:30〜19:00。詳しくはこちら→https://luna-dr.com/machida/ 各院の料金については、料金ページをご確認ください。・横浜駅前院：https://luna-dr.com/yokohama/price/ ・川崎駅前院：https://luna-dr.com/kawasaki/price/ ・町田駅前院：https://luna-dr.com/machida/price/</v>
      </c>
      <c r="C1019" s="31" t="str">
        <f>IFERROR(__xludf.DUMMYFUNCTION("""COMPUTED_VALUE"""),"診療時間")</f>
        <v>診療時間</v>
      </c>
      <c r="D1019" s="31" t="str">
        <f>IFERROR(__xludf.DUMMYFUNCTION("""COMPUTED_VALUE"""),"診療時間,料金,営業時間,費用,時間と料金")</f>
        <v>診療時間,料金,営業時間,費用,時間と料金</v>
      </c>
      <c r="E1019" s="31"/>
    </row>
    <row r="1020">
      <c r="A1020" s="31" t="str">
        <f>IFERROR(__xludf.DUMMYFUNCTION("""COMPUTED_VALUE"""),"ピルが届かないのですが/定期便が届きません/定期配送のピルが届かない")</f>
        <v>ピルが届かないのですが/定期便が届きません/定期配送のピルが届かない</v>
      </c>
      <c r="B1020" s="31" t="str">
        <f>IFERROR(__xludf.DUMMYFUNCTION("""COMPUTED_VALUE"""),"定期配送に関するお問い合わせは、お電話にて承っております。お電話：050-1730-2768（受付時間：平日9:45〜13:40・15:15〜19:40、土日祝9:45〜13:40・15:15〜18:40）")</f>
        <v>定期配送に関するお問い合わせは、お電話にて承っております。お電話：050-1730-2768（受付時間：平日9:45〜13:40・15:15〜19:40、土日祝9:45〜13:40・15:15〜18:40）</v>
      </c>
      <c r="C1020" s="31" t="str">
        <f>IFERROR(__xludf.DUMMYFUNCTION("""COMPUTED_VALUE"""),"定期配送")</f>
        <v>定期配送</v>
      </c>
      <c r="D1020" s="31" t="str">
        <f>IFERROR(__xludf.DUMMYFUNCTION("""COMPUTED_VALUE"""),"ピル届かない,届かない,配送トラブル,定期便")</f>
        <v>ピル届かない,届かない,配送トラブル,定期便</v>
      </c>
      <c r="E1020" s="31"/>
    </row>
    <row r="1021">
      <c r="A1021" s="31" t="str">
        <f>IFERROR(__xludf.DUMMYFUNCTION("""COMPUTED_VALUE"""),"保険ピルは毎回診察が必要ですか？/保険ピルの処方のみ受け取りは可能ですか？")</f>
        <v>保険ピルは毎回診察が必要ですか？/保険ピルの処方のみ受け取りは可能ですか？</v>
      </c>
      <c r="B1021" s="31" t="str">
        <f>IFERROR(__xludf.DUMMYFUNCTION("""COMPUTED_VALUE"""),"保険ピルの場合、処方のたびに医師の診察が必須となります。毎回診察室にて医師より処方いたします。なお、医師の判断により年に1回内診がございます。")</f>
        <v>保険ピルの場合、処方のたびに医師の診察が必須となります。毎回診察室にて医師より処方いたします。なお、医師の判断により年に1回内診がございます。</v>
      </c>
      <c r="C1021" s="31" t="str">
        <f>IFERROR(__xludf.DUMMYFUNCTION("""COMPUTED_VALUE"""),"低用量ピル（保険）")</f>
        <v>低用量ピル（保険）</v>
      </c>
      <c r="D1021" s="31" t="str">
        <f>IFERROR(__xludf.DUMMYFUNCTION("""COMPUTED_VALUE"""),"保険ピル,診察,毎回,処方のみ,受け取り")</f>
        <v>保険ピル,診察,毎回,処方のみ,受け取り</v>
      </c>
      <c r="E1021" s="31"/>
    </row>
    <row r="1022">
      <c r="A1022" s="31" t="str">
        <f>IFERROR(__xludf.DUMMYFUNCTION("""COMPUTED_VALUE"""),"自費診療の場合、初診料や再診料はかかりますか？/自費ピルの初診料はいくらですか？/自費ピルの再診料はいくらですか？/自費診療でのピル処方の初診料と再診料を教えてください")</f>
        <v>自費診療の場合、初診料や再診料はかかりますか？/自費ピルの初診料はいくらですか？/自費ピルの再診料はいくらですか？/自費診療でのピル処方の初診料と再診料を教えてください</v>
      </c>
      <c r="B1022" s="31" t="str">
        <f>IFERROR(__xludf.DUMMYFUNCTION("""COMPUTED_VALUE"""),"自費診療の場合、初診料・再診料はかかりません。保険診療の場合は、毎回初診料または再診料が発生いたします。")</f>
        <v>自費診療の場合、初診料・再診料はかかりません。保険診療の場合は、毎回初診料または再診料が発生いたします。</v>
      </c>
      <c r="C1022" s="31" t="str">
        <f>IFERROR(__xludf.DUMMYFUNCTION("""COMPUTED_VALUE"""),"料金・保険")</f>
        <v>料金・保険</v>
      </c>
      <c r="D1022" s="31" t="str">
        <f>IFERROR(__xludf.DUMMYFUNCTION("""COMPUTED_VALUE"""),"自費,ピル,初診料,再診料,保険診療")</f>
        <v>自費,ピル,初診料,再診料,保険診療</v>
      </c>
      <c r="E1022" s="31"/>
    </row>
    <row r="1023">
      <c r="A1023" s="31" t="str">
        <f>IFERROR(__xludf.DUMMYFUNCTION("""COMPUTED_VALUE"""),"町田で処方しているピルを横浜でも処方できますか？/町田で処方しているピルを川崎でも処方できますか？/横浜で処方しているピルを川崎でも処方できますか？/横浜で処方しているピルを町田でも処方できますか？/川崎で処方しているピルを町田でも処方できますか？/川崎で処方しているピルを横浜でも処方できますか？")</f>
        <v>町田で処方しているピルを横浜でも処方できますか？/町田で処方しているピルを川崎でも処方できますか？/横浜で処方しているピルを川崎でも処方できますか？/横浜で処方しているピルを町田でも処方できますか？/川崎で処方しているピルを町田でも処方できますか？/川崎で処方しているピルを横浜でも処方できますか？</v>
      </c>
      <c r="B1023" s="31" t="str">
        <f>IFERROR(__xludf.DUMMYFUNCTION("""COMPUTED_VALUE"""),"当院の別の院でもピルの処方は可能です。カルテは電子カルテですべての院で共有されておりますので、継続としての処方が可能です。ただし、別の院での受診は初診扱いとなり、保険診療の場合は初診料がかかりますので予めご了承くださいませ。")</f>
        <v>当院の別の院でもピルの処方は可能です。カルテは電子カルテですべての院で共有されておりますので、継続としての処方が可能です。ただし、別の院での受診は初診扱いとなり、保険診療の場合は初診料がかかりますので予めご了承くださいませ。</v>
      </c>
      <c r="C1023" s="31" t="str">
        <f>IFERROR(__xludf.DUMMYFUNCTION("""COMPUTED_VALUE"""),"受診案内・院変更")</f>
        <v>受診案内・院変更</v>
      </c>
      <c r="D1023" s="31" t="str">
        <f>IFERROR(__xludf.DUMMYFUNCTION("""COMPUTED_VALUE"""),"院変更,ピル処方,別の院,カルテ,引き継ぎ")</f>
        <v>院変更,ピル処方,別の院,カルテ,引き継ぎ</v>
      </c>
      <c r="E1023" s="31"/>
    </row>
    <row r="1024">
      <c r="A1024" s="31" t="str">
        <f>IFERROR(__xludf.DUMMYFUNCTION("""COMPUTED_VALUE"""),"ピルの種類を変更したいのですが/避妊効果ありのピルから避妊効果なしのピルに変えたい/OCからLEPに変更したい/ピルを変えたい/ピルの変更")</f>
        <v>ピルの種類を変更したいのですが/避妊効果ありのピルから避妊効果なしのピルに変えたい/OCからLEPに変更したい/ピルを変えたい/ピルの変更</v>
      </c>
      <c r="B1024" s="31" t="str">
        <f>IFERROR(__xludf.DUMMYFUNCTION("""COMPUTED_VALUE"""),"ピルの種類の変更には医師の診察が必要です。ピルの変更をご希望の場合は、ご受診いただき医師にご相談をお願いいたします。ご予約は公式LINEから24時間承っております。LINEはこちら→https://cline-app.com/qr-codes/98ad6f149bfa20f4f2a9a2e91aac4187/preview")</f>
        <v>ピルの種類の変更には医師の診察が必要です。ピルの変更をご希望の場合は、ご受診いただき医師にご相談をお願いいたします。ご予約は公式LINEから24時間承っております。LINEはこちら→https://cline-app.com/qr-codes/98ad6f149bfa20f4f2a9a2e91aac4187/preview</v>
      </c>
      <c r="C1024" s="31" t="str">
        <f>IFERROR(__xludf.DUMMYFUNCTION("""COMPUTED_VALUE"""),"ピル処方")</f>
        <v>ピル処方</v>
      </c>
      <c r="D1024" s="31" t="str">
        <f>IFERROR(__xludf.DUMMYFUNCTION("""COMPUTED_VALUE"""),"ピル変更,種類変更,OC,LEP,切り替え,ピル変更,種類変更,OC,LEP,切り替え,ピルの変更,薬変更,変えたい")</f>
        <v>ピル変更,種類変更,OC,LEP,切り替え,ピル変更,種類変更,OC,LEP,切り替え,ピルの変更,薬変更,変えたい</v>
      </c>
      <c r="E1024" s="31"/>
    </row>
    <row r="1025">
      <c r="A1025" s="31" t="str">
        <f>IFERROR(__xludf.DUMMYFUNCTION("""COMPUTED_VALUE"""),"授乳中でもピルを処方してもらえますか？/授乳中に飲めるピルはありますか？")</f>
        <v>授乳中でもピルを処方してもらえますか？/授乳中に飲めるピルはありますか？</v>
      </c>
      <c r="B1025" s="31" t="str">
        <f>IFERROR(__xludf.DUMMYFUNCTION("""COMPUTED_VALUE"""),"授乳中のピルの内服はリスクもあり慎重投与となるため、ご受診いただき医師にご相談ください。処方の可否は最終的に医師の判断となります。ご予約は公式LINEから24時間承っております。LINEはこちら→https://cline-app.com/qr-codes/98ad6f149bfa20f4f2a9a2e91aac4187/preview")</f>
        <v>授乳中のピルの内服はリスクもあり慎重投与となるため、ご受診いただき医師にご相談ください。処方の可否は最終的に医師の判断となります。ご予約は公式LINEから24時間承っております。LINEはこちら→https://cline-app.com/qr-codes/98ad6f149bfa20f4f2a9a2e91aac4187/preview</v>
      </c>
      <c r="C1025" s="31" t="str">
        <f>IFERROR(__xludf.DUMMYFUNCTION("""COMPUTED_VALUE"""),"低用量ピル")</f>
        <v>低用量ピル</v>
      </c>
      <c r="D1025" s="31" t="str">
        <f>IFERROR(__xludf.DUMMYFUNCTION("""COMPUTED_VALUE"""),"授乳中,ピル,処方,種類,母親")</f>
        <v>授乳中,ピル,処方,種類,母親</v>
      </c>
      <c r="E1025" s="31"/>
    </row>
    <row r="1026">
      <c r="A1026" s="31" t="str">
        <f>IFERROR(__xludf.DUMMYFUNCTION("""COMPUTED_VALUE"""),"ロキソニンは処方してもらえますか？/鎮痛剤を処方してほしい")</f>
        <v>ロキソニンは処方してもらえますか？/鎮痛剤を処方してほしい</v>
      </c>
      <c r="B1026" s="31" t="str">
        <f>IFERROR(__xludf.DUMMYFUNCTION("""COMPUTED_VALUE"""),"薬剤の処方は最終的に医師の判断となりますので、ご受診いただき医師にご相談をお願いいたします。ご予約は公式LINEから24時間承っております。LINEはこちら→https://cline-app.com/qr-codes/98ad6f149bfa20f4f2a9a2e91aac4187/preview")</f>
        <v>薬剤の処方は最終的に医師の判断となりますので、ご受診いただき医師にご相談をお願いいたします。ご予約は公式LINEから24時間承っております。LINEはこちら→https://cline-app.com/qr-codes/98ad6f149bfa20f4f2a9a2e91aac4187/preview</v>
      </c>
      <c r="C1026" s="31" t="str">
        <f>IFERROR(__xludf.DUMMYFUNCTION("""COMPUTED_VALUE"""),"処方")</f>
        <v>処方</v>
      </c>
      <c r="D1026" s="31" t="str">
        <f>IFERROR(__xludf.DUMMYFUNCTION("""COMPUTED_VALUE"""),"ロキソニン,鎮痛剤,処方,痛み止め")</f>
        <v>ロキソニン,鎮痛剤,処方,痛み止め</v>
      </c>
      <c r="E1026" s="31"/>
    </row>
    <row r="1027">
      <c r="A1027" s="31" t="str">
        <f>IFERROR(__xludf.DUMMYFUNCTION("""COMPUTED_VALUE"""),"保険診療の初診料・再診料はいくらですか？/初診料を教えてください")</f>
        <v>保険診療の初診料・再診料はいくらですか？/初診料を教えてください</v>
      </c>
      <c r="B1027" s="31" t="str">
        <f>IFERROR(__xludf.DUMMYFUNCTION("""COMPUTED_VALUE"""),"保険診療の場合、初診料は約890円、再診料は約390円が加算されます。なお、夜間・早朝の受診の場合は、別途加算（約150円）がかかる場合がございます。※あくまで目安の金額となりますのでご了承くださいませ。自費診療の場合は初診料・再診料はかかりません。")</f>
        <v>保険診療の場合、初診料は約890円、再診料は約390円が加算されます。なお、夜間・早朝の受診の場合は、別途加算（約150円）がかかる場合がございます。※あくまで目安の金額となりますのでご了承くださいませ。自費診療の場合は初診料・再診料はかかりません。</v>
      </c>
      <c r="C1027" s="31" t="str">
        <f>IFERROR(__xludf.DUMMYFUNCTION("""COMPUTED_VALUE"""),"料金・保険")</f>
        <v>料金・保険</v>
      </c>
      <c r="D1027" s="31" t="str">
        <f>IFERROR(__xludf.DUMMYFUNCTION("""COMPUTED_VALUE"""),"初診料,再診料,890円,390円,夜間加算")</f>
        <v>初診料,再診料,890円,390円,夜間加算</v>
      </c>
      <c r="E1027" s="31"/>
    </row>
    <row r="1028">
      <c r="A1028" s="31" t="str">
        <f>IFERROR(__xludf.DUMMYFUNCTION("""COMPUTED_VALUE"""),"初診の対応時間はどれくらいですか？/受診にはどのくらい時間がかかりますか？/所要時間を教えてください/診療時間はどのくらいかかりますか？/診察はどのくらいかかりますか？ /予約外来の場合の所要時間は？/予約なしで行くとどのくらいかかりますか？/妊娠検査はどのくらい時間がかかりますか？/妊娠検査の所要時間")</f>
        <v>初診の対応時間はどれくらいですか？/受診にはどのくらい時間がかかりますか？/所要時間を教えてください/診療時間はどのくらいかかりますか？/診察はどのくらいかかりますか？ /予約外来の場合の所要時間は？/予約なしで行くとどのくらいかかりますか？/妊娠検査はどのくらい時間がかかりますか？/妊娠検査の所要時間</v>
      </c>
      <c r="B1028" s="31" t="str">
        <f>IFERROR(__xludf.DUMMYFUNCTION("""COMPUTED_VALUE"""),"外来の状況によって変動いたしますが、ご予約をお取りいただいた場合、トータル1時間前後を目安としていただければと思います。予約外来の場合は、当日の診察状況によって変動いたしますのでご了承くださいませ。")</f>
        <v>外来の状況によって変動いたしますが、ご予約をお取りいただいた場合、トータル1時間前後を目安としていただければと思います。予約外来の場合は、当日の診察状況によって変動いたしますのでご了承くださいませ。</v>
      </c>
      <c r="C1028" s="31" t="str">
        <f>IFERROR(__xludf.DUMMYFUNCTION("""COMPUTED_VALUE"""),"予約・受診")</f>
        <v>予約・受診</v>
      </c>
      <c r="D1028" s="31" t="str">
        <f>IFERROR(__xludf.DUMMYFUNCTION("""COMPUTED_VALUE"""),"所要時間,対応時間,初診,時間,1時間,月経移動,診療時間,どのくらいかかる,かかる時間")</f>
        <v>所要時間,対応時間,初診,時間,1時間,月経移動,診療時間,どのくらいかかる,かかる時間</v>
      </c>
      <c r="E1028" s="31"/>
    </row>
    <row r="1029">
      <c r="A1029" s="31" t="str">
        <f>IFERROR(__xludf.DUMMYFUNCTION("""COMPUTED_VALUE"""),"相談が2つある場合の予約方法を教えてください/複数の相談がある場合はどう予約すればいいですか？/2つの相談を同時にしたい場合の予約方法は？/月経の痛みと月経移動ピルの両方を相談したい/子宮頸がん検診とピル処方を一度に受けたい/診察と検査を同じ日にまとめたい")</f>
        <v>相談が2つある場合の予約方法を教えてください/複数の相談がある場合はどう予約すればいいですか？/2つの相談を同時にしたい場合の予約方法は？/月経の痛みと月経移動ピルの両方を相談したい/子宮頸がん検診とピル処方を一度に受けたい/診察と検査を同じ日にまとめたい</v>
      </c>
      <c r="B1029" s="31" t="str">
        <f>IFERROR(__xludf.DUMMYFUNCTION("""COMPUTED_VALUE"""),"複数のご相談がある場合は、「一般婦人科診療」で1つご予約をお取りいただき、WEB問診票の備考欄にご相談内容をご記入ください。1回のご予約で複数のご相談に対応可能です。ただし、公費での検診（がん検診・HPVワクチン等）と保険診療は、同日に行うことができませんので、それぞれ別日でのご予約をお願いいたします。なお、女性医師をご希望の場合は、お電話（050-1730-2768）にてご予約をお願いいたします。
また、恐れ入りますが、当院では乳房に関する診療（乳腺炎・マンモグラフィ・乳腺エコー・乳がん検診など）、更年"&amp;"期障害の治療、不妊治療・妊活のご相談（妊娠しやすいかどうかの検査等）、体重100kg以上の方への診療、救急対応（緊急搬送・急性期対応）は行っておりませんのであらかじめご了承くださいませ。")</f>
        <v>複数のご相談がある場合は、「一般婦人科診療」で1つご予約をお取りいただき、WEB問診票の備考欄にご相談内容をご記入ください。1回のご予約で複数のご相談に対応可能です。ただし、公費での検診（がん検診・HPVワクチン等）と保険診療は、同日に行うことができませんので、それぞれ別日でのご予約をお願いいたします。なお、女性医師をご希望の場合は、お電話（050-1730-2768）にてご予約をお願いいたします。
また、恐れ入りますが、当院では乳房に関する診療（乳腺炎・マンモグラフィ・乳腺エコー・乳がん検診など）、更年期障害の治療、不妊治療・妊活のご相談（妊娠しやすいかどうかの検査等）、体重100kg以上の方への診療、救急対応（緊急搬送・急性期対応）は行っておりませんのであらかじめご了承くださいませ。</v>
      </c>
      <c r="C1029" s="31" t="str">
        <f>IFERROR(__xludf.DUMMYFUNCTION("""COMPUTED_VALUE"""),"予約・受診")</f>
        <v>予約・受診</v>
      </c>
      <c r="D1029" s="31" t="str">
        <f>IFERROR(__xludf.DUMMYFUNCTION("""COMPUTED_VALUE"""),"複数相談,2つ,同時,一緒に,まとめて,一般婦人科診療,問診票,備考欄")</f>
        <v>複数相談,2つ,同時,一緒に,まとめて,一般婦人科診療,問診票,備考欄</v>
      </c>
      <c r="E1029" s="31"/>
    </row>
    <row r="1030">
      <c r="A1030" s="31" t="str">
        <f>IFERROR(__xludf.DUMMYFUNCTION("""COMPUTED_VALUE"""),"予約のキャンセルはいつまでにすればいいですか？/予約のキャンセルルールを教えてください/キャンセル料はかかりますか？")</f>
        <v>予約のキャンセルはいつまでにすればいいですか？/予約のキャンセルルールを教えてください/キャンセル料はかかりますか？</v>
      </c>
      <c r="B1030" s="31" t="str">
        <f>IFERROR(__xludf.DUMMYFUNCTION("""COMPUTED_VALUE"""),"ご予約のキャンセルに期限はなく、いつでもキャンセルが可能です。キャンセル料もかかりませんので、次回もお気兼ねなくご予約ください。
キャンセルをされる場合は、公式LINEの画面下の「予約確認」からお進みください。LINEはこちら→https://cline-app.com/qr-codes/98ad6f149bfa20f4f2a9a2e91aac4187/preview
※中絶手術（オペ）のご予約をお取りされている方はキャンセル期限がございますので、お電話（050-1730-2768）にてご連絡をお願いいた"&amp;"します。中絶の相談のご予約は、期限なくキャンセル可能です。")</f>
        <v>ご予約のキャンセルに期限はなく、いつでもキャンセルが可能です。キャンセル料もかかりませんので、次回もお気兼ねなくご予約ください。
キャンセルをされる場合は、公式LINEの画面下の「予約確認」からお進みください。LINEはこちら→https://cline-app.com/qr-codes/98ad6f149bfa20f4f2a9a2e91aac4187/preview
※中絶手術（オペ）のご予約をお取りされている方はキャンセル期限がございますので、お電話（050-1730-2768）にてご連絡をお願いいたします。中絶の相談のご予約は、期限なくキャンセル可能です。</v>
      </c>
      <c r="C1030" s="31" t="str">
        <f>IFERROR(__xludf.DUMMYFUNCTION("""COMPUTED_VALUE"""),"予約・受診")</f>
        <v>予約・受診</v>
      </c>
      <c r="D1030" s="31" t="str">
        <f>IFERROR(__xludf.DUMMYFUNCTION("""COMPUTED_VALUE"""),"キャンセル,期限,キャンセル料,無料")</f>
        <v>キャンセル,期限,キャンセル料,無料</v>
      </c>
      <c r="E1030" s="31"/>
    </row>
    <row r="1031">
      <c r="A1031" s="31" t="str">
        <f>IFERROR(__xludf.DUMMYFUNCTION("""COMPUTED_VALUE"""),"マスクは必須ですか？/マスクなしで来院できますか？")</f>
        <v>マスクは必須ですか？/マスクなしで来院できますか？</v>
      </c>
      <c r="B1031" s="31" t="str">
        <f>IFERROR(__xludf.DUMMYFUNCTION("""COMPUTED_VALUE"""),"当院では、マスクの着用は必須ではございません。")</f>
        <v>当院では、マスクの着用は必須ではございません。</v>
      </c>
      <c r="C1031" s="31" t="str">
        <f>IFERROR(__xludf.DUMMYFUNCTION("""COMPUTED_VALUE"""),"受診ルール・院内ルール")</f>
        <v>受診ルール・院内ルール</v>
      </c>
      <c r="D1031" s="31" t="str">
        <f>IFERROR(__xludf.DUMMYFUNCTION("""COMPUTED_VALUE"""),"マスク,必須,着用")</f>
        <v>マスク,必須,着用</v>
      </c>
      <c r="E1031" s="31"/>
    </row>
    <row r="1032">
      <c r="A1032" s="31" t="str">
        <f>IFERROR(__xludf.DUMMYFUNCTION("""COMPUTED_VALUE"""),"一般診療とピル処方どちらを選べばいいですか？/予約メニューの選び方を教えてください/術後検診が終わった後の不調はどの枠で予約すればいい？/検査結果が陽性で治療したい場合の予約項目/月経困難症の薬はどの項目で予約？/ピルの種類変更はどのメニュー？/うまく予約ができない/ホルモン検査を予約したい/ホルモン検査の予約方法/ホルモン検査は何で予約すればいい？/ホルモン検査の予約項目がない")</f>
        <v>一般診療とピル処方どちらを選べばいいですか？/予約メニューの選び方を教えてください/術後検診が終わった後の不調はどの枠で予約すればいい？/検査結果が陽性で治療したい場合の予約項目/月経困難症の薬はどの項目で予約？/ピルの種類変更はどのメニュー？/うまく予約ができない/ホルモン検査を予約したい/ホルモン検査の予約方法/ホルモン検査は何で予約すればいい？/ホルモン検査の予約項目がない</v>
      </c>
      <c r="B1032" s="31" t="str">
        <f>IFERROR(__xludf.DUMMYFUNCTION("""COMPUTED_VALUE"""),"ピルのご相談・処方をご希望の場合は「ピル処方」でご予約ください。それ以外のご相談は「一般婦人科診療」でご予約いただき、WEB問診票に受診内容をご入力ください。複数のご相談がある場合も「一般婦人科診療」で1つご予約ください。")</f>
        <v>ピルのご相談・処方をご希望の場合は「ピル処方」でご予約ください。それ以外のご相談は「一般婦人科診療」でご予約いただき、WEB問診票に受診内容をご入力ください。複数のご相談がある場合も「一般婦人科診療」で1つご予約ください。</v>
      </c>
      <c r="C1032" s="31" t="str">
        <f>IFERROR(__xludf.DUMMYFUNCTION("""COMPUTED_VALUE"""),"予約・受診")</f>
        <v>予約・受診</v>
      </c>
      <c r="D1032" s="31" t="str">
        <f>IFERROR(__xludf.DUMMYFUNCTION("""COMPUTED_VALUE"""),"一般診療,ピル処方,メニュー,選び方")</f>
        <v>一般診療,ピル処方,メニュー,選び方</v>
      </c>
      <c r="E1032" s="31"/>
    </row>
    <row r="1033">
      <c r="A1033" s="31" t="str">
        <f>IFERROR(__xludf.DUMMYFUNCTION("""COMPUTED_VALUE"""),"自治体のがん検診に必要な持ち物を教えてください/川崎市のがん検診に書類は必要ですか？/横浜市のがん検診に書類は必要ですか？/町田市のがん検診に書類は必要ですか？/自治体の子宮頸がん検診に必要な持ち物を教えてください/川崎市子宮頸がん検診に書類は必要ですか？/横浜市の子宮頸がん検診に書類は必要ですか？/町田市の子宮頸がん検診に書類は必要ですか？")</f>
        <v>自治体のがん検診に必要な持ち物を教えてください/川崎市のがん検診に書類は必要ですか？/横浜市のがん検診に書類は必要ですか？/町田市のがん検診に書類は必要ですか？/自治体の子宮頸がん検診に必要な持ち物を教えてください/川崎市子宮頸がん検診に書類は必要ですか？/横浜市の子宮頸がん検診に書類は必要ですか？/町田市の子宮頸がん検診に書類は必要ですか？</v>
      </c>
      <c r="B1033" s="31" t="str">
        <f>IFERROR(__xludf.DUMMYFUNCTION("""COMPUTED_VALUE"""),"自治体のがん検診にお越しの際は、身分証明書をご持参ください。※川崎市・横浜市の20歳・21歳で無料クーポンをご利用の場合は、自治体から届く無料クーポンの持参が必要です。※横浜市のHPV単独法検査をご希望の場合は、自治体から届く受診券シールが必要です。")</f>
        <v>自治体のがん検診にお越しの際は、身分証明書をご持参ください。※川崎市・横浜市の20歳・21歳で無料クーポンをご利用の場合は、自治体から届く無料クーポンの持参が必要です。※横浜市のHPV単独法検査をご希望の場合は、自治体から届く受診券シールが必要です。</v>
      </c>
      <c r="C1033" s="31" t="str">
        <f>IFERROR(__xludf.DUMMYFUNCTION("""COMPUTED_VALUE"""),"婦人科健診")</f>
        <v>婦人科健診</v>
      </c>
      <c r="D1033" s="31" t="str">
        <f>IFERROR(__xludf.DUMMYFUNCTION("""COMPUTED_VALUE"""),"がん検診,持ち物,身分証明書,無料クーポン,受診券シール,子宮頸がん")</f>
        <v>がん検診,持ち物,身分証明書,無料クーポン,受診券シール,子宮頸がん</v>
      </c>
      <c r="E1033" s="31"/>
    </row>
    <row r="1034">
      <c r="A1034" s="31" t="str">
        <f>IFERROR(__xludf.DUMMYFUNCTION("""COMPUTED_VALUE"""),"子宮頸がん検診の結果を持って精密検査を受けたいのですが/他院の検診結果で精密検査はできますか？")</f>
        <v>子宮頸がん検診の結果を持って精密検査を受けたいのですが/他院の検診結果で精密検査はできますか？</v>
      </c>
      <c r="B1034" s="31" t="str">
        <f>IFERROR(__xludf.DUMMYFUNCTION("""COMPUTED_VALUE"""),"検査結果の内容によってご案内が異なるため、お電話（050-1730-2768）にてお問い合わせください。お電話の受付時間は平日9:45〜13:40・15:15〜19:40、土日祝9:45〜13:40・15:15〜18:40となります。")</f>
        <v>検査結果の内容によってご案内が異なるため、お電話（050-1730-2768）にてお問い合わせください。お電話の受付時間は平日9:45〜13:40・15:15〜19:40、土日祝9:45〜13:40・15:15〜18:40となります。</v>
      </c>
      <c r="C1034" s="31" t="str">
        <f>IFERROR(__xludf.DUMMYFUNCTION("""COMPUTED_VALUE"""),"婦人科健診")</f>
        <v>婦人科健診</v>
      </c>
      <c r="D1034" s="31" t="str">
        <f>IFERROR(__xludf.DUMMYFUNCTION("""COMPUTED_VALUE"""),"精密検査,子宮頸がん検診,他院,検診結果,子宮頸管,頸管")</f>
        <v>精密検査,子宮頸がん検診,他院,検診結果,子宮頸管,頸管</v>
      </c>
      <c r="E1034" s="31"/>
    </row>
    <row r="1035">
      <c r="A1035" s="31" t="str">
        <f>IFERROR(__xludf.DUMMYFUNCTION("""COMPUTED_VALUE"""),"ウレアプラズマの検査費用はいくらですか？/マイコプラズマの検査費用はいくらですか？")</f>
        <v>ウレアプラズマの検査費用はいくらですか？/マイコプラズマの検査費用はいくらですか？</v>
      </c>
      <c r="B1035" s="31" t="str">
        <f>IFERROR(__xludf.DUMMYFUNCTION("""COMPUTED_VALUE"""),"マイコプラズマ・ウレアプラズマの検査は川崎駅前院のみで対応しております。検査費用は以下の通りです。・マイコプラズマ・ウレアプラズマ（腟分泌物）5,000円（税込）・マイコプラズマ・ウレアプラズマ（咽頭液）5,000円（税込）")</f>
        <v>マイコプラズマ・ウレアプラズマの検査は川崎駅前院のみで対応しております。検査費用は以下の通りです。・マイコプラズマ・ウレアプラズマ（腟分泌物）5,000円（税込）・マイコプラズマ・ウレアプラズマ（咽頭液）5,000円（税込）</v>
      </c>
      <c r="C1035" s="31" t="str">
        <f>IFERROR(__xludf.DUMMYFUNCTION("""COMPUTED_VALUE"""),"性感染症検査")</f>
        <v>性感染症検査</v>
      </c>
      <c r="D1035" s="31" t="str">
        <f>IFERROR(__xludf.DUMMYFUNCTION("""COMPUTED_VALUE"""),"ウレアプラズマ,マイコプラズマ,検査費用,川崎駅前院,5000円")</f>
        <v>ウレアプラズマ,マイコプラズマ,検査費用,川崎駅前院,5000円</v>
      </c>
      <c r="E1035" s="31"/>
    </row>
    <row r="1036">
      <c r="A1036" s="31" t="str">
        <f>IFERROR(__xludf.DUMMYFUNCTION("""COMPUTED_VALUE"""),"咽頭クラミジアの検査はできますか？/のどのクラミジア検査はできますか？/喉と陰部のクラミジア検査はできますか？/咽頭と膣のクラミジア検査")</f>
        <v>咽頭クラミジアの検査はできますか？/のどのクラミジア検査はできますか？/喉と陰部のクラミジア検査はできますか？/咽頭と膣のクラミジア検査</v>
      </c>
      <c r="B1036" s="31" t="str">
        <f>IFERROR(__xludf.DUMMYFUNCTION("""COMPUTED_VALUE"""),"咽頭クラミジアの検査は当院で対応可能です。ご予約は「一般婦人科診療」のメニューからお取りください。→https://cline-app.com/qr-codes/98ad6f149bfa20f4f2a9a2e91aac4187/preview")</f>
        <v>咽頭クラミジアの検査は当院で対応可能です。ご予約は「一般婦人科診療」のメニューからお取りください。→https://cline-app.com/qr-codes/98ad6f149bfa20f4f2a9a2e91aac4187/preview</v>
      </c>
      <c r="C1036" s="31" t="str">
        <f>IFERROR(__xludf.DUMMYFUNCTION("""COMPUTED_VALUE"""),"性感染症検査")</f>
        <v>性感染症検査</v>
      </c>
      <c r="D1036" s="31" t="str">
        <f>IFERROR(__xludf.DUMMYFUNCTION("""COMPUTED_VALUE"""),"咽頭クラミジア,のど,クラミジア検査")</f>
        <v>咽頭クラミジア,のど,クラミジア検査</v>
      </c>
      <c r="E1036" s="31"/>
    </row>
    <row r="1037">
      <c r="A1037" s="31" t="str">
        <f>IFERROR(__xludf.DUMMYFUNCTION("""COMPUTED_VALUE"""),"中絶手術は最短でいつ受けられますか？/中絶手術のスケジュールを教えてください/中絶手術は翌日にできますか？/中絶手術まで、最短どのくらい")</f>
        <v>中絶手術は最短でいつ受けられますか？/中絶手術のスケジュールを教えてください/中絶手術は翌日にできますか？/中絶手術まで、最短どのくらい</v>
      </c>
      <c r="B1037" s="31" t="str">
        <f>IFERROR(__xludf.DUMMYFUNCTION("""COMPUTED_VALUE"""),"中絶手術は、初回診療の日にエコー検査・血液検査を実施いたします。検査結果が出るまでに2〜3日かかるため、手術は検査結果が出た後のオペの空き状況に応じてのご案内となります。ご予約は公式LINEから24時間承っております。LINEはこちら→https://cline-app.com/qr-codes/98ad6f149bfa20f4f2a9a2e91aac4187/preview")</f>
        <v>中絶手術は、初回診療の日にエコー検査・血液検査を実施いたします。検査結果が出るまでに2〜3日かかるため、手術は検査結果が出た後のオペの空き状況に応じてのご案内となります。ご予約は公式LINEから24時間承っております。LINEはこちら→https://cline-app.com/qr-codes/98ad6f149bfa20f4f2a9a2e91aac4187/preview</v>
      </c>
      <c r="C1037" s="31" t="str">
        <f>IFERROR(__xludf.DUMMYFUNCTION("""COMPUTED_VALUE"""),"中絶手術")</f>
        <v>中絶手術</v>
      </c>
      <c r="D1037" s="31" t="str">
        <f>IFERROR(__xludf.DUMMYFUNCTION("""COMPUTED_VALUE"""),"中絶手術,スケジュール,翌日,最短,検査結果,2-3日")</f>
        <v>中絶手術,スケジュール,翌日,最短,検査結果,2-3日</v>
      </c>
      <c r="E1037" s="31"/>
    </row>
    <row r="1038">
      <c r="A1038" s="31" t="str">
        <f>IFERROR(__xludf.DUMMYFUNCTION("""COMPUTED_VALUE"""),"流産の手術はできますか？/流産手術は保険適用されますか？")</f>
        <v>流産の手術はできますか？/流産手術は保険適用されますか？</v>
      </c>
      <c r="B1038" s="31" t="str">
        <f>IFERROR(__xludf.DUMMYFUNCTION("""COMPUTED_VALUE"""),"流産の手術も当院で対応可能です。保険適用か自費診療かにつきましては、医師の判断となります。ご受診のご予約は公式LINEから24時間承っております。LINEはこちら→https://cline-app.com/qr-codes/98ad6f149bfa20f4f2a9a2e91aac4187/preview")</f>
        <v>流産の手術も当院で対応可能です。保険適用か自費診療かにつきましては、医師の判断となります。ご受診のご予約は公式LINEから24時間承っております。LINEはこちら→https://cline-app.com/qr-codes/98ad6f149bfa20f4f2a9a2e91aac4187/preview</v>
      </c>
      <c r="C1038" s="31" t="str">
        <f>IFERROR(__xludf.DUMMYFUNCTION("""COMPUTED_VALUE"""),"中絶手術")</f>
        <v>中絶手術</v>
      </c>
      <c r="D1038" s="31" t="str">
        <f>IFERROR(__xludf.DUMMYFUNCTION("""COMPUTED_VALUE"""),"流産,手術,保険適用,対応")</f>
        <v>流産,手術,保険適用,対応</v>
      </c>
      <c r="E1038" s="31"/>
    </row>
    <row r="1039">
      <c r="A1039" s="31" t="str">
        <f>IFERROR(__xludf.DUMMYFUNCTION("""COMPUTED_VALUE"""),"中絶手術の同意書はシャチハタでも大丈夫ですか？/同意書の捺印ルールを教えてください")</f>
        <v>中絶手術の同意書はシャチハタでも大丈夫ですか？/同意書の捺印ルールを教えてください</v>
      </c>
      <c r="B1039" s="31" t="str">
        <f>IFERROR(__xludf.DUMMYFUNCTION("""COMPUTED_VALUE"""),"中絶手術の同意書には、印鑑・シャチハタ・拇印のいずれかで対応可能です。")</f>
        <v>中絶手術の同意書には、印鑑・シャチハタ・拇印のいずれかで対応可能です。</v>
      </c>
      <c r="C1039" s="31" t="str">
        <f>IFERROR(__xludf.DUMMYFUNCTION("""COMPUTED_VALUE"""),"中絶手術")</f>
        <v>中絶手術</v>
      </c>
      <c r="D1039" s="31" t="str">
        <f>IFERROR(__xludf.DUMMYFUNCTION("""COMPUTED_VALUE"""),"同意書,シャチハタ,印鑑,拇印,捺印")</f>
        <v>同意書,シャチハタ,印鑑,拇印,捺印</v>
      </c>
      <c r="E1039" s="31"/>
    </row>
    <row r="1040">
      <c r="A1040" s="31" t="str">
        <f>IFERROR(__xludf.DUMMYFUNCTION("""COMPUTED_VALUE"""),"HPVワクチンは何回打つ必要がありますか？/子宮頸がんワクチンは全部で何回接種しますか？/HPVワクチンの接種回数を教えてください/HPVワクチンは何回打ちますか？")</f>
        <v>HPVワクチンは何回打つ必要がありますか？/子宮頸がんワクチンは全部で何回接種しますか？/HPVワクチンの接種回数を教えてください/HPVワクチンは何回打ちますか？</v>
      </c>
      <c r="B1040" s="31" t="str">
        <f>IFERROR(__xludf.DUMMYFUNCTION("""COMPUTED_VALUE"""),"HPVワクチン（子宮頸がんワクチン）は、接種開始時の年齢によって合計2回または3回接種します。当院で取り扱っている9価ワクチン（シルガード9）の場合、15歳未満で初回接種をすれば2回、15歳以上で開始した場合は3回接種となります。【15歳未満で初回接種の場合（2回）】1回目から6か月〜12か月間隔を空けて2回目を接種。※1回目と2回目は5か月以上空ける必要があります。【15歳以上で初回接種の場合（3回）】1回目から2か月後に2回目、1回目から6か月後に3回目を接種。※標準的なスケジュールが難しい場合、2回"&amp;"目は1か月以上、3回目は2回目から3か月以上空けます。HPVワクチンのご予約はお電話（050-1730-2768）にて承っております。")</f>
        <v>HPVワクチン（子宮頸がんワクチン）は、接種開始時の年齢によって合計2回または3回接種します。当院で取り扱っている9価ワクチン（シルガード9）の場合、15歳未満で初回接種をすれば2回、15歳以上で開始した場合は3回接種となります。【15歳未満で初回接種の場合（2回）】1回目から6か月〜12か月間隔を空けて2回目を接種。※1回目と2回目は5か月以上空ける必要があります。【15歳以上で初回接種の場合（3回）】1回目から2か月後に2回目、1回目から6か月後に3回目を接種。※標準的なスケジュールが難しい場合、2回目は1か月以上、3回目は2回目から3か月以上空けます。HPVワクチンのご予約はお電話（050-1730-2768）にて承っております。</v>
      </c>
      <c r="C1040" s="31" t="str">
        <f>IFERROR(__xludf.DUMMYFUNCTION("""COMPUTED_VALUE"""),"HPVワクチン")</f>
        <v>HPVワクチン</v>
      </c>
      <c r="D1040" s="31" t="str">
        <f>IFERROR(__xludf.DUMMYFUNCTION("""COMPUTED_VALUE"""),"HPVワクチン,子宮頸がんワクチン,接種回数,シルガード9,9価,2回,3回,15歳未満,スケジュール")</f>
        <v>HPVワクチン,子宮頸がんワクチン,接種回数,シルガード9,9価,2回,3回,15歳未満,スケジュール</v>
      </c>
      <c r="E1040" s="31"/>
    </row>
    <row r="1041">
      <c r="A1041" s="31" t="str">
        <f>IFERROR(__xludf.DUMMYFUNCTION("""COMPUTED_VALUE"""),"HPVワクチンの公費接種の申請はどこでできますか？/HPVワクチンを公費で受けたいが申請が必要と言われました")</f>
        <v>HPVワクチンの公費接種の申請はどこでできますか？/HPVワクチンを公費で受けたいが申請が必要と言われました</v>
      </c>
      <c r="B1041" s="31" t="str">
        <f>IFERROR(__xludf.DUMMYFUNCTION("""COMPUTED_VALUE"""),"HPVワクチンの公費接種に関する申請手続きは、お住まいの市区町村で受け付けております。対象年齢や申請方法は自治体によって異なりますので、お住まいの自治体のホームページまたは窓口にてご確認ください。")</f>
        <v>HPVワクチンの公費接種に関する申請手続きは、お住まいの市区町村で受け付けております。対象年齢や申請方法は自治体によって異なりますので、お住まいの自治体のホームページまたは窓口にてご確認ください。</v>
      </c>
      <c r="C1041" s="31" t="str">
        <f>IFERROR(__xludf.DUMMYFUNCTION("""COMPUTED_VALUE"""),"HPVワクチン")</f>
        <v>HPVワクチン</v>
      </c>
      <c r="D1041" s="31" t="str">
        <f>IFERROR(__xludf.DUMMYFUNCTION("""COMPUTED_VALUE"""),"HPVワクチン,公費,申請,自治体")</f>
        <v>HPVワクチン,公費,申請,自治体</v>
      </c>
      <c r="E1041" s="31"/>
    </row>
    <row r="1042">
      <c r="A1042" s="31" t="str">
        <f>IFERROR(__xludf.DUMMYFUNCTION("""COMPUTED_VALUE"""),"妊娠証明書は発行できますか？/妊娠証明書をもらえますか？")</f>
        <v>妊娠証明書は発行できますか？/妊娠証明書をもらえますか？</v>
      </c>
      <c r="B1042" s="31" t="str">
        <f>IFERROR(__xludf.DUMMYFUNCTION("""COMPUTED_VALUE"""),"妊娠証明書の発行は可能です。最終的には医師の判断となりますので、ご受診いただき医師にご相談をお願いいたします。ご受診のご予約は公式LINEから24時間承っております。LINEはこちら→https://cline-app.com/qr-codes/98ad6f149bfa20f4f2a9a2e91aac4187/preview")</f>
        <v>妊娠証明書の発行は可能です。最終的には医師の判断となりますので、ご受診いただき医師にご相談をお願いいたします。ご受診のご予約は公式LINEから24時間承っております。LINEはこちら→https://cline-app.com/qr-codes/98ad6f149bfa20f4f2a9a2e91aac4187/preview</v>
      </c>
      <c r="C1042" s="31" t="str">
        <f>IFERROR(__xludf.DUMMYFUNCTION("""COMPUTED_VALUE"""),"書類・証明書")</f>
        <v>書類・証明書</v>
      </c>
      <c r="D1042" s="31" t="str">
        <f>IFERROR(__xludf.DUMMYFUNCTION("""COMPUTED_VALUE"""),"妊娠証明書,発行,書類")</f>
        <v>妊娠証明書,発行,書類</v>
      </c>
      <c r="E1042" s="31"/>
    </row>
    <row r="1043">
      <c r="A1043" s="31" t="str">
        <f>IFERROR(__xludf.DUMMYFUNCTION("""COMPUTED_VALUE"""),"領収書の再発行はできますか？/領収書をなくしてしまったのですが")</f>
        <v>領収書の再発行はできますか？/領収書をなくしてしまったのですが</v>
      </c>
      <c r="B1043" s="31" t="str">
        <f>IFERROR(__xludf.DUMMYFUNCTION("""COMPUTED_VALUE"""),"領収書の再発行はいたしかねます。診療報酬明細書であれば発行が可能です。ご希望の場合は、お電話（050-1730-2768）でのご予約、または受付にてお申し付けください。")</f>
        <v>領収書の再発行はいたしかねます。診療報酬明細書であれば発行が可能です。ご希望の場合は、お電話（050-1730-2768）でのご予約、または受付にてお申し付けください。</v>
      </c>
      <c r="C1043" s="31" t="str">
        <f>IFERROR(__xludf.DUMMYFUNCTION("""COMPUTED_VALUE"""),"書類・証明書")</f>
        <v>書類・証明書</v>
      </c>
      <c r="D1043" s="31" t="str">
        <f>IFERROR(__xludf.DUMMYFUNCTION("""COMPUTED_VALUE"""),"領収書,再発行,診療報酬明細書")</f>
        <v>領収書,再発行,診療報酬明細書</v>
      </c>
      <c r="E1043" s="31"/>
    </row>
    <row r="1044">
      <c r="A1044" s="31" t="str">
        <f>IFERROR(__xludf.DUMMYFUNCTION("""COMPUTED_VALUE"""),"母性健康管理指導事項連絡カードは発行できますか？/母健連絡カードをもらえますか？")</f>
        <v>母性健康管理指導事項連絡カードは発行できますか？/母健連絡カードをもらえますか？</v>
      </c>
      <c r="B1044" s="31" t="str">
        <f>IFERROR(__xludf.DUMMYFUNCTION("""COMPUTED_VALUE"""),"母性健康管理指導事項連絡カードの発行は可能です。最終的には医師の判断となりますので、ご受診いただき医師にご相談をお願いいたします。ご受診のご予約は公式LINEから24時間承っております。LINEはこちら→https://cline-app.com/qr-codes/98ad6f149bfa20f4f2a9a2e91aac4187/preview")</f>
        <v>母性健康管理指導事項連絡カードの発行は可能です。最終的には医師の判断となりますので、ご受診いただき医師にご相談をお願いいたします。ご受診のご予約は公式LINEから24時間承っております。LINEはこちら→https://cline-app.com/qr-codes/98ad6f149bfa20f4f2a9a2e91aac4187/preview</v>
      </c>
      <c r="C1044" s="31" t="str">
        <f>IFERROR(__xludf.DUMMYFUNCTION("""COMPUTED_VALUE"""),"書類・証明書")</f>
        <v>書類・証明書</v>
      </c>
      <c r="D1044" s="31" t="str">
        <f>IFERROR(__xludf.DUMMYFUNCTION("""COMPUTED_VALUE"""),"母性健康管理指導事項連絡カード,母健連絡カード,発行")</f>
        <v>母性健康管理指導事項連絡カード,母健連絡カード,発行</v>
      </c>
      <c r="E1044" s="31"/>
    </row>
    <row r="1045">
      <c r="A1045" s="31" t="str">
        <f>IFERROR(__xludf.DUMMYFUNCTION("""COMPUTED_VALUE"""),"月経移動ピルをもらいに行く時に必要なものはありますか？/月経移動の来院時の持ち物を教えてください")</f>
        <v>月経移動ピルをもらいに行く時に必要なものはありますか？/月経移動の来院時の持ち物を教えてください</v>
      </c>
      <c r="B1045" s="31" t="str">
        <f>IFERROR(__xludf.DUMMYFUNCTION("""COMPUTED_VALUE"""),"月経移動ピルの処方にお越しの際は、身分証明書（マイナ保険証や保険証など）のみご持参ください。")</f>
        <v>月経移動ピルの処方にお越しの際は、身分証明書（マイナ保険証や保険証など）のみご持参ください。</v>
      </c>
      <c r="C1045" s="31" t="str">
        <f>IFERROR(__xludf.DUMMYFUNCTION("""COMPUTED_VALUE"""),"月経移動")</f>
        <v>月経移動</v>
      </c>
      <c r="D1045" s="31" t="str">
        <f>IFERROR(__xludf.DUMMYFUNCTION("""COMPUTED_VALUE"""),"月経移動,持ち物,必要なもの,身分証明書")</f>
        <v>月経移動,持ち物,必要なもの,身分証明書</v>
      </c>
      <c r="E1045" s="31"/>
    </row>
    <row r="1046">
      <c r="A1046" s="31" t="str">
        <f>IFERROR(__xludf.DUMMYFUNCTION("""COMPUTED_VALUE"""),"ピル服用中の血栓検査のための採血はできますか？/血栓スクリーニングの採血は行えますか？/血栓症の検査はいくらですか？")</f>
        <v>ピル服用中の血栓検査のための採血はできますか？/血栓スクリーニングの採血は行えますか？/血栓症の検査はいくらですか？</v>
      </c>
      <c r="B1046" s="31" t="str">
        <f>IFERROR(__xludf.DUMMYFUNCTION("""COMPUTED_VALUE"""),"血栓検査のための採血は当院で対応しております。自費ピル内服者向けの血液検査は5,000円（税込）です。保険適用の場合の料金は受診時にご確認ください。なお、採血は希望される方への対応となります。ピル服用中に定期的に行う検査は超音波検査・細胞診検査です。ご予約は「一般婦人科診療」のメニューからお取りいただき、WEB問診票の備考欄に「血栓検査希望」とご記入ください。→https://cline-app.com/qr-codes/98ad6f149bfa20f4f2a9a2e91aac4187/preview")</f>
        <v>血栓検査のための採血は当院で対応しております。自費ピル内服者向けの血液検査は5,000円（税込）です。保険適用の場合の料金は受診時にご確認ください。なお、採血は希望される方への対応となります。ピル服用中に定期的に行う検査は超音波検査・細胞診検査です。ご予約は「一般婦人科診療」のメニューからお取りいただき、WEB問診票の備考欄に「血栓検査希望」とご記入ください。→https://cline-app.com/qr-codes/98ad6f149bfa20f4f2a9a2e91aac4187/preview</v>
      </c>
      <c r="C1046" s="31" t="str">
        <f>IFERROR(__xludf.DUMMYFUNCTION("""COMPUTED_VALUE"""),"検査")</f>
        <v>検査</v>
      </c>
      <c r="D1046" s="31" t="str">
        <f>IFERROR(__xludf.DUMMYFUNCTION("""COMPUTED_VALUE"""),"血栓検査,採血,ピル,血栓スクリーニング")</f>
        <v>血栓検査,採血,ピル,血栓スクリーニング</v>
      </c>
      <c r="E1046" s="31"/>
    </row>
    <row r="1047">
      <c r="A1047" s="31" t="str">
        <f>IFERROR(__xludf.DUMMYFUNCTION("""COMPUTED_VALUE"""),"マイナ保険証は使えますか？/マイナ保険証の機械は設置されていますか？")</f>
        <v>マイナ保険証は使えますか？/マイナ保険証の機械は設置されていますか？</v>
      </c>
      <c r="B1047" s="31" t="str">
        <f>IFERROR(__xludf.DUMMYFUNCTION("""COMPUTED_VALUE"""),"横浜駅前院・川崎駅前院・町田駅前院の3院すべてにマイナ保険証対応の機械を設置しておりますので、マイナ保険証でのご対応が可能です。")</f>
        <v>横浜駅前院・川崎駅前院・町田駅前院の3院すべてにマイナ保険証対応の機械を設置しておりますので、マイナ保険証でのご対応が可能です。</v>
      </c>
      <c r="C1047" s="31" t="str">
        <f>IFERROR(__xludf.DUMMYFUNCTION("""COMPUTED_VALUE"""),"受診ルール・院内ルール")</f>
        <v>受診ルール・院内ルール</v>
      </c>
      <c r="D1047" s="31" t="str">
        <f>IFERROR(__xludf.DUMMYFUNCTION("""COMPUTED_VALUE"""),"マイナ保険証,マイナンバーカード,対応,設置")</f>
        <v>マイナ保険証,マイナンバーカード,対応,設置</v>
      </c>
      <c r="E1047" s="31"/>
    </row>
    <row r="1048">
      <c r="A1048" s="31" t="str">
        <f>IFERROR(__xludf.DUMMYFUNCTION("""COMPUTED_VALUE"""),"緊急避妊の避妊リングはありますか？/避妊リングを入れたいのですが")</f>
        <v>緊急避妊の避妊リングはありますか？/避妊リングを入れたいのですが</v>
      </c>
      <c r="B1048" s="31" t="str">
        <f>IFERROR(__xludf.DUMMYFUNCTION("""COMPUTED_VALUE"""),"避妊リング（ミレーナ）は当院で対応しております。ミレーナについての詳細はご受診時に医師にご相談ください。ご予約は公式LINEから24時間承っております。LINEはこちら→https://cline-app.com/qr-codes/98ad6f149bfa20f4f2a9a2e91aac4187/preview")</f>
        <v>避妊リング（ミレーナ）は当院で対応しております。ミレーナについての詳細はご受診時に医師にご相談ください。ご予約は公式LINEから24時間承っております。LINEはこちら→https://cline-app.com/qr-codes/98ad6f149bfa20f4f2a9a2e91aac4187/preview</v>
      </c>
      <c r="C1048" s="31" t="str">
        <f>IFERROR(__xludf.DUMMYFUNCTION("""COMPUTED_VALUE"""),"ミレーナ")</f>
        <v>ミレーナ</v>
      </c>
      <c r="D1048" s="31" t="str">
        <f>IFERROR(__xludf.DUMMYFUNCTION("""COMPUTED_VALUE"""),"避妊リング,ミレーナ,IUD")</f>
        <v>避妊リング,ミレーナ,IUD</v>
      </c>
      <c r="E1048" s="31"/>
    </row>
    <row r="1049">
      <c r="A1049" s="31" t="str">
        <f>IFERROR(__xludf.DUMMYFUNCTION("""COMPUTED_VALUE"""),"取り扱っているピルの種類を教えてください/処方できるピルの一覧はありますか？/どんなピルがありますか？/ピルの種類")</f>
        <v>取り扱っているピルの種類を教えてください/処方できるピルの一覧はありますか？/どんなピルがありますか？/ピルの種類</v>
      </c>
      <c r="B1049" s="31" t="str">
        <f>IFERROR(__xludf.DUMMYFUNCTION("""COMPUTED_VALUE"""),"ピルには、毎日服用して避妊や生理トラブルの改善を行う低用量ピルと、緊急時に1回だけ服用するアフターピルがあります。目的によって使い分けます。当院で取り扱っているピルは以下の通りです。【保険ピル（来院診療のみ）】ヤーズフレックス配合錠・アリッサ・ルナベル配合錠LD・フリウェル配合錠LD・ルナベル配合錠ULD・フリウェル配合錠ULD・ヤーズ配合錠・ドロエチ配合錠・ジェミーナ配合錠 ※保険ピルの料金は保険診療の内容により異なるため、事前にお伝えすることができません。【自費ピル】ファボワール21錠/28錠 1シー"&amp;"ト3,000円・ラベルフィーユ21錠/28錠 1シート3,000円・スリンダ（ミニピル）28錠 1シート3,300円（来院のみ）【アフターピル】レボノルゲストレル1.5mg 15,000円・エラワン（ウリプリスタル酢酸エステル）/Josei 17,000円【オンライン診療で処方可能なピル】ラベルフィーユ28・ファボワール28・プラノバール21錠・エラワン（ウリプリスタル酢酸エステル）・レボノルゲストレル ※マーベロン・アンジュ・トリキュラーは取り扱いがございません。詳しくはこちらをご覧ください。→http"&amp;"s://luna-dr.com/subjects/pill-prescription/")</f>
        <v>ピルには、毎日服用して避妊や生理トラブルの改善を行う低用量ピルと、緊急時に1回だけ服用するアフターピルがあります。目的によって使い分けます。当院で取り扱っているピルは以下の通りです。【保険ピル（来院診療のみ）】ヤーズフレックス配合錠・アリッサ・ルナベル配合錠LD・フリウェル配合錠LD・ルナベル配合錠ULD・フリウェル配合錠ULD・ヤーズ配合錠・ドロエチ配合錠・ジェミーナ配合錠 ※保険ピルの料金は保険診療の内容により異なるため、事前にお伝えすることができません。【自費ピル】ファボワール21錠/28錠 1シート3,000円・ラベルフィーユ21錠/28錠 1シート3,000円・スリンダ（ミニピル）28錠 1シート3,300円（来院のみ）【アフターピル】レボノルゲストレル1.5mg 15,000円・エラワン（ウリプリスタル酢酸エステル）/Josei 17,000円【オンライン診療で処方可能なピル】ラベルフィーユ28・ファボワール28・プラノバール21錠・エラワン（ウリプリスタル酢酸エステル）・レボノルゲストレル ※マーベロン・アンジュ・トリキュラーは取り扱いがございません。詳しくはこちらをご覧ください。→https://luna-dr.com/subjects/pill-prescription/</v>
      </c>
      <c r="C1049" s="31" t="str">
        <f>IFERROR(__xludf.DUMMYFUNCTION("""COMPUTED_VALUE"""),"ピル処方")</f>
        <v>ピル処方</v>
      </c>
      <c r="D1049" s="31" t="str">
        <f>IFERROR(__xludf.DUMMYFUNCTION("""COMPUTED_VALUE"""),"ピル,種類,一覧,取り扱い,保険ピル,自費ピル,アフターピル,オンライン,ピルの種類")</f>
        <v>ピル,種類,一覧,取り扱い,保険ピル,自費ピル,アフターピル,オンライン,ピルの種類</v>
      </c>
      <c r="E1049" s="32" t="str">
        <f>IFERROR(__xludf.DUMMYFUNCTION("""COMPUTED_VALUE"""),"https://luna-dr.com/subjects/pill-prescription/")</f>
        <v>https://luna-dr.com/subjects/pill-prescription/</v>
      </c>
    </row>
    <row r="1050">
      <c r="A1050" s="31" t="str">
        <f>IFERROR(__xludf.DUMMYFUNCTION("""COMPUTED_VALUE"""),"ヤーズフレックスは取り扱っていますか？/ヤーズフレックスの処方はできますか？/ヤーズフレックスの料金はいくらですか？")</f>
        <v>ヤーズフレックスは取り扱っていますか？/ヤーズフレックスの処方はできますか？/ヤーズフレックスの料金はいくらですか？</v>
      </c>
      <c r="B1050" s="31" t="str">
        <f>IFERROR(__xludf.DUMMYFUNCTION("""COMPUTED_VALUE"""),"ヤーズフレックス配合錠は当院で取り扱っております。保険適用のピルとなりますので、料金は保険診療の内容により異なります。事前に料金をお伝えすることはできかねますので、ご了承ください。ご予約は公式LINEから受け付けておりますので、友だち追加の上ご利用ください。※生理痛などの治療を目的とする低用量ピルは、初回は検査が必要なため来院診療となりますので、ご注意ください。来院診療のご予約：こちらのLINEをご利用ください→https://cline-app.com/qr-codes/98ad6f149bfa20f4"&amp;"f2a9a2e91aac4187/preview")</f>
        <v>ヤーズフレックス配合錠は当院で取り扱っております。保険適用のピルとなりますので、料金は保険診療の内容により異なります。事前に料金をお伝えすることはできかねますので、ご了承ください。ご予約は公式LINEから受け付けておりますので、友だち追加の上ご利用ください。※生理痛などの治療を目的とする低用量ピルは、初回は検査が必要なため来院診療となりますので、ご注意ください。来院診療のご予約：こちらのLINEをご利用ください→https://cline-app.com/qr-codes/98ad6f149bfa20f4f2a9a2e91aac4187/preview</v>
      </c>
      <c r="C1050" s="31" t="str">
        <f>IFERROR(__xludf.DUMMYFUNCTION("""COMPUTED_VALUE"""),"低用量ピル（保険）")</f>
        <v>低用量ピル（保険）</v>
      </c>
      <c r="D1050" s="31" t="str">
        <f>IFERROR(__xludf.DUMMYFUNCTION("""COMPUTED_VALUE"""),"ヤーズフレックス,保険ピル")</f>
        <v>ヤーズフレックス,保険ピル</v>
      </c>
      <c r="E1050" s="31"/>
    </row>
    <row r="1051">
      <c r="A1051" s="31" t="str">
        <f>IFERROR(__xludf.DUMMYFUNCTION("""COMPUTED_VALUE"""),"アリッサは取り扱っていますか？/アリッサの処方はできますか？/アリッサの料金はいくらですか？")</f>
        <v>アリッサは取り扱っていますか？/アリッサの処方はできますか？/アリッサの料金はいくらですか？</v>
      </c>
      <c r="B1051" s="31" t="str">
        <f>IFERROR(__xludf.DUMMYFUNCTION("""COMPUTED_VALUE"""),"アリッサは当院で取り扱っております。保険適用のピルとなりますので、料金は保険診療の内容により異なります。事前に料金をお伝えすることはできかねますので、ご了承ください。ご予約は公式LINEから受け付けておりますので、友だち追加の上ご利用ください。※生理痛などの治療を目的とする低用量ピルは、初回は検査が必要なため来院診療となりますので、ご注意ください。来院診療のご予約：こちらのLINEをご利用ください→https://cline-app.com/qr-codes/98ad6f149bfa20f4f2a9a2e"&amp;"91aac4187/preview")</f>
        <v>アリッサは当院で取り扱っております。保険適用のピルとなりますので、料金は保険診療の内容により異なります。事前に料金をお伝えすることはできかねますので、ご了承ください。ご予約は公式LINEから受け付けておりますので、友だち追加の上ご利用ください。※生理痛などの治療を目的とする低用量ピルは、初回は検査が必要なため来院診療となりますので、ご注意ください。来院診療のご予約：こちらのLINEをご利用ください→https://cline-app.com/qr-codes/98ad6f149bfa20f4f2a9a2e91aac4187/preview</v>
      </c>
      <c r="C1051" s="31" t="str">
        <f>IFERROR(__xludf.DUMMYFUNCTION("""COMPUTED_VALUE"""),"低用量ピル（保険）")</f>
        <v>低用量ピル（保険）</v>
      </c>
      <c r="D1051" s="31" t="str">
        <f>IFERROR(__xludf.DUMMYFUNCTION("""COMPUTED_VALUE"""),"アリッサ,保険ピル")</f>
        <v>アリッサ,保険ピル</v>
      </c>
      <c r="E1051" s="31"/>
    </row>
    <row r="1052">
      <c r="A1052" s="31" t="str">
        <f>IFERROR(__xludf.DUMMYFUNCTION("""COMPUTED_VALUE"""),"ルナベルは取り扱っていますか？/ルナベルLDの処方はできますか？/ルナベルULDの料金はいくらですか？")</f>
        <v>ルナベルは取り扱っていますか？/ルナベルLDの処方はできますか？/ルナベルULDの料金はいくらですか？</v>
      </c>
      <c r="B1052" s="31" t="str">
        <f>IFERROR(__xludf.DUMMYFUNCTION("""COMPUTED_VALUE"""),"ルナベル配合錠LD・ルナベル配合錠ULDともに当院で取り扱っております。保険適用のピルとなりますので、料金は保険診療の内容により異なります。事前に料金をお伝えすることはできかねますので、ご了承ください。ご予約は公式LINEから受け付けておりますので、友だち追加の上ご利用ください。※生理痛などの治療を目的とする低用量ピルは、初回は検査が必要なため来院診療となりますので、ご注意ください。来院診療のご予約：こちらのLINEをご利用ください→https://cline-app.com/qr-codes/98ad6"&amp;"f149bfa20f4f2a9a2e91aac4187/preview")</f>
        <v>ルナベル配合錠LD・ルナベル配合錠ULDともに当院で取り扱っております。保険適用のピルとなりますので、料金は保険診療の内容により異なります。事前に料金をお伝えすることはできかねますので、ご了承ください。ご予約は公式LINEから受け付けておりますので、友だち追加の上ご利用ください。※生理痛などの治療を目的とする低用量ピルは、初回は検査が必要なため来院診療となりますので、ご注意ください。来院診療のご予約：こちらのLINEをご利用ください→https://cline-app.com/qr-codes/98ad6f149bfa20f4f2a9a2e91aac4187/preview</v>
      </c>
      <c r="C1052" s="31" t="str">
        <f>IFERROR(__xludf.DUMMYFUNCTION("""COMPUTED_VALUE"""),"低用量ピル（保険）")</f>
        <v>低用量ピル（保険）</v>
      </c>
      <c r="D1052" s="31" t="str">
        <f>IFERROR(__xludf.DUMMYFUNCTION("""COMPUTED_VALUE"""),"ルナベル,ルナベルLD,ルナベルULD,保険ピル")</f>
        <v>ルナベル,ルナベルLD,ルナベルULD,保険ピル</v>
      </c>
      <c r="E1052" s="31"/>
    </row>
    <row r="1053">
      <c r="A1053" s="31" t="str">
        <f>IFERROR(__xludf.DUMMYFUNCTION("""COMPUTED_VALUE"""),"フリウェルは取り扱っていますか？/フリウェルLDの処方はできますか？/フリウェルULDの料金はいくらですか？")</f>
        <v>フリウェルは取り扱っていますか？/フリウェルLDの処方はできますか？/フリウェルULDの料金はいくらですか？</v>
      </c>
      <c r="B1053" s="31" t="str">
        <f>IFERROR(__xludf.DUMMYFUNCTION("""COMPUTED_VALUE"""),"フリウェル配合錠LD・フリウェル配合錠ULDともに当院で取り扱っております。保険適用のピルとなりますので、料金は保険診療の内容により異なります。事前に料金をお伝えすることはできかねますので、ご了承ください。ご予約は公式LINEから受け付けておりますので、友だち追加の上ご利用ください。※生理痛などの治療を目的とする低用量ピルは、初回は検査が必要なため来院診療となりますので、ご注意ください。来院診療のご予約：こちらのLINEをご利用ください→https://cline-app.com/qr-codes/98a"&amp;"d6f149bfa20f4f2a9a2e91aac4187/preview")</f>
        <v>フリウェル配合錠LD・フリウェル配合錠ULDともに当院で取り扱っております。保険適用のピルとなりますので、料金は保険診療の内容により異なります。事前に料金をお伝えすることはできかねますので、ご了承ください。ご予約は公式LINEから受け付けておりますので、友だち追加の上ご利用ください。※生理痛などの治療を目的とする低用量ピルは、初回は検査が必要なため来院診療となりますので、ご注意ください。来院診療のご予約：こちらのLINEをご利用ください→https://cline-app.com/qr-codes/98ad6f149bfa20f4f2a9a2e91aac4187/preview</v>
      </c>
      <c r="C1053" s="31" t="str">
        <f>IFERROR(__xludf.DUMMYFUNCTION("""COMPUTED_VALUE"""),"低用量ピル（保険）")</f>
        <v>低用量ピル（保険）</v>
      </c>
      <c r="D1053" s="31" t="str">
        <f>IFERROR(__xludf.DUMMYFUNCTION("""COMPUTED_VALUE"""),"フリウェル,フリウェルLD,フリウェルULD,保険ピル")</f>
        <v>フリウェル,フリウェルLD,フリウェルULD,保険ピル</v>
      </c>
      <c r="E1053" s="31"/>
    </row>
    <row r="1054">
      <c r="A1054" s="31" t="str">
        <f>IFERROR(__xludf.DUMMYFUNCTION("""COMPUTED_VALUE"""),"ヤーズは取り扱っていますか？/ヤーズ配合錠の処方はできますか？/ヤーズの料金はいくらですか？")</f>
        <v>ヤーズは取り扱っていますか？/ヤーズ配合錠の処方はできますか？/ヤーズの料金はいくらですか？</v>
      </c>
      <c r="B1054" s="31" t="str">
        <f>IFERROR(__xludf.DUMMYFUNCTION("""COMPUTED_VALUE"""),"ヤーズ配合錠は当院で取り扱っております。保険適用のピルとなりますので、料金は保険診療の内容により異なります。事前に料金をお伝えすることはできかねますので、ご了承ください。ご予約は公式LINEから受け付けておりますので、友だち追加の上ご利用ください。※生理痛などの治療を目的とする低用量ピルは、初回は検査が必要なため来院診療となりますので、ご注意ください。来院診療のご予約：こちらのLINEをご利用ください→https://cline-app.com/qr-codes/98ad6f149bfa20f4f2a9a"&amp;"2e91aac4187/preview")</f>
        <v>ヤーズ配合錠は当院で取り扱っております。保険適用のピルとなりますので、料金は保険診療の内容により異なります。事前に料金をお伝えすることはできかねますので、ご了承ください。ご予約は公式LINEから受け付けておりますので、友だち追加の上ご利用ください。※生理痛などの治療を目的とする低用量ピルは、初回は検査が必要なため来院診療となりますので、ご注意ください。来院診療のご予約：こちらのLINEをご利用ください→https://cline-app.com/qr-codes/98ad6f149bfa20f4f2a9a2e91aac4187/preview</v>
      </c>
      <c r="C1054" s="31" t="str">
        <f>IFERROR(__xludf.DUMMYFUNCTION("""COMPUTED_VALUE"""),"低用量ピル（保険）")</f>
        <v>低用量ピル（保険）</v>
      </c>
      <c r="D1054" s="31" t="str">
        <f>IFERROR(__xludf.DUMMYFUNCTION("""COMPUTED_VALUE"""),"ヤーズ,保険ピル")</f>
        <v>ヤーズ,保険ピル</v>
      </c>
      <c r="E1054" s="31"/>
    </row>
    <row r="1055">
      <c r="A1055" s="31" t="str">
        <f>IFERROR(__xludf.DUMMYFUNCTION("""COMPUTED_VALUE"""),"ドロエチは取り扱っていますか？/ドロエチ配合錠の処方はできますか？/ドロエチの料金はいくらですか？")</f>
        <v>ドロエチは取り扱っていますか？/ドロエチ配合錠の処方はできますか？/ドロエチの料金はいくらですか？</v>
      </c>
      <c r="B1055" s="31" t="str">
        <f>IFERROR(__xludf.DUMMYFUNCTION("""COMPUTED_VALUE"""),"ドロエチ配合錠は当院で取り扱っております。保険適用のピルとなりますので、料金は保険診療の内容により異なります。事前に料金をお伝えすることはできかねますので、ご了承ください。ご予約は公式LINEから受け付けておりますので、友だち追加の上ご利用ください。※生理痛などの治療を目的とする低用量ピルは、初回は検査が必要なため来院診療となりますので、ご注意ください。来院診療のご予約：こちらのLINEをご利用ください→https://cline-app.com/qr-codes/98ad6f149bfa20f4f2a9"&amp;"a2e91aac4187/preview")</f>
        <v>ドロエチ配合錠は当院で取り扱っております。保険適用のピルとなりますので、料金は保険診療の内容により異なります。事前に料金をお伝えすることはできかねますので、ご了承ください。ご予約は公式LINEから受け付けておりますので、友だち追加の上ご利用ください。※生理痛などの治療を目的とする低用量ピルは、初回は検査が必要なため来院診療となりますので、ご注意ください。来院診療のご予約：こちらのLINEをご利用ください→https://cline-app.com/qr-codes/98ad6f149bfa20f4f2a9a2e91aac4187/preview</v>
      </c>
      <c r="C1055" s="31" t="str">
        <f>IFERROR(__xludf.DUMMYFUNCTION("""COMPUTED_VALUE"""),"低用量ピル（保険）")</f>
        <v>低用量ピル（保険）</v>
      </c>
      <c r="D1055" s="31" t="str">
        <f>IFERROR(__xludf.DUMMYFUNCTION("""COMPUTED_VALUE"""),"ドロエチ,保険ピル")</f>
        <v>ドロエチ,保険ピル</v>
      </c>
      <c r="E1055" s="31"/>
    </row>
    <row r="1056">
      <c r="A1056" s="31" t="str">
        <f>IFERROR(__xludf.DUMMYFUNCTION("""COMPUTED_VALUE"""),"ジェミーナは取り扱っていますか？/ジェミーナ配合錠の処方はできますか？/ジェミーナの料金はいくらですか？")</f>
        <v>ジェミーナは取り扱っていますか？/ジェミーナ配合錠の処方はできますか？/ジェミーナの料金はいくらですか？</v>
      </c>
      <c r="B1056" s="31" t="str">
        <f>IFERROR(__xludf.DUMMYFUNCTION("""COMPUTED_VALUE"""),"ジェミーナ配合錠は当院で取り扱っております。保険適用のピルとなりますので、料金は保険診療の内容により異なります。事前に料金をお伝えすることはできかねますので、ご了承ください。ご予約は公式LINEから受け付けておりますので、友だち追加の上ご利用ください。※生理痛などの治療を目的とする低用量ピルは、初回は検査が必要なため来院診療となりますので、ご注意ください。来院診療のご予約：こちらのLINEをご利用ください→https://cline-app.com/qr-codes/98ad6f149bfa20f4f2a"&amp;"9a2e91aac4187/preview")</f>
        <v>ジェミーナ配合錠は当院で取り扱っております。保険適用のピルとなりますので、料金は保険診療の内容により異なります。事前に料金をお伝えすることはできかねますので、ご了承ください。ご予約は公式LINEから受け付けておりますので、友だち追加の上ご利用ください。※生理痛などの治療を目的とする低用量ピルは、初回は検査が必要なため来院診療となりますので、ご注意ください。来院診療のご予約：こちらのLINEをご利用ください→https://cline-app.com/qr-codes/98ad6f149bfa20f4f2a9a2e91aac4187/preview</v>
      </c>
      <c r="C1056" s="31" t="str">
        <f>IFERROR(__xludf.DUMMYFUNCTION("""COMPUTED_VALUE"""),"低用量ピル（保険）")</f>
        <v>低用量ピル（保険）</v>
      </c>
      <c r="D1056" s="31" t="str">
        <f>IFERROR(__xludf.DUMMYFUNCTION("""COMPUTED_VALUE"""),"ジェミーナ,保険ピル")</f>
        <v>ジェミーナ,保険ピル</v>
      </c>
      <c r="E1056" s="31"/>
    </row>
    <row r="1057">
      <c r="A1057" s="31" t="str">
        <f>IFERROR(__xludf.DUMMYFUNCTION("""COMPUTED_VALUE"""),"ファボワールの料金はいくらですか？/ファボワールは取り扱っていますか？")</f>
        <v>ファボワールの料金はいくらですか？/ファボワールは取り扱っていますか？</v>
      </c>
      <c r="B1057" s="31" t="str">
        <f>IFERROR(__xludf.DUMMYFUNCTION("""COMPUTED_VALUE"""),"ファボワール21錠/28錠は当院で取り扱っております。自費診療で1シート3,000円（税込）です。ご予約は公式LINEから受け付けておりますので、友だち追加の上ご利用ください。
※生理痛などの治療を目的とする低用量ピルは、初回は検査が必要なため来院診療となりますので、ご注意ください。
来院診療のご予約：こちらのLINEをご利用ください→https://cline-app.com/qr-codes/98ad6f149bfa20f4f2a9a2e91aac4187/preview
オンライン診療のご予約：こ"&amp;"ちらのオンライン診療LINEページをご利用ください→https://liff-gateway.lineml.jp/landing?follow=%40590gpxrd&amp;lp=fX73yx&amp;liff_id=1657094566-LmjNPPbV""")</f>
        <v>ファボワール21錠/28錠は当院で取り扱っております。自費診療で1シート3,000円（税込）です。ご予約は公式LINEから受け付けておりますので、友だち追加の上ご利用ください。
※生理痛などの治療を目的とする低用量ピルは、初回は検査が必要なため来院診療となりますので、ご注意ください。
来院診療のご予約：こちらのLINEをご利用ください→https://cline-app.com/qr-codes/98ad6f149bfa20f4f2a9a2e91aac4187/preview
オンライン診療のご予約：こちらのオンライン診療LINEページをご利用ください→https://liff-gateway.lineml.jp/landing?follow=%40590gpxrd&amp;lp=fX73yx&amp;liff_id=1657094566-LmjNPPbV"</v>
      </c>
      <c r="C1057" s="31" t="str">
        <f>IFERROR(__xludf.DUMMYFUNCTION("""COMPUTED_VALUE"""),"低用量ピル（自費）")</f>
        <v>低用量ピル（自費）</v>
      </c>
      <c r="D1057" s="31" t="str">
        <f>IFERROR(__xludf.DUMMYFUNCTION("""COMPUTED_VALUE"""),"ファボワール,自費ピル,3000円")</f>
        <v>ファボワール,自費ピル,3000円</v>
      </c>
      <c r="E1057" s="31"/>
    </row>
    <row r="1058">
      <c r="A1058" s="31" t="str">
        <f>IFERROR(__xludf.DUMMYFUNCTION("""COMPUTED_VALUE"""),"ラベルフィーユの料金はいくらですか？/ラベルフィーユは取り扱っていますか？")</f>
        <v>ラベルフィーユの料金はいくらですか？/ラベルフィーユは取り扱っていますか？</v>
      </c>
      <c r="B1058" s="31" t="str">
        <f>IFERROR(__xludf.DUMMYFUNCTION("""COMPUTED_VALUE"""),"ラベルフィーユ21錠/28錠は当院で取り扱っております。自費診療で1シート3,000円（税込）です。ご予約は公式LINEから受け付けておりますので、友だち追加の上ご利用ください。
※生理痛などの治療を目的とする低用量ピルは、初回は検査が必要なため来院診療となりますので、ご注意ください。
来院診療のご予約：こちらのLINEをご利用ください→https://cline-app.com/qr-codes/98ad6f149bfa20f4f2a9a2e91aac4187/preview
オンライン診療のご予約："&amp;"こちらのオンライン診療LINEページをご利用ください→https://liff-gateway.lineml.jp/landing?follow=%40590gpxrd&amp;lp=fX73yx&amp;liff_id=1657094566-LmjNPPbV""")</f>
        <v>ラベルフィーユ21錠/28錠は当院で取り扱っております。自費診療で1シート3,000円（税込）です。ご予約は公式LINEから受け付けておりますので、友だち追加の上ご利用ください。
※生理痛などの治療を目的とする低用量ピルは、初回は検査が必要なため来院診療となりますので、ご注意ください。
来院診療のご予約：こちらのLINEをご利用ください→https://cline-app.com/qr-codes/98ad6f149bfa20f4f2a9a2e91aac4187/preview
オンライン診療のご予約：こちらのオンライン診療LINEページをご利用ください→https://liff-gateway.lineml.jp/landing?follow=%40590gpxrd&amp;lp=fX73yx&amp;liff_id=1657094566-LmjNPPbV"</v>
      </c>
      <c r="C1058" s="31" t="str">
        <f>IFERROR(__xludf.DUMMYFUNCTION("""COMPUTED_VALUE"""),"低用量ピル（自費）")</f>
        <v>低用量ピル（自費）</v>
      </c>
      <c r="D1058" s="31" t="str">
        <f>IFERROR(__xludf.DUMMYFUNCTION("""COMPUTED_VALUE"""),"ラベルフィーユ,自費ピル,3000円")</f>
        <v>ラベルフィーユ,自費ピル,3000円</v>
      </c>
      <c r="E1058" s="31"/>
    </row>
    <row r="1059">
      <c r="A1059" s="31" t="str">
        <f>IFERROR(__xludf.DUMMYFUNCTION("""COMPUTED_VALUE"""),"スリンダの料金はいくらですか？/スリンダは取り扱っていますか？")</f>
        <v>スリンダの料金はいくらですか？/スリンダは取り扱っていますか？</v>
      </c>
      <c r="B1059" s="31" t="str">
        <f>IFERROR(__xludf.DUMMYFUNCTION("""COMPUTED_VALUE"""),"スリンダ28錠は当院で取り扱っております。自費診療で1シート3,300円（税込）です。ご予約は公式LINEから受け付けておりますので、友だち追加の上ご利用ください。
※生理痛などの治療を目的とする低用量ピルは、初回は検査が必要なため来院診療となりますので、ご注意ください。
来院診療のご予約：こちらのLINEをご利用ください→https://cline-app.com/qr-codes/98ad6f149bfa20f4f2a9a2e91aac4187/preview
オンライン診療のご予約：こちらのオンラ"&amp;"イン診療LINEページをご利用ください→https://liff-gateway.lineml.jp/landing?follow=%40590gpxrd&amp;lp=fX73yx&amp;liff_id=1657094566-LmjNPPbV""")</f>
        <v>スリンダ28錠は当院で取り扱っております。自費診療で1シート3,300円（税込）です。ご予約は公式LINEから受け付けておりますので、友だち追加の上ご利用ください。
※生理痛などの治療を目的とする低用量ピルは、初回は検査が必要なため来院診療となりますので、ご注意ください。
来院診療のご予約：こちらのLINEをご利用ください→https://cline-app.com/qr-codes/98ad6f149bfa20f4f2a9a2e91aac4187/preview
オンライン診療のご予約：こちらのオンライン診療LINEページをご利用ください→https://liff-gateway.lineml.jp/landing?follow=%40590gpxrd&amp;lp=fX73yx&amp;liff_id=1657094566-LmjNPPbV"</v>
      </c>
      <c r="C1059" s="31" t="str">
        <f>IFERROR(__xludf.DUMMYFUNCTION("""COMPUTED_VALUE"""),"低用量ピル（自費）")</f>
        <v>低用量ピル（自費）</v>
      </c>
      <c r="D1059" s="31" t="str">
        <f>IFERROR(__xludf.DUMMYFUNCTION("""COMPUTED_VALUE"""),"スリンダ,自費ピル,3300円")</f>
        <v>スリンダ,自費ピル,3300円</v>
      </c>
      <c r="E1059" s="31"/>
    </row>
    <row r="1060">
      <c r="A1060" s="31" t="str">
        <f>IFERROR(__xludf.DUMMYFUNCTION("""COMPUTED_VALUE"""),"ミニピルの処方はありますか？/ミニピルは取り扱っていますか？/ミニピルの料金はいくらですか？/ミニピル処方は保険診療ですか？/スリンダは保険適用ですか？/ミニピルは保険がききますか？")</f>
        <v>ミニピルの処方はありますか？/ミニピルは取り扱っていますか？/ミニピルの料金はいくらですか？/ミニピル処方は保険診療ですか？/スリンダは保険適用ですか？/ミニピルは保険がききますか？</v>
      </c>
      <c r="B1060" s="31" t="str">
        <f>IFERROR(__xludf.DUMMYFUNCTION("""COMPUTED_VALUE"""),"当院ではミニピルとしてスリンダ28錠を取り扱っております。自費診療で1シート3,300円（税込）です。スリンダは黄体ホルモンのみを含むピルで、来院診療での処方となります。ご予約は公式LINEから24時間承っております。LINEはこちら→https://cline-app.com/qr-codes/98ad6f149bfa20f4f2a9a2e91aac4187/preview")</f>
        <v>当院ではミニピルとしてスリンダ28錠を取り扱っております。自費診療で1シート3,300円（税込）です。スリンダは黄体ホルモンのみを含むピルで、来院診療での処方となります。ご予約は公式LINEから24時間承っております。LINEはこちら→https://cline-app.com/qr-codes/98ad6f149bfa20f4f2a9a2e91aac4187/preview</v>
      </c>
      <c r="C1060" s="31" t="str">
        <f>IFERROR(__xludf.DUMMYFUNCTION("""COMPUTED_VALUE"""),"ピル処方")</f>
        <v>ピル処方</v>
      </c>
      <c r="D1060" s="31" t="str">
        <f>IFERROR(__xludf.DUMMYFUNCTION("""COMPUTED_VALUE"""),"ミニピル,スリンダ,黄体ホルモン,プロゲスチン,3300円")</f>
        <v>ミニピル,スリンダ,黄体ホルモン,プロゲスチン,3300円</v>
      </c>
      <c r="E1060" s="31"/>
    </row>
    <row r="1061">
      <c r="A1061" s="31" t="str">
        <f>IFERROR(__xludf.DUMMYFUNCTION("""COMPUTED_VALUE"""),"マーベロンは取り扱っていますか？/マーベロンの処方はできますか？")</f>
        <v>マーベロンは取り扱っていますか？/マーベロンの処方はできますか？</v>
      </c>
      <c r="B1061" s="31" t="str">
        <f>IFERROR(__xludf.DUMMYFUNCTION("""COMPUTED_VALUE"""),"大変恐縮ではございますが、マーベロン21錠/28錠は当院では取り扱いがございません。当院で取り扱いのある自費ピルは、ファボワール（1シート3,000円）、ラベルフィーユ（1シート3,000円）、スリンダ（1シート3,300円）となります。当院で取り扱いがあるピルの処方をご希望される場合は、ご予約を公式LINEから受け付けております。友だち追加の上ご利用ください。
※生理痛などの治療を目的とする低用量ピルは、初回は検査が必要なため来院診療となりますので、ご注意ください。
来院診療のご予約：こちらのLINE"&amp;"をご利用ください→https://cline-app.com/qr-codes/98ad6f149bfa20f4f2a9a2e91aac4187/preview
オンライン診療のご予約：こちらのオンライン診療LINEページをご利用ください→https://liff-gateway.lineml.jp/landing?follow=%40590gpxrd&amp;lp=fX73yx&amp;liff_id=1657094566-LmjNPPbV""")</f>
        <v>大変恐縮ではございますが、マーベロン21錠/28錠は当院では取り扱いがございません。当院で取り扱いのある自費ピルは、ファボワール（1シート3,000円）、ラベルフィーユ（1シート3,000円）、スリンダ（1シート3,300円）となります。当院で取り扱いがあるピルの処方をご希望される場合は、ご予約を公式LINEから受け付けております。友だち追加の上ご利用ください。
※生理痛などの治療を目的とする低用量ピルは、初回は検査が必要なため来院診療となりますので、ご注意ください。
来院診療のご予約：こちらのLINEをご利用ください→https://cline-app.com/qr-codes/98ad6f149bfa20f4f2a9a2e91aac4187/preview
オンライン診療のご予約：こちらのオンライン診療LINEページをご利用ください→https://liff-gateway.lineml.jp/landing?follow=%40590gpxrd&amp;lp=fX73yx&amp;liff_id=1657094566-LmjNPPbV"</v>
      </c>
      <c r="C1061" s="31" t="str">
        <f>IFERROR(__xludf.DUMMYFUNCTION("""COMPUTED_VALUE"""),"低用量ピル（自費）")</f>
        <v>低用量ピル（自費）</v>
      </c>
      <c r="D1061" s="31" t="str">
        <f>IFERROR(__xludf.DUMMYFUNCTION("""COMPUTED_VALUE"""),"マーベロン,取り扱いなし")</f>
        <v>マーベロン,取り扱いなし</v>
      </c>
      <c r="E1061" s="31"/>
    </row>
    <row r="1062">
      <c r="A1062" s="31" t="str">
        <f>IFERROR(__xludf.DUMMYFUNCTION("""COMPUTED_VALUE"""),"アンジュは取り扱っていますか？/アンジュの処方はできますか？")</f>
        <v>アンジュは取り扱っていますか？/アンジュの処方はできますか？</v>
      </c>
      <c r="B1062" s="31" t="str">
        <f>IFERROR(__xludf.DUMMYFUNCTION("""COMPUTED_VALUE"""),"大変恐縮ではございますが、アンジュ21錠/28錠は当院では取り扱いがございません。当院で取り扱いのある自費ピルは、ファボワール（1シート3,000円）、ラベルフィーユ（1シート3,000円）、スリンダ（1シート3,300円）となります。当院で取り扱いがあるピルの処方をご希望される場合は、ご予約を公式LINEから受け付けております。友だち追加の上ご利用ください。
※生理痛などの治療を目的とする低用量ピルは、初回は検査が必要なため来院診療となりますので、ご注意ください。
来院診療のご予約：こちらのLINEを"&amp;"ご利用ください→https://cline-app.com/qr-codes/98ad6f149bfa20f4f2a9a2e91aac4187/preview
オンライン診療のご予約：こちらのオンライン診療LINEページをご利用ください→https://liff-gateway.lineml.jp/landing?follow=%40590gpxrd&amp;lp=fX73yx&amp;liff_id=1657094566-LmjNPPbV""")</f>
        <v>大変恐縮ではございますが、アンジュ21錠/28錠は当院では取り扱いがございません。当院で取り扱いのある自費ピルは、ファボワール（1シート3,000円）、ラベルフィーユ（1シート3,000円）、スリンダ（1シート3,300円）となります。当院で取り扱いがあるピルの処方をご希望される場合は、ご予約を公式LINEから受け付けております。友だち追加の上ご利用ください。
※生理痛などの治療を目的とする低用量ピルは、初回は検査が必要なため来院診療となりますので、ご注意ください。
来院診療のご予約：こちらのLINEをご利用ください→https://cline-app.com/qr-codes/98ad6f149bfa20f4f2a9a2e91aac4187/preview
オンライン診療のご予約：こちらのオンライン診療LINEページをご利用ください→https://liff-gateway.lineml.jp/landing?follow=%40590gpxrd&amp;lp=fX73yx&amp;liff_id=1657094566-LmjNPPbV"</v>
      </c>
      <c r="C1062" s="31" t="str">
        <f>IFERROR(__xludf.DUMMYFUNCTION("""COMPUTED_VALUE"""),"低用量ピル（自費）")</f>
        <v>低用量ピル（自費）</v>
      </c>
      <c r="D1062" s="31" t="str">
        <f>IFERROR(__xludf.DUMMYFUNCTION("""COMPUTED_VALUE"""),"アンジュ,取り扱いなし")</f>
        <v>アンジュ,取り扱いなし</v>
      </c>
      <c r="E1062" s="31"/>
    </row>
    <row r="1063">
      <c r="A1063" s="31" t="str">
        <f>IFERROR(__xludf.DUMMYFUNCTION("""COMPUTED_VALUE"""),"トリキュラーは取り扱っていますか？/トリキュラーの処方はできますか？")</f>
        <v>トリキュラーは取り扱っていますか？/トリキュラーの処方はできますか？</v>
      </c>
      <c r="B1063" s="31" t="str">
        <f>IFERROR(__xludf.DUMMYFUNCTION("""COMPUTED_VALUE"""),"大変恐縮ではございますが、トリキュラー錠21/28は当院では取り扱いがございません。当院で取り扱いのある自費ピルは、ファボワール（1シート3,000円）、ラベルフィーユ（1シート3,000円）、スリンダ（1シート3,300円）となります。当院で取り扱いがあるピルの処方をご希望される場合は、ご予約を公式LINEから受け付けております。友だち追加の上ご利用ください。
※生理痛などの治療を目的とする低用量ピルは、初回は検査が必要なため来院診療となりますので、ご注意ください。
来院診療のご予約：こちらのLINE"&amp;"をご利用ください→https://cline-app.com/qr-codes/98ad6f149bfa20f4f2a9a2e91aac4187/preview
オンライン診療のご予約：こちらのオンライン診療LINEページをご利用ください→https://liff-gateway.lineml.jp/landing?follow=%40590gpxrd&amp;lp=fX73yx&amp;liff_id=1657094566-LmjNPPbV""")</f>
        <v>大変恐縮ではございますが、トリキュラー錠21/28は当院では取り扱いがございません。当院で取り扱いのある自費ピルは、ファボワール（1シート3,000円）、ラベルフィーユ（1シート3,000円）、スリンダ（1シート3,300円）となります。当院で取り扱いがあるピルの処方をご希望される場合は、ご予約を公式LINEから受け付けております。友だち追加の上ご利用ください。
※生理痛などの治療を目的とする低用量ピルは、初回は検査が必要なため来院診療となりますので、ご注意ください。
来院診療のご予約：こちらのLINEをご利用ください→https://cline-app.com/qr-codes/98ad6f149bfa20f4f2a9a2e91aac4187/preview
オンライン診療のご予約：こちらのオンライン診療LINEページをご利用ください→https://liff-gateway.lineml.jp/landing?follow=%40590gpxrd&amp;lp=fX73yx&amp;liff_id=1657094566-LmjNPPbV"</v>
      </c>
      <c r="C1063" s="31" t="str">
        <f>IFERROR(__xludf.DUMMYFUNCTION("""COMPUTED_VALUE"""),"低用量ピル（自費）")</f>
        <v>低用量ピル（自費）</v>
      </c>
      <c r="D1063" s="31" t="str">
        <f>IFERROR(__xludf.DUMMYFUNCTION("""COMPUTED_VALUE"""),"トリキュラー,取り扱いなし")</f>
        <v>トリキュラー,取り扱いなし</v>
      </c>
      <c r="E1063" s="31"/>
    </row>
    <row r="1064">
      <c r="A1064" s="31" t="str">
        <f>IFERROR(__xludf.DUMMYFUNCTION("""COMPUTED_VALUE"""),"レボノルゲストレルの料金はいくらですか？/レボノルゲストレルは取り扱っていますか？")</f>
        <v>レボノルゲストレルの料金はいくらですか？/レボノルゲストレルは取り扱っていますか？</v>
      </c>
      <c r="B1064" s="31" t="str">
        <f>IFERROR(__xludf.DUMMYFUNCTION("""COMPUTED_VALUE"""),"レボノルゲストレル1.5mgは15,000円（税込）です。72時間以内に服用するアフターピルとなります。アフターピルは初診の方でも来院せずにご相談・処方が可能なオンライン診療をご利用いただけます。24時間いつでもご自身のタイミングで予約できます。
来院診療のご予約：こちらのLINEをご利用ください→https://cline-app.com/qr-codes/98ad6f149bfa20f4f2a9a2e91aac4187/preview
オンライン診療のご予約：こちらのオンライン診療LINEページをご"&amp;"利用ください→https://liff-gateway.lineml.jp/landing?follow=%40590gpxrd&amp;lp=fX73yx&amp;liff_id=1657094566-LmjNPPbV")</f>
        <v>レボノルゲストレル1.5mgは15,000円（税込）です。72時間以内に服用するアフターピルとなります。アフターピルは初診の方でも来院せずにご相談・処方が可能なオンライン診療をご利用いただけます。24時間いつでもご自身のタイミングで予約できます。
来院診療のご予約：こちらのLINEをご利用ください→https://cline-app.com/qr-codes/98ad6f149bfa20f4f2a9a2e91aac4187/preview
オンライン診療のご予約：こちらのオンライン診療LINEページをご利用ください→https://liff-gateway.lineml.jp/landing?follow=%40590gpxrd&amp;lp=fX73yx&amp;liff_id=1657094566-LmjNPPbV</v>
      </c>
      <c r="C1064" s="31" t="str">
        <f>IFERROR(__xludf.DUMMYFUNCTION("""COMPUTED_VALUE"""),"アフターピル")</f>
        <v>アフターピル</v>
      </c>
      <c r="D1064" s="31" t="str">
        <f>IFERROR(__xludf.DUMMYFUNCTION("""COMPUTED_VALUE"""),"レボノルゲストレル,アフターピル,15000円,72時間")</f>
        <v>レボノルゲストレル,アフターピル,15000円,72時間</v>
      </c>
      <c r="E1064" s="31"/>
    </row>
    <row r="1065">
      <c r="A1065" s="31" t="str">
        <f>IFERROR(__xludf.DUMMYFUNCTION("""COMPUTED_VALUE"""),"エラワンの料金はいくらですか？/Joseiの料金はいくらですか？/エラワンは取り扱っていますか？")</f>
        <v>エラワンの料金はいくらですか？/Joseiの料金はいくらですか？/エラワンは取り扱っていますか？</v>
      </c>
      <c r="B1065" s="31" t="str">
        <f>IFERROR(__xludf.DUMMYFUNCTION("""COMPUTED_VALUE"""),"エラワン/Joseiは17,000円（税込）です。120時間以内に服用するアフターピルとなります。アフターピルは初診の方でも来院せずにご相談・処方が可能なオンライン診療をご利用いただけます。24時間いつでもご自身のタイミングで予約できます。
来院診療のご予約：こちらのLINEをご利用ください→https://cline-app.com/qr-codes/98ad6f149bfa20f4f2a9a2e91aac4187/preview
オンライン診療のご予約：こちらのオンライン診療LINEページをご利用く"&amp;"ださい→https://liff-gateway.lineml.jp/landing?follow=%40590gpxrd&amp;lp=fX73yx&amp;liff_id=1657094566-LmjNPPbV")</f>
        <v>エラワン/Joseiは17,000円（税込）です。120時間以内に服用するアフターピルとなります。アフターピルは初診の方でも来院せずにご相談・処方が可能なオンライン診療をご利用いただけます。24時間いつでもご自身のタイミングで予約できます。
来院診療のご予約：こちらのLINEをご利用ください→https://cline-app.com/qr-codes/98ad6f149bfa20f4f2a9a2e91aac4187/preview
オンライン診療のご予約：こちらのオンライン診療LINEページをご利用ください→https://liff-gateway.lineml.jp/landing?follow=%40590gpxrd&amp;lp=fX73yx&amp;liff_id=1657094566-LmjNPPbV</v>
      </c>
      <c r="C1065" s="31" t="str">
        <f>IFERROR(__xludf.DUMMYFUNCTION("""COMPUTED_VALUE"""),"アフターピル")</f>
        <v>アフターピル</v>
      </c>
      <c r="D1065" s="31" t="str">
        <f>IFERROR(__xludf.DUMMYFUNCTION("""COMPUTED_VALUE"""),"エラワン,Josei,アフターピル,17000円,120時間")</f>
        <v>エラワン,Josei,アフターピル,17000円,120時間</v>
      </c>
      <c r="E1065" s="31"/>
    </row>
    <row r="1066">
      <c r="A1066" s="31" t="str">
        <f>IFERROR(__xludf.DUMMYFUNCTION("""COMPUTED_VALUE"""),"予約メニューはどれを選べばいいですか？/何のメニューで予約すればいいか分かりません/予約の取り方が分かりません/どのメニューで予約したらいいですか？/保険診療の予約は一般婦人科を選択すれば良いですか？/保険診療の予約メニュー/処方箋の再発行の予約方法を教えてください/妊婦健診の予約方法")</f>
        <v>予約メニューはどれを選べばいいですか？/何のメニューで予約すればいいか分かりません/予約の取り方が分かりません/どのメニューで予約したらいいですか？/保険診療の予約は一般婦人科を選択すれば良いですか？/保険診療の予約メニュー/処方箋の再発行の予約方法を教えてください/妊婦健診の予約方法</v>
      </c>
      <c r="B1066" s="31" t="str">
        <f>IFERROR(__xludf.DUMMYFUNCTION("""COMPUTED_VALUE"""),"ピルのご相談・処方をご希望の場合は「ピル処方」でご予約ください。それ以外のご相談（生理痛・おりもの・性感染症・ミレーナ・ブライダルチェック・コンジローマ・不正出血など）は「一般婦人科診療」でご予約いただき、WEB問診票に受診内容をご入力ください。複数のご相談がある場合も「一般婦人科診療」で1つご予約をお取りいただき、問診票の備考欄にご相談内容をご記入いただければ、1回のご予約で対応いたします。")</f>
        <v>ピルのご相談・処方をご希望の場合は「ピル処方」でご予約ください。それ以外のご相談（生理痛・おりもの・性感染症・ミレーナ・ブライダルチェック・コンジローマ・不正出血など）は「一般婦人科診療」でご予約いただき、WEB問診票に受診内容をご入力ください。複数のご相談がある場合も「一般婦人科診療」で1つご予約をお取りいただき、問診票の備考欄にご相談内容をご記入いただければ、1回のご予約で対応いたします。</v>
      </c>
      <c r="C1066" s="31" t="str">
        <f>IFERROR(__xludf.DUMMYFUNCTION("""COMPUTED_VALUE"""),"予約・受診")</f>
        <v>予約・受診</v>
      </c>
      <c r="D1066" s="31" t="str">
        <f>IFERROR(__xludf.DUMMYFUNCTION("""COMPUTED_VALUE"""),"予約メニュー,どれ,選び方,分からない,ピル処方,一般婦人科診療,問診票")</f>
        <v>予約メニュー,どれ,選び方,分からない,ピル処方,一般婦人科診療,問診票</v>
      </c>
      <c r="E1066" s="31"/>
    </row>
    <row r="1067">
      <c r="A1067" s="31" t="str">
        <f>IFERROR(__xludf.DUMMYFUNCTION("""COMPUTED_VALUE"""),"生理痛の診療時間を教えてください/生理痛で受診したい場合の診療時間は？/生理痛は何時まで診てもらえますか？")</f>
        <v>生理痛の診療時間を教えてください/生理痛で受診したい場合の診療時間は？/生理痛は何時まで診てもらえますか？</v>
      </c>
      <c r="B1067" s="31" t="str">
        <f>IFERROR(__xludf.DUMMYFUNCTION("""COMPUTED_VALUE"""),"生理痛のご相談は通常の診療時間内で対応しております。診療時間は院によって異なりますので、詳しくは各院のページをご確認ください。・横浜駅前院：https://luna-dr.com/yokohama/ ・川崎駅前院：https://luna-dr.com/kawasaki/ ・町田駅前院：https://luna-dr.com/machida/ ご予約は公式LINEから24時間承っております。LINEはこちら→https://cline-app.com/qr-codes/98ad6f149bfa20f4f2"&amp;"a9a2e91aac4187/preview")</f>
        <v>生理痛のご相談は通常の診療時間内で対応しております。診療時間は院によって異なりますので、詳しくは各院のページをご確認ください。・横浜駅前院：https://luna-dr.com/yokohama/ ・川崎駅前院：https://luna-dr.com/kawasaki/ ・町田駅前院：https://luna-dr.com/machida/ ご予約は公式LINEから24時間承っております。LINEはこちら→https://cline-app.com/qr-codes/98ad6f149bfa20f4f2a9a2e91aac4187/preview</v>
      </c>
      <c r="C1067" s="31" t="str">
        <f>IFERROR(__xludf.DUMMYFUNCTION("""COMPUTED_VALUE"""),"診療時間")</f>
        <v>診療時間</v>
      </c>
      <c r="D1067" s="31" t="str">
        <f>IFERROR(__xludf.DUMMYFUNCTION("""COMPUTED_VALUE"""),"生理痛,診療時間,受付時間")</f>
        <v>生理痛,診療時間,受付時間</v>
      </c>
      <c r="E1067" s="31"/>
    </row>
    <row r="1068">
      <c r="A1068" s="31" t="str">
        <f>IFERROR(__xludf.DUMMYFUNCTION("""COMPUTED_VALUE"""),"中絶相談の診療時間を教えてください/中絶相談で受診したい場合の診療時間は？/中絶相談は何時まで診てもらえますか？")</f>
        <v>中絶相談の診療時間を教えてください/中絶相談で受診したい場合の診療時間は？/中絶相談は何時まで診てもらえますか？</v>
      </c>
      <c r="B1068" s="31" t="str">
        <f>IFERROR(__xludf.DUMMYFUNCTION("""COMPUTED_VALUE"""),"中絶相談のご相談は通常の診療時間内で対応しております。診療時間は院によって異なりますので、詳しくは各院のページをご確認ください。・横浜駅前院：https://luna-dr.com/yokohama/ ・川崎駅前院：https://luna-dr.com/kawasaki/ ・町田駅前院：https://luna-dr.com/machida/ ご予約は公式LINEから24時間承っております。LINEはこちら→https://cline-app.com/qr-codes/98ad6f149bfa20f4f"&amp;"2a9a2e91aac4187/preview")</f>
        <v>中絶相談のご相談は通常の診療時間内で対応しております。診療時間は院によって異なりますので、詳しくは各院のページをご確認ください。・横浜駅前院：https://luna-dr.com/yokohama/ ・川崎駅前院：https://luna-dr.com/kawasaki/ ・町田駅前院：https://luna-dr.com/machida/ ご予約は公式LINEから24時間承っております。LINEはこちら→https://cline-app.com/qr-codes/98ad6f149bfa20f4f2a9a2e91aac4187/preview</v>
      </c>
      <c r="C1068" s="31" t="str">
        <f>IFERROR(__xludf.DUMMYFUNCTION("""COMPUTED_VALUE"""),"診療時間")</f>
        <v>診療時間</v>
      </c>
      <c r="D1068" s="31" t="str">
        <f>IFERROR(__xludf.DUMMYFUNCTION("""COMPUTED_VALUE"""),"中絶相談,診療時間,受付時間")</f>
        <v>中絶相談,診療時間,受付時間</v>
      </c>
      <c r="E1068" s="31"/>
    </row>
    <row r="1069">
      <c r="A1069" s="31" t="str">
        <f>IFERROR(__xludf.DUMMYFUNCTION("""COMPUTED_VALUE"""),"コンジローマとは何ですか？/尖圭コンジローマとはどんな病気ですか？")</f>
        <v>コンジローマとは何ですか？/尖圭コンジローマとはどんな病気ですか？</v>
      </c>
      <c r="B1069" s="31" t="str">
        <f>IFERROR(__xludf.DUMMYFUNCTION("""COMPUTED_VALUE"""),"尖圭コンジローマは、HPV（ヒトパピローマウイルス）の6型・11型への感染によって発症する性感染症です。性器周辺にイボ状の小さな腫瘍があらわれます。イボの形状は乳頭状・トサカ状・カリフラワー状などで、色はピンク色や茶色、白色や黒色などです。潜伏期間は数週間〜2〜3ヶ月程度ですが、半年以上経ってから症状が出る場合もあります。詳しくはこちらをご確認ください。→https://luna-dr.com/subjects/media/2794/")</f>
        <v>尖圭コンジローマは、HPV（ヒトパピローマウイルス）の6型・11型への感染によって発症する性感染症です。性器周辺にイボ状の小さな腫瘍があらわれます。イボの形状は乳頭状・トサカ状・カリフラワー状などで、色はピンク色や茶色、白色や黒色などです。潜伏期間は数週間〜2〜3ヶ月程度ですが、半年以上経ってから症状が出る場合もあります。詳しくはこちらをご確認ください。→https://luna-dr.com/subjects/media/2794/</v>
      </c>
      <c r="C1069" s="31" t="str">
        <f>IFERROR(__xludf.DUMMYFUNCTION("""COMPUTED_VALUE"""),"性感染症")</f>
        <v>性感染症</v>
      </c>
      <c r="D1069" s="31" t="str">
        <f>IFERROR(__xludf.DUMMYFUNCTION("""COMPUTED_VALUE"""),"コンジローマ,尖圭コンジローマ,HPV,イボ,性感染症,性病")</f>
        <v>コンジローマ,尖圭コンジローマ,HPV,イボ,性感染症,性病</v>
      </c>
      <c r="E1069" s="32" t="str">
        <f>IFERROR(__xludf.DUMMYFUNCTION("""COMPUTED_VALUE"""),"https://luna-dr.com/subjects/media/2794/")</f>
        <v>https://luna-dr.com/subjects/media/2794/</v>
      </c>
    </row>
    <row r="1070">
      <c r="A1070" s="31" t="str">
        <f>IFERROR(__xludf.DUMMYFUNCTION("""COMPUTED_VALUE"""),"コンジローマの治療方法を教えてください/尖圭コンジローマの治療はできますか？/コンジローマはどうやって治療しますか？")</f>
        <v>コンジローマの治療方法を教えてください/尖圭コンジローマの治療はできますか？/コンジローマはどうやって治療しますか？</v>
      </c>
      <c r="B1070" s="31" t="str">
        <f>IFERROR(__xludf.DUMMYFUNCTION("""COMPUTED_VALUE"""),"尖圭コンジローマの治療は当院で対応しております。主な治療方法は以下の3つです。【外用薬による治療】抗ウイルス作用のある塗り薬を患部に塗布します。週3回、最大16週間継続します。治療費は3割負担で約4,500円/月です。【液体窒素による治療】液体窒素を患部に押し当て、ウイルスの活性を抑えます。1〜2週おきに治療を継続します。治療費は3割負担で1回約800〜1,000円です。【手術療法】局所麻酔の上、電気メスでイボを切除します。1度の治療で全てのイボを取り除くことができます。治療費は3割負担で約9,000〜1"&amp;"5,000円です。症状に応じて医師が最適な治療法を判断いたします。詳しくはこちらをご確認ください。→https://luna-dr.com/subjects/media/2794/")</f>
        <v>尖圭コンジローマの治療は当院で対応しております。主な治療方法は以下の3つです。【外用薬による治療】抗ウイルス作用のある塗り薬を患部に塗布します。週3回、最大16週間継続します。治療費は3割負担で約4,500円/月です。【液体窒素による治療】液体窒素を患部に押し当て、ウイルスの活性を抑えます。1〜2週おきに治療を継続します。治療費は3割負担で1回約800〜1,000円です。【手術療法】局所麻酔の上、電気メスでイボを切除します。1度の治療で全てのイボを取り除くことができます。治療費は3割負担で約9,000〜15,000円です。症状に応じて医師が最適な治療法を判断いたします。詳しくはこちらをご確認ください。→https://luna-dr.com/subjects/media/2794/</v>
      </c>
      <c r="C1070" s="31" t="str">
        <f>IFERROR(__xludf.DUMMYFUNCTION("""COMPUTED_VALUE"""),"性感染症")</f>
        <v>性感染症</v>
      </c>
      <c r="D1070" s="31" t="str">
        <f>IFERROR(__xludf.DUMMYFUNCTION("""COMPUTED_VALUE"""),"コンジローマ,尖圭コンジローマ,治療,外用薬,液体窒素,手術,電気メス,治療費")</f>
        <v>コンジローマ,尖圭コンジローマ,治療,外用薬,液体窒素,手術,電気メス,治療費</v>
      </c>
      <c r="E1070" s="32" t="str">
        <f>IFERROR(__xludf.DUMMYFUNCTION("""COMPUTED_VALUE"""),"https://luna-dr.com/subjects/media/2794/")</f>
        <v>https://luna-dr.com/subjects/media/2794/</v>
      </c>
    </row>
    <row r="1071">
      <c r="A1071" s="31" t="str">
        <f>IFERROR(__xludf.DUMMYFUNCTION("""COMPUTED_VALUE"""),"コンジローマは自然に治りますか？/コンジローマは放置しても大丈夫ですか？")</f>
        <v>コンジローマは自然に治りますか？/コンジローマは放置しても大丈夫ですか？</v>
      </c>
      <c r="B1071" s="31" t="str">
        <f>IFERROR(__xludf.DUMMYFUNCTION("""COMPUTED_VALUE"""),"尖圭コンジローマが自然治癒することは稀です。放置するとイボが増殖・大きくなる可能性があり、悪性化する恐れもあります。また、パートナーに感染させてしまう場合もあります。症状の悪化防止と感染拡大予防のため、早めの受診をおすすめいたします。ご予約は公式LINEから24時間承っております。LINEはこちら→https://cline-app.com/qr-codes/98ad6f149bfa20f4f2a9a2e91aac4187/preview")</f>
        <v>尖圭コンジローマが自然治癒することは稀です。放置するとイボが増殖・大きくなる可能性があり、悪性化する恐れもあります。また、パートナーに感染させてしまう場合もあります。症状の悪化防止と感染拡大予防のため、早めの受診をおすすめいたします。ご予約は公式LINEから24時間承っております。LINEはこちら→https://cline-app.com/qr-codes/98ad6f149bfa20f4f2a9a2e91aac4187/preview</v>
      </c>
      <c r="C1071" s="31" t="str">
        <f>IFERROR(__xludf.DUMMYFUNCTION("""COMPUTED_VALUE"""),"性感染症")</f>
        <v>性感染症</v>
      </c>
      <c r="D1071" s="31" t="str">
        <f>IFERROR(__xludf.DUMMYFUNCTION("""COMPUTED_VALUE"""),"コンジローマ,自然治癒,放置,悪性化,再発")</f>
        <v>コンジローマ,自然治癒,放置,悪性化,再発</v>
      </c>
      <c r="E1071" s="32" t="str">
        <f>IFERROR(__xludf.DUMMYFUNCTION("""COMPUTED_VALUE"""),"https://luna-dr.com/subjects/media/2794/")</f>
        <v>https://luna-dr.com/subjects/media/2794/</v>
      </c>
    </row>
    <row r="1072">
      <c r="A1072" s="31" t="str">
        <f>IFERROR(__xludf.DUMMYFUNCTION("""COMPUTED_VALUE"""),"コンジローマは再発しますか？/コンジローマの再発率はどのくらいですか？")</f>
        <v>コンジローマは再発しますか？/コンジローマの再発率はどのくらいですか？</v>
      </c>
      <c r="B1072" s="31" t="str">
        <f>IFERROR(__xludf.DUMMYFUNCTION("""COMPUTED_VALUE"""),"尖圭コンジローマの再発リスクは、治療後3ヵ月以内で約25％といわれています。表面上のイボを取り除いた場合でもウイルスが潜在し再発する恐れがあるため、イボ消失後も最低3ヵ月は再発していないかどうかの確認が必要です。詳しくはこちらをご確認ください。→https://luna-dr.com/subjects/media/2794/")</f>
        <v>尖圭コンジローマの再発リスクは、治療後3ヵ月以内で約25％といわれています。表面上のイボを取り除いた場合でもウイルスが潜在し再発する恐れがあるため、イボ消失後も最低3ヵ月は再発していないかどうかの確認が必要です。詳しくはこちらをご確認ください。→https://luna-dr.com/subjects/media/2794/</v>
      </c>
      <c r="C1072" s="31" t="str">
        <f>IFERROR(__xludf.DUMMYFUNCTION("""COMPUTED_VALUE"""),"性感染症")</f>
        <v>性感染症</v>
      </c>
      <c r="D1072" s="31" t="str">
        <f>IFERROR(__xludf.DUMMYFUNCTION("""COMPUTED_VALUE"""),"コンジローマ,再発,再発率,25%,経過観察")</f>
        <v>コンジローマ,再発,再発率,25%,経過観察</v>
      </c>
      <c r="E1072" s="32" t="str">
        <f>IFERROR(__xludf.DUMMYFUNCTION("""COMPUTED_VALUE"""),"https://luna-dr.com/subjects/media/2794/")</f>
        <v>https://luna-dr.com/subjects/media/2794/</v>
      </c>
    </row>
    <row r="1073">
      <c r="A1073" s="31" t="str">
        <f>IFERROR(__xludf.DUMMYFUNCTION("""COMPUTED_VALUE"""),"コンジローマの検査方法を教えてください/コンジローマはどうやって検査しますか？")</f>
        <v>コンジローマの検査方法を教えてください/コンジローマはどうやって検査しますか？</v>
      </c>
      <c r="B1073" s="31" t="str">
        <f>IFERROR(__xludf.DUMMYFUNCTION("""COMPUTED_VALUE"""),"尖圭コンジローマの検査は、医師による目視での「視診」で行います。特別な検査は基本的に必要ありません。気になる症状がございましたら、ご受診いただき医師にご相談ください。ご予約は公式LINEから24時間承っております。LINEはこちら→https://cline-app.com/qr-codes/98ad6f149bfa20f4f2a9a2e91aac4187/preview")</f>
        <v>尖圭コンジローマの検査は、医師による目視での「視診」で行います。特別な検査は基本的に必要ありません。気になる症状がございましたら、ご受診いただき医師にご相談ください。ご予約は公式LINEから24時間承っております。LINEはこちら→https://cline-app.com/qr-codes/98ad6f149bfa20f4f2a9a2e91aac4187/preview</v>
      </c>
      <c r="C1073" s="31" t="str">
        <f>IFERROR(__xludf.DUMMYFUNCTION("""COMPUTED_VALUE"""),"性感染症")</f>
        <v>性感染症</v>
      </c>
      <c r="D1073" s="31" t="str">
        <f>IFERROR(__xludf.DUMMYFUNCTION("""COMPUTED_VALUE"""),"コンジローマ,検査,視診,診察")</f>
        <v>コンジローマ,検査,視診,診察</v>
      </c>
      <c r="E1073" s="32" t="str">
        <f>IFERROR(__xludf.DUMMYFUNCTION("""COMPUTED_VALUE"""),"https://luna-dr.com/subjects/media/2794/")</f>
        <v>https://luna-dr.com/subjects/media/2794/</v>
      </c>
    </row>
    <row r="1074">
      <c r="A1074" s="31" t="str">
        <f>IFERROR(__xludf.DUMMYFUNCTION("""COMPUTED_VALUE"""),"コンジローマの予防方法はありますか？/コンジローマを予防するにはどうすればいいですか？")</f>
        <v>コンジローマの予防方法はありますか？/コンジローマを予防するにはどうすればいいですか？</v>
      </c>
      <c r="B1074" s="31" t="str">
        <f>IFERROR(__xludf.DUMMYFUNCTION("""COMPUTED_VALUE"""),"尖圭コンジローマの予防には、コンドームの使用に加え、HPVワクチンの接種が効果的です。当院で取り扱っている9価ワクチン（シルガード9）はHPV6型・11型にも対応しており、尖圭コンジローマの予防効果があります。HPVワクチンのご予約はお電話（050-1730-2768）にて承っております。")</f>
        <v>尖圭コンジローマの予防には、コンドームの使用に加え、HPVワクチンの接種が効果的です。当院で取り扱っている9価ワクチン（シルガード9）はHPV6型・11型にも対応しており、尖圭コンジローマの予防効果があります。HPVワクチンのご予約はお電話（050-1730-2768）にて承っております。</v>
      </c>
      <c r="C1074" s="31" t="str">
        <f>IFERROR(__xludf.DUMMYFUNCTION("""COMPUTED_VALUE"""),"性感染症")</f>
        <v>性感染症</v>
      </c>
      <c r="D1074" s="31" t="str">
        <f>IFERROR(__xludf.DUMMYFUNCTION("""COMPUTED_VALUE"""),"コンジローマ,予防,HPVワクチン,シルガード9,コンドーム")</f>
        <v>コンジローマ,予防,HPVワクチン,シルガード9,コンドーム</v>
      </c>
      <c r="E1074" s="32" t="str">
        <f>IFERROR(__xludf.DUMMYFUNCTION("""COMPUTED_VALUE"""),"https://luna-dr.com/subjects/media/2794/")</f>
        <v>https://luna-dr.com/subjects/media/2794/</v>
      </c>
    </row>
    <row r="1075">
      <c r="A1075" s="31" t="str">
        <f>IFERROR(__xludf.DUMMYFUNCTION("""COMPUTED_VALUE"""),"月経移動ピルの処方にはどのくらい時間がかかりますか？/月経移動の診察の所要時間は？")</f>
        <v>月経移動ピルの処方にはどのくらい時間がかかりますか？/月経移動の診察の所要時間は？</v>
      </c>
      <c r="B1075" s="31" t="str">
        <f>IFERROR(__xludf.DUMMYFUNCTION("""COMPUTED_VALUE"""),"外来の状況によって変動いたしますが、ご予約をお取りいただいた場合、トータル1時間前後を目安としていただければと思います。")</f>
        <v>外来の状況によって変動いたしますが、ご予約をお取りいただいた場合、トータル1時間前後を目安としていただければと思います。</v>
      </c>
      <c r="C1075" s="31" t="str">
        <f>IFERROR(__xludf.DUMMYFUNCTION("""COMPUTED_VALUE"""),"月経移動")</f>
        <v>月経移動</v>
      </c>
      <c r="D1075" s="31" t="str">
        <f>IFERROR(__xludf.DUMMYFUNCTION("""COMPUTED_VALUE"""),"月経移動,所要時間,時間,どのくらい")</f>
        <v>月経移動,所要時間,時間,どのくらい</v>
      </c>
      <c r="E1075" s="31"/>
    </row>
    <row r="1076">
      <c r="A1076" s="31" t="str">
        <f>IFERROR(__xludf.DUMMYFUNCTION("""COMPUTED_VALUE"""),"ピル処方の診察にはどのくらい時間がかかりますか？/ピルの処方の所要時間は？")</f>
        <v>ピル処方の診察にはどのくらい時間がかかりますか？/ピルの処方の所要時間は？</v>
      </c>
      <c r="B1076" s="31" t="str">
        <f>IFERROR(__xludf.DUMMYFUNCTION("""COMPUTED_VALUE"""),"外来の状況によって変動いたしますが、ご予約をお取りいただいた場合、トータル1時間前後を目安としていただければと思います。")</f>
        <v>外来の状況によって変動いたしますが、ご予約をお取りいただいた場合、トータル1時間前後を目安としていただければと思います。</v>
      </c>
      <c r="C1076" s="31" t="str">
        <f>IFERROR(__xludf.DUMMYFUNCTION("""COMPUTED_VALUE"""),"ピル処方")</f>
        <v>ピル処方</v>
      </c>
      <c r="D1076" s="31" t="str">
        <f>IFERROR(__xludf.DUMMYFUNCTION("""COMPUTED_VALUE"""),"ピル処方,所要時間,時間,どのくらい")</f>
        <v>ピル処方,所要時間,時間,どのくらい</v>
      </c>
      <c r="E1076" s="31"/>
    </row>
    <row r="1077">
      <c r="A1077" s="31" t="str">
        <f>IFERROR(__xludf.DUMMYFUNCTION("""COMPUTED_VALUE"""),"性病検査にはどのくらい時間がかかりますか？/性感染症検査の所要時間は？")</f>
        <v>性病検査にはどのくらい時間がかかりますか？/性感染症検査の所要時間は？</v>
      </c>
      <c r="B1077" s="31" t="str">
        <f>IFERROR(__xludf.DUMMYFUNCTION("""COMPUTED_VALUE"""),"外来の状況によって変動いたしますが、ご予約をお取りいただいた場合、トータル1時間前後を目安としていただければと思います。")</f>
        <v>外来の状況によって変動いたしますが、ご予約をお取りいただいた場合、トータル1時間前後を目安としていただければと思います。</v>
      </c>
      <c r="C1077" s="31" t="str">
        <f>IFERROR(__xludf.DUMMYFUNCTION("""COMPUTED_VALUE"""),"性感染症検査")</f>
        <v>性感染症検査</v>
      </c>
      <c r="D1077" s="31" t="str">
        <f>IFERROR(__xludf.DUMMYFUNCTION("""COMPUTED_VALUE"""),"性病検査,性感染症検査,所要時間,時間,どのくらい")</f>
        <v>性病検査,性感染症検査,所要時間,時間,どのくらい</v>
      </c>
      <c r="E1077" s="31"/>
    </row>
    <row r="1078">
      <c r="A1078" s="31" t="str">
        <f>IFERROR(__xludf.DUMMYFUNCTION("""COMPUTED_VALUE"""),"子宮頸がん検診にはどのくらい時間がかかりますか？/子宮頸がん検査の所要時間は？")</f>
        <v>子宮頸がん検診にはどのくらい時間がかかりますか？/子宮頸がん検査の所要時間は？</v>
      </c>
      <c r="B1078" s="31" t="str">
        <f>IFERROR(__xludf.DUMMYFUNCTION("""COMPUTED_VALUE"""),"外来の状況によって変動いたしますが、ご予約をお取りいただいた場合、トータル1時間前後を目安としていただければと思います。")</f>
        <v>外来の状況によって変動いたしますが、ご予約をお取りいただいた場合、トータル1時間前後を目安としていただければと思います。</v>
      </c>
      <c r="C1078" s="31" t="str">
        <f>IFERROR(__xludf.DUMMYFUNCTION("""COMPUTED_VALUE"""),"婦人科健診")</f>
        <v>婦人科健診</v>
      </c>
      <c r="D1078" s="31" t="str">
        <f>IFERROR(__xludf.DUMMYFUNCTION("""COMPUTED_VALUE"""),"子宮頸がん検診,子宮頸がん検査,所要時間,時間,どのくらい")</f>
        <v>子宮頸がん検診,子宮頸がん検査,所要時間,時間,どのくらい</v>
      </c>
      <c r="E1078" s="31"/>
    </row>
    <row r="1079">
      <c r="A1079" s="31" t="str">
        <f>IFERROR(__xludf.DUMMYFUNCTION("""COMPUTED_VALUE"""),"おりもの検査にはどのくらい時間がかかりますか？/おりもの検査の所要時間は？")</f>
        <v>おりもの検査にはどのくらい時間がかかりますか？/おりもの検査の所要時間は？</v>
      </c>
      <c r="B1079" s="31" t="str">
        <f>IFERROR(__xludf.DUMMYFUNCTION("""COMPUTED_VALUE"""),"外来の状況によって変動いたしますが、ご予約をお取りいただいた場合、トータル1時間前後を目安としていただければと思います。")</f>
        <v>外来の状況によって変動いたしますが、ご予約をお取りいただいた場合、トータル1時間前後を目安としていただければと思います。</v>
      </c>
      <c r="C1079" s="31" t="str">
        <f>IFERROR(__xludf.DUMMYFUNCTION("""COMPUTED_VALUE"""),"おりもの検査")</f>
        <v>おりもの検査</v>
      </c>
      <c r="D1079" s="31" t="str">
        <f>IFERROR(__xludf.DUMMYFUNCTION("""COMPUTED_VALUE"""),"おりもの検査,所要時間,時間,どのくらい")</f>
        <v>おりもの検査,所要時間,時間,どのくらい</v>
      </c>
      <c r="E1079" s="31"/>
    </row>
    <row r="1080">
      <c r="A1080" s="31" t="str">
        <f>IFERROR(__xludf.DUMMYFUNCTION("""COMPUTED_VALUE"""),"中絶手術の診察にはどのくらい時間がかかりますか？/中絶の初回診療の所要時間は？")</f>
        <v>中絶手術の診察にはどのくらい時間がかかりますか？/中絶の初回診療の所要時間は？</v>
      </c>
      <c r="B1080" s="31" t="str">
        <f>IFERROR(__xludf.DUMMYFUNCTION("""COMPUTED_VALUE"""),"外来の状況によって変動いたしますが、ご予約をお取りいただいた場合、トータル1時間前後を目安としていただければと思います。")</f>
        <v>外来の状況によって変動いたしますが、ご予約をお取りいただいた場合、トータル1時間前後を目安としていただければと思います。</v>
      </c>
      <c r="C1080" s="31" t="str">
        <f>IFERROR(__xludf.DUMMYFUNCTION("""COMPUTED_VALUE"""),"中絶手術")</f>
        <v>中絶手術</v>
      </c>
      <c r="D1080" s="31" t="str">
        <f>IFERROR(__xludf.DUMMYFUNCTION("""COMPUTED_VALUE"""),"中絶手術,初回診療,所要時間,時間,どのくらい")</f>
        <v>中絶手術,初回診療,所要時間,時間,どのくらい</v>
      </c>
      <c r="E1080" s="31"/>
    </row>
    <row r="1081">
      <c r="A1081" s="31" t="str">
        <f>IFERROR(__xludf.DUMMYFUNCTION("""COMPUTED_VALUE"""),"予約枠が空いていないのですが/予約が取れません/予約が埋まっています/空いている日はありますか？/予約の空きがありません")</f>
        <v>予約枠が空いていないのですが/予約が取れません/予約が埋まっています/空いている日はありますか？/予約の空きがありません</v>
      </c>
      <c r="B1081" s="31" t="str">
        <f>IFERROR(__xludf.DUMMYFUNCTION("""COMPUTED_VALUE"""),"ご予約の空き状況につきましては、お電話（050-1730-2768）にてお問い合わせください。電話受付時間は、平日9:45〜13:40・15:15〜19:40、土日祝9:45〜13:40・15:15〜18:40です。")</f>
        <v>ご予約の空き状況につきましては、お電話（050-1730-2768）にてお問い合わせください。電話受付時間は、平日9:45〜13:40・15:15〜19:40、土日祝9:45〜13:40・15:15〜18:40です。</v>
      </c>
      <c r="C1081" s="31" t="str">
        <f>IFERROR(__xludf.DUMMYFUNCTION("""COMPUTED_VALUE"""),"予約・受診")</f>
        <v>予約・受診</v>
      </c>
      <c r="D1081" s="31" t="str">
        <f>IFERROR(__xludf.DUMMYFUNCTION("""COMPUTED_VALUE"""),"予約枠,空いていない,空き,取れない,埋まっている,満席")</f>
        <v>予約枠,空いていない,空き,取れない,埋まっている,満席</v>
      </c>
      <c r="E1081" s="31"/>
    </row>
    <row r="1082">
      <c r="A1082" s="31" t="str">
        <f>IFERROR(__xludf.DUMMYFUNCTION("""COMPUTED_VALUE"""),"ミレーナは予約メニューで何を選べばいいですか？/ミレーナの予約はどのメニューですか？")</f>
        <v>ミレーナは予約メニューで何を選べばいいですか？/ミレーナの予約はどのメニューですか？</v>
      </c>
      <c r="B1082" s="31" t="str">
        <f>IFERROR(__xludf.DUMMYFUNCTION("""COMPUTED_VALUE"""),"ミレーナのご相談は「一般婦人科診療」のメニューでご予約ください。ご予約は公式LINEから24時間承っております。LINEはこちら→https://cline-app.com/qr-codes/98ad6f149bfa20f4f2a9a2e91aac4187/preview")</f>
        <v>ミレーナのご相談は「一般婦人科診療」のメニューでご予約ください。ご予約は公式LINEから24時間承っております。LINEはこちら→https://cline-app.com/qr-codes/98ad6f149bfa20f4f2a9a2e91aac4187/preview</v>
      </c>
      <c r="C1082" s="31" t="str">
        <f>IFERROR(__xludf.DUMMYFUNCTION("""COMPUTED_VALUE"""),"ミレーナ")</f>
        <v>ミレーナ</v>
      </c>
      <c r="D1082" s="31" t="str">
        <f>IFERROR(__xludf.DUMMYFUNCTION("""COMPUTED_VALUE"""),"ミレーナ,予約メニュー,一般婦人科診療")</f>
        <v>ミレーナ,予約メニュー,一般婦人科診療</v>
      </c>
      <c r="E1082" s="31"/>
    </row>
    <row r="1083">
      <c r="A1083" s="31" t="str">
        <f>IFERROR(__xludf.DUMMYFUNCTION("""COMPUTED_VALUE"""),"性病検査は予約メニューで何を選べばいいですか？/性感染症検査の予約はどのメニューですか？")</f>
        <v>性病検査は予約メニューで何を選べばいいですか？/性感染症検査の予約はどのメニューですか？</v>
      </c>
      <c r="B1083" s="31" t="str">
        <f>IFERROR(__xludf.DUMMYFUNCTION("""COMPUTED_VALUE"""),"性感染症（性病）検査のご予約は「一般婦人科診療」のメニューからお取りください。WEB問診票に検査希望の内容をご入力ください。ご予約は公式LINEから24時間承っております。LINEはこちら→https://cline-app.com/qr-codes/98ad6f149bfa20f4f2a9a2e91aac4187/preview")</f>
        <v>性感染症（性病）検査のご予約は「一般婦人科診療」のメニューからお取りください。WEB問診票に検査希望の内容をご入力ください。ご予約は公式LINEから24時間承っております。LINEはこちら→https://cline-app.com/qr-codes/98ad6f149bfa20f4f2a9a2e91aac4187/preview</v>
      </c>
      <c r="C1083" s="31" t="str">
        <f>IFERROR(__xludf.DUMMYFUNCTION("""COMPUTED_VALUE"""),"性感染症検査")</f>
        <v>性感染症検査</v>
      </c>
      <c r="D1083" s="31" t="str">
        <f>IFERROR(__xludf.DUMMYFUNCTION("""COMPUTED_VALUE"""),"性病検査,性感染症検査,予約メニュー,一般婦人科診療")</f>
        <v>性病検査,性感染症検査,予約メニュー,一般婦人科診療</v>
      </c>
      <c r="E1083" s="31"/>
    </row>
    <row r="1084">
      <c r="A1084" s="31" t="str">
        <f>IFERROR(__xludf.DUMMYFUNCTION("""COMPUTED_VALUE"""),"おりもの検査は予約メニューで何を選べばいいですか？/おりもの検査の予約はどのメニューですか？")</f>
        <v>おりもの検査は予約メニューで何を選べばいいですか？/おりもの検査の予約はどのメニューですか？</v>
      </c>
      <c r="B1084" s="31" t="str">
        <f>IFERROR(__xludf.DUMMYFUNCTION("""COMPUTED_VALUE"""),"おりもの検査のご予約は「一般婦人科診療」のメニューからお取りください。WEB問診票に検査希望の内容をご入力ください。ご予約は公式LINEから24時間承っております。LINEはこちら→https://cline-app.com/qr-codes/98ad6f149bfa20f4f2a9a2e91aac4187/preview")</f>
        <v>おりもの検査のご予約は「一般婦人科診療」のメニューからお取りください。WEB問診票に検査希望の内容をご入力ください。ご予約は公式LINEから24時間承っております。LINEはこちら→https://cline-app.com/qr-codes/98ad6f149bfa20f4f2a9a2e91aac4187/preview</v>
      </c>
      <c r="C1084" s="31" t="str">
        <f>IFERROR(__xludf.DUMMYFUNCTION("""COMPUTED_VALUE"""),"おりもの検査")</f>
        <v>おりもの検査</v>
      </c>
      <c r="D1084" s="31" t="str">
        <f>IFERROR(__xludf.DUMMYFUNCTION("""COMPUTED_VALUE"""),"おりもの検査,予約メニュー,一般婦人科診療")</f>
        <v>おりもの検査,予約メニュー,一般婦人科診療</v>
      </c>
      <c r="E1084" s="31"/>
    </row>
    <row r="1085">
      <c r="A1085" s="31" t="str">
        <f>IFERROR(__xludf.DUMMYFUNCTION("""COMPUTED_VALUE"""),"不正出血の相談は予約メニューで何を選べばいいですか？/不正出血の予約はどのメニューですか？")</f>
        <v>不正出血の相談は予約メニューで何を選べばいいですか？/不正出血の予約はどのメニューですか？</v>
      </c>
      <c r="B1085" s="31" t="str">
        <f>IFERROR(__xludf.DUMMYFUNCTION("""COMPUTED_VALUE"""),"不正出血のご相談は「一般婦人科診療」のメニューでご予約ください。WEB問診票に症状をご入力ください。ご予約は公式LINEから24時間承っております。LINEはこちら→https://cline-app.com/qr-codes/98ad6f149bfa20f4f2a9a2e91aac4187/preview")</f>
        <v>不正出血のご相談は「一般婦人科診療」のメニューでご予約ください。WEB問診票に症状をご入力ください。ご予約は公式LINEから24時間承っております。LINEはこちら→https://cline-app.com/qr-codes/98ad6f149bfa20f4f2a9a2e91aac4187/preview</v>
      </c>
      <c r="C1085" s="31" t="str">
        <f>IFERROR(__xludf.DUMMYFUNCTION("""COMPUTED_VALUE"""),"不正出血")</f>
        <v>不正出血</v>
      </c>
      <c r="D1085" s="31" t="str">
        <f>IFERROR(__xludf.DUMMYFUNCTION("""COMPUTED_VALUE"""),"不正出血,予約メニュー,一般婦人科診療")</f>
        <v>不正出血,予約メニュー,一般婦人科診療</v>
      </c>
      <c r="E1085" s="31"/>
    </row>
    <row r="1086">
      <c r="A1086" s="31" t="str">
        <f>IFERROR(__xludf.DUMMYFUNCTION("""COMPUTED_VALUE"""),"生理痛の相談は予約メニューで何を選べばいいですか？/生理痛の予約はどのメニューですか？")</f>
        <v>生理痛の相談は予約メニューで何を選べばいいですか？/生理痛の予約はどのメニューですか？</v>
      </c>
      <c r="B1086" s="31" t="str">
        <f>IFERROR(__xludf.DUMMYFUNCTION("""COMPUTED_VALUE"""),"生理痛のご相談は「一般婦人科診療」のメニューでご予約ください。WEB問診票に症状をご入力ください。ご予約は公式LINEから24時間承っております。LINEはこちら→https://cline-app.com/qr-codes/98ad6f149bfa20f4f2a9a2e91aac4187/preview")</f>
        <v>生理痛のご相談は「一般婦人科診療」のメニューでご予約ください。WEB問診票に症状をご入力ください。ご予約は公式LINEから24時間承っております。LINEはこちら→https://cline-app.com/qr-codes/98ad6f149bfa20f4f2a9a2e91aac4187/preview</v>
      </c>
      <c r="C1086" s="31" t="str">
        <f>IFERROR(__xludf.DUMMYFUNCTION("""COMPUTED_VALUE"""),"生理痛")</f>
        <v>生理痛</v>
      </c>
      <c r="D1086" s="31" t="str">
        <f>IFERROR(__xludf.DUMMYFUNCTION("""COMPUTED_VALUE"""),"生理痛,予約メニュー,一般婦人科診療")</f>
        <v>生理痛,予約メニュー,一般婦人科診療</v>
      </c>
      <c r="E1086" s="31"/>
    </row>
    <row r="1087">
      <c r="A1087" s="31" t="str">
        <f>IFERROR(__xludf.DUMMYFUNCTION("""COMPUTED_VALUE"""),"コンジローマの予約は何のメニューですか？/コンジローマは予約メニューで何を選べばいいですか？")</f>
        <v>コンジローマの予約は何のメニューですか？/コンジローマは予約メニューで何を選べばいいですか？</v>
      </c>
      <c r="B1087" s="31" t="str">
        <f>IFERROR(__xludf.DUMMYFUNCTION("""COMPUTED_VALUE"""),"コンジローマのご相談・治療は「一般婦人科診療」のメニューでご予約ください。WEB問診票に症状をご入力ください。ご予約は公式LINEから24時間承っております。LINEはこちら→https://cline-app.com/qr-codes/98ad6f149bfa20f4f2a9a2e91aac4187/preview")</f>
        <v>コンジローマのご相談・治療は「一般婦人科診療」のメニューでご予約ください。WEB問診票に症状をご入力ください。ご予約は公式LINEから24時間承っております。LINEはこちら→https://cline-app.com/qr-codes/98ad6f149bfa20f4f2a9a2e91aac4187/preview</v>
      </c>
      <c r="C1087" s="31" t="str">
        <f>IFERROR(__xludf.DUMMYFUNCTION("""COMPUTED_VALUE"""),"性感染症")</f>
        <v>性感染症</v>
      </c>
      <c r="D1087" s="31" t="str">
        <f>IFERROR(__xludf.DUMMYFUNCTION("""COMPUTED_VALUE"""),"コンジローマ,予約メニュー,一般婦人科診療")</f>
        <v>コンジローマ,予約メニュー,一般婦人科診療</v>
      </c>
      <c r="E1087" s="31"/>
    </row>
    <row r="1088">
      <c r="A1088" s="31" t="str">
        <f>IFERROR(__xludf.DUMMYFUNCTION("""COMPUTED_VALUE"""),"保険ピルの再診は予約メニューで何を選べばいいですか？/保険ピルの継続処方の予約メニューは？")</f>
        <v>保険ピルの再診は予約メニューで何を選べばいいですか？/保険ピルの継続処方の予約メニューは？</v>
      </c>
      <c r="B1088" s="31" t="str">
        <f>IFERROR(__xludf.DUMMYFUNCTION("""COMPUTED_VALUE"""),"保険ピルの継続処方で当院に処方歴がある方は「保険ピル（診察あり）」のメニューでご予約ください。当院での処方が初めての方は「ピル処方」でご予約ください。ご予約は公式LINEから24時間承っております。LINEはこちら→https://cline-app.com/qr-codes/98ad6f149bfa20f4f2a9a2e91aac4187/preview")</f>
        <v>保険ピルの継続処方で当院に処方歴がある方は「保険ピル（診察あり）」のメニューでご予約ください。当院での処方が初めての方は「ピル処方」でご予約ください。ご予約は公式LINEから24時間承っております。LINEはこちら→https://cline-app.com/qr-codes/98ad6f149bfa20f4f2a9a2e91aac4187/preview</v>
      </c>
      <c r="C1088" s="31" t="str">
        <f>IFERROR(__xludf.DUMMYFUNCTION("""COMPUTED_VALUE"""),"低用量ピル（保険）")</f>
        <v>低用量ピル（保険）</v>
      </c>
      <c r="D1088" s="31" t="str">
        <f>IFERROR(__xludf.DUMMYFUNCTION("""COMPUTED_VALUE"""),"保険ピル,再診,継続処方,予約メニュー")</f>
        <v>保険ピル,再診,継続処方,予約メニュー</v>
      </c>
      <c r="E1088" s="31"/>
    </row>
    <row r="1089">
      <c r="A1089" s="31" t="str">
        <f>IFERROR(__xludf.DUMMYFUNCTION("""COMPUTED_VALUE"""),"自費ピルの薬だけ欲しいのですが/診察なしで薬だけもらえますか？/以前もらった薬を追加でもらえますか？/診察はしないで薬だけもらいたい/診察なしで薬だけ欲しい/薬だけもらいたい/薬を貰いに行く為の予約項目/他の病院で処方された薬を出してほしい/他院で処方されたデュファストンを継続したい/他院の薬を追加で出してほしい/処方箋のみ/処方箋だけ欲しい/処方箋が欲しい/再来は薬のみの処方は可能ですか？")</f>
        <v>自費ピルの薬だけ欲しいのですが/診察なしで薬だけもらえますか？/以前もらった薬を追加でもらえますか？/診察はしないで薬だけもらいたい/診察なしで薬だけ欲しい/薬だけもらいたい/薬を貰いに行く為の予約項目/他の病院で処方された薬を出してほしい/他院で処方されたデュファストンを継続したい/他院の薬を追加で出してほしい/処方箋のみ/処方箋だけ欲しい/処方箋が欲しい/再来は薬のみの処方は可能ですか？</v>
      </c>
      <c r="B1089" s="31" t="str">
        <f>IFERROR(__xludf.DUMMYFUNCTION("""COMPUTED_VALUE"""),"【自費ピルの場合】当院で自費ピルの処方歴がある方は「自費ピル処方（薬のみで診察希望なし）」のメニューでご予約ください。当院での処方が初めての方は「ピル処方」でご予約ください。【ピル以外のお薬の場合】ピル以外のお薬は診察なしでの処方はできかねます。「一般婦人科診療（前回の続き）」のメニューでご予約ください。ご予約は公式LINEから24時間承っております。LINEはこちら→https://cline-app.com/qr-codes/98ad6f149bfa20f4f2a9a2e91aac4187/previ"&amp;"ew")</f>
        <v>【自費ピルの場合】当院で自費ピルの処方歴がある方は「自費ピル処方（薬のみで診察希望なし）」のメニューでご予約ください。当院での処方が初めての方は「ピル処方」でご予約ください。【ピル以外のお薬の場合】ピル以外のお薬は診察なしでの処方はできかねます。「一般婦人科診療（前回の続き）」のメニューでご予約ください。ご予約は公式LINEから24時間承っております。LINEはこちら→https://cline-app.com/qr-codes/98ad6f149bfa20f4f2a9a2e91aac4187/preview</v>
      </c>
      <c r="C1089" s="31" t="str">
        <f>IFERROR(__xludf.DUMMYFUNCTION("""COMPUTED_VALUE"""),"低用量ピル（自費）")</f>
        <v>低用量ピル（自費）</v>
      </c>
      <c r="D1089" s="31" t="str">
        <f>IFERROR(__xludf.DUMMYFUNCTION("""COMPUTED_VALUE"""),"自費ピル,薬のみ,処方のみ,予約メニュー,薬だけ,診察なし")</f>
        <v>自費ピル,薬のみ,処方のみ,予約メニュー,薬だけ,診察なし</v>
      </c>
      <c r="E1089" s="31"/>
    </row>
    <row r="1090">
      <c r="A1090" s="31" t="str">
        <f>IFERROR(__xludf.DUMMYFUNCTION("""COMPUTED_VALUE"""),"検査結果を聞きたいのですが予約メニューは何を選べばいいですか？/検査結果の説明を受けたい")</f>
        <v>検査結果を聞きたいのですが予約メニューは何を選べばいいですか？/検査結果の説明を受けたい</v>
      </c>
      <c r="B1090" s="31" t="str">
        <f>IFERROR(__xludf.DUMMYFUNCTION("""COMPUTED_VALUE"""),"検査結果の説明をご希望の方は「検査結果説明」のメニューでご予約ください。治療も含めてのご案内が可能です。ご予約は公式LINEから24時間承っております。LINEはこちら→https://cline-app.com/qr-codes/98ad6f149bfa20f4f2a9a2e91aac4187/preview")</f>
        <v>検査結果の説明をご希望の方は「検査結果説明」のメニューでご予約ください。治療も含めてのご案内が可能です。ご予約は公式LINEから24時間承っております。LINEはこちら→https://cline-app.com/qr-codes/98ad6f149bfa20f4f2a9a2e91aac4187/preview</v>
      </c>
      <c r="C1090" s="31" t="str">
        <f>IFERROR(__xludf.DUMMYFUNCTION("""COMPUTED_VALUE"""),"検査結果・確認方法")</f>
        <v>検査結果・確認方法</v>
      </c>
      <c r="D1090" s="31" t="str">
        <f>IFERROR(__xludf.DUMMYFUNCTION("""COMPUTED_VALUE"""),"検査結果,結果説明,予約メニュー")</f>
        <v>検査結果,結果説明,予約メニュー</v>
      </c>
      <c r="E1090" s="31"/>
    </row>
    <row r="1091">
      <c r="A1091" s="31" t="str">
        <f>IFERROR(__xludf.DUMMYFUNCTION("""COMPUTED_VALUE"""),"予約は何日前から可能ですか？/いつから予約できますか？/当日予約はできますか？/予約はいつから取れますか？")</f>
        <v>予約は何日前から可能ですか？/いつから予約できますか？/当日予約はできますか？/予約はいつから取れますか？</v>
      </c>
      <c r="B1091" s="31" t="str">
        <f>IFERROR(__xludf.DUMMYFUNCTION("""COMPUTED_VALUE"""),"ご予約はいつでも可能です。当日でも枠が空いていればご予約いただけます。ご予約は公式LINEから24時間承っております。LINEはこちら→https://cline-app.com/qr-codes/98ad6f149bfa20f4f2a9a2e91aac4187/preview")</f>
        <v>ご予約はいつでも可能です。当日でも枠が空いていればご予約いただけます。ご予約は公式LINEから24時間承っております。LINEはこちら→https://cline-app.com/qr-codes/98ad6f149bfa20f4f2a9a2e91aac4187/preview</v>
      </c>
      <c r="C1091" s="31" t="str">
        <f>IFERROR(__xludf.DUMMYFUNCTION("""COMPUTED_VALUE"""),"予約・受診")</f>
        <v>予約・受診</v>
      </c>
      <c r="D1091" s="31" t="str">
        <f>IFERROR(__xludf.DUMMYFUNCTION("""COMPUTED_VALUE"""),"予約,何日前,いつから,当日予約,当日枠")</f>
        <v>予約,何日前,いつから,当日予約,当日枠</v>
      </c>
      <c r="E1091" s="31"/>
    </row>
    <row r="1092">
      <c r="A1092" s="31" t="str">
        <f>IFERROR(__xludf.DUMMYFUNCTION("""COMPUTED_VALUE"""),"生理中に性病検査はできますか？/生理中におりもの検査はできますか？/生理中でも性感染症検査は受けられますか？/生理中に子宮頸がん検診はできますか？/生理中にHPV検査はできますか？/生理中に子宮頸がん検査はできますか？/生理中でもクラミジア検査は受けられますか？/カンジダの症状があるが、生理中でも受診できるか")</f>
        <v>生理中に性病検査はできますか？/生理中におりもの検査はできますか？/生理中でも性感染症検査は受けられますか？/生理中に子宮頸がん検診はできますか？/生理中にHPV検査はできますか？/生理中に子宮頸がん検査はできますか？/生理中でもクラミジア検査は受けられますか？/カンジダの症状があるが、生理中でも受診できるか</v>
      </c>
      <c r="B1092" s="31" t="str">
        <f>IFERROR(__xludf.DUMMYFUNCTION("""COMPUTED_VALUE"""),"HPV検査・子宮頸がん・性病検査は生理の日にちを避けた方が良いですが、不正出血などで悩まれている場合は生理中の受診も可能でございます。生理中でも内診台に乗っていただく場合がございますので、気になるようでしたら生理後にご受診ください。また、生理中でも検査は可能ですが、経血量が多い時期は検査精度に影響する可能性があるため、可能な限り避けていただくことを当院ではおすすめしています。")</f>
        <v>HPV検査・子宮頸がん・性病検査は生理の日にちを避けた方が良いですが、不正出血などで悩まれている場合は生理中の受診も可能でございます。生理中でも内診台に乗っていただく場合がございますので、気になるようでしたら生理後にご受診ください。また、生理中でも検査は可能ですが、経血量が多い時期は検査精度に影響する可能性があるため、可能な限り避けていただくことを当院ではおすすめしています。</v>
      </c>
      <c r="C1092" s="31" t="str">
        <f>IFERROR(__xludf.DUMMYFUNCTION("""COMPUTED_VALUE"""),"性感染症検査")</f>
        <v>性感染症検査</v>
      </c>
      <c r="D1092" s="31" t="str">
        <f>IFERROR(__xludf.DUMMYFUNCTION("""COMPUTED_VALUE"""),"生理中,性病検査,性感染症検査,おりもの検査,できる")</f>
        <v>生理中,性病検査,性感染症検査,おりもの検査,できる</v>
      </c>
      <c r="E1092" s="31"/>
    </row>
    <row r="1093">
      <c r="A1093" s="31" t="str">
        <f>IFERROR(__xludf.DUMMYFUNCTION("""COMPUTED_VALUE"""),"陰部のかゆみがあるのですが診てもらえますか？/外陰の腫れを診察できますか？/膣のただれを検査できますか？/カンジダでも診てもらえますか？/カンジタの診断はできますか？/痒みがあるのですが受診できますか？")</f>
        <v>陰部のかゆみがあるのですが診てもらえますか？/外陰の腫れを診察できますか？/膣のただれを検査できますか？/カンジダでも診てもらえますか？/カンジタの診断はできますか？/痒みがあるのですが受診できますか？</v>
      </c>
      <c r="B1093" s="31" t="str">
        <f>IFERROR(__xludf.DUMMYFUNCTION("""COMPUTED_VALUE"""),"かゆみ・腫れ・ただれなどの婦人科症状は当院で対応可能です。「一般婦人科診療」のメニューでご予約いただき、WEB問診票に症状をご入力ください。ご予約は公式LINEから24時間承っております。LINEはこちら→https://cline-app.com/qr-codes/98ad6f149bfa20f4f2a9a2e91aac4187/preview")</f>
        <v>かゆみ・腫れ・ただれなどの婦人科症状は当院で対応可能です。「一般婦人科診療」のメニューでご予約いただき、WEB問診票に症状をご入力ください。ご予約は公式LINEから24時間承っております。LINEはこちら→https://cline-app.com/qr-codes/98ad6f149bfa20f4f2a9a2e91aac4187/preview</v>
      </c>
      <c r="C1093" s="31" t="str">
        <f>IFERROR(__xludf.DUMMYFUNCTION("""COMPUTED_VALUE"""),"受診案内")</f>
        <v>受診案内</v>
      </c>
      <c r="D1093" s="31" t="str">
        <f>IFERROR(__xludf.DUMMYFUNCTION("""COMPUTED_VALUE"""),"かゆみ,痒み,腫れ,ただれ,カンジダ,カンジタ,外陰,陰部,対応可能,診察")</f>
        <v>かゆみ,痒み,腫れ,ただれ,カンジダ,カンジタ,外陰,陰部,対応可能,診察</v>
      </c>
      <c r="E1093" s="31"/>
    </row>
    <row r="1094">
      <c r="A1094" s="31" t="str">
        <f>IFERROR(__xludf.DUMMYFUNCTION("""COMPUTED_VALUE"""),"子宮内膜症を調べてほしいのですが/子宮が痛いので受診したい/PMSがひどくなった/生理痛がひどい/生理が止まらない/一ヶ月生理が続いている/子宮内膜症の検査はできますか？/子宮内膜症の予約方法を教えてください/PMSの症状での予約方法")</f>
        <v>子宮内膜症を調べてほしいのですが/子宮が痛いので受診したい/PMSがひどくなった/生理痛がひどい/生理が止まらない/一ヶ月生理が続いている/子宮内膜症の検査はできますか？/子宮内膜症の予約方法を教えてください/PMSの症状での予約方法</v>
      </c>
      <c r="B1094" s="31" t="str">
        <f>IFERROR(__xludf.DUMMYFUNCTION("""COMPUTED_VALUE"""),"生理トラブルや婦人科症状のご相談は当院で対応可能です。「一般婦人科診療」のメニューでご予約いただき、WEB問診票に症状をご入力ください。ご予約は公式LINEから24時間承っております。LINEはこちら→https://cline-app.com/qr-codes/98ad6f149bfa20f4f2a9a2e91aac4187/preview")</f>
        <v>生理トラブルや婦人科症状のご相談は当院で対応可能です。「一般婦人科診療」のメニューでご予約いただき、WEB問診票に症状をご入力ください。ご予約は公式LINEから24時間承っております。LINEはこちら→https://cline-app.com/qr-codes/98ad6f149bfa20f4f2a9a2e91aac4187/preview</v>
      </c>
      <c r="C1094" s="31" t="str">
        <f>IFERROR(__xludf.DUMMYFUNCTION("""COMPUTED_VALUE"""),"受診案内")</f>
        <v>受診案内</v>
      </c>
      <c r="D1094" s="31" t="str">
        <f>IFERROR(__xludf.DUMMYFUNCTION("""COMPUTED_VALUE"""),"子宮内膜症,PMS,生理痛,生理が止まらない,生理トラブル,対応可能,診察")</f>
        <v>子宮内膜症,PMS,生理痛,生理が止まらない,生理トラブル,対応可能,診察</v>
      </c>
      <c r="E1094" s="31"/>
    </row>
    <row r="1095">
      <c r="A1095" s="31" t="str">
        <f>IFERROR(__xludf.DUMMYFUNCTION("""COMPUTED_VALUE"""),"性病かもしれないのですが検査できますか？/性感染症が心配です/クラミジア陽性で治療したい/性病検査で陽性だったので薬がほしい")</f>
        <v>性病かもしれないのですが検査できますか？/性感染症が心配です/クラミジア陽性で治療したい/性病検査で陽性だったので薬がほしい</v>
      </c>
      <c r="B1095" s="31" t="str">
        <f>IFERROR(__xludf.DUMMYFUNCTION("""COMPUTED_VALUE"""),"性感染症の検査・治療は当院で対応可能です。「一般婦人科診療」のメニューでご予約いただき、WEB問診票に検査希望の内容をご入力ください。治療費は保険適用の場合と自費の場合がございます。料金の詳細は各院の料金ページをご確認ください。ご予約は公式LINEから24時間承っております。LINEはこちら→https://cline-app.com/qr-codes/98ad6f149bfa20f4f2a9a2e91aac4187/preview")</f>
        <v>性感染症の検査・治療は当院で対応可能です。「一般婦人科診療」のメニューでご予約いただき、WEB問診票に検査希望の内容をご入力ください。治療費は保険適用の場合と自費の場合がございます。料金の詳細は各院の料金ページをご確認ください。ご予約は公式LINEから24時間承っております。LINEはこちら→https://cline-app.com/qr-codes/98ad6f149bfa20f4f2a9a2e91aac4187/preview</v>
      </c>
      <c r="C1095" s="31" t="str">
        <f>IFERROR(__xludf.DUMMYFUNCTION("""COMPUTED_VALUE"""),"性感染症検査")</f>
        <v>性感染症検査</v>
      </c>
      <c r="D1095" s="31" t="str">
        <f>IFERROR(__xludf.DUMMYFUNCTION("""COMPUTED_VALUE"""),"性病,性感染症,クラミジア,陽性,治療,薬,心配,検査")</f>
        <v>性病,性感染症,クラミジア,陽性,治療,薬,心配,検査</v>
      </c>
      <c r="E1095" s="31"/>
    </row>
    <row r="1096">
      <c r="A1096" s="31" t="str">
        <f>IFERROR(__xludf.DUMMYFUNCTION("""COMPUTED_VALUE"""),"かかりつけ医が開いていない土日に診てもらえますか？/土日祝は診療していますか？/休日でも受診できますか？")</f>
        <v>かかりつけ医が開いていない土日に診てもらえますか？/土日祝は診療していますか？/休日でも受診できますか？</v>
      </c>
      <c r="B1096" s="31" t="str">
        <f>IFERROR(__xludf.DUMMYFUNCTION("""COMPUTED_VALUE"""),"当院は土日祝も診療しております。診療時間は院によって異なりますので、詳しくは各院のページをご確認ください。・横浜駅前院：https://luna-dr.com/yokohama/ ・川崎駅前院：https://luna-dr.com/kawasaki/ ・町田駅前院：https://luna-dr.com/machida/ ご予約は公式LINEから24時間承っております。LINEはこちら→https://cline-app.com/qr-codes/98ad6f149bfa20f4f2a9a2e91aac"&amp;"4187/preview")</f>
        <v>当院は土日祝も診療しております。診療時間は院によって異なりますので、詳しくは各院のページをご確認ください。・横浜駅前院：https://luna-dr.com/yokohama/ ・川崎駅前院：https://luna-dr.com/kawasaki/ ・町田駅前院：https://luna-dr.com/machida/ ご予約は公式LINEから24時間承っております。LINEはこちら→https://cline-app.com/qr-codes/98ad6f149bfa20f4f2a9a2e91aac4187/preview</v>
      </c>
      <c r="C1096" s="31" t="str">
        <f>IFERROR(__xludf.DUMMYFUNCTION("""COMPUTED_VALUE"""),"診療時間")</f>
        <v>診療時間</v>
      </c>
      <c r="D1096" s="31" t="str">
        <f>IFERROR(__xludf.DUMMYFUNCTION("""COMPUTED_VALUE"""),"土日,祝日,休日,土日祝,かかりつけ,開いていない")</f>
        <v>土日,祝日,休日,土日祝,かかりつけ,開いていない</v>
      </c>
      <c r="E1096" s="31"/>
    </row>
    <row r="1097">
      <c r="A1097" s="31" t="str">
        <f>IFERROR(__xludf.DUMMYFUNCTION("""COMPUTED_VALUE"""),"駐輪場はありますか？/駐車場はありますか？/車で行けますか？/自転車で行けますか？")</f>
        <v>駐輪場はありますか？/駐車場はありますか？/車で行けますか？/自転車で行けますか？</v>
      </c>
      <c r="B1097" s="31" t="str">
        <f>IFERROR(__xludf.DUMMYFUNCTION("""COMPUTED_VALUE"""),"当院（全院）では提携している駐車場・駐輪場はございません。お近くのパーキングをご利用ください。なお、駐車場・駐輪場の利用料は患者さまのご負担となりますので、予めご了承いただけますと幸いです。")</f>
        <v>当院（全院）では提携している駐車場・駐輪場はございません。お近くのパーキングをご利用ください。なお、駐車場・駐輪場の利用料は患者さまのご負担となりますので、予めご了承いただけますと幸いです。</v>
      </c>
      <c r="C1097" s="31" t="str">
        <f>IFERROR(__xludf.DUMMYFUNCTION("""COMPUTED_VALUE"""),"アクセス")</f>
        <v>アクセス</v>
      </c>
      <c r="D1097" s="31" t="str">
        <f>IFERROR(__xludf.DUMMYFUNCTION("""COMPUTED_VALUE"""),"駐輪場,駐車場,自転車,車,パーキング,利用料")</f>
        <v>駐輪場,駐車場,自転車,車,パーキング,利用料</v>
      </c>
      <c r="E1097" s="31"/>
    </row>
    <row r="1098">
      <c r="A1098" s="31" t="str">
        <f>IFERROR(__xludf.DUMMYFUNCTION("""COMPUTED_VALUE"""),"排卵しているか診てもらえますか？/排卵検査はできますか？/排卵日を調べてほしい/排卵チェックはできますか？")</f>
        <v>排卵しているか診てもらえますか？/排卵検査はできますか？/排卵日を調べてほしい/排卵チェックはできますか？</v>
      </c>
      <c r="B1098" s="31" t="str">
        <f>IFERROR(__xludf.DUMMYFUNCTION("""COMPUTED_VALUE"""),"恐れ入りますが、当院では妊娠・妊活・不妊に関する診療を行っておりませんので、排卵に関する検査は行っておりません。")</f>
        <v>恐れ入りますが、当院では妊娠・妊活・不妊に関する診療を行っておりませんので、排卵に関する検査は行っておりません。</v>
      </c>
      <c r="C1098" s="31" t="str">
        <f>IFERROR(__xludf.DUMMYFUNCTION("""COMPUTED_VALUE"""),"受診可否・対応不可")</f>
        <v>受診可否・対応不可</v>
      </c>
      <c r="D1098" s="31" t="str">
        <f>IFERROR(__xludf.DUMMYFUNCTION("""COMPUTED_VALUE"""),"排卵,排卵検査,排卵日,排卵チェック,妊活,不妊")</f>
        <v>排卵,排卵検査,排卵日,排卵チェック,妊活,不妊</v>
      </c>
      <c r="E1098" s="31"/>
    </row>
    <row r="1099">
      <c r="A1099" s="31" t="str">
        <f>IFERROR(__xludf.DUMMYFUNCTION("""COMPUTED_VALUE"""),"LINEを変えた時はどうすればいいですか？/LINEアカウントを変更した場合/LINE引き継ぎできなかった/LINEの機種変更")</f>
        <v>LINEを変えた時はどうすればいいですか？/LINEアカウントを変更した場合/LINE引き継ぎできなかった/LINEの機種変更</v>
      </c>
      <c r="B1099" s="31" t="str">
        <f>IFERROR(__xludf.DUMMYFUNCTION("""COMPUTED_VALUE"""),"LINEアカウントを変更された場合は、次回ご来院の際に受付にてご相談ください。")</f>
        <v>LINEアカウントを変更された場合は、次回ご来院の際に受付にてご相談ください。</v>
      </c>
      <c r="C1099" s="31" t="str">
        <f>IFERROR(__xludf.DUMMYFUNCTION("""COMPUTED_VALUE"""),"受診案内・手続き")</f>
        <v>受診案内・手続き</v>
      </c>
      <c r="D1099" s="31" t="str">
        <f>IFERROR(__xludf.DUMMYFUNCTION("""COMPUTED_VALUE"""),"LINE変更,アカウント変更,機種変更,引き継ぎ,LINE変えた")</f>
        <v>LINE変更,アカウント変更,機種変更,引き継ぎ,LINE変えた</v>
      </c>
      <c r="E1099" s="31"/>
    </row>
    <row r="1100">
      <c r="A1100" s="31" t="str">
        <f>IFERROR(__xludf.DUMMYFUNCTION("""COMPUTED_VALUE"""),"低用量ピルは最大何ヶ月分まで処方してもらえますか？/ピルはまとめて何シートもらえますか？/ピルの最大処方日数を教えてください")</f>
        <v>低用量ピルは最大何ヶ月分まで処方してもらえますか？/ピルはまとめて何シートもらえますか？/ピルの最大処方日数を教えてください</v>
      </c>
      <c r="B1100" s="31" t="str">
        <f>IFERROR(__xludf.DUMMYFUNCTION("""COMPUTED_VALUE"""),"低用量ピルの最大処方数は、ピルの種類によって異なります。【避妊目的のピル（OC・自費）】最大6ヶ月分まで処方可能です。【治療目的のピル（LEP・保険適用）】最大3ヶ月分まで処方可能です。※初診時はお薬がご自身に合うかを確認するため、1シートのみの処方となります。詳しくはこちらをご覧ください。→https://luna-dr.com/subjects/low-dose-contraceptive/")</f>
        <v>低用量ピルの最大処方数は、ピルの種類によって異なります。【避妊目的のピル（OC・自費）】最大6ヶ月分まで処方可能です。【治療目的のピル（LEP・保険適用）】最大3ヶ月分まで処方可能です。※初診時はお薬がご自身に合うかを確認するため、1シートのみの処方となります。詳しくはこちらをご覧ください。→https://luna-dr.com/subjects/low-dose-contraceptive/</v>
      </c>
      <c r="C1100" s="31" t="str">
        <f>IFERROR(__xludf.DUMMYFUNCTION("""COMPUTED_VALUE"""),"ピル処方")</f>
        <v>ピル処方</v>
      </c>
      <c r="D1100" s="31" t="str">
        <f>IFERROR(__xludf.DUMMYFUNCTION("""COMPUTED_VALUE"""),"最大処方,何ヶ月分,何シート,まとめて,処方日数,OC,LEP,6ヶ月,3ヶ月")</f>
        <v>最大処方,何ヶ月分,何シート,まとめて,処方日数,OC,LEP,6ヶ月,3ヶ月</v>
      </c>
      <c r="E1100" s="32" t="str">
        <f>IFERROR(__xludf.DUMMYFUNCTION("""COMPUTED_VALUE"""),"https://luna-dr.com/subjects/low-dose-contraceptive/")</f>
        <v>https://luna-dr.com/subjects/low-dose-contraceptive/</v>
      </c>
    </row>
    <row r="1101">
      <c r="A1101" s="31" t="str">
        <f>IFERROR(__xludf.DUMMYFUNCTION("""COMPUTED_VALUE"""),"未成年でもピルを処方してもらえますか？/低用量ピルを処方してもらいたいのですが未成年です/高校生でもピルはもらえますか？/親の同行は必要ですか？")</f>
        <v>未成年でもピルを処方してもらえますか？/低用量ピルを処方してもらいたいのですが未成年です/高校生でもピルはもらえますか？/親の同行は必要ですか？</v>
      </c>
      <c r="B1101" s="31" t="str">
        <f>IFERROR(__xludf.DUMMYFUNCTION("""COMPUTED_VALUE"""),"15歳以上であればピルの処方は可能です。ただし、18歳未満の患者さまは保護者の方の同伴が必須となります。ご予約は「ピル処方」のメニューからお取りください。ご予約は公式LINEから24時間承っております。LINEはこちら→https://cline-app.com/qr-codes/98ad6f149bfa20f4f2a9a2e91aac4187/preview")</f>
        <v>15歳以上であればピルの処方は可能です。ただし、18歳未満の患者さまは保護者の方の同伴が必須となります。ご予約は「ピル処方」のメニューからお取りください。ご予約は公式LINEから24時間承っております。LINEはこちら→https://cline-app.com/qr-codes/98ad6f149bfa20f4f2a9a2e91aac4187/preview</v>
      </c>
      <c r="C1101" s="31" t="str">
        <f>IFERROR(__xludf.DUMMYFUNCTION("""COMPUTED_VALUE"""),"ピル処方")</f>
        <v>ピル処方</v>
      </c>
      <c r="D1101" s="31" t="str">
        <f>IFERROR(__xludf.DUMMYFUNCTION("""COMPUTED_VALUE"""),"未成年,ピル,処方,保護者,同伴,高校生,15歳,18歳未満,親")</f>
        <v>未成年,ピル,処方,保護者,同伴,高校生,15歳,18歳未満,親</v>
      </c>
      <c r="E1101" s="31"/>
    </row>
    <row r="1102">
      <c r="A1102" s="31" t="str">
        <f>IFERROR(__xludf.DUMMYFUNCTION("""COMPUTED_VALUE"""),"陰唇縮小はできますか？/小陰唇縮小手術は対応していますか？/小陰唇についての診察は行っているか/小陰唇の相談はできますか")</f>
        <v>陰唇縮小はできますか？/小陰唇縮小手術は対応していますか？/小陰唇についての診察は行っているか/小陰唇の相談はできますか</v>
      </c>
      <c r="B1102" s="31" t="str">
        <f>IFERROR(__xludf.DUMMYFUNCTION("""COMPUTED_VALUE"""),"恐れ入りますが、陰唇縮小手術は当院では行っておりません。")</f>
        <v>恐れ入りますが、陰唇縮小手術は当院では行っておりません。</v>
      </c>
      <c r="C1102" s="31" t="str">
        <f>IFERROR(__xludf.DUMMYFUNCTION("""COMPUTED_VALUE"""),"受診可否・対応不可")</f>
        <v>受診可否・対応不可</v>
      </c>
      <c r="D1102" s="31" t="str">
        <f>IFERROR(__xludf.DUMMYFUNCTION("""COMPUTED_VALUE"""),"陰唇縮小,小陰唇,手術,美容外科")</f>
        <v>陰唇縮小,小陰唇,手術,美容外科</v>
      </c>
      <c r="E1102" s="31"/>
    </row>
    <row r="1103">
      <c r="A1103" s="31" t="str">
        <f>IFERROR(__xludf.DUMMYFUNCTION("""COMPUTED_VALUE"""),"利尿剤の処方はできますか？/利尿剤を出してもらえますか？")</f>
        <v>利尿剤の処方はできますか？/利尿剤を出してもらえますか？</v>
      </c>
      <c r="B1103" s="31" t="str">
        <f>IFERROR(__xludf.DUMMYFUNCTION("""COMPUTED_VALUE"""),"恐れ入りますが、利尿剤の処方は当院では行っておりません。")</f>
        <v>恐れ入りますが、利尿剤の処方は当院では行っておりません。</v>
      </c>
      <c r="C1103" s="31" t="str">
        <f>IFERROR(__xludf.DUMMYFUNCTION("""COMPUTED_VALUE"""),"受診可否・対応不可")</f>
        <v>受診可否・対応不可</v>
      </c>
      <c r="D1103" s="31" t="str">
        <f>IFERROR(__xludf.DUMMYFUNCTION("""COMPUTED_VALUE"""),"利尿剤,処方,対応不可")</f>
        <v>利尿剤,処方,対応不可</v>
      </c>
      <c r="E1103" s="31"/>
    </row>
    <row r="1104">
      <c r="A1104" s="31" t="str">
        <f>IFERROR(__xludf.DUMMYFUNCTION("""COMPUTED_VALUE"""),"高校生ですが予約はどうすればいいですか？/未成年の予約方法を教えてください/18歳未満の予約方法/未成年ですが予約できますか？/高校生の予約方法/10代の予約/子供の予約を取りたい/娘の予約を取りたい/高校生ひとりで受診できますか？/高校生1人で行っても大丈夫ですか？/ひとりで受診はできますか？/1人で受診できますか？/保護者なしで受診できますか？")</f>
        <v>高校生ですが予約はどうすればいいですか？/未成年の予約方法を教えてください/18歳未満の予約方法/未成年ですが予約できますか？/高校生の予約方法/10代の予約/子供の予約を取りたい/娘の予約を取りたい/高校生ひとりで受診できますか？/高校生1人で行っても大丈夫ですか？/ひとりで受診はできますか？/1人で受診できますか？/保護者なしで受診できますか？</v>
      </c>
      <c r="B1104" s="31" t="str">
        <f>IFERROR(__xludf.DUMMYFUNCTION("""COMPUTED_VALUE"""),"当院は15歳以上の方からご受診いただけます。18歳未満の患者さまはお1人でのご受診はできませんので、保護者の方の同伴が必須となります。ご予約は保護者の方とご一緒にご来院いただける日時で、ご希望の内容に応じたメニュー（一般婦人科診療・ピル処方等）からお取りください。LINEはこちら→https://cline-app.com/qr-codes/98ad6f149bfa20f4f2a9a2e91aac4187/preview")</f>
        <v>当院は15歳以上の方からご受診いただけます。18歳未満の患者さまはお1人でのご受診はできませんので、保護者の方の同伴が必須となります。ご予約は保護者の方とご一緒にご来院いただける日時で、ご希望の内容に応じたメニュー（一般婦人科診療・ピル処方等）からお取りください。LINEはこちら→https://cline-app.com/qr-codes/98ad6f149bfa20f4f2a9a2e91aac4187/preview</v>
      </c>
      <c r="C1104" s="31" t="str">
        <f>IFERROR(__xludf.DUMMYFUNCTION("""COMPUTED_VALUE"""),"受診案内")</f>
        <v>受診案内</v>
      </c>
      <c r="D1104" s="31" t="str">
        <f>IFERROR(__xludf.DUMMYFUNCTION("""COMPUTED_VALUE"""),"高校生,未成年,18歳未満,保護者,同伴,予約,母親と同伴")</f>
        <v>高校生,未成年,18歳未満,保護者,同伴,予約,母親と同伴</v>
      </c>
      <c r="E1104" s="31"/>
    </row>
    <row r="1105">
      <c r="A1105" s="31" t="str">
        <f>IFERROR(__xludf.DUMMYFUNCTION("""COMPUTED_VALUE"""),"妊娠中ですが外陰部のかゆみで受診できますか？/妊娠中の受診は可能ですか？/妊婦ですが診てもらえますか？")</f>
        <v>妊娠中ですが外陰部のかゆみで受診できますか？/妊娠中の受診は可能ですか？/妊婦ですが診てもらえますか？</v>
      </c>
      <c r="B1105" s="31" t="str">
        <f>IFERROR(__xludf.DUMMYFUNCTION("""COMPUTED_VALUE"""),"当院では妊娠12週未満の方のみご受診が可能です。かかりつけの産婦人科がある場合は、まずかかりつけ医でのご受診をお願いいたします。")</f>
        <v>当院では妊娠12週未満の方のみご受診が可能です。かかりつけの産婦人科がある場合は、まずかかりつけ医でのご受診をお願いいたします。</v>
      </c>
      <c r="C1105" s="31" t="str">
        <f>IFERROR(__xludf.DUMMYFUNCTION("""COMPUTED_VALUE"""),"受診案内")</f>
        <v>受診案内</v>
      </c>
      <c r="D1105" s="31" t="str">
        <f>IFERROR(__xludf.DUMMYFUNCTION("""COMPUTED_VALUE"""),"妊娠中,妊婦,外陰部,かゆみ,12週未満,かかりつけ")</f>
        <v>妊娠中,妊婦,外陰部,かゆみ,12週未満,かかりつけ</v>
      </c>
      <c r="E1105" s="31"/>
    </row>
    <row r="1106">
      <c r="A1106" s="31" t="str">
        <f>IFERROR(__xludf.DUMMYFUNCTION("""COMPUTED_VALUE"""),"中絶手術のキャンセルをしたいのですが/中絶手術の予約を変更したい/中絶オペの日程を変更したい/中絶手術の予約をキャンセルしたい")</f>
        <v>中絶手術のキャンセルをしたいのですが/中絶手術の予約を変更したい/中絶オペの日程を変更したい/中絶手術の予約をキャンセルしたい</v>
      </c>
      <c r="B1106" s="31" t="str">
        <f>IFERROR(__xludf.DUMMYFUNCTION("""COMPUTED_VALUE"""),"当院で中絶手術のご予約をお取りされている方は、キャンセル期限がございますので、お電話にてご連絡をお願いいたします。お電話：050-1730-2768（受付時間：平日9:45〜13:40・15:15〜19:40、土日祝9:45〜13:40・15:15〜18:40）※中絶相談のご予約（まだオペ予約を取っていない方）のキャンセルは、期限なくいつでも可能です。")</f>
        <v>当院で中絶手術のご予約をお取りされている方は、キャンセル期限がございますので、お電話にてご連絡をお願いいたします。お電話：050-1730-2768（受付時間：平日9:45〜13:40・15:15〜19:40、土日祝9:45〜13:40・15:15〜18:40）※中絶相談のご予約（まだオペ予約を取っていない方）のキャンセルは、期限なくいつでも可能です。</v>
      </c>
      <c r="C1106" s="31" t="str">
        <f>IFERROR(__xludf.DUMMYFUNCTION("""COMPUTED_VALUE"""),"中絶手術")</f>
        <v>中絶手術</v>
      </c>
      <c r="D1106" s="31" t="str">
        <f>IFERROR(__xludf.DUMMYFUNCTION("""COMPUTED_VALUE"""),"中絶手術,オペ,キャンセル,変更,日程変更,予約変更,キャンセル期限")</f>
        <v>中絶手術,オペ,キャンセル,変更,日程変更,予約変更,キャンセル期限</v>
      </c>
      <c r="E1106" s="31" t="str">
        <f>IFERROR(__xludf.DUMMYFUNCTION("""COMPUTED_VALUE"""),"nan")</f>
        <v>nan</v>
      </c>
    </row>
    <row r="1107">
      <c r="A1107" s="31" t="str">
        <f>IFERROR(__xludf.DUMMYFUNCTION("""COMPUTED_VALUE"""),"プラセンタ注射はできますか？/プラセンタ注射は対応していますか？")</f>
        <v>プラセンタ注射はできますか？/プラセンタ注射は対応していますか？</v>
      </c>
      <c r="B1107" s="31" t="str">
        <f>IFERROR(__xludf.DUMMYFUNCTION("""COMPUTED_VALUE"""),"恐れ入りますが、プラセンタ注射は当院では行っておりません。")</f>
        <v>恐れ入りますが、プラセンタ注射は当院では行っておりません。</v>
      </c>
      <c r="C1107" s="31" t="str">
        <f>IFERROR(__xludf.DUMMYFUNCTION("""COMPUTED_VALUE"""),"受診可否・対応不可")</f>
        <v>受診可否・対応不可</v>
      </c>
      <c r="D1107" s="31" t="str">
        <f>IFERROR(__xludf.DUMMYFUNCTION("""COMPUTED_VALUE"""),"プラセンタ,注射,対応不可")</f>
        <v>プラセンタ,注射,対応不可</v>
      </c>
      <c r="E1107" s="31"/>
    </row>
    <row r="1108">
      <c r="A1108" s="31" t="str">
        <f>IFERROR(__xludf.DUMMYFUNCTION("""COMPUTED_VALUE"""),"検査結果を聞きに行く場合、予約は必要ですか？/結果通知は予約なしで行けますか？/子宮頸がん検診の結果予約/検査結果の予約/結果を聞くための予約")</f>
        <v>検査結果を聞きに行く場合、予約は必要ですか？/結果通知は予約なしで行けますか？/子宮頸がん検診の結果予約/検査結果の予約/結果を聞くための予約</v>
      </c>
      <c r="B1108" s="31" t="str">
        <f>IFERROR(__xludf.DUMMYFUNCTION("""COMPUTED_VALUE"""),"検査結果の説明をご希望の場合は「検査結果説明」のメニューでご予約ください。→https://cline-app.com/qr-codes/98ad6f149bfa20f4f2a9a2e91aac4187/preview")</f>
        <v>検査結果の説明をご希望の場合は「検査結果説明」のメニューでご予約ください。→https://cline-app.com/qr-codes/98ad6f149bfa20f4f2a9a2e91aac4187/preview</v>
      </c>
      <c r="C1108" s="31" t="str">
        <f>IFERROR(__xludf.DUMMYFUNCTION("""COMPUTED_VALUE"""),"予約・受診")</f>
        <v>予約・受診</v>
      </c>
      <c r="D1108" s="31" t="str">
        <f>IFERROR(__xludf.DUMMYFUNCTION("""COMPUTED_VALUE"""),"検査結果,結果通知,予約,検査結果説明")</f>
        <v>検査結果,結果通知,予約,検査結果説明</v>
      </c>
      <c r="E1108" s="31"/>
    </row>
    <row r="1109">
      <c r="A1109" s="31" t="str">
        <f>IFERROR(__xludf.DUMMYFUNCTION("""COMPUTED_VALUE"""),"相模原市民ですが受診可能ですか？/他の市区町村からでも受診できますか？/他の市区町村の保険証でも受診できますか？")</f>
        <v>相模原市民ですが受診可能ですか？/他の市区町村からでも受診できますか？/他の市区町村の保険証でも受診できますか？</v>
      </c>
      <c r="B1109" s="31" t="str">
        <f>IFERROR(__xludf.DUMMYFUNCTION("""COMPUTED_VALUE"""),"お住まいの市区町村に関係なくご受診いただけます。健康保険証（またはマイナ保険証）をお持ちであれば、どの自治体の方でも保険診療が可能です。ただし、自治体のがん検診（公費）につきましては、横浜市・川崎市・町田市が対象となります。")</f>
        <v>お住まいの市区町村に関係なくご受診いただけます。健康保険証（またはマイナ保険証）をお持ちであれば、どの自治体の方でも保険診療が可能です。ただし、自治体のがん検診（公費）につきましては、横浜市・川崎市・町田市が対象となります。</v>
      </c>
      <c r="C1109" s="31" t="str">
        <f>IFERROR(__xludf.DUMMYFUNCTION("""COMPUTED_VALUE"""),"受診案内")</f>
        <v>受診案内</v>
      </c>
      <c r="D1109" s="31" t="str">
        <f>IFERROR(__xludf.DUMMYFUNCTION("""COMPUTED_VALUE"""),"相模原市,他の市区町村,保険証,受診可能,自治体")</f>
        <v>相模原市,他の市区町村,保険証,受診可能,自治体</v>
      </c>
      <c r="E1109" s="31"/>
    </row>
    <row r="1110">
      <c r="A1110" s="31" t="str">
        <f>IFERROR(__xludf.DUMMYFUNCTION("""COMPUTED_VALUE"""),"低用量ピルの治療目的の場合の検査って何ですか？/LEPの初回検査は何をしますか？")</f>
        <v>低用量ピルの治療目的の場合の検査って何ですか？/LEPの初回検査は何をしますか？</v>
      </c>
      <c r="B1110" s="31" t="str">
        <f>IFERROR(__xludf.DUMMYFUNCTION("""COMPUTED_VALUE"""),"治療目的（LEPピル）の場合、生理痛などの原因を詳しく調べるため、超音波（エコー）検査を行います。その上で、生理の回数を減らして負担を軽減する「ヤーズフレックス」など、症状に合ったお薬をご提案します。")</f>
        <v>治療目的（LEPピル）の場合、生理痛などの原因を詳しく調べるため、超音波（エコー）検査を行います。その上で、生理の回数を減らして負担を軽減する「ヤーズフレックス」など、症状に合ったお薬をご提案します。</v>
      </c>
      <c r="C1110" s="31" t="str">
        <f>IFERROR(__xludf.DUMMYFUNCTION("""COMPUTED_VALUE"""),"ピル処方")</f>
        <v>ピル処方</v>
      </c>
      <c r="D1110" s="31" t="str">
        <f>IFERROR(__xludf.DUMMYFUNCTION("""COMPUTED_VALUE"""),"LEP,治療目的,検査,エコー,超音波,初回")</f>
        <v>LEP,治療目的,検査,エコー,超音波,初回</v>
      </c>
      <c r="E1110" s="32" t="str">
        <f>IFERROR(__xludf.DUMMYFUNCTION("""COMPUTED_VALUE"""),"https://luna-dr.com/subjects/low-dose-contraceptive/")</f>
        <v>https://luna-dr.com/subjects/low-dose-contraceptive/</v>
      </c>
    </row>
    <row r="1111">
      <c r="A1111" s="31" t="str">
        <f>IFERROR(__xludf.DUMMYFUNCTION("""COMPUTED_VALUE"""),"AMH検査はどの予約メニューで取ればいいですか？/AMH検査の予約方法")</f>
        <v>AMH検査はどの予約メニューで取ればいいですか？/AMH検査の予約方法</v>
      </c>
      <c r="B1111" s="31" t="str">
        <f>IFERROR(__xludf.DUMMYFUNCTION("""COMPUTED_VALUE"""),"AMH検査のご予約は「一般婦人科診療」のメニューからお取りください。→https://cline-app.com/qr-codes/98ad6f149bfa20f4f2a9a2e91aac4187/preview")</f>
        <v>AMH検査のご予約は「一般婦人科診療」のメニューからお取りください。→https://cline-app.com/qr-codes/98ad6f149bfa20f4f2a9a2e91aac4187/preview</v>
      </c>
      <c r="C1111" s="31" t="str">
        <f>IFERROR(__xludf.DUMMYFUNCTION("""COMPUTED_VALUE"""),"ブライダルチェック")</f>
        <v>ブライダルチェック</v>
      </c>
      <c r="D1111" s="31" t="str">
        <f>IFERROR(__xludf.DUMMYFUNCTION("""COMPUTED_VALUE"""),"AMH,予約メニュー,一般婦人科診療,ブライダルチェック")</f>
        <v>AMH,予約メニュー,一般婦人科診療,ブライダルチェック</v>
      </c>
      <c r="E1111" s="31"/>
    </row>
    <row r="1112">
      <c r="A1112" s="31" t="str">
        <f>IFERROR(__xludf.DUMMYFUNCTION("""COMPUTED_VALUE"""),"出産費用はいくらですか？/出産はできますか？分娩は行っていますか？/出産できますか？/お産はできますか？/子供は産めますか？/産科受診/分娩は対応していますか？/無痛分娩はできますか")</f>
        <v>出産費用はいくらですか？/出産はできますか？分娩は行っていますか？/出産できますか？/お産はできますか？/子供は産めますか？/産科受診/分娩は対応していますか？/無痛分娩はできますか</v>
      </c>
      <c r="B1112" s="31" t="str">
        <f>IFERROR(__xludf.DUMMYFUNCTION("""COMPUTED_VALUE"""),"恐れ入りますが、当院は婦人科クリニックのため、分娩（出産）には対応しておりません。")</f>
        <v>恐れ入りますが、当院は婦人科クリニックのため、分娩（出産）には対応しておりません。</v>
      </c>
      <c r="C1112" s="31" t="str">
        <f>IFERROR(__xludf.DUMMYFUNCTION("""COMPUTED_VALUE"""),"受診可否・対応不可")</f>
        <v>受診可否・対応不可</v>
      </c>
      <c r="D1112" s="31" t="str">
        <f>IFERROR(__xludf.DUMMYFUNCTION("""COMPUTED_VALUE"""),"出産,分娩,対応不可,無痛分娩")</f>
        <v>出産,分娩,対応不可,無痛分娩</v>
      </c>
      <c r="E1112" s="31"/>
    </row>
    <row r="1113">
      <c r="A1113" s="31" t="str">
        <f>IFERROR(__xludf.DUMMYFUNCTION("""COMPUTED_VALUE"""),"資格確認書とは何ですか？/資格確認書について教えてください")</f>
        <v>資格確認書とは何ですか？/資格確認書について教えてください</v>
      </c>
      <c r="B1113" s="31" t="str">
        <f>IFERROR(__xludf.DUMMYFUNCTION("""COMPUTED_VALUE"""),"資格確認書は、健康保険の加入状況を証明する書類です。マイナ保険証をお持ちでない方は、お手元の資格確認書を保険証の代わりとしてご持参ください。")</f>
        <v>資格確認書は、健康保険の加入状況を証明する書類です。マイナ保険証をお持ちでない方は、お手元の資格確認書を保険証の代わりとしてご持参ください。</v>
      </c>
      <c r="C1113" s="31" t="str">
        <f>IFERROR(__xludf.DUMMYFUNCTION("""COMPUTED_VALUE"""),"受診案内")</f>
        <v>受診案内</v>
      </c>
      <c r="D1113" s="31" t="str">
        <f>IFERROR(__xludf.DUMMYFUNCTION("""COMPUTED_VALUE"""),"資格確認書,保険証,マイナ保険証")</f>
        <v>資格確認書,保険証,マイナ保険証</v>
      </c>
      <c r="E1113" s="31"/>
    </row>
    <row r="1114">
      <c r="A1114" s="31" t="str">
        <f>IFERROR(__xludf.DUMMYFUNCTION("""COMPUTED_VALUE"""),"予約の日時を変更したいのですが/予約日を変更できますか？/予約変更の方法を教えてください")</f>
        <v>予約の日時を変更したいのですが/予約日を変更できますか？/予約変更の方法を教えてください</v>
      </c>
      <c r="B1114" s="31" t="str">
        <f>IFERROR(__xludf.DUMMYFUNCTION("""COMPUTED_VALUE"""),"ご予約の日時変更は、LINEの予約画面から変更が可能です。一度ご予約をキャンセルいただき、ご希望の日時で再度ご予約をお取りください。→https://cline-app.com/qr-codes/98ad6f149bfa20f4f2a9a2e91aac4187/preview")</f>
        <v>ご予約の日時変更は、LINEの予約画面から変更が可能です。一度ご予約をキャンセルいただき、ご希望の日時で再度ご予約をお取りください。→https://cline-app.com/qr-codes/98ad6f149bfa20f4f2a9a2e91aac4187/preview</v>
      </c>
      <c r="C1114" s="31" t="str">
        <f>IFERROR(__xludf.DUMMYFUNCTION("""COMPUTED_VALUE"""),"予約・受診")</f>
        <v>予約・受診</v>
      </c>
      <c r="D1114" s="31" t="str">
        <f>IFERROR(__xludf.DUMMYFUNCTION("""COMPUTED_VALUE"""),"予約変更,日時変更,変更方法")</f>
        <v>予約変更,日時変更,変更方法</v>
      </c>
      <c r="E1114" s="31"/>
    </row>
    <row r="1115">
      <c r="A1115" s="31" t="str">
        <f>IFERROR(__xludf.DUMMYFUNCTION("""COMPUTED_VALUE"""),"ベトナム語の通訳はいますか？/通訳はいますか？")</f>
        <v>ベトナム語の通訳はいますか？/通訳はいますか？</v>
      </c>
      <c r="B1115" s="31" t="str">
        <f>IFERROR(__xludf.DUMMYFUNCTION("""COMPUTED_VALUE"""),"恐れ入りますが、当院では通訳のご用意はございません。患者さまご本人が日本語で直接コミュニケーションが取れることが必要となります。")</f>
        <v>恐れ入りますが、当院では通訳のご用意はございません。患者さまご本人が日本語で直接コミュニケーションが取れることが必要となります。</v>
      </c>
      <c r="C1115" s="31" t="str">
        <f>IFERROR(__xludf.DUMMYFUNCTION("""COMPUTED_VALUE"""),"受診案内")</f>
        <v>受診案内</v>
      </c>
      <c r="D1115" s="31" t="str">
        <f>IFERROR(__xludf.DUMMYFUNCTION("""COMPUTED_VALUE"""),"通訳,ベトナム語,外国語,対応")</f>
        <v>通訳,ベトナム語,外国語,対応</v>
      </c>
      <c r="E1115" s="31"/>
    </row>
    <row r="1116">
      <c r="A1116" s="31" t="str">
        <f>IFERROR(__xludf.DUMMYFUNCTION("""COMPUTED_VALUE"""),"HPVワクチンは何回打つ必要がありますか？/子宮頸がんワクチンは全部で何回接種しますか？/HPVワクチンの接種回数を教えてください/HPVワクチンは何回打ちますか？")</f>
        <v>HPVワクチンは何回打つ必要がありますか？/子宮頸がんワクチンは全部で何回接種しますか？/HPVワクチンの接種回数を教えてください/HPVワクチンは何回打ちますか？</v>
      </c>
      <c r="B1116" s="31" t="str">
        <f>IFERROR(__xludf.DUMMYFUNCTION("""COMPUTED_VALUE"""),"HPVワクチン（子宮頸がんワクチン）は、接種開始時の年齢によって合計2回または3回接種します。当院で取り扱っている9価ワクチン（シルガード9）の場合、15歳未満で初回接種をすれば2回、15歳以上で開始した場合は3回接種となります。【15歳未満で初回接種の場合（2回）】1回目から6か月〜12か月間隔を空けて2回目を接種。※1回目と2回目は5か月以上空ける必要があります。【15歳以上で初回接種の場合（3回）】1回目から2か月後に2回目、1回目から6か月後に3回目を接種。※標準的なスケジュールが難しい場合、2回"&amp;"目は1か月以上、3回目は2回目から3か月以上空けます。HPVワクチンのご予約はお電話（050-1730-2768）にて承っております。")</f>
        <v>HPVワクチン（子宮頸がんワクチン）は、接種開始時の年齢によって合計2回または3回接種します。当院で取り扱っている9価ワクチン（シルガード9）の場合、15歳未満で初回接種をすれば2回、15歳以上で開始した場合は3回接種となります。【15歳未満で初回接種の場合（2回）】1回目から6か月〜12か月間隔を空けて2回目を接種。※1回目と2回目は5か月以上空ける必要があります。【15歳以上で初回接種の場合（3回）】1回目から2か月後に2回目、1回目から6か月後に3回目を接種。※標準的なスケジュールが難しい場合、2回目は1か月以上、3回目は2回目から3か月以上空けます。HPVワクチンのご予約はお電話（050-1730-2768）にて承っております。</v>
      </c>
      <c r="C1116" s="31" t="str">
        <f>IFERROR(__xludf.DUMMYFUNCTION("""COMPUTED_VALUE"""),"HPVワクチン")</f>
        <v>HPVワクチン</v>
      </c>
      <c r="D1116" s="31" t="str">
        <f>IFERROR(__xludf.DUMMYFUNCTION("""COMPUTED_VALUE"""),"HPVワクチン,子宮頸がんワクチン,接種回数,シルガード9,9価,2回,3回,15歳未満,スケジュール")</f>
        <v>HPVワクチン,子宮頸がんワクチン,接種回数,シルガード9,9価,2回,3回,15歳未満,スケジュール</v>
      </c>
      <c r="E1116" s="31"/>
    </row>
    <row r="1117">
      <c r="A1117" s="31" t="str">
        <f>IFERROR(__xludf.DUMMYFUNCTION("""COMPUTED_VALUE"""),"血尿が出ているのですが診てもらえますか？/血尿の検査はできますか？")</f>
        <v>血尿が出ているのですが診てもらえますか？/血尿の検査はできますか？</v>
      </c>
      <c r="B1117" s="31" t="str">
        <f>IFERROR(__xludf.DUMMYFUNCTION("""COMPUTED_VALUE"""),"恐れ入りますが、血尿の診療は当院では行っておりません。泌尿器科でのご受診をお願いいたします。")</f>
        <v>恐れ入りますが、血尿の診療は当院では行っておりません。泌尿器科でのご受診をお願いいたします。</v>
      </c>
      <c r="C1117" s="31" t="str">
        <f>IFERROR(__xludf.DUMMYFUNCTION("""COMPUTED_VALUE"""),"受診可否・対応不可")</f>
        <v>受診可否・対応不可</v>
      </c>
      <c r="D1117" s="31" t="str">
        <f>IFERROR(__xludf.DUMMYFUNCTION("""COMPUTED_VALUE"""),"血尿,泌尿器科,対応不可")</f>
        <v>血尿,泌尿器科,対応不可</v>
      </c>
      <c r="E1117" s="31"/>
    </row>
    <row r="1118">
      <c r="A1118" s="31" t="str">
        <f>IFERROR(__xludf.DUMMYFUNCTION("""COMPUTED_VALUE"""),"男性も診療できますか？/男性の受診はできますか？/彼も一緒に受診できますか？/男性の付き添いは可能ですか？/男性はいくらですか？/男性の料金")</f>
        <v>男性も診療できますか？/男性の受診はできますか？/彼も一緒に受診できますか？/男性の付き添いは可能ですか？/男性はいくらですか？/男性の料金</v>
      </c>
      <c r="B1118" s="31" t="str">
        <f>IFERROR(__xludf.DUMMYFUNCTION("""COMPUTED_VALUE"""),"当院は女性専用クリニックのため、男性の診療・ご入室は承っておりません。")</f>
        <v>当院は女性専用クリニックのため、男性の診療・ご入室は承っておりません。</v>
      </c>
      <c r="C1118" s="31" t="str">
        <f>IFERROR(__xludf.DUMMYFUNCTION("""COMPUTED_VALUE"""),"受診可否・対応不可")</f>
        <v>受診可否・対応不可</v>
      </c>
      <c r="D1118" s="31" t="str">
        <f>IFERROR(__xludf.DUMMYFUNCTION("""COMPUTED_VALUE"""),"男性,男,彼,パートナー,付き添い,入室")</f>
        <v>男性,男,彼,パートナー,付き添い,入室</v>
      </c>
      <c r="E1118" s="31"/>
    </row>
    <row r="1119">
      <c r="A1119" s="31" t="str">
        <f>IFERROR(__xludf.DUMMYFUNCTION("""COMPUTED_VALUE"""),"紹介状を書いてもらいたいのですが何で予約すればいいですか？/紹介状が欲しい場合の予約メニュー")</f>
        <v>紹介状を書いてもらいたいのですが何で予約すればいいですか？/紹介状が欲しい場合の予約メニュー</v>
      </c>
      <c r="B1119" s="31" t="str">
        <f>IFERROR(__xludf.DUMMYFUNCTION("""COMPUTED_VALUE"""),"紹介状の発行をご希望の場合は、前回の続きの診察であれば「再診 &gt; 一般婦人科診療（前回の続き）」、それ以外であれば「一般婦人科診療」のメニューでご予約ください。WEB問診票の備考欄に「紹介状希望」とご記入いただくとスムーズです。ご予約は公式LINEからお願い致します→https://cline-app.com/qr-codes/98ad6f149bfa20f4f2a9a2e91aac4187/preview")</f>
        <v>紹介状の発行をご希望の場合は、前回の続きの診察であれば「再診 &gt; 一般婦人科診療（前回の続き）」、それ以外であれば「一般婦人科診療」のメニューでご予約ください。WEB問診票の備考欄に「紹介状希望」とご記入いただくとスムーズです。ご予約は公式LINEからお願い致します→https://cline-app.com/qr-codes/98ad6f149bfa20f4f2a9a2e91aac4187/preview</v>
      </c>
      <c r="C1119" s="31" t="str">
        <f>IFERROR(__xludf.DUMMYFUNCTION("""COMPUTED_VALUE"""),"受診案内・手続き")</f>
        <v>受診案内・手続き</v>
      </c>
      <c r="D1119" s="31" t="str">
        <f>IFERROR(__xludf.DUMMYFUNCTION("""COMPUTED_VALUE"""),"紹介状,予約メニュー,書いてほしい")</f>
        <v>紹介状,予約メニュー,書いてほしい</v>
      </c>
      <c r="E1119" s="31"/>
    </row>
    <row r="1120">
      <c r="A1120" s="31" t="str">
        <f>IFERROR(__xludf.DUMMYFUNCTION("""COMPUTED_VALUE"""),"ゴールデンウィークは営業していますか？/GW中は診療していますか？/GW期間中の休診日はありますか？")</f>
        <v>ゴールデンウィークは営業していますか？/GW中は診療していますか？/GW期間中の休診日はありますか？</v>
      </c>
      <c r="B1120" s="31" t="str">
        <f>IFERROR(__xludf.DUMMYFUNCTION("""COMPUTED_VALUE"""),"ゴールデンウィーク期間中も横浜駅前院、川崎駅前院、町田駅前院は通常通り診療しております。町田駅前院は通常通り日曜日が休診です。ご予約は公式LINEから24時間承っております。ご予約は公式LINEからお願い致します→https://cline-app.com/qr-codes/98ad6f149bfa20f4f2a9a2e91aac4187/preview")</f>
        <v>ゴールデンウィーク期間中も横浜駅前院、川崎駅前院、町田駅前院は通常通り診療しております。町田駅前院は通常通り日曜日が休診です。ご予約は公式LINEから24時間承っております。ご予約は公式LINEからお願い致します→https://cline-app.com/qr-codes/98ad6f149bfa20f4f2a9a2e91aac4187/preview</v>
      </c>
      <c r="C1120" s="31" t="str">
        <f>IFERROR(__xludf.DUMMYFUNCTION("""COMPUTED_VALUE"""),"診療時間")</f>
        <v>診療時間</v>
      </c>
      <c r="D1120" s="31" t="str">
        <f>IFERROR(__xludf.DUMMYFUNCTION("""COMPUTED_VALUE"""),"ゴールデンウィーク,GW,連休,営業,休診")</f>
        <v>ゴールデンウィーク,GW,連休,営業,休診</v>
      </c>
      <c r="E1120" s="31"/>
    </row>
    <row r="1121">
      <c r="A1121" s="31" t="str">
        <f>IFERROR(__xludf.DUMMYFUNCTION("""COMPUTED_VALUE"""),"吐き気止めの料金はいくらですか？/吐き気止めは処方してもらえますか？")</f>
        <v>吐き気止めの料金はいくらですか？/吐き気止めは処方してもらえますか？</v>
      </c>
      <c r="B1121" s="31" t="str">
        <f>IFERROR(__xludf.DUMMYFUNCTION("""COMPUTED_VALUE"""),"吐き気止めの料金は220円（税込）です。別途、初診料・再診料がかかります。")</f>
        <v>吐き気止めの料金は220円（税込）です。別途、初診料・再診料がかかります。</v>
      </c>
      <c r="C1121" s="31" t="str">
        <f>IFERROR(__xludf.DUMMYFUNCTION("""COMPUTED_VALUE"""),"料金・支払い")</f>
        <v>料金・支払い</v>
      </c>
      <c r="D1121" s="31" t="str">
        <f>IFERROR(__xludf.DUMMYFUNCTION("""COMPUTED_VALUE"""),"吐き気止め,料金,220円")</f>
        <v>吐き気止め,料金,220円</v>
      </c>
      <c r="E1121" s="31"/>
    </row>
    <row r="1122">
      <c r="A1122" s="31" t="str">
        <f>IFERROR(__xludf.DUMMYFUNCTION("""COMPUTED_VALUE"""),"ピルの服用をやめたい場合、診察は必要ですか？/妊娠希望でピルを中止したい")</f>
        <v>ピルの服用をやめたい場合、診察は必要ですか？/妊娠希望でピルを中止したい</v>
      </c>
      <c r="B1122" s="31" t="str">
        <f>IFERROR(__xludf.DUMMYFUNCTION("""COMPUTED_VALUE"""),"ピルの中断時期については医師の判断が必要となりますので、一度ご受診をお願いいたします。「一般婦人科診療（前回の続き）」のメニューでご予約ください。→https://cline-app.com/qr-codes/98ad6f149bfa20f4f2a9a2e91aac4187/preview
なお、当院では妊活・不妊に関する診療は行っておりませんので、妊活のご相談については妊活を取り扱っているクリニックへのご受診をおすすめいたします。")</f>
        <v>ピルの中断時期については医師の判断が必要となりますので、一度ご受診をお願いいたします。「一般婦人科診療（前回の続き）」のメニューでご予約ください。→https://cline-app.com/qr-codes/98ad6f149bfa20f4f2a9a2e91aac4187/preview
なお、当院では妊活・不妊に関する診療は行っておりませんので、妊活のご相談については妊活を取り扱っているクリニックへのご受診をおすすめいたします。</v>
      </c>
      <c r="C1122" s="31" t="str">
        <f>IFERROR(__xludf.DUMMYFUNCTION("""COMPUTED_VALUE"""),"ピル処方")</f>
        <v>ピル処方</v>
      </c>
      <c r="D1122" s="31" t="str">
        <f>IFERROR(__xludf.DUMMYFUNCTION("""COMPUTED_VALUE"""),"ピル中止,やめたい,妊娠希望,妊活")</f>
        <v>ピル中止,やめたい,妊娠希望,妊活</v>
      </c>
      <c r="E1122" s="31"/>
    </row>
    <row r="1123">
      <c r="A1123" s="31" t="str">
        <f>IFERROR(__xludf.DUMMYFUNCTION("""COMPUTED_VALUE"""),"生理中でもピルを処方してもらえますか？/生理中でも受診できますか？/生理中のピル処方")</f>
        <v>生理中でもピルを処方してもらえますか？/生理中でも受診できますか？/生理中のピル処方</v>
      </c>
      <c r="B1123" s="31" t="str">
        <f>IFERROR(__xludf.DUMMYFUNCTION("""COMPUTED_VALUE"""),"生理中でもピルの処方は可能です。ご予約は「ピル処方」のメニューからお取りください。→https://cline-app.com/qr-codes/98ad6f149bfa20f4f2a9a2e91aac4187/preview")</f>
        <v>生理中でもピルの処方は可能です。ご予約は「ピル処方」のメニューからお取りください。→https://cline-app.com/qr-codes/98ad6f149bfa20f4f2a9a2e91aac4187/preview</v>
      </c>
      <c r="C1123" s="31" t="str">
        <f>IFERROR(__xludf.DUMMYFUNCTION("""COMPUTED_VALUE"""),"ピル処方")</f>
        <v>ピル処方</v>
      </c>
      <c r="D1123" s="31" t="str">
        <f>IFERROR(__xludf.DUMMYFUNCTION("""COMPUTED_VALUE"""),"生理中,ピル処方,受診可能")</f>
        <v>生理中,ピル処方,受診可能</v>
      </c>
      <c r="E1123" s="31"/>
    </row>
    <row r="1124">
      <c r="A1124" s="31" t="str">
        <f>IFERROR(__xludf.DUMMYFUNCTION("""COMPUTED_VALUE"""),"ブライダルチェックの基本パックから一部検査を外した場合、料金は変わりますか？/ブライダルチェックの検査を選べますか？")</f>
        <v>ブライダルチェックの基本パックから一部検査を外した場合、料金は変わりますか？/ブライダルチェックの検査を選べますか？</v>
      </c>
      <c r="B1124" s="31" t="str">
        <f>IFERROR(__xludf.DUMMYFUNCTION("""COMPUTED_VALUE"""),"ブライダルチェックの基本セット（経膣超音波・クラミジア・子宮頸がん検診）はセット価格で15,000円のため、一部の検査を外しても料金は変わりません。ご希望に応じてセット以外の組み合わせでのご案内も可能ですので、看護師にご相談ください。")</f>
        <v>ブライダルチェックの基本セット（経膣超音波・クラミジア・子宮頸がん検診）はセット価格で15,000円のため、一部の検査を外しても料金は変わりません。ご希望に応じてセット以外の組み合わせでのご案内も可能ですので、看護師にご相談ください。</v>
      </c>
      <c r="C1124" s="31" t="str">
        <f>IFERROR(__xludf.DUMMYFUNCTION("""COMPUTED_VALUE"""),"ブライダルチェック")</f>
        <v>ブライダルチェック</v>
      </c>
      <c r="D1124" s="31" t="str">
        <f>IFERROR(__xludf.DUMMYFUNCTION("""COMPUTED_VALUE"""),"ブライダルチェック,料金,一部外す,セット,変更")</f>
        <v>ブライダルチェック,料金,一部外す,セット,変更</v>
      </c>
      <c r="E1124" s="31"/>
    </row>
    <row r="1125">
      <c r="A1125" s="31" t="str">
        <f>IFERROR(__xludf.DUMMYFUNCTION("""COMPUTED_VALUE"""),"子宮頚部細胞診で陽性だった場合どうすればいいですか？/細胞診の結果が要精密検査だった")</f>
        <v>子宮頚部細胞診で陽性だった場合どうすればいいですか？/細胞診の結果が要精密検査だった</v>
      </c>
      <c r="B1125" s="31" t="str">
        <f>IFERROR(__xludf.DUMMYFUNCTION("""COMPUTED_VALUE"""),"検査結果の内容によって対応が異なるため、検査結果をお持ちの上ご受診をお願いいたします。「一般婦人科診療」のメニューでご予約ください。→https://cline-app.com/qr-codes/98ad6f149bfa20f4f2a9a2e91aac4187/preview")</f>
        <v>検査結果の内容によって対応が異なるため、検査結果をお持ちの上ご受診をお願いいたします。「一般婦人科診療」のメニューでご予約ください。→https://cline-app.com/qr-codes/98ad6f149bfa20f4f2a9a2e91aac4187/preview</v>
      </c>
      <c r="C1125" s="31" t="str">
        <f>IFERROR(__xludf.DUMMYFUNCTION("""COMPUTED_VALUE"""),"検診")</f>
        <v>検診</v>
      </c>
      <c r="D1125" s="31" t="str">
        <f>IFERROR(__xludf.DUMMYFUNCTION("""COMPUTED_VALUE"""),"細胞診,陽性,要精密検査,子宮頸がん")</f>
        <v>細胞診,陽性,要精密検査,子宮頸がん</v>
      </c>
      <c r="E1125" s="31"/>
    </row>
    <row r="1126">
      <c r="A1126" s="31" t="str">
        <f>IFERROR(__xludf.DUMMYFUNCTION("""COMPUTED_VALUE"""),"健康診断で再検査になりました。受診できますか？/健康診断で引っかかった")</f>
        <v>健康診断で再検査になりました。受診できますか？/健康診断で引っかかった</v>
      </c>
      <c r="B1126" s="31" t="str">
        <f>IFERROR(__xludf.DUMMYFUNCTION("""COMPUTED_VALUE"""),"婦人科関連の再検査については、検査結果の内容によって受診可否が異なります。子宮頸がん検査での再検査の場合はお電話（050-1730-2768）にてご確認ください。なお、胸に関する検査での再検査は当院では対応しておりませんので予めご了承くださいませ。")</f>
        <v>婦人科関連の再検査については、検査結果の内容によって受診可否が異なります。子宮頸がん検査での再検査の場合はお電話（050-1730-2768）にてご確認ください。なお、胸に関する検査での再検査は当院では対応しておりませんので予めご了承くださいませ。</v>
      </c>
      <c r="C1126" s="31" t="str">
        <f>IFERROR(__xludf.DUMMYFUNCTION("""COMPUTED_VALUE"""),"検診")</f>
        <v>検診</v>
      </c>
      <c r="D1126" s="31" t="str">
        <f>IFERROR(__xludf.DUMMYFUNCTION("""COMPUTED_VALUE"""),"健康診断,再検査,引っかかった,要精密検査")</f>
        <v>健康診断,再検査,引っかかった,要精密検査</v>
      </c>
      <c r="E1126" s="31"/>
    </row>
    <row r="1127">
      <c r="A1127" s="31" t="str">
        <f>IFERROR(__xludf.DUMMYFUNCTION("""COMPUTED_VALUE"""),"子宮頚部細胞診に性病検査は含まれますか？/細胞診で性感染症は分かりますか？")</f>
        <v>子宮頚部細胞診に性病検査は含まれますか？/細胞診で性感染症は分かりますか？</v>
      </c>
      <c r="B1127" s="31" t="str">
        <f>IFERROR(__xludf.DUMMYFUNCTION("""COMPUTED_VALUE"""),"子宮頚部細胞診に性病検査は含まれておりません。性感染症が気になる方は、別途性感染症検査をお受けください。「一般婦人科診療」のメニューでご予約いただき、WEB問診票に検査希望の内容をご入力ください。→https://cline-app.com/qr-codes/98ad6f149bfa20f4f2a9a2e91aac4187/preview")</f>
        <v>子宮頚部細胞診に性病検査は含まれておりません。性感染症が気になる方は、別途性感染症検査をお受けください。「一般婦人科診療」のメニューでご予約いただき、WEB問診票に検査希望の内容をご入力ください。→https://cline-app.com/qr-codes/98ad6f149bfa20f4f2a9a2e91aac4187/preview</v>
      </c>
      <c r="C1127" s="31" t="str">
        <f>IFERROR(__xludf.DUMMYFUNCTION("""COMPUTED_VALUE"""),"検診")</f>
        <v>検診</v>
      </c>
      <c r="D1127" s="31" t="str">
        <f>IFERROR(__xludf.DUMMYFUNCTION("""COMPUTED_VALUE"""),"細胞診,性病検査,含まれる,性感染症")</f>
        <v>細胞診,性病検査,含まれる,性感染症</v>
      </c>
      <c r="E1127" s="31"/>
    </row>
    <row r="1128">
      <c r="A1128" s="31" t="str">
        <f>IFERROR(__xludf.DUMMYFUNCTION("""COMPUTED_VALUE"""),"咽頭クラミジアの検査費用はいくらですか？/喉の性病検査の料金")</f>
        <v>咽頭クラミジアの検査費用はいくらですか？/喉の性病検査の料金</v>
      </c>
      <c r="B1128" s="31" t="str">
        <f>IFERROR(__xludf.DUMMYFUNCTION("""COMPUTED_VALUE"""),"咽頭の性感染症検査も当院で対応可能です。検査費用は1項目5,000円（税込）です。ご予約は「一般婦人科診療」のメニューからお取りください。→https://cline-app.com/qr-codes/98ad6f149bfa20f4f2a9a2e91aac4187/preview")</f>
        <v>咽頭の性感染症検査も当院で対応可能です。検査費用は1項目5,000円（税込）です。ご予約は「一般婦人科診療」のメニューからお取りください。→https://cline-app.com/qr-codes/98ad6f149bfa20f4f2a9a2e91aac4187/preview</v>
      </c>
      <c r="C1128" s="31" t="str">
        <f>IFERROR(__xludf.DUMMYFUNCTION("""COMPUTED_VALUE"""),"性感染症検査")</f>
        <v>性感染症検査</v>
      </c>
      <c r="D1128" s="31" t="str">
        <f>IFERROR(__xludf.DUMMYFUNCTION("""COMPUTED_VALUE"""),"咽頭クラミジア,喉,性病検査,検査費用")</f>
        <v>咽頭クラミジア,喉,性病検査,検査費用</v>
      </c>
      <c r="E1128" s="31"/>
    </row>
    <row r="1129">
      <c r="A1129" s="31" t="str">
        <f>IFERROR(__xludf.DUMMYFUNCTION("""COMPUTED_VALUE"""),"他院で性病検査をして陽性でした。治療はできますか？/他の病院の検査結果で治療してもらえますか？")</f>
        <v>他院で性病検査をして陽性でした。治療はできますか？/他の病院の検査結果で治療してもらえますか？</v>
      </c>
      <c r="B1129" s="31" t="str">
        <f>IFERROR(__xludf.DUMMYFUNCTION("""COMPUTED_VALUE"""),"他院での検査結果（オンライン検査を含む）で、検査結果にフルネームの記載がある場合は保険適用で治療が可能です。ただし、検査項目によっては自費のみの診療となる場合もございますのでご了承ください。検査結果をお持ちの上「一般婦人科診療」のメニューでご予約ください。→https://cline-app.com/qr-codes/98ad6f149bfa20f4f2a9a2e91aac4187/preview")</f>
        <v>他院での検査結果（オンライン検査を含む）で、検査結果にフルネームの記載がある場合は保険適用で治療が可能です。ただし、検査項目によっては自費のみの診療となる場合もございますのでご了承ください。検査結果をお持ちの上「一般婦人科診療」のメニューでご予約ください。→https://cline-app.com/qr-codes/98ad6f149bfa20f4f2a9a2e91aac4187/preview</v>
      </c>
      <c r="C1129" s="31" t="str">
        <f>IFERROR(__xludf.DUMMYFUNCTION("""COMPUTED_VALUE"""),"性感染症検査")</f>
        <v>性感染症検査</v>
      </c>
      <c r="D1129" s="31" t="str">
        <f>IFERROR(__xludf.DUMMYFUNCTION("""COMPUTED_VALUE"""),"他院,陽性,治療,保険適用,検査結果")</f>
        <v>他院,陽性,治療,保険適用,検査結果</v>
      </c>
      <c r="E1129" s="31"/>
    </row>
    <row r="1130">
      <c r="A1130" s="31" t="str">
        <f>IFERROR(__xludf.DUMMYFUNCTION("""COMPUTED_VALUE"""),"子宮頸がん検査とAMH検査を当日まとめて受けられますか？/複数の検査を同じ日にできますか？")</f>
        <v>子宮頸がん検査とAMH検査を当日まとめて受けられますか？/複数の検査を同じ日にできますか？</v>
      </c>
      <c r="B1130" s="31" t="str">
        <f>IFERROR(__xludf.DUMMYFUNCTION("""COMPUTED_VALUE"""),"検査の組み合わせについては医師の判断となりますので、ご受診時に医師にご相談ください。ご予約は「一般婦人科診療」のメニューからお取りいただき、WEB問診票の備考欄にご希望の検査内容をご記入ください。ご予約は「一般婦人科診療」のメニューからお取りください。→https://cline-app.com/qr-codes/98ad6f149bfa20f4f2a9a2e91aac4187/preview")</f>
        <v>検査の組み合わせについては医師の判断となりますので、ご受診時に医師にご相談ください。ご予約は「一般婦人科診療」のメニューからお取りいただき、WEB問診票の備考欄にご希望の検査内容をご記入ください。ご予約は「一般婦人科診療」のメニューからお取りください。→https://cline-app.com/qr-codes/98ad6f149bfa20f4f2a9a2e91aac4187/preview</v>
      </c>
      <c r="C1130" s="31" t="str">
        <f>IFERROR(__xludf.DUMMYFUNCTION("""COMPUTED_VALUE"""),"検診")</f>
        <v>検診</v>
      </c>
      <c r="D1130" s="31" t="str">
        <f>IFERROR(__xludf.DUMMYFUNCTION("""COMPUTED_VALUE"""),"当日,同時,まとめて,複数検査,AMH")</f>
        <v>当日,同時,まとめて,複数検査,AMH</v>
      </c>
      <c r="E1130" s="31"/>
    </row>
    <row r="1131">
      <c r="A1131" s="31" t="str">
        <f>IFERROR(__xludf.DUMMYFUNCTION("""COMPUTED_VALUE"""),"麻疹抗体検査はできますか？/麻疹の検査はできますか？")</f>
        <v>麻疹抗体検査はできますか？/麻疹の検査はできますか？</v>
      </c>
      <c r="B1131" s="31" t="str">
        <f>IFERROR(__xludf.DUMMYFUNCTION("""COMPUTED_VALUE"""),"恐れ入りますが、麻疹抗体検査及び、麻疹ワクチン接種は当院では対応しておりません。")</f>
        <v>恐れ入りますが、麻疹抗体検査及び、麻疹ワクチン接種は当院では対応しておりません。</v>
      </c>
      <c r="C1131" s="31" t="str">
        <f>IFERROR(__xludf.DUMMYFUNCTION("""COMPUTED_VALUE"""),"受診可否・対応不可")</f>
        <v>受診可否・対応不可</v>
      </c>
      <c r="D1131" s="31" t="str">
        <f>IFERROR(__xludf.DUMMYFUNCTION("""COMPUTED_VALUE"""),"麻疹,麻疹抗体,対応不可")</f>
        <v>麻疹,麻疹抗体,対応不可</v>
      </c>
      <c r="E1131" s="31"/>
    </row>
    <row r="1132">
      <c r="A1132" s="31" t="str">
        <f>IFERROR(__xludf.DUMMYFUNCTION("""COMPUTED_VALUE"""),"がん検診の結果は電話で聞けますか？/検査結果を電話で教えてもらえますか？")</f>
        <v>がん検診の結果は電話で聞けますか？/検査結果を電話で教えてもらえますか？</v>
      </c>
      <c r="B1132" s="31" t="str">
        <f>IFERROR(__xludf.DUMMYFUNCTION("""COMPUTED_VALUE"""),"恐れ入りますが、検査結果のお電話でのご案内は行っておりません。検査結果のご説明は「検査結果説明」のメニューでご予約ください。→https://cline-app.com/qr-codes/98ad6f149bfa20f4f2a9a2e91aac4187/preview")</f>
        <v>恐れ入りますが、検査結果のお電話でのご案内は行っておりません。検査結果のご説明は「検査結果説明」のメニューでご予約ください。→https://cline-app.com/qr-codes/98ad6f149bfa20f4f2a9a2e91aac4187/preview</v>
      </c>
      <c r="C1132" s="31" t="str">
        <f>IFERROR(__xludf.DUMMYFUNCTION("""COMPUTED_VALUE"""),"検査結果")</f>
        <v>検査結果</v>
      </c>
      <c r="D1132" s="31" t="str">
        <f>IFERROR(__xludf.DUMMYFUNCTION("""COMPUTED_VALUE"""),"電話,結果,聞けますか,確認方法")</f>
        <v>電話,結果,聞けますか,確認方法</v>
      </c>
      <c r="E1132" s="31"/>
    </row>
    <row r="1133">
      <c r="A1133" s="31" t="str">
        <f>IFERROR(__xludf.DUMMYFUNCTION("""COMPUTED_VALUE"""),"中絶手術の予約は何時からできますか？/中絶手術は午前と午後どちらですか？")</f>
        <v>中絶手術の予約は何時からできますか？/中絶手術は午前と午後どちらですか？</v>
      </c>
      <c r="B1133" s="31" t="str">
        <f>IFERROR(__xludf.DUMMYFUNCTION("""COMPUTED_VALUE"""),"中絶手術のご予約については、午前・午後の枠でのご案内となります。詳しい時間につきましては看護師よりご案内いたしますので、まずは「中絶相談」のメニューで初回診療をご予約ください。→https://cline-app.com/qr-codes/98ad6f149bfa20f4f2a9a2e91aac4187/preview")</f>
        <v>中絶手術のご予約については、午前・午後の枠でのご案内となります。詳しい時間につきましては看護師よりご案内いたしますので、まずは「中絶相談」のメニューで初回診療をご予約ください。→https://cline-app.com/qr-codes/98ad6f149bfa20f4f2a9a2e91aac4187/preview</v>
      </c>
      <c r="C1133" s="31" t="str">
        <f>IFERROR(__xludf.DUMMYFUNCTION("""COMPUTED_VALUE"""),"中絶手術")</f>
        <v>中絶手術</v>
      </c>
      <c r="D1133" s="31" t="str">
        <f>IFERROR(__xludf.DUMMYFUNCTION("""COMPUTED_VALUE"""),"中絶手術,予約,何時から,午前,午後")</f>
        <v>中絶手術,予約,何時から,午前,午後</v>
      </c>
      <c r="E1133" s="31"/>
    </row>
    <row r="1134">
      <c r="A1134" s="31" t="str">
        <f>IFERROR(__xludf.DUMMYFUNCTION("""COMPUTED_VALUE"""),"中絶手術後に自宅に郵送で届くものはありますか？")</f>
        <v>中絶手術後に自宅に郵送で届くものはありますか？</v>
      </c>
      <c r="B1134" s="31" t="str">
        <f>IFERROR(__xludf.DUMMYFUNCTION("""COMPUTED_VALUE"""),"中絶手術後にご自宅に届くものはございませんので、ご安心ください。")</f>
        <v>中絶手術後にご自宅に届くものはございませんので、ご安心ください。</v>
      </c>
      <c r="C1134" s="31" t="str">
        <f>IFERROR(__xludf.DUMMYFUNCTION("""COMPUTED_VALUE"""),"中絶手術")</f>
        <v>中絶手術</v>
      </c>
      <c r="D1134" s="31" t="str">
        <f>IFERROR(__xludf.DUMMYFUNCTION("""COMPUTED_VALUE"""),"中絶手術,郵送,届くもの,プライバシー")</f>
        <v>中絶手術,郵送,届くもの,プライバシー</v>
      </c>
      <c r="E1134" s="31"/>
    </row>
    <row r="1135">
      <c r="A1135" s="31" t="str">
        <f>IFERROR(__xludf.DUMMYFUNCTION("""COMPUTED_VALUE"""),"中絶手術日は何時に行けばいいですか？/中絶手術の当日の流れを教えてください")</f>
        <v>中絶手術日は何時に行けばいいですか？/中絶手術の当日の流れを教えてください</v>
      </c>
      <c r="B1135" s="31" t="str">
        <f>IFERROR(__xludf.DUMMYFUNCTION("""COMPUTED_VALUE"""),"手術当日の来院時間や流れにつきましては、初回診療の際に看護師よりご案内いたします。まずは「中絶相談」のメニューで初回診療をご予約ください。→https://cline-app.com/qr-codes/98ad6f149bfa20f4f2a9a2e91aac4187/preview")</f>
        <v>手術当日の来院時間や流れにつきましては、初回診療の際に看護師よりご案内いたします。まずは「中絶相談」のメニューで初回診療をご予約ください。→https://cline-app.com/qr-codes/98ad6f149bfa20f4f2a9a2e91aac4187/preview</v>
      </c>
      <c r="C1135" s="31" t="str">
        <f>IFERROR(__xludf.DUMMYFUNCTION("""COMPUTED_VALUE"""),"中絶手術")</f>
        <v>中絶手術</v>
      </c>
      <c r="D1135" s="31" t="str">
        <f>IFERROR(__xludf.DUMMYFUNCTION("""COMPUTED_VALUE"""),"中絶手術,当日,何時,来院時間,流れ")</f>
        <v>中絶手術,当日,何時,来院時間,流れ</v>
      </c>
      <c r="E1135" s="31"/>
    </row>
    <row r="1136">
      <c r="A1136" s="31" t="str">
        <f>IFERROR(__xludf.DUMMYFUNCTION("""COMPUTED_VALUE"""),"流産の手術の予約メニューは何を選べばいいですか？/稽留流産の手術の予約方法")</f>
        <v>流産の手術の予約メニューは何を選べばいいですか？/稽留流産の手術の予約方法</v>
      </c>
      <c r="B1136" s="31" t="str">
        <f>IFERROR(__xludf.DUMMYFUNCTION("""COMPUTED_VALUE"""),"流産手術のご予約は「一般婦人科診療」のメニューからお取りください。WEB問診票の備考欄に「流産手術」とご記入ください。→https://cline-app.com/qr-codes/98ad6f149bfa20f4f2a9a2e91aac4187/preview")</f>
        <v>流産手術のご予約は「一般婦人科診療」のメニューからお取りください。WEB問診票の備考欄に「流産手術」とご記入ください。→https://cline-app.com/qr-codes/98ad6f149bfa20f4f2a9a2e91aac4187/preview</v>
      </c>
      <c r="C1136" s="31" t="str">
        <f>IFERROR(__xludf.DUMMYFUNCTION("""COMPUTED_VALUE"""),"中絶手術")</f>
        <v>中絶手術</v>
      </c>
      <c r="D1136" s="31" t="str">
        <f>IFERROR(__xludf.DUMMYFUNCTION("""COMPUTED_VALUE"""),"流産,手術,予約メニュー,稽留流産,一般婦人科診療")</f>
        <v>流産,手術,予約メニュー,稽留流産,一般婦人科診療</v>
      </c>
      <c r="E1136" s="31"/>
    </row>
    <row r="1137">
      <c r="A1137" s="31" t="str">
        <f>IFERROR(__xludf.DUMMYFUNCTION("""COMPUTED_VALUE"""),"流産のエコー検査は保険適用ですか？/流産の検査費用")</f>
        <v>流産のエコー検査は保険適用ですか？/流産の検査費用</v>
      </c>
      <c r="B1137" s="31" t="str">
        <f>IFERROR(__xludf.DUMMYFUNCTION("""COMPUTED_VALUE"""),"流産関連の検査の保険適用可否については、診察の上で医師の判断となるため、事前にお伝えすることができかねます。ご受診いただき医師にご相談ください。「一般婦人科診療」のメニューでご予約ください。→https://cline-app.com/qr-codes/98ad6f149bfa20f4f2a9a2e91aac4187/preview")</f>
        <v>流産関連の検査の保険適用可否については、診察の上で医師の判断となるため、事前にお伝えすることができかねます。ご受診いただき医師にご相談ください。「一般婦人科診療」のメニューでご予約ください。→https://cline-app.com/qr-codes/98ad6f149bfa20f4f2a9a2e91aac4187/preview</v>
      </c>
      <c r="C1137" s="31" t="str">
        <f>IFERROR(__xludf.DUMMYFUNCTION("""COMPUTED_VALUE"""),"中絶手術")</f>
        <v>中絶手術</v>
      </c>
      <c r="D1137" s="31" t="str">
        <f>IFERROR(__xludf.DUMMYFUNCTION("""COMPUTED_VALUE"""),"流産,エコー,保険適用,検査費用")</f>
        <v>流産,エコー,保険適用,検査費用</v>
      </c>
      <c r="E1137" s="31"/>
    </row>
    <row r="1138">
      <c r="A1138" s="31" t="str">
        <f>IFERROR(__xludf.DUMMYFUNCTION("""COMPUTED_VALUE"""),"中絶同意書のフォーマットはダウンロードできますか？/中絶の同意書は事前にもらえますか？")</f>
        <v>中絶同意書のフォーマットはダウンロードできますか？/中絶の同意書は事前にもらえますか？</v>
      </c>
      <c r="B1138" s="31" t="str">
        <f>IFERROR(__xludf.DUMMYFUNCTION("""COMPUTED_VALUE"""),"中絶同意書は初回のご相談でご受診いただいた際にお渡ししております。事前にダウンロードできるフォーマットはございません。ご本人とパートナーの署名・捺印（印鑑・シャチハタ・拇印いずれも可）が必要です。")</f>
        <v>中絶同意書は初回のご相談でご受診いただいた際にお渡ししております。事前にダウンロードできるフォーマットはございません。ご本人とパートナーの署名・捺印（印鑑・シャチハタ・拇印いずれも可）が必要です。</v>
      </c>
      <c r="C1138" s="31" t="str">
        <f>IFERROR(__xludf.DUMMYFUNCTION("""COMPUTED_VALUE"""),"中絶手術")</f>
        <v>中絶手術</v>
      </c>
      <c r="D1138" s="31" t="str">
        <f>IFERROR(__xludf.DUMMYFUNCTION("""COMPUTED_VALUE"""),"中絶,同意書,フォーマット,ダウンロード,事前")</f>
        <v>中絶,同意書,フォーマット,ダウンロード,事前</v>
      </c>
      <c r="E1138" s="31"/>
    </row>
    <row r="1139">
      <c r="A1139" s="31" t="str">
        <f>IFERROR(__xludf.DUMMYFUNCTION("""COMPUTED_VALUE"""),"流産手術後の経過確認の費用はどれくらいですか？/流産手術後の検診費用")</f>
        <v>流産手術後の経過確認の費用はどれくらいですか？/流産手術後の検診費用</v>
      </c>
      <c r="B1139" s="31" t="str">
        <f>IFERROR(__xludf.DUMMYFUNCTION("""COMPUTED_VALUE"""),"術後検診の料金につきましては、受診時に受付にてご確認ください。")</f>
        <v>術後検診の料金につきましては、受診時に受付にてご確認ください。</v>
      </c>
      <c r="C1139" s="31" t="str">
        <f>IFERROR(__xludf.DUMMYFUNCTION("""COMPUTED_VALUE"""),"中絶手術")</f>
        <v>中絶手術</v>
      </c>
      <c r="D1139" s="31" t="str">
        <f>IFERROR(__xludf.DUMMYFUNCTION("""COMPUTED_VALUE"""),"流産手術,術後,経過確認,費用,検診")</f>
        <v>流産手術,術後,経過確認,費用,検診</v>
      </c>
      <c r="E1139" s="31"/>
    </row>
    <row r="1140">
      <c r="A1140" s="31" t="str">
        <f>IFERROR(__xludf.DUMMYFUNCTION("""COMPUTED_VALUE"""),"保険証がないのですが受診できますか？/保険証を持っていない場合/資格確認証がない/資格確認証をもっていない/保険証なしで保険ピルを自費で処方された場合、次回保険証を持参すれば返金されますか？/アフターピルに保険証はいりますか？/自費の性病検査でも保険証は必要？")</f>
        <v>保険証がないのですが受診できますか？/保険証を持っていない場合/資格確認証がない/資格確認証をもっていない/保険証なしで保険ピルを自費で処方された場合、次回保険証を持参すれば返金されますか？/アフターピルに保険証はいりますか？/自費の性病検査でも保険証は必要？</v>
      </c>
      <c r="B1140" s="31" t="str">
        <f>IFERROR(__xludf.DUMMYFUNCTION("""COMPUTED_VALUE"""),"保険証をお持ちでない場合でもご受診いただけます。保険診療を行った場合は当日10割負担となりますが、当月中に領収書と保険証をお持ちいただければ7割分の返金対応を行っております。自費診療の場合は保険証がなくても処方可能です。")</f>
        <v>保険証をお持ちでない場合でもご受診いただけます。保険診療を行った場合は当日10割負担となりますが、当月中に領収書と保険証をお持ちいただければ7割分の返金対応を行っております。自費診療の場合は保険証がなくても処方可能です。</v>
      </c>
      <c r="C1140" s="31" t="str">
        <f>IFERROR(__xludf.DUMMYFUNCTION("""COMPUTED_VALUE"""),"受診案内")</f>
        <v>受診案内</v>
      </c>
      <c r="D1140" s="31" t="str">
        <f>IFERROR(__xludf.DUMMYFUNCTION("""COMPUTED_VALUE"""),"保険証なし,保険証がない,10割負担,返金")</f>
        <v>保険証なし,保険証がない,10割負担,返金</v>
      </c>
      <c r="E1140" s="31"/>
    </row>
    <row r="1141">
      <c r="A1141" s="31" t="str">
        <f>IFERROR(__xludf.DUMMYFUNCTION("""COMPUTED_VALUE"""),"紹介状の再発行はできますか？/紹介状をもう一度出してもらえますか？")</f>
        <v>紹介状の再発行はできますか？/紹介状をもう一度出してもらえますか？</v>
      </c>
      <c r="B1141" s="31" t="str">
        <f>IFERROR(__xludf.DUMMYFUNCTION("""COMPUTED_VALUE"""),"紹介状の再発行は可能です。再発行料は自費の場合2,200円（税込）です。保険適用の場合の料金は受診時にご確認ください。お電話（050-1730-2768）または受付にてお申し付けください。")</f>
        <v>紹介状の再発行は可能です。再発行料は自費の場合2,200円（税込）です。保険適用の場合の料金は受診時にご確認ください。お電話（050-1730-2768）または受付にてお申し付けください。</v>
      </c>
      <c r="C1141" s="31" t="str">
        <f>IFERROR(__xludf.DUMMYFUNCTION("""COMPUTED_VALUE"""),"書類・証明")</f>
        <v>書類・証明</v>
      </c>
      <c r="D1141" s="31" t="str">
        <f>IFERROR(__xludf.DUMMYFUNCTION("""COMPUTED_VALUE"""),"紹介状,再発行,料金")</f>
        <v>紹介状,再発行,料金</v>
      </c>
      <c r="E1141" s="31"/>
    </row>
    <row r="1142">
      <c r="A1142" s="31" t="str">
        <f>IFERROR(__xludf.DUMMYFUNCTION("""COMPUTED_VALUE"""),"HRTの相談はできますか？/ホルモン補充療法は対応していますか？")</f>
        <v>HRTの相談はできますか？/ホルモン補充療法は対応していますか？</v>
      </c>
      <c r="B1142" s="31" t="str">
        <f>IFERROR(__xludf.DUMMYFUNCTION("""COMPUTED_VALUE"""),"恐れ入りますが、HRT（ホルモン補充療法）は当院では対応しておりません。")</f>
        <v>恐れ入りますが、HRT（ホルモン補充療法）は当院では対応しておりません。</v>
      </c>
      <c r="C1142" s="31" t="str">
        <f>IFERROR(__xludf.DUMMYFUNCTION("""COMPUTED_VALUE"""),"受診可否・対応不可")</f>
        <v>受診可否・対応不可</v>
      </c>
      <c r="D1142" s="31" t="str">
        <f>IFERROR(__xludf.DUMMYFUNCTION("""COMPUTED_VALUE"""),"HRT,ホルモン補充療法,対応不可")</f>
        <v>HRT,ホルモン補充療法,対応不可</v>
      </c>
      <c r="E1142" s="31"/>
    </row>
    <row r="1143">
      <c r="A1143" s="31" t="str">
        <f>IFERROR(__xludf.DUMMYFUNCTION("""COMPUTED_VALUE"""),"バルトリン腺の治療はできますか？/バルトリン腺炎は診てもらえますか？/バルトリン腺化膿の診察/バルトリン腺のレーザー治療はできますか？/バルトリン腺の切開はできますか？")</f>
        <v>バルトリン腺の治療はできますか？/バルトリン腺炎は診てもらえますか？/バルトリン腺化膿の診察/バルトリン腺のレーザー治療はできますか？/バルトリン腺の切開はできますか？</v>
      </c>
      <c r="B1143" s="31" t="str">
        <f>IFERROR(__xludf.DUMMYFUNCTION("""COMPUTED_VALUE"""),"バルトリン腺の治療は当院で対応可能です。ただし、レーザー治療・切開は行っておらず、排膿処置のみの対応となります。ご予約は「一般婦人科診療」のメニューでご予約ください。→https://cline-app.com/qr-codes/98ad6f149bfa20f4f2a9a2e91aac4187/preview")</f>
        <v>バルトリン腺の治療は当院で対応可能です。ただし、レーザー治療・切開は行っておらず、排膿処置のみの対応となります。ご予約は「一般婦人科診療」のメニューでご予約ください。→https://cline-app.com/qr-codes/98ad6f149bfa20f4f2a9a2e91aac4187/preview</v>
      </c>
      <c r="C1143" s="31" t="str">
        <f>IFERROR(__xludf.DUMMYFUNCTION("""COMPUTED_VALUE"""),"受診案内")</f>
        <v>受診案内</v>
      </c>
      <c r="D1143" s="31" t="str">
        <f>IFERROR(__xludf.DUMMYFUNCTION("""COMPUTED_VALUE"""),"バルトリン腺,治療,化膿,対応可能")</f>
        <v>バルトリン腺,治療,化膿,対応可能</v>
      </c>
      <c r="E1143" s="31"/>
    </row>
    <row r="1144">
      <c r="A1144" s="31" t="str">
        <f>IFERROR(__xludf.DUMMYFUNCTION("""COMPUTED_VALUE"""),"漢方の処方はできますか？/漢方薬を出してもらえますか？")</f>
        <v>漢方の処方はできますか？/漢方薬を出してもらえますか？</v>
      </c>
      <c r="B1144" s="31" t="str">
        <f>IFERROR(__xludf.DUMMYFUNCTION("""COMPUTED_VALUE"""),"漢方の処方については医師の判断で可能です。ご希望の場合は「一般婦人科診療」のメニューでご予約ください。→https://cline-app.com/qr-codes/98ad6f149bfa20f4f2a9a2e91aac4187/preview")</f>
        <v>漢方の処方については医師の判断で可能です。ご希望の場合は「一般婦人科診療」のメニューでご予約ください。→https://cline-app.com/qr-codes/98ad6f149bfa20f4f2a9a2e91aac4187/preview</v>
      </c>
      <c r="C1144" s="31" t="str">
        <f>IFERROR(__xludf.DUMMYFUNCTION("""COMPUTED_VALUE"""),"受診案内")</f>
        <v>受診案内</v>
      </c>
      <c r="D1144" s="31" t="str">
        <f>IFERROR(__xludf.DUMMYFUNCTION("""COMPUTED_VALUE"""),"漢方,漢方薬,処方")</f>
        <v>漢方,漢方薬,処方</v>
      </c>
      <c r="E1144" s="31"/>
    </row>
    <row r="1145">
      <c r="A1145" s="31" t="str">
        <f>IFERROR(__xludf.DUMMYFUNCTION("""COMPUTED_VALUE"""),"心拍確認はできますか？/妊娠初期の心拍確認")</f>
        <v>心拍確認はできますか？/妊娠初期の心拍確認</v>
      </c>
      <c r="B1145" s="31" t="str">
        <f>IFERROR(__xludf.DUMMYFUNCTION("""COMPUTED_VALUE"""),"心拍確認は当院で行っております。ご予約は「一般婦人科診療」のメニューからお取りください。なお、卵黄嚢確認には対応しておりません。→https://cline-app.com/qr-codes/98ad6f149bfa20f4f2a9a2e91aac4187/preview")</f>
        <v>心拍確認は当院で行っております。ご予約は「一般婦人科診療」のメニューからお取りください。なお、卵黄嚢確認には対応しておりません。→https://cline-app.com/qr-codes/98ad6f149bfa20f4f2a9a2e91aac4187/preview</v>
      </c>
      <c r="C1145" s="31" t="str">
        <f>IFERROR(__xludf.DUMMYFUNCTION("""COMPUTED_VALUE"""),"受診案内")</f>
        <v>受診案内</v>
      </c>
      <c r="D1145" s="31" t="str">
        <f>IFERROR(__xludf.DUMMYFUNCTION("""COMPUTED_VALUE"""),"心拍確認,妊娠初期,超音波")</f>
        <v>心拍確認,妊娠初期,超音波</v>
      </c>
      <c r="E1145" s="31"/>
    </row>
    <row r="1146">
      <c r="A1146" s="31" t="str">
        <f>IFERROR(__xludf.DUMMYFUNCTION("""COMPUTED_VALUE"""),"オンライン診療のビデオ通話はどのくらいの時間がかかりますか？/オンライン診療の所要時間")</f>
        <v>オンライン診療のビデオ通話はどのくらいの時間がかかりますか？/オンライン診療の所要時間</v>
      </c>
      <c r="B1146" s="31" t="str">
        <f>IFERROR(__xludf.DUMMYFUNCTION("""COMPUTED_VALUE"""),"オンライン診療の通話時間は10分ほどです。予約枠は30分確保されておりますので、ご質問等ございましたらお気軽にお聞きください。")</f>
        <v>オンライン診療の通話時間は10分ほどです。予約枠は30分確保されておりますので、ご質問等ございましたらお気軽にお聞きください。</v>
      </c>
      <c r="C1146" s="31" t="str">
        <f>IFERROR(__xludf.DUMMYFUNCTION("""COMPUTED_VALUE"""),"オンライン診療")</f>
        <v>オンライン診療</v>
      </c>
      <c r="D1146" s="31" t="str">
        <f>IFERROR(__xludf.DUMMYFUNCTION("""COMPUTED_VALUE"""),"オンライン診療,ビデオ通話,時間,所要時間,10分")</f>
        <v>オンライン診療,ビデオ通話,時間,所要時間,10分</v>
      </c>
      <c r="E1146" s="31"/>
    </row>
    <row r="1147">
      <c r="A1147" s="31" t="str">
        <f>IFERROR(__xludf.DUMMYFUNCTION("""COMPUTED_VALUE"""),"予約の時間より前に来ても大丈夫ですか？/予約より早く着いた場合/初診の場合何分前に受付すればいいですか？/予約時間の何分前に行けばいいですか？/来院は何分前が良いですか？")</f>
        <v>予約の時間より前に来ても大丈夫ですか？/予約より早く着いた場合/初診の場合何分前に受付すればいいですか？/予約時間の何分前に行けばいいですか？/来院は何分前が良いですか？</v>
      </c>
      <c r="B1147" s="31" t="str">
        <f>IFERROR(__xludf.DUMMYFUNCTION("""COMPUTED_VALUE"""),"予約時間より前にご来院いただいても問題ございません。ただし、その時間帯のご予約の方が優先となりますので、少しお待ちいただく場合がございます。")</f>
        <v>予約時間より前にご来院いただいても問題ございません。ただし、その時間帯のご予約の方が優先となりますので、少しお待ちいただく場合がございます。</v>
      </c>
      <c r="C1147" s="31" t="str">
        <f>IFERROR(__xludf.DUMMYFUNCTION("""COMPUTED_VALUE"""),"予約・受診")</f>
        <v>予約・受診</v>
      </c>
      <c r="D1147" s="31" t="str">
        <f>IFERROR(__xludf.DUMMYFUNCTION("""COMPUTED_VALUE"""),"予約前,早く着いた,早めに来院")</f>
        <v>予約前,早く着いた,早めに来院</v>
      </c>
      <c r="E1147" s="31"/>
    </row>
    <row r="1148">
      <c r="A1148" s="31" t="str">
        <f>IFERROR(__xludf.DUMMYFUNCTION("""COMPUTED_VALUE"""),"コンジローマの視診の料金はいくらですか？/コンジローマの診察費用")</f>
        <v>コンジローマの視診の料金はいくらですか？/コンジローマの診察費用</v>
      </c>
      <c r="B1148" s="31" t="str">
        <f>IFERROR(__xludf.DUMMYFUNCTION("""COMPUTED_VALUE"""),"コンジローマの視診料金につきましては、受診時に受付にてご確認ください。")</f>
        <v>コンジローマの視診料金につきましては、受診時に受付にてご確認ください。</v>
      </c>
      <c r="C1148" s="31" t="str">
        <f>IFERROR(__xludf.DUMMYFUNCTION("""COMPUTED_VALUE"""),"料金・支払い")</f>
        <v>料金・支払い</v>
      </c>
      <c r="D1148" s="31" t="str">
        <f>IFERROR(__xludf.DUMMYFUNCTION("""COMPUTED_VALUE"""),"コンジローマ,視診,料金")</f>
        <v>コンジローマ,視診,料金</v>
      </c>
      <c r="E1148" s="31"/>
    </row>
    <row r="1149">
      <c r="A1149" s="31" t="str">
        <f>IFERROR(__xludf.DUMMYFUNCTION("""COMPUTED_VALUE"""),"生理中でも膣錠はもらえますか？/生理中の膣錠処方")</f>
        <v>生理中でも膣錠はもらえますか？/生理中の膣錠処方</v>
      </c>
      <c r="B1149" s="31" t="str">
        <f>IFERROR(__xludf.DUMMYFUNCTION("""COMPUTED_VALUE"""),"膣錠の処方可否は医師の判断となりますので、ご受診時に医師にご相談ください。なお、生理中は膣錠が経血と一緒に流れ出てしまうため、使用を控えていただいております。「一般婦人科診療（前回の続き）」のメニューでご予約ください。→https://cline-app.com/qr-codes/98ad6f149bfa20f4f2a9a2e91aac4187/preview")</f>
        <v>膣錠の処方可否は医師の判断となりますので、ご受診時に医師にご相談ください。なお、生理中は膣錠が経血と一緒に流れ出てしまうため、使用を控えていただいております。「一般婦人科診療（前回の続き）」のメニューでご予約ください。→https://cline-app.com/qr-codes/98ad6f149bfa20f4f2a9a2e91aac4187/preview</v>
      </c>
      <c r="C1149" s="31" t="str">
        <f>IFERROR(__xludf.DUMMYFUNCTION("""COMPUTED_VALUE"""),"処方薬")</f>
        <v>処方薬</v>
      </c>
      <c r="D1149" s="31" t="str">
        <f>IFERROR(__xludf.DUMMYFUNCTION("""COMPUTED_VALUE"""),"膣錠,生理中,処方")</f>
        <v>膣錠,生理中,処方</v>
      </c>
      <c r="E1149" s="31"/>
    </row>
    <row r="1150">
      <c r="A1150" s="31" t="str">
        <f>IFERROR(__xludf.DUMMYFUNCTION("""COMPUTED_VALUE"""),"胎児エコーはできますか？/妊娠中のエコー検査はできますか？/赤ちゃんのエコーを見てもらえますか？")</f>
        <v>胎児エコーはできますか？/妊娠中のエコー検査はできますか？/赤ちゃんのエコーを見てもらえますか？</v>
      </c>
      <c r="B1150" s="31" t="str">
        <f>IFERROR(__xludf.DUMMYFUNCTION("""COMPUTED_VALUE"""),"当院では妊娠12週未満の方のエコー検査に対応しております。ご予約は「一般婦人科診療」のメニューからお取りください。→https://cline-app.com/qr-codes/98ad6f149bfa20f4f2a9a2e91aac4187/preview　※妊娠12週以降の方は、かかりつけの産婦人科でのご受診をお願いいたします。")</f>
        <v>当院では妊娠12週未満の方のエコー検査に対応しております。ご予約は「一般婦人科診療」のメニューからお取りください。→https://cline-app.com/qr-codes/98ad6f149bfa20f4f2a9a2e91aac4187/preview　※妊娠12週以降の方は、かかりつけの産婦人科でのご受診をお願いいたします。</v>
      </c>
      <c r="C1150" s="31" t="str">
        <f>IFERROR(__xludf.DUMMYFUNCTION("""COMPUTED_VALUE"""),"受診案内")</f>
        <v>受診案内</v>
      </c>
      <c r="D1150" s="31" t="str">
        <f>IFERROR(__xludf.DUMMYFUNCTION("""COMPUTED_VALUE"""),"胎児エコー,エコー検査,妊娠中,超音波,12週")</f>
        <v>胎児エコー,エコー検査,妊娠中,超音波,12週</v>
      </c>
      <c r="E1150" s="31"/>
    </row>
    <row r="1151">
      <c r="A1151" s="31" t="str">
        <f>IFERROR(__xludf.DUMMYFUNCTION("""COMPUTED_VALUE"""),"排卵誘発剤の処方はしてもらえますか？/排卵誘発剤は出してもらえますか？")</f>
        <v>排卵誘発剤の処方はしてもらえますか？/排卵誘発剤は出してもらえますか？</v>
      </c>
      <c r="B1151" s="31" t="str">
        <f>IFERROR(__xludf.DUMMYFUNCTION("""COMPUTED_VALUE"""),"恐れ入りますが、当院では妊娠・妊活・不妊に関する診療を行っておりませんので、排卵誘発剤の処方は行っておりません。")</f>
        <v>恐れ入りますが、当院では妊娠・妊活・不妊に関する診療を行っておりませんので、排卵誘発剤の処方は行っておりません。</v>
      </c>
      <c r="C1151" s="31" t="str">
        <f>IFERROR(__xludf.DUMMYFUNCTION("""COMPUTED_VALUE"""),"受診可否・対応不可")</f>
        <v>受診可否・対応不可</v>
      </c>
      <c r="D1151" s="31" t="str">
        <f>IFERROR(__xludf.DUMMYFUNCTION("""COMPUTED_VALUE"""),"排卵誘発剤,処方,妊活,不妊,対応不可")</f>
        <v>排卵誘発剤,処方,妊活,不妊,対応不可</v>
      </c>
      <c r="E1151" s="31"/>
    </row>
    <row r="1152">
      <c r="A1152" s="31" t="str">
        <f>IFERROR(__xludf.DUMMYFUNCTION("""COMPUTED_VALUE"""),"妊活の相談はできますか？/妊活について相談したい/不妊の相談はできますか？")</f>
        <v>妊活の相談はできますか？/妊活について相談したい/不妊の相談はできますか？</v>
      </c>
      <c r="B1152" s="31" t="str">
        <f>IFERROR(__xludf.DUMMYFUNCTION("""COMPUTED_VALUE"""),"恐れ入りますが、当院では妊活・不妊に関する診療は行っておりません。妊活を取り扱っているクリニックへのご受診をおすすめいたします。")</f>
        <v>恐れ入りますが、当院では妊活・不妊に関する診療は行っておりません。妊活を取り扱っているクリニックへのご受診をおすすめいたします。</v>
      </c>
      <c r="C1152" s="31" t="str">
        <f>IFERROR(__xludf.DUMMYFUNCTION("""COMPUTED_VALUE"""),"受診可否・対応不可")</f>
        <v>受診可否・対応不可</v>
      </c>
      <c r="D1152" s="31" t="str">
        <f>IFERROR(__xludf.DUMMYFUNCTION("""COMPUTED_VALUE"""),"妊活,不妊,相談,対応不可")</f>
        <v>妊活,不妊,相談,対応不可</v>
      </c>
      <c r="E1152" s="31"/>
    </row>
    <row r="1153">
      <c r="A1153" s="31" t="str">
        <f>IFERROR(__xludf.DUMMYFUNCTION("""COMPUTED_VALUE"""),"高校生でピル処方したいのですが親に知られますか？/未成年のピル処方は親にバレますか？/ピル処方で親に通知は届きますか？")</f>
        <v>高校生でピル処方したいのですが親に知られますか？/未成年のピル処方は親にバレますか？/ピル処方で親に通知は届きますか？</v>
      </c>
      <c r="B1153" s="31" t="str">
        <f>IFERROR(__xludf.DUMMYFUNCTION("""COMPUTED_VALUE"""),"当院では未成年の方のピル処方について、ピルの種類によって対応が異なります。【自費ピル・アフターピル・月経移動ピルの場合】15歳以上であれば保護者の同伴なしでご受診いただけます。通知等がご自宅に届くことはございません。【保険適用のピル（LEP）の場合】初回診察時に保護者の方の同伴が必須となります。来院診療のご予約：こちらのLINEをご利用ください。ご予約は「ピル処方」のメニューからお取りください。→https://cline-app.com/qr-codes/98ad6f149bfa20f4f2a9a2e9"&amp;"1aac4187/preview
オンライン診療のご予約：こちらのオンライン診療LINEページをご利用ください→https://liff-gateway.lineml.jp/landing?follow=%40590gpxrd&amp;lp=fX73yx&amp;liff_id=1657094566-LmjNPPbV")</f>
        <v>当院では未成年の方のピル処方について、ピルの種類によって対応が異なります。【自費ピル・アフターピル・月経移動ピルの場合】15歳以上であれば保護者の同伴なしでご受診いただけます。通知等がご自宅に届くことはございません。【保険適用のピル（LEP）の場合】初回診察時に保護者の方の同伴が必須となります。来院診療のご予約：こちらのLINEをご利用ください。ご予約は「ピル処方」のメニューからお取りください。→https://cline-app.com/qr-codes/98ad6f149bfa20f4f2a9a2e91aac4187/preview
オンライン診療のご予約：こちらのオンライン診療LINEページをご利用ください→https://liff-gateway.lineml.jp/landing?follow=%40590gpxrd&amp;lp=fX73yx&amp;liff_id=1657094566-LmjNPPbV</v>
      </c>
      <c r="C1153" s="31" t="str">
        <f>IFERROR(__xludf.DUMMYFUNCTION("""COMPUTED_VALUE"""),"ピル処方")</f>
        <v>ピル処方</v>
      </c>
      <c r="D1153" s="31" t="str">
        <f>IFERROR(__xludf.DUMMYFUNCTION("""COMPUTED_VALUE"""),"高校生,未成年,親にバレる,保護者,通知,知られる")</f>
        <v>高校生,未成年,親にバレる,保護者,通知,知られる</v>
      </c>
      <c r="E1153" s="31" t="str">
        <f>IFERROR(__xludf.DUMMYFUNCTION("""COMPUTED_VALUE"""),"nan")</f>
        <v>nan</v>
      </c>
    </row>
    <row r="1154">
      <c r="A1154" s="31" t="str">
        <f>IFERROR(__xludf.DUMMYFUNCTION("""COMPUTED_VALUE"""),"処方箋が切れた場合どうすればいいですか？/自費ピルの処方箋の期限が切れた/処方箋の再発行はできますか？")</f>
        <v>処方箋が切れた場合どうすればいいですか？/自費ピルの処方箋の期限が切れた/処方箋の再発行はできますか？</v>
      </c>
      <c r="B1154" s="31" t="str">
        <f>IFERROR(__xludf.DUMMYFUNCTION("""COMPUTED_VALUE"""),"期限切れの処方箋は受付にて再発行が可能です。再発行料は1,100円（税込）です。再度の診察は基本的に不要ですが、前回の処方からだいぶ期間が空いている場合はカウンセリングがある場合がございます。")</f>
        <v>期限切れの処方箋は受付にて再発行が可能です。再発行料は1,100円（税込）です。再度の診察は基本的に不要ですが、前回の処方からだいぶ期間が空いている場合はカウンセリングがある場合がございます。</v>
      </c>
      <c r="C1154" s="31" t="str">
        <f>IFERROR(__xludf.DUMMYFUNCTION("""COMPUTED_VALUE"""),"ピル処方")</f>
        <v>ピル処方</v>
      </c>
      <c r="D1154" s="31" t="str">
        <f>IFERROR(__xludf.DUMMYFUNCTION("""COMPUTED_VALUE"""),"処方箋,期限切れ,再発行,1100円")</f>
        <v>処方箋,期限切れ,再発行,1100円</v>
      </c>
      <c r="E1154" s="31"/>
    </row>
    <row r="1155">
      <c r="A1155" s="31" t="str">
        <f>IFERROR(__xludf.DUMMYFUNCTION("""COMPUTED_VALUE"""),"スリンダは避妊効果はありますか？/スリンダに避妊効果はある？/ミニピルの避妊効果")</f>
        <v>スリンダは避妊効果はありますか？/スリンダに避妊効果はある？/ミニピルの避妊効果</v>
      </c>
      <c r="B1155" s="31" t="str">
        <f>IFERROR(__xludf.DUMMYFUNCTION("""COMPUTED_VALUE"""),"スリンダ（ミニピル）には避妊効果がございます。")</f>
        <v>スリンダ（ミニピル）には避妊効果がございます。</v>
      </c>
      <c r="C1155" s="31" t="str">
        <f>IFERROR(__xludf.DUMMYFUNCTION("""COMPUTED_VALUE"""),"ピル処方")</f>
        <v>ピル処方</v>
      </c>
      <c r="D1155" s="31" t="str">
        <f>IFERROR(__xludf.DUMMYFUNCTION("""COMPUTED_VALUE"""),"スリンダ,ミニピル,避妊効果")</f>
        <v>スリンダ,ミニピル,避妊効果</v>
      </c>
      <c r="E1155" s="31"/>
    </row>
    <row r="1156">
      <c r="A1156" s="31" t="str">
        <f>IFERROR(__xludf.DUMMYFUNCTION("""COMPUTED_VALUE"""),"スリンダで生理日程をずらせますか？/スリンダで月経移動はできますか？/ミニピルで生理をずらしたい")</f>
        <v>スリンダで生理日程をずらせますか？/スリンダで月経移動はできますか？/ミニピルで生理をずらしたい</v>
      </c>
      <c r="B1156" s="31" t="str">
        <f>IFERROR(__xludf.DUMMYFUNCTION("""COMPUTED_VALUE"""),"スリンダ（ミニピル）での月経移動については、事前に看護師への確認が必要となります。")</f>
        <v>スリンダ（ミニピル）での月経移動については、事前に看護師への確認が必要となります。</v>
      </c>
      <c r="C1156" s="31" t="str">
        <f>IFERROR(__xludf.DUMMYFUNCTION("""COMPUTED_VALUE"""),"ピル処方")</f>
        <v>ピル処方</v>
      </c>
      <c r="D1156" s="31" t="str">
        <f>IFERROR(__xludf.DUMMYFUNCTION("""COMPUTED_VALUE"""),"スリンダ,ミニピル,月経移動,生理をずらす,日程変更")</f>
        <v>スリンダ,ミニピル,月経移動,生理をずらす,日程変更</v>
      </c>
      <c r="E1156" s="31"/>
    </row>
    <row r="1157">
      <c r="A1157" s="31" t="str">
        <f>IFERROR(__xludf.DUMMYFUNCTION("""COMPUTED_VALUE"""),"コルポスコピー検査はできますか？/コルポ検査は受けられますか？/組織診は受けられますか？")</f>
        <v>コルポスコピー検査はできますか？/コルポ検査は受けられますか？/組織診は受けられますか？</v>
      </c>
      <c r="B1157" s="31" t="str">
        <f>IFERROR(__xludf.DUMMYFUNCTION("""COMPUTED_VALUE"""),"恐れ入りますが、コルポスコピー検査（腟拡大鏡検査）は当院では行っておりません。")</f>
        <v>恐れ入りますが、コルポスコピー検査（腟拡大鏡検査）は当院では行っておりません。</v>
      </c>
      <c r="C1157" s="31" t="str">
        <f>IFERROR(__xludf.DUMMYFUNCTION("""COMPUTED_VALUE"""),"受診可否・対応不可")</f>
        <v>受診可否・対応不可</v>
      </c>
      <c r="D1157" s="31" t="str">
        <f>IFERROR(__xludf.DUMMYFUNCTION("""COMPUTED_VALUE"""),"コルポスコピー,コルポ,組織診,腟拡大鏡")</f>
        <v>コルポスコピー,コルポ,組織診,腟拡大鏡</v>
      </c>
      <c r="E1157" s="31"/>
    </row>
    <row r="1158">
      <c r="A1158" s="31" t="str">
        <f>IFERROR(__xludf.DUMMYFUNCTION("""COMPUTED_VALUE"""),"子宮頸がんの精密検査はできますか？/子宮頸がん検査で要精密検査と言われました/子宮頸がんの再検査をしたい")</f>
        <v>子宮頸がんの精密検査はできますか？/子宮頸がん検査で要精密検査と言われました/子宮頸がんの再検査をしたい</v>
      </c>
      <c r="B1158" s="31" t="str">
        <f>IFERROR(__xludf.DUMMYFUNCTION("""COMPUTED_VALUE"""),"子宮頸がんの精密検査につきましては、検査結果の内容によってご案内が異なります。検査結果をお手元にご準備の上、お電話（050-1730-2768）にてお問い合わせください。")</f>
        <v>子宮頸がんの精密検査につきましては、検査結果の内容によってご案内が異なります。検査結果をお手元にご準備の上、お電話（050-1730-2768）にてお問い合わせください。</v>
      </c>
      <c r="C1158" s="31" t="str">
        <f>IFERROR(__xludf.DUMMYFUNCTION("""COMPUTED_VALUE"""),"検診")</f>
        <v>検診</v>
      </c>
      <c r="D1158" s="31" t="str">
        <f>IFERROR(__xludf.DUMMYFUNCTION("""COMPUTED_VALUE"""),"子宮頸がん,精密検査,要精密検査,再検査")</f>
        <v>子宮頸がん,精密検査,要精密検査,再検査</v>
      </c>
      <c r="E1158" s="31"/>
    </row>
    <row r="1159">
      <c r="A1159" s="31" t="str">
        <f>IFERROR(__xludf.DUMMYFUNCTION("""COMPUTED_VALUE"""),"中絶手術にパートナーは付き添えますか？/手術後はパートナーが付き添えますか？/手術当日に保護者は一緒に待てますか？")</f>
        <v>中絶手術にパートナーは付き添えますか？/手術後はパートナーが付き添えますか？/手術当日に保護者は一緒に待てますか？</v>
      </c>
      <c r="B1159" s="31" t="str">
        <f>IFERROR(__xludf.DUMMYFUNCTION("""COMPUTED_VALUE"""),"男性のご入室は当院ではお断りしております。また、中絶手術当日のお付き添い（保護者の方を含む）および院内でお待ちいただくことは出来ませんので予めご了承くださいませ。")</f>
        <v>男性のご入室は当院ではお断りしております。また、中絶手術当日のお付き添い（保護者の方を含む）および院内でお待ちいただくことは出来ませんので予めご了承くださいませ。</v>
      </c>
      <c r="C1159" s="31" t="str">
        <f>IFERROR(__xludf.DUMMYFUNCTION("""COMPUTED_VALUE"""),"中絶手術")</f>
        <v>中絶手術</v>
      </c>
      <c r="D1159" s="31" t="str">
        <f>IFERROR(__xludf.DUMMYFUNCTION("""COMPUTED_VALUE"""),"付き添い,パートナー,手術,保護者,待つ,入室")</f>
        <v>付き添い,パートナー,手術,保護者,待つ,入室</v>
      </c>
      <c r="E1159" s="31"/>
    </row>
    <row r="1160">
      <c r="A1160" s="31" t="str">
        <f>IFERROR(__xludf.DUMMYFUNCTION("""COMPUTED_VALUE"""),"経膣エコーが痛いのですが配慮してもらえますか？/内診が怖いです/検査の痛みが心配/内診は拒否できますか？/内診は必須ですか？/内診したくない/性交渉経験がないのですが内診はありますか？/内診は必ずしなければいけませんか/生理不順は内診しますか/内診を受けずに診察や処方はできますか？")</f>
        <v>経膣エコーが痛いのですが配慮してもらえますか？/内診が怖いです/検査の痛みが心配/内診は拒否できますか？/内診は必須ですか？/内診したくない/性交渉経験がないのですが内診はありますか？/内診は必ずしなければいけませんか/生理不順は内診しますか/内診を受けずに診察や処方はできますか？</v>
      </c>
      <c r="B1160" s="31" t="str">
        <f>IFERROR(__xludf.DUMMYFUNCTION("""COMPUTED_VALUE"""),"検査時のご不安やお痛みについては、診察の際に医師やスタッフにお伝えください。できる限り配慮してご対応いたします。")</f>
        <v>検査時のご不安やお痛みについては、診察の際に医師やスタッフにお伝えください。できる限り配慮してご対応いたします。</v>
      </c>
      <c r="C1160" s="31" t="str">
        <f>IFERROR(__xludf.DUMMYFUNCTION("""COMPUTED_VALUE"""),"受診案内")</f>
        <v>受診案内</v>
      </c>
      <c r="D1160" s="31" t="str">
        <f>IFERROR(__xludf.DUMMYFUNCTION("""COMPUTED_VALUE"""),"経膣エコー,痛み,内診,配慮,怖い")</f>
        <v>経膣エコー,痛み,内診,配慮,怖い</v>
      </c>
      <c r="E1160" s="31"/>
    </row>
    <row r="1161">
      <c r="A1161" s="31" t="str">
        <f>IFERROR(__xludf.DUMMYFUNCTION("""COMPUTED_VALUE"""),"保険診療と自由診療はどう決まるのですか？/保険か自費かの判別はどうするの？/保険適用になるかどうかの基準は？")</f>
        <v>保険診療と自由診療はどう決まるのですか？/保険か自費かの判別はどうするの？/保険適用になるかどうかの基準は？</v>
      </c>
      <c r="B1161" s="31" t="str">
        <f>IFERROR(__xludf.DUMMYFUNCTION("""COMPUTED_VALUE"""),"保険適用か自由診療かは、症状の有無やご受診内容によって異なります。具体的な適用可否は診察時に医師が判断いたします。")</f>
        <v>保険適用か自由診療かは、症状の有無やご受診内容によって異なります。具体的な適用可否は診察時に医師が判断いたします。</v>
      </c>
      <c r="C1161" s="31" t="str">
        <f>IFERROR(__xludf.DUMMYFUNCTION("""COMPUTED_VALUE"""),"料金・保険")</f>
        <v>料金・保険</v>
      </c>
      <c r="D1161" s="31" t="str">
        <f>IFERROR(__xludf.DUMMYFUNCTION("""COMPUTED_VALUE"""),"保険診療,自由診療,判別,保険適用,自費")</f>
        <v>保険診療,自由診療,判別,保険適用,自費</v>
      </c>
      <c r="E1161" s="31"/>
    </row>
    <row r="1162">
      <c r="A1162" s="31" t="str">
        <f>IFERROR(__xludf.DUMMYFUNCTION("""COMPUTED_VALUE"""),"診察の流れを教えてください/初めて受診する場合の流れは？/来院時の流れ/受診の流れ")</f>
        <v>診察の流れを教えてください/初めて受診する場合の流れは？/来院時の流れ/受診の流れ</v>
      </c>
      <c r="B1162" s="31" t="str">
        <f>IFERROR(__xludf.DUMMYFUNCTION("""COMPUTED_VALUE"""),"ご来院後の流れは、受付→WEB問診（事前にご回答いただくとスムーズです）→診察→検査（必要な場合）→お会計となります。ご予約は公式LINEから24時間承っております。LINEはこちら→https://cline-app.com/qr-codes/98ad6f149bfa20f4f2a9a2e91aac4187/preview")</f>
        <v>ご来院後の流れは、受付→WEB問診（事前にご回答いただくとスムーズです）→診察→検査（必要な場合）→お会計となります。ご予約は公式LINEから24時間承っております。LINEはこちら→https://cline-app.com/qr-codes/98ad6f149bfa20f4f2a9a2e91aac4187/preview</v>
      </c>
      <c r="C1162" s="31" t="str">
        <f>IFERROR(__xludf.DUMMYFUNCTION("""COMPUTED_VALUE"""),"受診案内")</f>
        <v>受診案内</v>
      </c>
      <c r="D1162" s="31" t="str">
        <f>IFERROR(__xludf.DUMMYFUNCTION("""COMPUTED_VALUE"""),"診察の流れ,初めて,来院,受診の流れ")</f>
        <v>診察の流れ,初めて,来院,受診の流れ</v>
      </c>
      <c r="E1162" s="31"/>
    </row>
    <row r="1163">
      <c r="A1163" s="31" t="str">
        <f>IFERROR(__xludf.DUMMYFUNCTION("""COMPUTED_VALUE"""),"定期便とは何ですか？/定期配送とは/ピルの定期購入とは/定期便について教えてください")</f>
        <v>定期便とは何ですか？/定期配送とは/ピルの定期購入とは/定期便について教えてください</v>
      </c>
      <c r="B1163" s="31" t="str">
        <f>IFERROR(__xludf.DUMMYFUNCTION("""COMPUTED_VALUE"""),"低用量ピルの定期配送サービスです。オンライン診療で処方を受けた後、ご自宅にお薬を定期的にお届けします。詳しくはこちら→https://luna-dr.com/telemedicine/")</f>
        <v>低用量ピルの定期配送サービスです。オンライン診療で処方を受けた後、ご自宅にお薬を定期的にお届けします。詳しくはこちら→https://luna-dr.com/telemedicine/</v>
      </c>
      <c r="C1163" s="31" t="str">
        <f>IFERROR(__xludf.DUMMYFUNCTION("""COMPUTED_VALUE"""),"定期配送")</f>
        <v>定期配送</v>
      </c>
      <c r="D1163" s="31" t="str">
        <f>IFERROR(__xludf.DUMMYFUNCTION("""COMPUTED_VALUE"""),"定期便,定期配送,定期購入,とは")</f>
        <v>定期便,定期配送,定期購入,とは</v>
      </c>
      <c r="E1163" s="32" t="str">
        <f>IFERROR(__xludf.DUMMYFUNCTION("""COMPUTED_VALUE"""),"https://luna-dr.com/telemedicine/")</f>
        <v>https://luna-dr.com/telemedicine/</v>
      </c>
    </row>
    <row r="1164">
      <c r="A1164" s="31" t="str">
        <f>IFERROR(__xludf.DUMMYFUNCTION("""COMPUTED_VALUE"""),"検査結果はいつ分かりますか？/検査結果はどれくらいで出ますか？/結果はいつ頃わかりますか？/培養検査の結果はどれくらいで出る？/雑菌検査結果はいつ出ますか？")</f>
        <v>検査結果はいつ分かりますか？/検査結果はどれくらいで出ますか？/結果はいつ頃わかりますか？/培養検査の結果はどれくらいで出る？/雑菌検査結果はいつ出ますか？</v>
      </c>
      <c r="B1164" s="31" t="str">
        <f>IFERROR(__xludf.DUMMYFUNCTION("""COMPUTED_VALUE"""),"検査結果は検査の種類によって異なります。クラミジア・淋菌等は約4日〜10日後にWebでご確認いただけます。血液検査は約1〜2週間後にご来院いただき医師から直接ご説明いたします。検査結果確認サイトはこちら→https://result.luna-dr.com/clinic_login")</f>
        <v>検査結果は検査の種類によって異なります。クラミジア・淋菌等は約4日〜10日後にWebでご確認いただけます。血液検査は約1〜2週間後にご来院いただき医師から直接ご説明いたします。検査結果確認サイトはこちら→https://result.luna-dr.com/clinic_login</v>
      </c>
      <c r="C1164" s="31" t="str">
        <f>IFERROR(__xludf.DUMMYFUNCTION("""COMPUTED_VALUE"""),"検査結果")</f>
        <v>検査結果</v>
      </c>
      <c r="D1164" s="31" t="str">
        <f>IFERROR(__xludf.DUMMYFUNCTION("""COMPUTED_VALUE"""),"検査結果,いつ,どれくらい,結果,日数")</f>
        <v>検査結果,いつ,どれくらい,結果,日数</v>
      </c>
      <c r="E1164" s="32" t="str">
        <f>IFERROR(__xludf.DUMMYFUNCTION("""COMPUTED_VALUE"""),"https://result.luna-dr.com/clinic_login")</f>
        <v>https://result.luna-dr.com/clinic_login</v>
      </c>
    </row>
    <row r="1165">
      <c r="A1165" s="31" t="str">
        <f>IFERROR(__xludf.DUMMYFUNCTION("""COMPUTED_VALUE"""),"尿路感染は診てもらえますか？/尿路感染症の診察はできますか？/膀胱炎と尿路感染の両方を診てもらえますか？/尿路感染について相談したい/尿路感染か膣炎疑いなんですが/尿路感染と膣炎の両方を診てもらえますか？")</f>
        <v>尿路感染は診てもらえますか？/尿路感染症の診察はできますか？/膀胱炎と尿路感染の両方を診てもらえますか？/尿路感染について相談したい/尿路感染か膣炎疑いなんですが/尿路感染と膣炎の両方を診てもらえますか？</v>
      </c>
      <c r="B1165" s="31" t="str">
        <f>IFERROR(__xludf.DUMMYFUNCTION("""COMPUTED_VALUE"""),"尿路感染症については泌尿器科が専門となるため、当院での診察は行っておりません。お近くの泌尿器科へのご受診をお願いいたします。")</f>
        <v>尿路感染症については泌尿器科が専門となるため、当院での診察は行っておりません。お近くの泌尿器科へのご受診をお願いいたします。</v>
      </c>
      <c r="C1165" s="31" t="str">
        <f>IFERROR(__xludf.DUMMYFUNCTION("""COMPUTED_VALUE"""),"対応不可")</f>
        <v>対応不可</v>
      </c>
      <c r="D1165" s="31" t="str">
        <f>IFERROR(__xludf.DUMMYFUNCTION("""COMPUTED_VALUE"""),"尿路感染,尿路感染症,泌尿器科,膀胱炎,膣炎")</f>
        <v>尿路感染,尿路感染症,泌尿器科,膀胱炎,膣炎</v>
      </c>
      <c r="E1165" s="31"/>
    </row>
    <row r="1166">
      <c r="A1166" s="31" t="str">
        <f>IFERROR(__xludf.DUMMYFUNCTION("""COMPUTED_VALUE"""),"モナリザタッチはできますか？/モナリザタッチは行っていますか？/モナリザタッチについて教えてください")</f>
        <v>モナリザタッチはできますか？/モナリザタッチは行っていますか？/モナリザタッチについて教えてください</v>
      </c>
      <c r="B1166" s="31" t="str">
        <f>IFERROR(__xludf.DUMMYFUNCTION("""COMPUTED_VALUE"""),"モナリザタッチは当院では行っておりません。モナリザタッチをご希望の場合は、取り扱いのあるクリニックへのご受診をお願いいたします。")</f>
        <v>モナリザタッチは当院では行っておりません。モナリザタッチをご希望の場合は、取り扱いのあるクリニックへのご受診をお願いいたします。</v>
      </c>
      <c r="C1166" s="31" t="str">
        <f>IFERROR(__xludf.DUMMYFUNCTION("""COMPUTED_VALUE"""),"対応不可")</f>
        <v>対応不可</v>
      </c>
      <c r="D1166" s="31" t="str">
        <f>IFERROR(__xludf.DUMMYFUNCTION("""COMPUTED_VALUE"""),"モナリザタッチ,MonaLisa Touch,レーザー治療")</f>
        <v>モナリザタッチ,MonaLisa Touch,レーザー治療</v>
      </c>
      <c r="E1166" s="31"/>
    </row>
    <row r="1167">
      <c r="A1167" s="31" t="str">
        <f>IFERROR(__xludf.DUMMYFUNCTION("""COMPUTED_VALUE"""),"妊娠中の咳や気管支の痛みで受診できますか？/妊娠中の風邪は診てもらえますか？/妊娠中の内科的な症状")</f>
        <v>妊娠中の咳や気管支の痛みで受診できますか？/妊娠中の風邪は診てもらえますか？/妊娠中の内科的な症状</v>
      </c>
      <c r="B1167" s="31" t="str">
        <f>IFERROR(__xludf.DUMMYFUNCTION("""COMPUTED_VALUE"""),"当院は婦人科のため、咳・気管支の痛みなどの内科的な症状の診療は行っておりません。内科へのご受診をお願いいたします。")</f>
        <v>当院は婦人科のため、咳・気管支の痛みなどの内科的な症状の診療は行っておりません。内科へのご受診をお願いいたします。</v>
      </c>
      <c r="C1167" s="31" t="str">
        <f>IFERROR(__xludf.DUMMYFUNCTION("""COMPUTED_VALUE"""),"対応不可")</f>
        <v>対応不可</v>
      </c>
      <c r="D1167" s="31" t="str">
        <f>IFERROR(__xludf.DUMMYFUNCTION("""COMPUTED_VALUE"""),"妊娠中,咳,気管支,内科,風邪")</f>
        <v>妊娠中,咳,気管支,内科,風邪</v>
      </c>
      <c r="E1167" s="31"/>
    </row>
    <row r="1168">
      <c r="A1168" s="31" t="str">
        <f>IFERROR(__xludf.DUMMYFUNCTION("""COMPUTED_VALUE"""),"脱毛は取り扱っていますか？/医療脱毛はできますか？/脱毛について")</f>
        <v>脱毛は取り扱っていますか？/医療脱毛はできますか？/脱毛について</v>
      </c>
      <c r="B1168" s="31" t="str">
        <f>IFERROR(__xludf.DUMMYFUNCTION("""COMPUTED_VALUE"""),"当院では脱毛（医療脱毛を含む）は行っておりません。")</f>
        <v>当院では脱毛（医療脱毛を含む）は行っておりません。</v>
      </c>
      <c r="C1168" s="31" t="str">
        <f>IFERROR(__xludf.DUMMYFUNCTION("""COMPUTED_VALUE"""),"対応不可")</f>
        <v>対応不可</v>
      </c>
      <c r="D1168" s="31" t="str">
        <f>IFERROR(__xludf.DUMMYFUNCTION("""COMPUTED_VALUE"""),"脱毛,医療脱毛")</f>
        <v>脱毛,医療脱毛</v>
      </c>
      <c r="E1168" s="31"/>
    </row>
    <row r="1169">
      <c r="A1169" s="31" t="str">
        <f>IFERROR(__xludf.DUMMYFUNCTION("""COMPUTED_VALUE"""),"アレルギー検査は行っていますか？/アレルギー検査はできますか？/アレルギーの検査")</f>
        <v>アレルギー検査は行っていますか？/アレルギー検査はできますか？/アレルギーの検査</v>
      </c>
      <c r="B1169" s="31" t="str">
        <f>IFERROR(__xludf.DUMMYFUNCTION("""COMPUTED_VALUE"""),"当院は婦人科のため、アレルギー検査は行っておりません。アレルギー科または内科へのご受診をお願いいたします。")</f>
        <v>当院は婦人科のため、アレルギー検査は行っておりません。アレルギー科または内科へのご受診をお願いいたします。</v>
      </c>
      <c r="C1169" s="31" t="str">
        <f>IFERROR(__xludf.DUMMYFUNCTION("""COMPUTED_VALUE"""),"対応不可")</f>
        <v>対応不可</v>
      </c>
      <c r="D1169" s="31" t="str">
        <f>IFERROR(__xludf.DUMMYFUNCTION("""COMPUTED_VALUE"""),"アレルギー検査,アレルギー")</f>
        <v>アレルギー検査,アレルギー</v>
      </c>
      <c r="E1169" s="31"/>
    </row>
    <row r="1170">
      <c r="A1170" s="31" t="str">
        <f>IFERROR(__xludf.DUMMYFUNCTION("""COMPUTED_VALUE"""),"父親が娘を連れて受診できますか？/父親の付き添いは可能ですか？/男性の保護者は同伴できますか？")</f>
        <v>父親が娘を連れて受診できますか？/父親の付き添いは可能ですか？/男性の保護者は同伴できますか？</v>
      </c>
      <c r="B1170" s="31" t="str">
        <f>IFERROR(__xludf.DUMMYFUNCTION("""COMPUTED_VALUE"""),"当院は女性専用のため、男性の方のご入室はお断りしております。18歳未満の患者さまには保護者の同伴が必須ですが、女性の保護者の方にお願いしております。男性の保護者の方は院外でお待ちいただくことになりますので、ご了承ください。")</f>
        <v>当院は女性専用のため、男性の方のご入室はお断りしております。18歳未満の患者さまには保護者の同伴が必須ですが、女性の保護者の方にお願いしております。男性の保護者の方は院外でお待ちいただくことになりますので、ご了承ください。</v>
      </c>
      <c r="C1170" s="31" t="str">
        <f>IFERROR(__xludf.DUMMYFUNCTION("""COMPUTED_VALUE"""),"受診案内")</f>
        <v>受診案内</v>
      </c>
      <c r="D1170" s="31" t="str">
        <f>IFERROR(__xludf.DUMMYFUNCTION("""COMPUTED_VALUE"""),"父親,男性,保護者,付き添い,高校生,娘")</f>
        <v>父親,男性,保護者,付き添い,高校生,娘</v>
      </c>
      <c r="E1170" s="31"/>
    </row>
    <row r="1171">
      <c r="A1171" s="31" t="str">
        <f>IFERROR(__xludf.DUMMYFUNCTION("""COMPUTED_VALUE"""),"アクセスと診療時間を教えてください/場所と診療時間/アクセスと診療時間")</f>
        <v>アクセスと診療時間を教えてください/場所と診療時間/アクセスと診療時間</v>
      </c>
      <c r="B1171" s="31" t="str">
        <f>IFERROR(__xludf.DUMMYFUNCTION("""COMPUTED_VALUE"""),"ルナレディースクリニックの住所は院によって異なります。
・横浜駅前院：〒220-0004 神奈川県横浜市西区北幸1丁目1-8 エキニア横浜7F（横浜駅から徒歩2分）。詳しくはこちら：https://luna-dr.com/yokohama/
・川崎駅前院：〒210-0007 神奈川県川崎市川崎区駅前本町3-1 NMF川崎東口ビルB1F（川崎駅から徒歩30秒）。詳しくはこちら：https://luna-dr.com/kawasaki/
・町田駅前院：〒194-0013 東京都町田市原町田6丁目3-20 TK"&amp;"町田ビル3階（町田駅から徒歩2分）。詳しくはこちら：https://luna-dr.com/
診療時間は院によって診療時間・休診日が異なります。
・横浜駅前院：平日は午前診療が10:00〜14:00、午後診療が15:30〜20:00です。土日祝は午前診療が10:00〜14:00、午後診療が15:30〜19:00です。土日祝日も含め、毎日診療を行っています。診療時間はこちら：https://luna-dr.com/yokohama/consultation-hours/ 
・川崎駅前院：平日は午前診療が10"&amp;":00〜14:00、午後診療が15:30〜20:00です。土日祝は午前診療が10:00〜14:00、午後診療が15:30〜19:00です。土日祝日も含め、毎日診療を行っています。診療時間はこちら：https://luna-dr.com/kawasaki/consultation-hours/ 
・町田駅前院：午前診療が10:00〜14:00、午後診療が15:30〜20:00です。日曜は休診となります。土曜日の午後診療は15:30〜19:00です。診療時間はこちら：https://luna-dr.com/m"&amp;"achida/consultation-hours/")</f>
        <v>ルナレディースクリニックの住所は院によって異なります。
・横浜駅前院：〒220-0004 神奈川県横浜市西区北幸1丁目1-8 エキニア横浜7F（横浜駅から徒歩2分）。詳しくはこちら：https://luna-dr.com/yokohama/
・川崎駅前院：〒210-0007 神奈川県川崎市川崎区駅前本町3-1 NMF川崎東口ビルB1F（川崎駅から徒歩30秒）。詳しくはこちら：https://luna-dr.com/kawasaki/
・町田駅前院：〒194-0013 東京都町田市原町田6丁目3-20 TK町田ビル3階（町田駅から徒歩2分）。詳しくはこちら：https://luna-dr.com/
診療時間は院によって診療時間・休診日が異なります。
・横浜駅前院：平日は午前診療が10:00〜14:00、午後診療が15:30〜20:00です。土日祝は午前診療が10:00〜14:00、午後診療が15:30〜19:00です。土日祝日も含め、毎日診療を行っています。診療時間はこちら：https://luna-dr.com/yokohama/consultation-hours/ 
・川崎駅前院：平日は午前診療が10:00〜14:00、午後診療が15:30〜20:00です。土日祝は午前診療が10:00〜14:00、午後診療が15:30〜19:00です。土日祝日も含め、毎日診療を行っています。診療時間はこちら：https://luna-dr.com/kawasaki/consultation-hours/ 
・町田駅前院：午前診療が10:00〜14:00、午後診療が15:30〜20:00です。日曜は休診となります。土曜日の午後診療は15:30〜19:00です。診療時間はこちら：https://luna-dr.com/machida/consultation-hours/</v>
      </c>
      <c r="C1171" s="31" t="str">
        <f>IFERROR(__xludf.DUMMYFUNCTION("""COMPUTED_VALUE"""),"アクセス")</f>
        <v>アクセス</v>
      </c>
      <c r="D1171" s="31" t="str">
        <f>IFERROR(__xludf.DUMMYFUNCTION("""COMPUTED_VALUE"""),"アクセス,診療時間,場所,行き方")</f>
        <v>アクセス,診療時間,場所,行き方</v>
      </c>
      <c r="E1171" s="31"/>
    </row>
    <row r="1172">
      <c r="A1172" s="31" t="str">
        <f>IFERROR(__xludf.DUMMYFUNCTION("""COMPUTED_VALUE"""),"婦人科検診の結果はどこで見られますか？/検査結果のネットでの見方を教えてください/検査結果の確認方法/子宮頸がん検診の結果の見方/検査結果をWebで確認する方法/結果はどうやって見るんですか？/がん検査結果の表がほしい/検査結果の書類をもらいたい/検査結果を紙でもらえますか")</f>
        <v>婦人科検診の結果はどこで見られますか？/検査結果のネットでの見方を教えてください/検査結果の確認方法/子宮頸がん検診の結果の見方/検査結果をWebで確認する方法/結果はどうやって見るんですか？/がん検査結果の表がほしい/検査結果の書類をもらいたい/検査結果を紙でもらえますか</v>
      </c>
      <c r="B1172" s="31" t="str">
        <f>IFERROR(__xludf.DUMMYFUNCTION("""COMPUTED_VALUE"""),"婦人科検診の結果は、検査日から約2週間後に検査結果確認サイトからWebでご確認いただけます。確認サイトはこちら→https://result.luna-dr.com/clinic_login 診察番号（患者番号）はLINEまたは領収書からご確認いただけます。詳しい確認手順はこちらのページをご参照ください。→https://luna-dr.notion.site/f0a26ab231534d8fa9cb069193c411a4　精密検査や治療が必要な結果だった場合は、医師が改めて診察を行い、今後の治療方針に"&amp;"ついてご説明します。")</f>
        <v>婦人科検診の結果は、検査日から約2週間後に検査結果確認サイトからWebでご確認いただけます。確認サイトはこちら→https://result.luna-dr.com/clinic_login 診察番号（患者番号）はLINEまたは領収書からご確認いただけます。詳しい確認手順はこちらのページをご参照ください。→https://luna-dr.notion.site/f0a26ab231534d8fa9cb069193c411a4　精密検査や治療が必要な結果だった場合は、医師が改めて診察を行い、今後の治療方針についてご説明します。</v>
      </c>
      <c r="C1172" s="31" t="str">
        <f>IFERROR(__xludf.DUMMYFUNCTION("""COMPUTED_VALUE"""),"検査結果")</f>
        <v>検査結果</v>
      </c>
      <c r="D1172" s="31" t="str">
        <f>IFERROR(__xludf.DUMMYFUNCTION("""COMPUTED_VALUE"""),"検査結果,確認方法,見方,Web,ネット,子宮頸がん検診,婦人科検診,結果確認")</f>
        <v>検査結果,確認方法,見方,Web,ネット,子宮頸がん検診,婦人科検診,結果確認</v>
      </c>
      <c r="E1172" s="31"/>
    </row>
    <row r="1173">
      <c r="A1173" s="31" t="str">
        <f>IFERROR(__xludf.DUMMYFUNCTION("""COMPUTED_VALUE"""),"超低用量ピルは処方してもらえますか？/超低用量ピルの取り扱いはありますか？/LEPは処方可能ですか？")</f>
        <v>超低用量ピルは処方してもらえますか？/超低用量ピルの取り扱いはありますか？/LEPは処方可能ですか？</v>
      </c>
      <c r="B1173" s="31" t="str">
        <f>IFERROR(__xludf.DUMMYFUNCTION("""COMPUTED_VALUE"""),"超低用量ピル（LEP）は来院診療にて医師の診察（エコー）を受けていただき、医師の許可があれば処方可能です。当院で取り扱いのある超低用量ピルは、ヤーズフレックス・ドロエチ・ルリウェル（ルナベル）ULD・ヤーズ配合錠・ジェミーナがございます。ご予約は公式LINEから24時間承っております。LINEはこちら→https://cline-app.com/qr-codes/98ad6f149bfa20f4f2a9a2e91aac4187/preview")</f>
        <v>超低用量ピル（LEP）は来院診療にて医師の診察（エコー）を受けていただき、医師の許可があれば処方可能です。当院で取り扱いのある超低用量ピルは、ヤーズフレックス・ドロエチ・ルリウェル（ルナベル）ULD・ヤーズ配合錠・ジェミーナがございます。ご予約は公式LINEから24時間承っております。LINEはこちら→https://cline-app.com/qr-codes/98ad6f149bfa20f4f2a9a2e91aac4187/preview</v>
      </c>
      <c r="C1173" s="31" t="str">
        <f>IFERROR(__xludf.DUMMYFUNCTION("""COMPUTED_VALUE"""),"低用量ピル")</f>
        <v>低用量ピル</v>
      </c>
      <c r="D1173" s="31" t="str">
        <f>IFERROR(__xludf.DUMMYFUNCTION("""COMPUTED_VALUE"""),"超低用量ピル,LEP,ヤーズフレックス,ドロエチ,ルリウェル,ルナベル,ジェミーナ,ヤーズ")</f>
        <v>超低用量ピル,LEP,ヤーズフレックス,ドロエチ,ルリウェル,ルナベル,ジェミーナ,ヤーズ</v>
      </c>
      <c r="E1173" s="31"/>
    </row>
    <row r="1174">
      <c r="A1174" s="31" t="str">
        <f>IFERROR(__xludf.DUMMYFUNCTION("""COMPUTED_VALUE"""),"低用量ピルは定期便ではなく1シートだけオンラインで購入できますか？/ピルを1シートだけ買いたい/単発でピルを買えますか？")</f>
        <v>低用量ピルは定期便ではなく1シートだけオンラインで購入できますか？/ピルを1シートだけ買いたい/単発でピルを買えますか？</v>
      </c>
      <c r="B1174" s="31" t="str">
        <f>IFERROR(__xludf.DUMMYFUNCTION("""COMPUTED_VALUE"""),"ネットショップでの単発購入は行っておりません。1シートのみのご購入をご希望の場合は、オンライン診療を受けていただいたうえで単品購入が可能です。オンライン診療はこちらのLINEからご予約ください。→https://liff-gateway.lineml.jp/landing?follow=%40590gpxrd&amp;lp=rJHUjK&amp;liff_id=1657094566-LmjNPPbV")</f>
        <v>ネットショップでの単発購入は行っておりません。1シートのみのご購入をご希望の場合は、オンライン診療を受けていただいたうえで単品購入が可能です。オンライン診療はこちらのLINEからご予約ください。→https://liff-gateway.lineml.jp/landing?follow=%40590gpxrd&amp;lp=rJHUjK&amp;liff_id=1657094566-LmjNPPbV</v>
      </c>
      <c r="C1174" s="31" t="str">
        <f>IFERROR(__xludf.DUMMYFUNCTION("""COMPUTED_VALUE"""),"定期配送")</f>
        <v>定期配送</v>
      </c>
      <c r="D1174" s="31" t="str">
        <f>IFERROR(__xludf.DUMMYFUNCTION("""COMPUTED_VALUE"""),"低用量ピル,1シート,単発,単品,オンライン購入")</f>
        <v>低用量ピル,1シート,単発,単品,オンライン購入</v>
      </c>
      <c r="E1174" s="31"/>
    </row>
    <row r="1175">
      <c r="A1175" s="31" t="str">
        <f>IFERROR(__xludf.DUMMYFUNCTION("""COMPUTED_VALUE"""),"予約枠はいつ解放されますか？/翌月の予約はいつからできますか？/来月の予約はいつから取れますか？/予約は何日からできますか？/先の予約は可能ですか？/")</f>
        <v>予約枠はいつ解放されますか？/翌月の予約はいつからできますか？/来月の予約はいつから取れますか？/予約は何日からできますか？/先の予約は可能ですか？/</v>
      </c>
      <c r="B1175" s="31" t="str">
        <f>IFERROR(__xludf.DUMMYFUNCTION("""COMPUTED_VALUE"""),"毎月20日に翌月分の予約枠が解放されます。ご予約は公式LINEから24時間承っております。LINEはこちら→https://cline-app.com/qr-codes/98ad6f149bfa20f4f2a9a2e91aac4187/preview")</f>
        <v>毎月20日に翌月分の予約枠が解放されます。ご予約は公式LINEから24時間承っております。LINEはこちら→https://cline-app.com/qr-codes/98ad6f149bfa20f4f2a9a2e91aac4187/preview</v>
      </c>
      <c r="C1175" s="31" t="str">
        <f>IFERROR(__xludf.DUMMYFUNCTION("""COMPUTED_VALUE"""),"予約")</f>
        <v>予約</v>
      </c>
      <c r="D1175" s="31" t="str">
        <f>IFERROR(__xludf.DUMMYFUNCTION("""COMPUTED_VALUE"""),"予約枠,解放,いつから,翌月,来月,先の予約")</f>
        <v>予約枠,解放,いつから,翌月,来月,先の予約</v>
      </c>
      <c r="E1175" s="31"/>
    </row>
    <row r="1176">
      <c r="A1176" s="31" t="str">
        <f>IFERROR(__xludf.DUMMYFUNCTION("""COMPUTED_VALUE"""),"予約が勝手にキャンセルされていたのですが/自動キャンセルの条件はありますか？/予約がキャンセルになっていた")</f>
        <v>予約が勝手にキャンセルされていたのですが/自動キャンセルの条件はありますか？/予約がキャンセルになっていた</v>
      </c>
      <c r="B1176" s="31" t="str">
        <f>IFERROR(__xludf.DUMMYFUNCTION("""COMPUTED_VALUE"""),"予約時間を10分以上経過しますと、予約が自動でキャンセルされます。キャンセルされた場合は、LINEに自動で通知が届きます。再度ご予約をお取りいただくか、お電話（050-1730-2768）にてお問い合わせください。")</f>
        <v>予約時間を10分以上経過しますと、予約が自動でキャンセルされます。キャンセルされた場合は、LINEに自動で通知が届きます。再度ご予約をお取りいただくか、お電話（050-1730-2768）にてお問い合わせください。</v>
      </c>
      <c r="C1176" s="31" t="str">
        <f>IFERROR(__xludf.DUMMYFUNCTION("""COMPUTED_VALUE"""),"予約")</f>
        <v>予約</v>
      </c>
      <c r="D1176" s="31" t="str">
        <f>IFERROR(__xludf.DUMMYFUNCTION("""COMPUTED_VALUE"""),"自動キャンセル,勝手にキャンセル,10分")</f>
        <v>自動キャンセル,勝手にキャンセル,10分</v>
      </c>
      <c r="E1176" s="31"/>
    </row>
    <row r="1177">
      <c r="A1177" s="31" t="str">
        <f>IFERROR(__xludf.DUMMYFUNCTION("""COMPUTED_VALUE"""),"オンライン診療の確認メールはいつ届きますか？/オンライン診療のリマインド")</f>
        <v>オンライン診療の確認メールはいつ届きますか？/オンライン診療のリマインド</v>
      </c>
      <c r="B1177" s="31" t="str">
        <f>IFERROR(__xludf.DUMMYFUNCTION("""COMPUTED_VALUE"""),"オンライン診療の連絡は、ご予約取得日と予約当日の朝に届きます。")</f>
        <v>オンライン診療の連絡は、ご予約取得日と予約当日の朝に届きます。</v>
      </c>
      <c r="C1177" s="31" t="str">
        <f>IFERROR(__xludf.DUMMYFUNCTION("""COMPUTED_VALUE"""),"オンライン診療")</f>
        <v>オンライン診療</v>
      </c>
      <c r="D1177" s="31" t="str">
        <f>IFERROR(__xludf.DUMMYFUNCTION("""COMPUTED_VALUE"""),"オンライン診療,メール,連絡,リマインド,届く")</f>
        <v>オンライン診療,メール,連絡,リマインド,届く</v>
      </c>
      <c r="E1177" s="31"/>
    </row>
    <row r="1178">
      <c r="A1178" s="31" t="str">
        <f>IFERROR(__xludf.DUMMYFUNCTION("""COMPUTED_VALUE"""),"ビデオ診察はカメラオフでも大丈夫ですか？/オンライン診療でカメラをオフにしたい")</f>
        <v>ビデオ診察はカメラオフでも大丈夫ですか？/オンライン診療でカメラをオフにしたい</v>
      </c>
      <c r="B1178" s="31" t="str">
        <f>IFERROR(__xludf.DUMMYFUNCTION("""COMPUTED_VALUE"""),"ビデオ診療ではカメラオンが必須となっております。医師・患者さまともにカメラをオンにしていただく必要がございます。")</f>
        <v>ビデオ診療ではカメラオンが必須となっております。医師・患者さまともにカメラをオンにしていただく必要がございます。</v>
      </c>
      <c r="C1178" s="31" t="str">
        <f>IFERROR(__xludf.DUMMYFUNCTION("""COMPUTED_VALUE"""),"オンライン診療")</f>
        <v>オンライン診療</v>
      </c>
      <c r="D1178" s="31" t="str">
        <f>IFERROR(__xludf.DUMMYFUNCTION("""COMPUTED_VALUE"""),"ビデオ診察,カメラオフ,カメラ,オンライン")</f>
        <v>ビデオ診察,カメラオフ,カメラ,オンライン</v>
      </c>
      <c r="E1178" s="31"/>
    </row>
    <row r="1179">
      <c r="A1179" s="31" t="str">
        <f>IFERROR(__xludf.DUMMYFUNCTION("""COMPUTED_VALUE"""),"術後検診の所要時間はどのくらいですか？/術後検診にかかる時間")</f>
        <v>術後検診の所要時間はどのくらいですか？/術後検診にかかる時間</v>
      </c>
      <c r="B1179" s="31" t="str">
        <f>IFERROR(__xludf.DUMMYFUNCTION("""COMPUTED_VALUE"""),"術後検診はご受診からお会計まで1時間前後が目安です。")</f>
        <v>術後検診はご受診からお会計まで1時間前後が目安です。</v>
      </c>
      <c r="C1179" s="31" t="str">
        <f>IFERROR(__xludf.DUMMYFUNCTION("""COMPUTED_VALUE"""),"中絶手術")</f>
        <v>中絶手術</v>
      </c>
      <c r="D1179" s="31" t="str">
        <f>IFERROR(__xludf.DUMMYFUNCTION("""COMPUTED_VALUE"""),"術後検診,所要時間,時間")</f>
        <v>術後検診,所要時間,時間</v>
      </c>
      <c r="E1179" s="31"/>
    </row>
    <row r="1180">
      <c r="A1180" s="31" t="str">
        <f>IFERROR(__xludf.DUMMYFUNCTION("""COMPUTED_VALUE"""),"術後検診の持ち物は何ですか？/術後検診に必要なもの")</f>
        <v>術後検診の持ち物は何ですか？/術後検診に必要なもの</v>
      </c>
      <c r="B1180" s="31" t="str">
        <f>IFERROR(__xludf.DUMMYFUNCTION("""COMPUTED_VALUE"""),"術後検診にお持ちいただくものは身分証明書のみです。")</f>
        <v>術後検診にお持ちいただくものは身分証明書のみです。</v>
      </c>
      <c r="C1180" s="31" t="str">
        <f>IFERROR(__xludf.DUMMYFUNCTION("""COMPUTED_VALUE"""),"中絶手術")</f>
        <v>中絶手術</v>
      </c>
      <c r="D1180" s="31" t="str">
        <f>IFERROR(__xludf.DUMMYFUNCTION("""COMPUTED_VALUE"""),"術後検診,持ち物,必要なもの")</f>
        <v>術後検診,持ち物,必要なもの</v>
      </c>
      <c r="E1180" s="31"/>
    </row>
    <row r="1181">
      <c r="A1181" s="31" t="str">
        <f>IFERROR(__xludf.DUMMYFUNCTION("""COMPUTED_VALUE"""),"ラクトフローラは店舗で購入できますか？/院内で購入できる商品はありますか？/院内で売っている商品は？")</f>
        <v>ラクトフローラは店舗で購入できますか？/院内で購入できる商品はありますか？/院内で売っている商品は？</v>
      </c>
      <c r="B1181" s="31" t="str">
        <f>IFERROR(__xludf.DUMMYFUNCTION("""COMPUTED_VALUE"""),"ラクトフローラ（乳酸桿菌）は全院の店舗で購入可能です。そのほか院内では、Lypo-C・Lypo-C+D・FemCHECK検査キット・コラージュフルフルをお取り扱いしております。")</f>
        <v>ラクトフローラ（乳酸桿菌）は全院の店舗で購入可能です。そのほか院内では、Lypo-C・Lypo-C+D・FemCHECK検査キット・コラージュフルフルをお取り扱いしております。</v>
      </c>
      <c r="C1181" s="31" t="str">
        <f>IFERROR(__xludf.DUMMYFUNCTION("""COMPUTED_VALUE"""),"受診案内")</f>
        <v>受診案内</v>
      </c>
      <c r="D1181" s="31" t="str">
        <f>IFERROR(__xludf.DUMMYFUNCTION("""COMPUTED_VALUE"""),"ラクトフローラ,店舗購入,院内販売,Lypo-C,コラージュフルフル")</f>
        <v>ラクトフローラ,店舗購入,院内販売,Lypo-C,コラージュフルフル</v>
      </c>
      <c r="E1181" s="31"/>
    </row>
    <row r="1182">
      <c r="A1182" s="31" t="str">
        <f>IFERROR(__xludf.DUMMYFUNCTION("""COMPUTED_VALUE"""),"解析結果の「ステータス」とは何ですか？/解析中で陽性と書いてある場合は陽性ですか？/検査結果が解析中と表示されている")</f>
        <v>解析結果の「ステータス」とは何ですか？/解析中で陽性と書いてある場合は陽性ですか？/検査結果が解析中と表示されている</v>
      </c>
      <c r="B1182" s="31" t="str">
        <f>IFERROR(__xludf.DUMMYFUNCTION("""COMPUTED_VALUE"""),"「解析中」は全ての検査結果が出揃っていない状態を表しています。全ての結果が出揃うとステータスが変わります。なお、解析中であっても、表示されている検査結果は確定のものとなります。")</f>
        <v>「解析中」は全ての検査結果が出揃っていない状態を表しています。全ての結果が出揃うとステータスが変わります。なお、解析中であっても、表示されている検査結果は確定のものとなります。</v>
      </c>
      <c r="C1182" s="31" t="str">
        <f>IFERROR(__xludf.DUMMYFUNCTION("""COMPUTED_VALUE"""),"検査結果")</f>
        <v>検査結果</v>
      </c>
      <c r="D1182" s="31" t="str">
        <f>IFERROR(__xludf.DUMMYFUNCTION("""COMPUTED_VALUE"""),"解析中,ステータス,検査結果,確定,陽性")</f>
        <v>解析中,ステータス,検査結果,確定,陽性</v>
      </c>
      <c r="E1182" s="31"/>
    </row>
    <row r="1183">
      <c r="A1183" s="31" t="str">
        <f>IFERROR(__xludf.DUMMYFUNCTION("""COMPUTED_VALUE"""),"エコー写真はもらえますか？/エコー写真が欲しい/前回もらえなかったエコー写真が欲しい")</f>
        <v>エコー写真はもらえますか？/エコー写真が欲しい/前回もらえなかったエコー写真が欲しい</v>
      </c>
      <c r="B1183" s="31" t="str">
        <f>IFERROR(__xludf.DUMMYFUNCTION("""COMPUTED_VALUE"""),"エコー写真は、診察時に医師にご希望をお伝えいただければお渡し可能です。")</f>
        <v>エコー写真は、診察時に医師にご希望をお伝えいただければお渡し可能です。</v>
      </c>
      <c r="C1183" s="31" t="str">
        <f>IFERROR(__xludf.DUMMYFUNCTION("""COMPUTED_VALUE"""),"検査結果")</f>
        <v>検査結果</v>
      </c>
      <c r="D1183" s="31" t="str">
        <f>IFERROR(__xludf.DUMMYFUNCTION("""COMPUTED_VALUE"""),"エコー写真,もらえる,お渡し")</f>
        <v>エコー写真,もらえる,お渡し</v>
      </c>
      <c r="E1183" s="31"/>
    </row>
    <row r="1184">
      <c r="A1184" s="31" t="str">
        <f>IFERROR(__xludf.DUMMYFUNCTION("""COMPUTED_VALUE"""),"月経移動で受診する場合、内診はありますか？/月経移動の診察は内診がありますか？")</f>
        <v>月経移動で受診する場合、内診はありますか？/月経移動の診察は内診がありますか？</v>
      </c>
      <c r="B1184" s="31" t="str">
        <f>IFERROR(__xludf.DUMMYFUNCTION("""COMPUTED_VALUE"""),"月経移動の処方のみの場合は、通常は内診なく処方が可能です。ただし、当日の医師の判断により内診を行う場合がございます。ご予約は「月経移動」のメニューからお取りください。→https://cline-app.com/qr-codes/98ad6f149bfa20f4f2a9a2e91aac4187/preview")</f>
        <v>月経移動の処方のみの場合は、通常は内診なく処方が可能です。ただし、当日の医師の判断により内診を行う場合がございます。ご予約は「月経移動」のメニューからお取りください。→https://cline-app.com/qr-codes/98ad6f149bfa20f4f2a9a2e91aac4187/preview</v>
      </c>
      <c r="C1184" s="31" t="str">
        <f>IFERROR(__xludf.DUMMYFUNCTION("""COMPUTED_VALUE"""),"月経移動")</f>
        <v>月経移動</v>
      </c>
      <c r="D1184" s="31" t="str">
        <f>IFERROR(__xludf.DUMMYFUNCTION("""COMPUTED_VALUE"""),"月経移動,内診,処方")</f>
        <v>月経移動,内診,処方</v>
      </c>
      <c r="E1184" s="31"/>
    </row>
    <row r="1185">
      <c r="A1185" s="31" t="str">
        <f>IFERROR(__xludf.DUMMYFUNCTION("""COMPUTED_VALUE"""),"診察と経膣エコーは同日にできますか？/予約した即日にエコー検査を受けられますか？")</f>
        <v>診察と経膣エコーは同日にできますか？/予約した即日にエコー検査を受けられますか？</v>
      </c>
      <c r="B1185" s="31" t="str">
        <f>IFERROR(__xludf.DUMMYFUNCTION("""COMPUTED_VALUE"""),"診察と経膣エコーは同日に対応可能です。診察時に医師にご希望をお伝えください。ご予約は公式LINEから24時間承っております。LINEはこちら→https://cline-app.com/qr-codes/98ad6f149bfa20f4f2a9a2e91aac4187/preview")</f>
        <v>診察と経膣エコーは同日に対応可能です。診察時に医師にご希望をお伝えください。ご予約は公式LINEから24時間承っております。LINEはこちら→https://cline-app.com/qr-codes/98ad6f149bfa20f4f2a9a2e91aac4187/preview</v>
      </c>
      <c r="C1185" s="31" t="str">
        <f>IFERROR(__xludf.DUMMYFUNCTION("""COMPUTED_VALUE"""),"受診案内")</f>
        <v>受診案内</v>
      </c>
      <c r="D1185" s="31" t="str">
        <f>IFERROR(__xludf.DUMMYFUNCTION("""COMPUTED_VALUE"""),"経膣エコー,同日,即日,超音波")</f>
        <v>経膣エコー,同日,即日,超音波</v>
      </c>
      <c r="E1185" s="31"/>
    </row>
    <row r="1186">
      <c r="A1186" s="31" t="str">
        <f>IFERROR(__xludf.DUMMYFUNCTION("""COMPUTED_VALUE"""),"術後検診は生理中でも受診できますか？/術後検診で超音波検査はありますか？")</f>
        <v>術後検診は生理中でも受診できますか？/術後検診で超音波検査はありますか？</v>
      </c>
      <c r="B1186" s="31" t="str">
        <f>IFERROR(__xludf.DUMMYFUNCTION("""COMPUTED_VALUE"""),"術後検診は生理中でも受診可能です。子宮の状態確認のため、医師の判断で超音波検査を行う場合がございます。ご予約は公式LINEから24時間承っております。LINEはこちら→https://cline-app.com/qr-codes/98ad6f149bfa20f4f2a9a2e91aac4187/preview")</f>
        <v>術後検診は生理中でも受診可能です。子宮の状態確認のため、医師の判断で超音波検査を行う場合がございます。ご予約は公式LINEから24時間承っております。LINEはこちら→https://cline-app.com/qr-codes/98ad6f149bfa20f4f2a9a2e91aac4187/preview</v>
      </c>
      <c r="C1186" s="31" t="str">
        <f>IFERROR(__xludf.DUMMYFUNCTION("""COMPUTED_VALUE"""),"中絶手術")</f>
        <v>中絶手術</v>
      </c>
      <c r="D1186" s="31" t="str">
        <f>IFERROR(__xludf.DUMMYFUNCTION("""COMPUTED_VALUE"""),"術後検診,生理中,超音波")</f>
        <v>術後検診,生理中,超音波</v>
      </c>
      <c r="E1186" s="31"/>
    </row>
    <row r="1187">
      <c r="A1187" s="31" t="str">
        <f>IFERROR(__xludf.DUMMYFUNCTION("""COMPUTED_VALUE"""),"アフターピルを処方してもらう場合、診察料や初診料はかかりますか？/アフターピルは薬代以外にかかりますか？/15000円以外にかかりますか？")</f>
        <v>アフターピルを処方してもらう場合、診察料や初診料はかかりますか？/アフターピルは薬代以外にかかりますか？/15000円以外にかかりますか？</v>
      </c>
      <c r="B1187" s="31" t="str">
        <f>IFERROR(__xludf.DUMMYFUNCTION("""COMPUTED_VALUE"""),"アフターピルは自費診療となるため、診察料・初診料はかかりません。お薬の金額のみのお支払いとなります。")</f>
        <v>アフターピルは自費診療となるため、診察料・初診料はかかりません。お薬の金額のみのお支払いとなります。</v>
      </c>
      <c r="C1187" s="31" t="str">
        <f>IFERROR(__xludf.DUMMYFUNCTION("""COMPUTED_VALUE"""),"アフターピル")</f>
        <v>アフターピル</v>
      </c>
      <c r="D1187" s="31" t="str">
        <f>IFERROR(__xludf.DUMMYFUNCTION("""COMPUTED_VALUE"""),"アフターピル,診察料,初診料,自費,追加料金")</f>
        <v>アフターピル,診察料,初診料,自費,追加料金</v>
      </c>
      <c r="E1187" s="31"/>
    </row>
    <row r="1188">
      <c r="A1188" s="31" t="str">
        <f>IFERROR(__xludf.DUMMYFUNCTION("""COMPUTED_VALUE"""),"問診票のURLが開けません/SMSの問診票URLがエラーになる/問診票が開けない場合")</f>
        <v>問診票のURLが開けません/SMSの問診票URLがエラーになる/問診票が開けない場合</v>
      </c>
      <c r="B1188" s="31" t="str">
        <f>IFERROR(__xludf.DUMMYFUNCTION("""COMPUTED_VALUE"""),"問診票のURLが開けない場合は、お電話（050-1730-2768）にてご連絡いただければ再度URLを送信可能です。また、問診票が未回答のままでもご受診当日に院内でご対応いただけますので、ご安心ください。")</f>
        <v>問診票のURLが開けない場合は、お電話（050-1730-2768）にてご連絡いただければ再度URLを送信可能です。また、問診票が未回答のままでもご受診当日に院内でご対応いただけますので、ご安心ください。</v>
      </c>
      <c r="C1188" s="31" t="str">
        <f>IFERROR(__xludf.DUMMYFUNCTION("""COMPUTED_VALUE"""),"UI操作")</f>
        <v>UI操作</v>
      </c>
      <c r="D1188" s="31" t="str">
        <f>IFERROR(__xludf.DUMMYFUNCTION("""COMPUTED_VALUE"""),"問診票,URL,エラー,開けない,SMS")</f>
        <v>問診票,URL,エラー,開けない,SMS</v>
      </c>
      <c r="E1188" s="31"/>
    </row>
    <row r="1189">
      <c r="A1189" s="31" t="str">
        <f>IFERROR(__xludf.DUMMYFUNCTION("""COMPUTED_VALUE"""),"問診票を回答済みですが確認できますか？/回答した問診票を見直したい")</f>
        <v>問診票を回答済みですが確認できますか？/回答した問診票を見直したい</v>
      </c>
      <c r="B1189" s="31" t="str">
        <f>IFERROR(__xludf.DUMMYFUNCTION("""COMPUTED_VALUE"""),"恐れ入りますが、回答済みの問診票を再度ご確認いただくことはできかねます。内容の修正が必要な場合は、ご受診当日に受付にてお申し出ください。")</f>
        <v>恐れ入りますが、回答済みの問診票を再度ご確認いただくことはできかねます。内容の修正が必要な場合は、ご受診当日に受付にてお申し出ください。</v>
      </c>
      <c r="C1189" s="31" t="str">
        <f>IFERROR(__xludf.DUMMYFUNCTION("""COMPUTED_VALUE"""),"UI操作")</f>
        <v>UI操作</v>
      </c>
      <c r="D1189" s="31" t="str">
        <f>IFERROR(__xludf.DUMMYFUNCTION("""COMPUTED_VALUE"""),"問診票,確認,回答済み")</f>
        <v>問診票,確認,回答済み</v>
      </c>
      <c r="E1189" s="31"/>
    </row>
    <row r="1190">
      <c r="A1190" s="31" t="str">
        <f>IFERROR(__xludf.DUMMYFUNCTION("""COMPUTED_VALUE"""),"問診票の喫煙回数は1日あたりですか？")</f>
        <v>問診票の喫煙回数は1日あたりですか？</v>
      </c>
      <c r="B1190" s="31" t="str">
        <f>IFERROR(__xludf.DUMMYFUNCTION("""COMPUTED_VALUE"""),"問診票の喫煙回数は1日あたりの喫煙本数をご入力ください。")</f>
        <v>問診票の喫煙回数は1日あたりの喫煙本数をご入力ください。</v>
      </c>
      <c r="C1190" s="31" t="str">
        <f>IFERROR(__xludf.DUMMYFUNCTION("""COMPUTED_VALUE"""),"UI操作")</f>
        <v>UI操作</v>
      </c>
      <c r="D1190" s="31" t="str">
        <f>IFERROR(__xludf.DUMMYFUNCTION("""COMPUTED_VALUE"""),"問診票,喫煙,本数,1日")</f>
        <v>問診票,喫煙,本数,1日</v>
      </c>
      <c r="E1190" s="31"/>
    </row>
    <row r="1191">
      <c r="A1191" s="31" t="str">
        <f>IFERROR(__xludf.DUMMYFUNCTION("""COMPUTED_VALUE"""),"前回いつ診療を受けたか確認したい/受診履歴を知りたい/最後の受診日")</f>
        <v>前回いつ診療を受けたか確認したい/受診履歴を知りたい/最後の受診日</v>
      </c>
      <c r="B1191" s="31" t="str">
        <f>IFERROR(__xludf.DUMMYFUNCTION("""COMPUTED_VALUE"""),"LINEからご予約された場合は、LINEの予約履歴からご確認いただけます。お電話でご予約された場合は、予約受診状況の確認ができかねますので、お電話（050-1730-2768）にてお問い合わせください。")</f>
        <v>LINEからご予約された場合は、LINEの予約履歴からご確認いただけます。お電話でご予約された場合は、予約受診状況の確認ができかねますので、お電話（050-1730-2768）にてお問い合わせください。</v>
      </c>
      <c r="C1191" s="31" t="str">
        <f>IFERROR(__xludf.DUMMYFUNCTION("""COMPUTED_VALUE"""),"受診案内")</f>
        <v>受診案内</v>
      </c>
      <c r="D1191" s="31" t="str">
        <f>IFERROR(__xludf.DUMMYFUNCTION("""COMPUTED_VALUE"""),"受診履歴,前回,最後,受診日,確認")</f>
        <v>受診履歴,前回,最後,受診日,確認</v>
      </c>
      <c r="E1191" s="31"/>
    </row>
    <row r="1192">
      <c r="A1192" s="31" t="str">
        <f>IFERROR(__xludf.DUMMYFUNCTION("""COMPUTED_VALUE"""),"スピロノラクトンは処方できますか？/ノアルテンは処方できますか？/クロミッドは処方できますか？/オンライン診療で抗生物質をもらえますか？/〇〇という薬は処方できますか？/ボンジェスタを処方していますか？")</f>
        <v>スピロノラクトンは処方できますか？/ノアルテンは処方できますか？/クロミッドは処方できますか？/オンライン診療で抗生物質をもらえますか？/〇〇という薬は処方できますか？/ボンジェスタを処方していますか？</v>
      </c>
      <c r="B1192" s="31" t="str">
        <f>IFERROR(__xludf.DUMMYFUNCTION("""COMPUTED_VALUE"""),"お薬の処方可否は医師の診察にて判断となるため、事前のご案内ができかねます。お電話でもお答えが難しい内容となりますので、ご予約のうえ医師にご相談ください。ご予約は公式LINEから24時間承っております。LINEはこちら→https://cline-app.com/qr-codes/98ad6f149bfa20f4f2a9a2e91aac4187/preview")</f>
        <v>お薬の処方可否は医師の診察にて判断となるため、事前のご案内ができかねます。お電話でもお答えが難しい内容となりますので、ご予約のうえ医師にご相談ください。ご予約は公式LINEから24時間承っております。LINEはこちら→https://cline-app.com/qr-codes/98ad6f149bfa20f4f2a9a2e91aac4187/preview</v>
      </c>
      <c r="C1192" s="31" t="str">
        <f>IFERROR(__xludf.DUMMYFUNCTION("""COMPUTED_VALUE"""),"処方薬")</f>
        <v>処方薬</v>
      </c>
      <c r="D1192" s="31" t="str">
        <f>IFERROR(__xludf.DUMMYFUNCTION("""COMPUTED_VALUE"""),"処方,薬,処方可能,スピロノラクトン,ノアルテン,クロミッド,抗生物質")</f>
        <v>処方,薬,処方可能,スピロノラクトン,ノアルテン,クロミッド,抗生物質</v>
      </c>
      <c r="E1192" s="31"/>
    </row>
    <row r="1193">
      <c r="A1193" s="31" t="str">
        <f>IFERROR(__xludf.DUMMYFUNCTION("""COMPUTED_VALUE"""),"ミニピルは定期配送できますか？/スリンダは郵送してもらえますか？/ミニピルの定期配送")</f>
        <v>ミニピルは定期配送できますか？/スリンダは郵送してもらえますか？/ミニピルの定期配送</v>
      </c>
      <c r="B1193" s="31" t="str">
        <f>IFERROR(__xludf.DUMMYFUNCTION("""COMPUTED_VALUE"""),"ミニピル（スリンダ）の定期配送は可能です。定期配送の購入はこちらからお進みください→
https://shop.luna-dr.com/collections/low_dose_pill_subscription")</f>
        <v>ミニピル（スリンダ）の定期配送は可能です。定期配送の購入はこちらからお進みください→
https://shop.luna-dr.com/collections/low_dose_pill_subscription</v>
      </c>
      <c r="C1193" s="31" t="str">
        <f>IFERROR(__xludf.DUMMYFUNCTION("""COMPUTED_VALUE"""),"低用量ピル（自費）")</f>
        <v>低用量ピル（自費）</v>
      </c>
      <c r="D1193" s="31" t="str">
        <f>IFERROR(__xludf.DUMMYFUNCTION("""COMPUTED_VALUE"""),"ミニピル,スリンダ,定期配送,郵送")</f>
        <v>ミニピル,スリンダ,定期配送,郵送</v>
      </c>
      <c r="E1193" s="31"/>
    </row>
    <row r="1194">
      <c r="A1194" s="31" t="str">
        <f>IFERROR(__xludf.DUMMYFUNCTION("""COMPUTED_VALUE"""),"ピルと太田胃酸は一緒に飲んでも大丈夫ですか？/ピル服用中に蕁麻疹が出た/ピルと他の薬の飲み合わせ")</f>
        <v>ピルと太田胃酸は一緒に飲んでも大丈夫ですか？/ピル服用中に蕁麻疹が出た/ピルと他の薬の飲み合わせ</v>
      </c>
      <c r="B1194" s="31" t="str">
        <f>IFERROR(__xludf.DUMMYFUNCTION("""COMPUTED_VALUE"""),"お薬の飲み合わせや服用中の症状については、お電話にてお問い合わせくださいませ。お電話は050-1730-2768（受付時間：平日9:45〜13:40・15:15〜19:40、土日祝9:45〜13:40・15:15〜18:40）となります。")</f>
        <v>お薬の飲み合わせや服用中の症状については、お電話にてお問い合わせくださいませ。お電話は050-1730-2768（受付時間：平日9:45〜13:40・15:15〜19:40、土日祝9:45〜13:40・15:15〜18:40）となります。</v>
      </c>
      <c r="C1194" s="31" t="str">
        <f>IFERROR(__xludf.DUMMYFUNCTION("""COMPUTED_VALUE"""),"処方薬")</f>
        <v>処方薬</v>
      </c>
      <c r="D1194" s="31" t="str">
        <f>IFERROR(__xludf.DUMMYFUNCTION("""COMPUTED_VALUE"""),"飲み合わせ,太田胃酸,蕁麻疹,副作用,併用")</f>
        <v>飲み合わせ,太田胃酸,蕁麻疹,副作用,併用</v>
      </c>
      <c r="E1194" s="31"/>
    </row>
    <row r="1195">
      <c r="A1195" s="31" t="str">
        <f>IFERROR(__xludf.DUMMYFUNCTION("""COMPUTED_VALUE"""),"薬は院内処方ですか？/薬は当日もらえますか？/処方箋を持って薬局に行く形ですか？")</f>
        <v>薬は院内処方ですか？/薬は当日もらえますか？/処方箋を持って薬局に行く形ですか？</v>
      </c>
      <c r="B1195" s="31" t="str">
        <f>IFERROR(__xludf.DUMMYFUNCTION("""COMPUTED_VALUE"""),"お薬によって院内でお渡しするものと、処方箋を発行し院外の薬局でお受け取りいただくものがございます。詳しくは診察時に医師・スタッフにご確認ください。")</f>
        <v>お薬によって院内でお渡しするものと、処方箋を発行し院外の薬局でお受け取りいただくものがございます。詳しくは診察時に医師・スタッフにご確認ください。</v>
      </c>
      <c r="C1195" s="31" t="str">
        <f>IFERROR(__xludf.DUMMYFUNCTION("""COMPUTED_VALUE"""),"処方薬")</f>
        <v>処方薬</v>
      </c>
      <c r="D1195" s="31" t="str">
        <f>IFERROR(__xludf.DUMMYFUNCTION("""COMPUTED_VALUE"""),"院内処方,院外処方,処方箋,薬局,当日")</f>
        <v>院内処方,院外処方,処方箋,薬局,当日</v>
      </c>
      <c r="E1195" s="31"/>
    </row>
    <row r="1196">
      <c r="A1196" s="31" t="str">
        <f>IFERROR(__xludf.DUMMYFUNCTION("""COMPUTED_VALUE"""),"保険診療の検査や薬の料金はいくらですか？/フラジール膣錠の料金/膣錠の処方料金")</f>
        <v>保険診療の検査や薬の料金はいくらですか？/フラジール膣錠の料金/膣錠の処方料金</v>
      </c>
      <c r="B1196" s="31" t="str">
        <f>IFERROR(__xludf.DUMMYFUNCTION("""COMPUTED_VALUE"""),"保険診療の場合、診察内容・検査項目・処方薬が医師の判断により異なるため、事前に料金をお伝えすることができかねます。ご了承いただけますと幸いです。")</f>
        <v>保険診療の場合、診察内容・検査項目・処方薬が医師の判断により異なるため、事前に料金をお伝えすることができかねます。ご了承いただけますと幸いです。</v>
      </c>
      <c r="C1196" s="31" t="str">
        <f>IFERROR(__xludf.DUMMYFUNCTION("""COMPUTED_VALUE"""),"料金・保険")</f>
        <v>料金・保険</v>
      </c>
      <c r="D1196" s="31" t="str">
        <f>IFERROR(__xludf.DUMMYFUNCTION("""COMPUTED_VALUE"""),"保険診療,料金,事前,フラジール,膣錠")</f>
        <v>保険診療,料金,事前,フラジール,膣錠</v>
      </c>
      <c r="E1196" s="31"/>
    </row>
    <row r="1197">
      <c r="A1197" s="31" t="str">
        <f>IFERROR(__xludf.DUMMYFUNCTION("""COMPUTED_VALUE"""),"月経移動ピル5,000円には何日分の薬が含まれていますか？/月経移動ピルは何錠もらえますか？/プラノバールは何錠処方されますか？")</f>
        <v>月経移動ピル5,000円には何日分の薬が含まれていますか？/月経移動ピルは何錠もらえますか？/プラノバールは何錠処方されますか？</v>
      </c>
      <c r="B1197" s="31" t="str">
        <f>IFERROR(__xludf.DUMMYFUNCTION("""COMPUTED_VALUE"""),"月経移動ピル（プラノバール）は21錠（1シート）の処方で5,000円（税込）です。7錠のみ等の処方は行っておらず、オンライン・来院ともに1シート単位の処方となります。1回の月経移動で使用し余った残薬は、次回の月経移動でご使用いただけます。")</f>
        <v>月経移動ピル（プラノバール）は21錠（1シート）の処方で5,000円（税込）です。7錠のみ等の処方は行っておらず、オンライン・来院ともに1シート単位の処方となります。1回の月経移動で使用し余った残薬は、次回の月経移動でご使用いただけます。</v>
      </c>
      <c r="C1197" s="31" t="str">
        <f>IFERROR(__xludf.DUMMYFUNCTION("""COMPUTED_VALUE"""),"月経移動")</f>
        <v>月経移動</v>
      </c>
      <c r="D1197" s="31" t="str">
        <f>IFERROR(__xludf.DUMMYFUNCTION("""COMPUTED_VALUE"""),"月経移動,プラノバール,何日分,何錠,21錠,1シート,残薬")</f>
        <v>月経移動,プラノバール,何日分,何錠,21錠,1シート,残薬</v>
      </c>
      <c r="E1197" s="31"/>
    </row>
    <row r="1198">
      <c r="A1198" s="31" t="str">
        <f>IFERROR(__xludf.DUMMYFUNCTION("""COMPUTED_VALUE"""),"ドロエチ服用中に生理がきた場合どうすればいいですか？/アリッサ配合錠を休薬から飲んでしまった/プラノバールで遅らせた次の次の生理は遅れますか？")</f>
        <v>ドロエチ服用中に生理がきた場合どうすればいいですか？/アリッサ配合錠を休薬から飲んでしまった/プラノバールで遅らせた次の次の生理は遅れますか？</v>
      </c>
      <c r="B1198" s="31" t="str">
        <f>IFERROR(__xludf.DUMMYFUNCTION("""COMPUTED_VALUE"""),"お薬の服用方法や服用中の症状については、個別の判断が必要となるため、診察にてご相談ください。ご予約は公式LINEから24時間承っております。LINEはこちら→https://cline-app.com/qr-codes/98ad6f149bfa20f4f2a9a2e91aac4187/preview")</f>
        <v>お薬の服用方法や服用中の症状については、個別の判断が必要となるため、診察にてご相談ください。ご予約は公式LINEから24時間承っております。LINEはこちら→https://cline-app.com/qr-codes/98ad6f149bfa20f4f2a9a2e91aac4187/preview</v>
      </c>
      <c r="C1198" s="31" t="str">
        <f>IFERROR(__xludf.DUMMYFUNCTION("""COMPUTED_VALUE"""),"処方薬")</f>
        <v>処方薬</v>
      </c>
      <c r="D1198" s="31" t="str">
        <f>IFERROR(__xludf.DUMMYFUNCTION("""COMPUTED_VALUE"""),"ドロエチ,アリッサ,服用中,生理がきた,休薬,飲み間違い,服用方法")</f>
        <v>ドロエチ,アリッサ,服用中,生理がきた,休薬,飲み間違い,服用方法</v>
      </c>
      <c r="E1198" s="31"/>
    </row>
    <row r="1199">
      <c r="A1199" s="31" t="str">
        <f>IFERROR(__xludf.DUMMYFUNCTION("""COMPUTED_VALUE"""),"妊娠12週未満ですがかかりつけではなくても受診できますか？/かかりつけ医が休みで受診したい/妊娠中ですが他院でも受診できますか？")</f>
        <v>妊娠12週未満ですがかかりつけではなくても受診できますか？/かかりつけ医が休みで受診したい/妊娠中ですが他院でも受診できますか？</v>
      </c>
      <c r="B1199" s="31" t="str">
        <f>IFERROR(__xludf.DUMMYFUNCTION("""COMPUTED_VALUE"""),"妊娠12週未満であれば、かかりつけ医が休診日等の場合も当院でご受診いただけます。「一般婦人科診療」のメニューでご予約ください。→https://cline-app.com/qr-codes/98ad6f149bfa20f4f2a9a2e91aac4187/preview")</f>
        <v>妊娠12週未満であれば、かかりつけ医が休診日等の場合も当院でご受診いただけます。「一般婦人科診療」のメニューでご予約ください。→https://cline-app.com/qr-codes/98ad6f149bfa20f4f2a9a2e91aac4187/preview</v>
      </c>
      <c r="C1199" s="31" t="str">
        <f>IFERROR(__xludf.DUMMYFUNCTION("""COMPUTED_VALUE"""),"妊娠")</f>
        <v>妊娠</v>
      </c>
      <c r="D1199" s="31" t="str">
        <f>IFERROR(__xludf.DUMMYFUNCTION("""COMPUTED_VALUE"""),"妊娠,12週,かかりつけ,他院,休診")</f>
        <v>妊娠,12週,かかりつけ,他院,休診</v>
      </c>
      <c r="E1199" s="31"/>
    </row>
    <row r="1200">
      <c r="A1200" s="31" t="str">
        <f>IFERROR(__xludf.DUMMYFUNCTION("""COMPUTED_VALUE"""),"分娩先が決まっていなくても妊婦健診だけ受けられますか？/どこで産むか決まっていないが健診だけ受けたい")</f>
        <v>分娩先が決まっていなくても妊婦健診だけ受けられますか？/どこで産むか決まっていないが健診だけ受けたい</v>
      </c>
      <c r="B1200" s="31" t="str">
        <f>IFERROR(__xludf.DUMMYFUNCTION("""COMPUTED_VALUE"""),"妊娠12週未満であれば、分娩先が決まっていなくても妊婦健診をお受けいただけます。「一般婦人科診療」のメニューでご予約ください。→https://cline-app.com/qr-codes/98ad6f149bfa20f4f2a9a2e91aac4187/preview")</f>
        <v>妊娠12週未満であれば、分娩先が決まっていなくても妊婦健診をお受けいただけます。「一般婦人科診療」のメニューでご予約ください。→https://cline-app.com/qr-codes/98ad6f149bfa20f4f2a9a2e91aac4187/preview</v>
      </c>
      <c r="C1200" s="31" t="str">
        <f>IFERROR(__xludf.DUMMYFUNCTION("""COMPUTED_VALUE"""),"妊娠")</f>
        <v>妊娠</v>
      </c>
      <c r="D1200" s="31" t="str">
        <f>IFERROR(__xludf.DUMMYFUNCTION("""COMPUTED_VALUE"""),"妊婦健診,分娩先,未定,健診のみ")</f>
        <v>妊婦健診,分娩先,未定,健診のみ</v>
      </c>
      <c r="E1200" s="31"/>
    </row>
    <row r="1201">
      <c r="A1201" s="31" t="str">
        <f>IFERROR(__xludf.DUMMYFUNCTION("""COMPUTED_VALUE"""),"初診で採血はありますか？/不正出血で受診した場合採血はしますか？")</f>
        <v>初診で採血はありますか？/不正出血で受診した場合採血はしますか？</v>
      </c>
      <c r="B1201" s="31" t="str">
        <f>IFERROR(__xludf.DUMMYFUNCTION("""COMPUTED_VALUE"""),"採血の有無は診察内容や症状により医師が判断いたしますため、事前に確約することができかねます。ご不明な点がございましたら、診察時に医師にご相談ください。")</f>
        <v>採血の有無は診察内容や症状により医師が判断いたしますため、事前に確約することができかねます。ご不明な点がございましたら、診察時に医師にご相談ください。</v>
      </c>
      <c r="C1201" s="31" t="str">
        <f>IFERROR(__xludf.DUMMYFUNCTION("""COMPUTED_VALUE"""),"受診案内")</f>
        <v>受診案内</v>
      </c>
      <c r="D1201" s="31" t="str">
        <f>IFERROR(__xludf.DUMMYFUNCTION("""COMPUTED_VALUE"""),"初診,採血,不正出血")</f>
        <v>初診,採血,不正出血</v>
      </c>
      <c r="E1201" s="31"/>
    </row>
    <row r="1202">
      <c r="A1202" s="31" t="str">
        <f>IFERROR(__xludf.DUMMYFUNCTION("""COMPUTED_VALUE"""),"ピルの購入履歴を確認したい/いつピルを買ったか知りたい/購入履歴の確認方法")</f>
        <v>ピルの購入履歴を確認したい/いつピルを買ったか知りたい/購入履歴の確認方法</v>
      </c>
      <c r="B1202" s="31" t="str">
        <f>IFERROR(__xludf.DUMMYFUNCTION("""COMPUTED_VALUE"""),"来院のみでご購入の場合は領収書にてご確認ください。定期配送をご契約の場合はご契約の媒体よりご確認いただけます。ご不明な場合はお電話（050-1730-2768）にてお問い合わせくださいませ。")</f>
        <v>来院のみでご購入の場合は領収書にてご確認ください。定期配送をご契約の場合はご契約の媒体よりご確認いただけます。ご不明な場合はお電話（050-1730-2768）にてお問い合わせくださいませ。</v>
      </c>
      <c r="C1202" s="31" t="str">
        <f>IFERROR(__xludf.DUMMYFUNCTION("""COMPUTED_VALUE"""),"定期配送")</f>
        <v>定期配送</v>
      </c>
      <c r="D1202" s="31" t="str">
        <f>IFERROR(__xludf.DUMMYFUNCTION("""COMPUTED_VALUE"""),"購入履歴,いつ買った,確認")</f>
        <v>購入履歴,いつ買った,確認</v>
      </c>
      <c r="E1202" s="31"/>
    </row>
    <row r="1203">
      <c r="A1203" s="31" t="str">
        <f>IFERROR(__xludf.DUMMYFUNCTION("""COMPUTED_VALUE"""),"支払い状況を確認したい/定期配送の支払いはどうなっていますか？/決済の確認方法")</f>
        <v>支払い状況を確認したい/定期配送の支払いはどうなっていますか？/決済の確認方法</v>
      </c>
      <c r="B1203" s="31" t="str">
        <f>IFERROR(__xludf.DUMMYFUNCTION("""COMPUTED_VALUE"""),"定期配送は自動決済となっており、お支払いが失敗した場合のみご連絡が届きます。薬剤の発送時にはメールにて配送状況のご連絡がございます。詳しくはお電話（050-1730-2768）にてお問い合わせください。")</f>
        <v>定期配送は自動決済となっており、お支払いが失敗した場合のみご連絡が届きます。薬剤の発送時にはメールにて配送状況のご連絡がございます。詳しくはお電話（050-1730-2768）にてお問い合わせください。</v>
      </c>
      <c r="C1203" s="31" t="str">
        <f>IFERROR(__xludf.DUMMYFUNCTION("""COMPUTED_VALUE"""),"定期配送")</f>
        <v>定期配送</v>
      </c>
      <c r="D1203" s="31" t="str">
        <f>IFERROR(__xludf.DUMMYFUNCTION("""COMPUTED_VALUE"""),"支払い状況,決済,自動決済,配送状況")</f>
        <v>支払い状況,決済,自動決済,配送状況</v>
      </c>
      <c r="E1203" s="31"/>
    </row>
    <row r="1204">
      <c r="A1204" s="31" t="str">
        <f>IFERROR(__xludf.DUMMYFUNCTION("""COMPUTED_VALUE"""),"注文を間違えた場合どうなりますか？/定期配送の注文間違い/間違えて注文してしまった")</f>
        <v>注文を間違えた場合どうなりますか？/定期配送の注文間違い/間違えて注文してしまった</v>
      </c>
      <c r="B1204" s="31" t="str">
        <f>IFERROR(__xludf.DUMMYFUNCTION("""COMPUTED_VALUE"""),"決済後の返金・返品は承ることができかねます。今回分は配送させていただき、解約をご希望の場合はお問い合わせフォームよりご連絡ください。こちらのフォーム（https://docs.google.com/forms/d/e/1FAIpQLSe41t1VsvN-rfcwsRSkalz89S2yqQc4zpWrbdcrwPo95Iif-Q/viewform）よりご連絡ください。なお、処方歴がなく誤ってご注文された場合は、処方ができかねるため返金対応とさせていただきます。")</f>
        <v>決済後の返金・返品は承ることができかねます。今回分は配送させていただき、解約をご希望の場合はお問い合わせフォームよりご連絡ください。こちらのフォーム（https://docs.google.com/forms/d/e/1FAIpQLSe41t1VsvN-rfcwsRSkalz89S2yqQc4zpWrbdcrwPo95Iif-Q/viewform）よりご連絡ください。なお、処方歴がなく誤ってご注文された場合は、処方ができかねるため返金対応とさせていただきます。</v>
      </c>
      <c r="C1204" s="31" t="str">
        <f>IFERROR(__xludf.DUMMYFUNCTION("""COMPUTED_VALUE"""),"定期配送")</f>
        <v>定期配送</v>
      </c>
      <c r="D1204" s="31" t="str">
        <f>IFERROR(__xludf.DUMMYFUNCTION("""COMPUTED_VALUE"""),"注文間違い,返金,返品,解約")</f>
        <v>注文間違い,返金,返品,解約</v>
      </c>
      <c r="E1204" s="31"/>
    </row>
    <row r="1205">
      <c r="A1205" s="31" t="str">
        <f>IFERROR(__xludf.DUMMYFUNCTION("""COMPUTED_VALUE"""),"腹部エコーはできますか？/腹部エコー検査はありますか？/お腹の上からのエコーはできますか？")</f>
        <v>腹部エコーはできますか？/腹部エコー検査はありますか？/お腹の上からのエコーはできますか？</v>
      </c>
      <c r="B1205" s="31" t="str">
        <f>IFERROR(__xludf.DUMMYFUNCTION("""COMPUTED_VALUE"""),"当院では腹部エコーは行っておりません。当院でのエコー検査は経膣エコーでのご対応となります。")</f>
        <v>当院では腹部エコーは行っておりません。当院でのエコー検査は経膣エコーでのご対応となります。</v>
      </c>
      <c r="C1205" s="31" t="str">
        <f>IFERROR(__xludf.DUMMYFUNCTION("""COMPUTED_VALUE"""),"受診案内")</f>
        <v>受診案内</v>
      </c>
      <c r="D1205" s="31" t="str">
        <f>IFERROR(__xludf.DUMMYFUNCTION("""COMPUTED_VALUE"""),"腹部エコー,経膣エコー,エコー検査,超音波,お腹")</f>
        <v>腹部エコー,経膣エコー,エコー検査,超音波,お腹</v>
      </c>
      <c r="E1205" s="31"/>
    </row>
    <row r="1206">
      <c r="A1206" s="31" t="str">
        <f>IFERROR(__xludf.DUMMYFUNCTION("""COMPUTED_VALUE"""),"横浜院と元町ルナは同じ病院ですか？/元町ルナレディースとの違いは？/元町のルナレディースは同じですか？")</f>
        <v>横浜院と元町ルナは同じ病院ですか？/元町ルナレディースとの違いは？/元町のルナレディースは同じですか？</v>
      </c>
      <c r="B1206" s="31" t="str">
        <f>IFERROR(__xludf.DUMMYFUNCTION("""COMPUTED_VALUE"""),"ルナレディースクリニックは横浜駅前院・川崎駅前院・町田駅前院の3院となります。元町のクリニックは当院とは別のクリニックでございます。")</f>
        <v>ルナレディースクリニックは横浜駅前院・川崎駅前院・町田駅前院の3院となります。元町のクリニックは当院とは別のクリニックでございます。</v>
      </c>
      <c r="C1206" s="31" t="str">
        <f>IFERROR(__xludf.DUMMYFUNCTION("""COMPUTED_VALUE"""),"クリニック情報")</f>
        <v>クリニック情報</v>
      </c>
      <c r="D1206" s="31" t="str">
        <f>IFERROR(__xludf.DUMMYFUNCTION("""COMPUTED_VALUE"""),"横浜院,元町,元町ルナ,別のクリニック")</f>
        <v>横浜院,元町,元町ルナ,別のクリニック</v>
      </c>
      <c r="E1206" s="31"/>
    </row>
    <row r="1207">
      <c r="A1207" s="31" t="str">
        <f>IFERROR(__xludf.DUMMYFUNCTION("""COMPUTED_VALUE"""),"初めてですが受付ではどうすればいいですか？/受付で何を伝えればいいですか？/来院したらまず何をすればいいですか？")</f>
        <v>初めてですが受付ではどうすればいいですか？/受付で何を伝えればいいですか？/来院したらまず何をすればいいですか？</v>
      </c>
      <c r="B1207" s="31" t="str">
        <f>IFERROR(__xludf.DUMMYFUNCTION("""COMPUTED_VALUE"""),"ご来院されましたら、受付にてご予約のお名前をお伝えください。保険証またはマイナンバーカードをご提示いただきます。WEB問診を事前にご回答いただくとスムーズに診察へお進みいただけます。")</f>
        <v>ご来院されましたら、受付にてご予約のお名前をお伝えください。保険証またはマイナンバーカードをご提示いただきます。WEB問診を事前にご回答いただくとスムーズに診察へお進みいただけます。</v>
      </c>
      <c r="C1207" s="31" t="str">
        <f>IFERROR(__xludf.DUMMYFUNCTION("""COMPUTED_VALUE"""),"受診案内")</f>
        <v>受診案内</v>
      </c>
      <c r="D1207" s="31" t="str">
        <f>IFERROR(__xludf.DUMMYFUNCTION("""COMPUTED_VALUE"""),"受付,初めて,流れ,名前,来院")</f>
        <v>受付,初めて,流れ,名前,来院</v>
      </c>
      <c r="E1207" s="31"/>
    </row>
    <row r="1208">
      <c r="A1208" s="31" t="str">
        <f>IFERROR(__xludf.DUMMYFUNCTION("""COMPUTED_VALUE"""),"男性医師はいますか？/男性もいるのですか？/男性医師もいるのですか？")</f>
        <v>男性医師はいますか？/男性もいるのですか？/男性医師もいるのですか？</v>
      </c>
      <c r="B1208" s="31" t="str">
        <f>IFERROR(__xludf.DUMMYFUNCTION("""COMPUTED_VALUE"""),"当院には男性医師も在籍しております。女性医師をご希望の場合はお電話でご予約・お問い合わせください。お電話は050-1730-2768までご連絡ください。電話受付時間は、平日9:45〜13:40・15:15〜19:40、土日祝9:45〜13:40・15:15〜18:40です。")</f>
        <v>当院には男性医師も在籍しております。女性医師をご希望の場合はお電話でご予約・お問い合わせください。お電話は050-1730-2768までご連絡ください。電話受付時間は、平日9:45〜13:40・15:15〜19:40、土日祝9:45〜13:40・15:15〜18:40です。</v>
      </c>
      <c r="C1208" s="31" t="str">
        <f>IFERROR(__xludf.DUMMYFUNCTION("""COMPUTED_VALUE"""),"受診案内")</f>
        <v>受診案内</v>
      </c>
      <c r="D1208" s="31" t="str">
        <f>IFERROR(__xludf.DUMMYFUNCTION("""COMPUTED_VALUE"""),"男性医師,いる")</f>
        <v>男性医師,いる</v>
      </c>
      <c r="E1208" s="31"/>
    </row>
    <row r="1209">
      <c r="A1209" s="31" t="str">
        <f>IFERROR(__xludf.DUMMYFUNCTION("""COMPUTED_VALUE"""),"LINEをやっていない場合はどうすればいいですか？/LINE以外で予約できますか？/ラインがない場合の予約方法")</f>
        <v>LINEをやっていない場合はどうすればいいですか？/LINE以外で予約できますか？/ラインがない場合の予約方法</v>
      </c>
      <c r="B1209" s="31" t="str">
        <f>IFERROR(__xludf.DUMMYFUNCTION("""COMPUTED_VALUE"""),"LINEをご利用でない場合は、お電話（050-1730-2768）にてご予約を承っております。受付時間は平日9:45〜13:40・15:15〜19:40、土日祝9:45〜13:40・15:15〜18:40です。")</f>
        <v>LINEをご利用でない場合は、お電話（050-1730-2768）にてご予約を承っております。受付時間は平日9:45〜13:40・15:15〜19:40、土日祝9:45〜13:40・15:15〜18:40です。</v>
      </c>
      <c r="C1209" s="31" t="str">
        <f>IFERROR(__xludf.DUMMYFUNCTION("""COMPUTED_VALUE"""),"予約")</f>
        <v>予約</v>
      </c>
      <c r="D1209" s="31" t="str">
        <f>IFERROR(__xludf.DUMMYFUNCTION("""COMPUTED_VALUE"""),"LINE,やっていない,電話予約,ライン")</f>
        <v>LINE,やっていない,電話予約,ライン</v>
      </c>
      <c r="E1209" s="31"/>
    </row>
    <row r="1210">
      <c r="A1210" s="31" t="str">
        <f>IFERROR(__xludf.DUMMYFUNCTION("""COMPUTED_VALUE"""),"平日の午前は混んでいますか？/土曜日は混んでいますか？/待ち時間はどのくらいですか？/混んでますか？")</f>
        <v>平日の午前は混んでいますか？/土曜日は混んでいますか？/待ち時間はどのくらいですか？/混んでますか？</v>
      </c>
      <c r="B1210" s="31" t="str">
        <f>IFERROR(__xludf.DUMMYFUNCTION("""COMPUTED_VALUE"""),"大変恐縮ですが、混雑状況は外来の診察状況によって異なりますため、具体的なご案内が難しい状況です。恐れ入りますが、ご理解を頂けますと幸いです。")</f>
        <v>大変恐縮ですが、混雑状況は外来の診察状況によって異なりますため、具体的なご案内が難しい状況です。恐れ入りますが、ご理解を頂けますと幸いです。</v>
      </c>
      <c r="C1210" s="31" t="str">
        <f>IFERROR(__xludf.DUMMYFUNCTION("""COMPUTED_VALUE"""),"受診案内")</f>
        <v>受診案内</v>
      </c>
      <c r="D1210" s="31" t="str">
        <f>IFERROR(__xludf.DUMMYFUNCTION("""COMPUTED_VALUE"""),"混雑,混んでいる,待ち時間,土曜日")</f>
        <v>混雑,混んでいる,待ち時間,土曜日</v>
      </c>
      <c r="E1210" s="31"/>
    </row>
    <row r="1211">
      <c r="A1211" s="31" t="str">
        <f>IFERROR(__xludf.DUMMYFUNCTION("""COMPUTED_VALUE"""),"風邪気味ですが受診できますか？/体調が悪いのですが受診できますか？")</f>
        <v>風邪気味ですが受診できますか？/体調が悪いのですが受診できますか？</v>
      </c>
      <c r="B1211" s="31" t="str">
        <f>IFERROR(__xludf.DUMMYFUNCTION("""COMPUTED_VALUE"""),"当院は婦人科のため、風邪や内科的な症状の診療は行っておりません。内科へのご受診をおすすめいたします。なお、37.5℃以上の発熱がある場合はご受診いただけませんので、熱が下がってからご予約ください。")</f>
        <v>当院は婦人科のため、風邪や内科的な症状の診療は行っておりません。内科へのご受診をおすすめいたします。なお、37.5℃以上の発熱がある場合はご受診いただけませんので、熱が下がってからご予約ください。</v>
      </c>
      <c r="C1211" s="31" t="str">
        <f>IFERROR(__xludf.DUMMYFUNCTION("""COMPUTED_VALUE"""),"受診案内")</f>
        <v>受診案内</v>
      </c>
      <c r="D1211" s="31" t="str">
        <f>IFERROR(__xludf.DUMMYFUNCTION("""COMPUTED_VALUE"""),"風邪,体調不良,発熱")</f>
        <v>風邪,体調不良,発熱</v>
      </c>
      <c r="E1211" s="31"/>
    </row>
    <row r="1212">
      <c r="A1212" s="31" t="str">
        <f>IFERROR(__xludf.DUMMYFUNCTION("""COMPUTED_VALUE"""),"新橋銀座口院について知りたい/新橋院はまだ営業していますか？/新橋の店舗は閉店しましたか？")</f>
        <v>新橋銀座口院について知りたい/新橋院はまだ営業していますか？/新橋の店舗は閉店しましたか？</v>
      </c>
      <c r="B1212" s="31" t="str">
        <f>IFERROR(__xludf.DUMMYFUNCTION("""COMPUTED_VALUE"""),"ルナレディースクリニックは横浜駅前院・川崎駅前院・町田駅前院の3院となります。")</f>
        <v>ルナレディースクリニックは横浜駅前院・川崎駅前院・町田駅前院の3院となります。</v>
      </c>
      <c r="C1212" s="31" t="str">
        <f>IFERROR(__xludf.DUMMYFUNCTION("""COMPUTED_VALUE"""),"クリニック情報")</f>
        <v>クリニック情報</v>
      </c>
      <c r="D1212" s="31" t="str">
        <f>IFERROR(__xludf.DUMMYFUNCTION("""COMPUTED_VALUE"""),"横浜院,新橋,新橋銀座口院")</f>
        <v>横浜院,新橋,新橋銀座口院</v>
      </c>
      <c r="E1212" s="31"/>
    </row>
    <row r="1213">
      <c r="A1213" s="31" t="str">
        <f>IFERROR(__xludf.DUMMYFUNCTION("""COMPUTED_VALUE"""),"子宮体がん検査は入院になりますか？/子宮体がん検査は日帰りですか？")</f>
        <v>子宮体がん検査は入院になりますか？/子宮体がん検査は日帰りですか？</v>
      </c>
      <c r="B1213" s="31" t="str">
        <f>IFERROR(__xludf.DUMMYFUNCTION("""COMPUTED_VALUE"""),"子宮体がん検査は外来で行える検査です。細い器具で子宮体部の細胞を採取する検査で、1〜2分で終了します。予約は「婦人科検診」のメニューからお取りください。→https://cline-app.com/qr-codes/98ad6f149bfa20f4f2a9a2e91aac4187/preview")</f>
        <v>子宮体がん検査は外来で行える検査です。細い器具で子宮体部の細胞を採取する検査で、1〜2分で終了します。予約は「婦人科検診」のメニューからお取りください。→https://cline-app.com/qr-codes/98ad6f149bfa20f4f2a9a2e91aac4187/preview</v>
      </c>
      <c r="C1213" s="31" t="str">
        <f>IFERROR(__xludf.DUMMYFUNCTION("""COMPUTED_VALUE"""),"検査・検診")</f>
        <v>検査・検診</v>
      </c>
      <c r="D1213" s="31" t="str">
        <f>IFERROR(__xludf.DUMMYFUNCTION("""COMPUTED_VALUE"""),"子宮体がん,入院,日帰り,検査")</f>
        <v>子宮体がん,入院,日帰り,検査</v>
      </c>
      <c r="E1213" s="32" t="str">
        <f>IFERROR(__xludf.DUMMYFUNCTION("""COMPUTED_VALUE"""),"https://luna-dr.com/subjects/medical-checkup/")</f>
        <v>https://luna-dr.com/subjects/medical-checkup/</v>
      </c>
    </row>
    <row r="1214">
      <c r="A1214" s="31" t="str">
        <f>IFERROR(__xludf.DUMMYFUNCTION("""COMPUTED_VALUE"""),"低用量ピル処方時に血液検査はありますか？/ピル処方で採血はありますか？")</f>
        <v>低用量ピル処方時に血液検査はありますか？/ピル処方で採血はありますか？</v>
      </c>
      <c r="B1214" s="31" t="str">
        <f>IFERROR(__xludf.DUMMYFUNCTION("""COMPUTED_VALUE"""),"避妊目的の低用量ピル（OC）の場合は問診が中心で、基本的に内診や血液検査はございません。治療目的の保険ピル（LEP）の場合は初回に経膣エコー検査が必要です。ご予約は「ピル処方」のメニューからお取りください。→https://cline-app.com/qr-codes/98ad6f149bfa20f4f2a9a2e91aac4187/preview")</f>
        <v>避妊目的の低用量ピル（OC）の場合は問診が中心で、基本的に内診や血液検査はございません。治療目的の保険ピル（LEP）の場合は初回に経膣エコー検査が必要です。ご予約は「ピル処方」のメニューからお取りください。→https://cline-app.com/qr-codes/98ad6f149bfa20f4f2a9a2e91aac4187/preview</v>
      </c>
      <c r="C1214" s="31" t="str">
        <f>IFERROR(__xludf.DUMMYFUNCTION("""COMPUTED_VALUE"""),"ピル処方")</f>
        <v>ピル処方</v>
      </c>
      <c r="D1214" s="31" t="str">
        <f>IFERROR(__xludf.DUMMYFUNCTION("""COMPUTED_VALUE"""),"ピル,血液検査,採血,内診,エコー")</f>
        <v>ピル,血液検査,採血,内診,エコー</v>
      </c>
      <c r="E1214" s="31"/>
    </row>
    <row r="1215">
      <c r="A1215" s="31" t="str">
        <f>IFERROR(__xludf.DUMMYFUNCTION("""COMPUTED_VALUE"""),"question")</f>
        <v>question</v>
      </c>
      <c r="B1215" s="31" t="str">
        <f>IFERROR(__xludf.DUMMYFUNCTION("""COMPUTED_VALUE"""),"answer")</f>
        <v>answer</v>
      </c>
      <c r="C1215" s="31" t="str">
        <f>IFERROR(__xludf.DUMMYFUNCTION("""COMPUTED_VALUE"""),"category")</f>
        <v>category</v>
      </c>
      <c r="D1215" s="31" t="str">
        <f>IFERROR(__xludf.DUMMYFUNCTION("""COMPUTED_VALUE"""),"keywords")</f>
        <v>keywords</v>
      </c>
      <c r="E1215" s="31" t="str">
        <f>IFERROR(__xludf.DUMMYFUNCTION("""COMPUTED_VALUE"""),"source_url")</f>
        <v>source_url</v>
      </c>
    </row>
    <row r="1216">
      <c r="A1216" s="31" t="str">
        <f>IFERROR(__xludf.DUMMYFUNCTION("""COMPUTED_VALUE"""),"川崎駅前院は駅から近いですか？")</f>
        <v>川崎駅前院は駅から近いですか？</v>
      </c>
      <c r="B1216" s="31" t="str">
        <f>IFERROR(__xludf.DUMMYFUNCTION("""COMPUTED_VALUE"""),"ルナレディースクリニック川崎駅前院は、川崎駅から徒歩30秒のNMF川崎東口ビルB1Fにあります。駅から非常に近く、通いやすい立地です。")</f>
        <v>ルナレディースクリニック川崎駅前院は、川崎駅から徒歩30秒のNMF川崎東口ビルB1Fにあります。駅から非常に近く、通いやすい立地です。</v>
      </c>
      <c r="C1216" s="31" t="str">
        <f>IFERROR(__xludf.DUMMYFUNCTION("""COMPUTED_VALUE"""),"アクセス")</f>
        <v>アクセス</v>
      </c>
      <c r="D1216" s="31" t="str">
        <f>IFERROR(__xludf.DUMMYFUNCTION("""COMPUTED_VALUE"""),"川崎駅,徒歩30秒,アクセス")</f>
        <v>川崎駅,徒歩30秒,アクセス</v>
      </c>
      <c r="E1216" s="32" t="str">
        <f>IFERROR(__xludf.DUMMYFUNCTION("""COMPUTED_VALUE"""),"https://luna-dr.com/kawasaki/")</f>
        <v>https://luna-dr.com/kawasaki/</v>
      </c>
    </row>
    <row r="1217">
      <c r="A1217" s="31" t="str">
        <f>IFERROR(__xludf.DUMMYFUNCTION("""COMPUTED_VALUE"""),"土日・祝日は診療していますか？")</f>
        <v>土日・祝日は診療していますか？</v>
      </c>
      <c r="B1217" s="31" t="str">
        <f>IFERROR(__xludf.DUMMYFUNCTION("""COMPUTED_VALUE"""),"ルナレディースクリニック川崎駅前院の診療時間は、平日は午前診療が10:00〜14:00、午後診療が15:30〜20:00です。土日祝は午前診療が10:00〜14:00、午後診療が15:30〜19:00です。月曜から日曜まで毎日診療を行っています。詳しくはこちらをご確認ください。")</f>
        <v>ルナレディースクリニック川崎駅前院の診療時間は、平日は午前診療が10:00〜14:00、午後診療が15:30〜20:00です。土日祝は午前診療が10:00〜14:00、午後診療が15:30〜19:00です。月曜から日曜まで毎日診療を行っています。詳しくはこちらをご確認ください。</v>
      </c>
      <c r="C1217" s="31" t="str">
        <f>IFERROR(__xludf.DUMMYFUNCTION("""COMPUTED_VALUE"""),"診療時間")</f>
        <v>診療時間</v>
      </c>
      <c r="D1217" s="31" t="str">
        <f>IFERROR(__xludf.DUMMYFUNCTION("""COMPUTED_VALUE"""),"診療時間,川崎")</f>
        <v>診療時間,川崎</v>
      </c>
      <c r="E1217" s="32" t="str">
        <f>IFERROR(__xludf.DUMMYFUNCTION("""COMPUTED_VALUE"""),"https://luna-dr.com/kawasaki/")</f>
        <v>https://luna-dr.com/kawasaki/</v>
      </c>
    </row>
    <row r="1218">
      <c r="A1218" s="31" t="str">
        <f>IFERROR(__xludf.DUMMYFUNCTION("""COMPUTED_VALUE"""),"遅刻した場合でも診察は受けられますか？")</f>
        <v>遅刻した場合でも診察は受けられますか？</v>
      </c>
      <c r="B1218" s="31" t="str">
        <f>IFERROR(__xludf.DUMMYFUNCTION("""COMPUTED_VALUE"""),"ルナレディースクリニック川崎駅前院では、10分以上遅刻された場合、事前にご連絡をいただいていても予約外来院扱いとなります。")</f>
        <v>ルナレディースクリニック川崎駅前院では、10分以上遅刻された場合、事前にご連絡をいただいていても予約外来院扱いとなります。</v>
      </c>
      <c r="C1218" s="31" t="str">
        <f>IFERROR(__xludf.DUMMYFUNCTION("""COMPUTED_VALUE"""),"来院ルール")</f>
        <v>来院ルール</v>
      </c>
      <c r="D1218" s="31" t="str">
        <f>IFERROR(__xludf.DUMMYFUNCTION("""COMPUTED_VALUE"""),"遅刻,予約")</f>
        <v>遅刻,予約</v>
      </c>
      <c r="E1218" s="32" t="str">
        <f>IFERROR(__xludf.DUMMYFUNCTION("""COMPUTED_VALUE"""),"https://luna-dr.com/kawasaki/")</f>
        <v>https://luna-dr.com/kawasaki/</v>
      </c>
    </row>
    <row r="1219">
      <c r="A1219" s="31" t="str">
        <f>IFERROR(__xludf.DUMMYFUNCTION("""COMPUTED_VALUE"""),"予約外来院の最終受付時間を教えてください/予約をしていない場合の最終受付時間を教えてください")</f>
        <v>予約外来院の最終受付時間を教えてください/予約をしていない場合の最終受付時間を教えてください</v>
      </c>
      <c r="B1219" s="31" t="str">
        <f>IFERROR(__xludf.DUMMYFUNCTION("""COMPUTED_VALUE"""),"ルナレディースクリニック川崎駅前院では、当院で処方済みのピル処方・アフターピル・月経移動は、午前13:30まで、午後は平日19:30まで、土日祝18:30までが最終受付です。それ以外の相談は、午前は平日13:00まで、土日祝12:00まで、午後は平日18:00まで、土日祝17:00までとなります。
平日18:00以降は大変込み合いますので、予約無しでご来院の際は極力17:00までに受付のご協力をよろしくお願いいたします。
混雑状況により18:00以降はピル処方・中絶相談以外の予約無し診察受付を制限させて頂"&amp;"くことがございますのでご理解の程をよろしくお願いいたします。 ")</f>
        <v>ルナレディースクリニック川崎駅前院では、当院で処方済みのピル処方・アフターピル・月経移動は、午前13:30まで、午後は平日19:30まで、土日祝18:30までが最終受付です。それ以外の相談は、午前は平日13:00まで、土日祝12:00まで、午後は平日18:00まで、土日祝17:00までとなります。
平日18:00以降は大変込み合いますので、予約無しでご来院の際は極力17:00までに受付のご協力をよろしくお願いいたします。
混雑状況により18:00以降はピル処方・中絶相談以外の予約無し診察受付を制限させて頂くことがございますのでご理解の程をよろしくお願いいたします。 </v>
      </c>
      <c r="C1219" s="31" t="str">
        <f>IFERROR(__xludf.DUMMYFUNCTION("""COMPUTED_VALUE"""),"受付時間")</f>
        <v>受付時間</v>
      </c>
      <c r="D1219" s="31" t="str">
        <f>IFERROR(__xludf.DUMMYFUNCTION("""COMPUTED_VALUE"""),"最終受付,受付時間")</f>
        <v>最終受付,受付時間</v>
      </c>
      <c r="E1219" s="32" t="str">
        <f>IFERROR(__xludf.DUMMYFUNCTION("""COMPUTED_VALUE"""),"https://luna-dr.com/kawasaki/")</f>
        <v>https://luna-dr.com/kawasaki/</v>
      </c>
    </row>
    <row r="1220">
      <c r="A1220" s="31" t="str">
        <f>IFERROR(__xludf.DUMMYFUNCTION("""COMPUTED_VALUE"""),"女性医師による診察は可能ですか？")</f>
        <v>女性医師による診察は可能ですか？</v>
      </c>
      <c r="B1220" s="31" t="str">
        <f>IFERROR(__xludf.DUMMYFUNCTION("""COMPUTED_VALUE"""),"ルナレディースクリニック川崎駅前院では、女性医師による診察が可能です。ご希望の場合は、お電話でのご予約をお願いしています。")</f>
        <v>ルナレディースクリニック川崎駅前院では、女性医師による診察が可能です。ご希望の場合は、お電話でのご予約をお願いしています。</v>
      </c>
      <c r="C1220" s="31" t="str">
        <f>IFERROR(__xludf.DUMMYFUNCTION("""COMPUTED_VALUE"""),"診察体制")</f>
        <v>診察体制</v>
      </c>
      <c r="D1220" s="31" t="str">
        <f>IFERROR(__xludf.DUMMYFUNCTION("""COMPUTED_VALUE"""),"女性医師,医師希望")</f>
        <v>女性医師,医師希望</v>
      </c>
      <c r="E1220" s="32" t="str">
        <f>IFERROR(__xludf.DUMMYFUNCTION("""COMPUTED_VALUE"""),"https://luna-dr.com/kawasaki/")</f>
        <v>https://luna-dr.com/kawasaki/</v>
      </c>
    </row>
    <row r="1221">
      <c r="A1221" s="31" t="str">
        <f>IFERROR(__xludf.DUMMYFUNCTION("""COMPUTED_VALUE"""),"初診でも受診できますか？")</f>
        <v>初診でも受診できますか？</v>
      </c>
      <c r="B1221" s="31" t="str">
        <f>IFERROR(__xludf.DUMMYFUNCTION("""COMPUTED_VALUE"""),"ルナレディースクリニック川崎駅前院では、初診の方も受診いただけます。マイナ保険証または資格確認書をご持参のうえ、受付時間内にご来院ください。
川崎駅前院のご予約はこちら（https://cline-app.com/qr-codes/98ad6f149bfa20f4f2a9a2e91aac4187/preview）")</f>
        <v>ルナレディースクリニック川崎駅前院では、初診の方も受診いただけます。マイナ保険証または資格確認書をご持参のうえ、受付時間内にご来院ください。
川崎駅前院のご予約はこちら（https://cline-app.com/qr-codes/98ad6f149bfa20f4f2a9a2e91aac4187/preview）</v>
      </c>
      <c r="C1221" s="31" t="str">
        <f>IFERROR(__xludf.DUMMYFUNCTION("""COMPUTED_VALUE"""),"初診")</f>
        <v>初診</v>
      </c>
      <c r="D1221" s="31" t="str">
        <f>IFERROR(__xludf.DUMMYFUNCTION("""COMPUTED_VALUE"""),"初診,持ち物")</f>
        <v>初診,持ち物</v>
      </c>
      <c r="E1221" s="32" t="str">
        <f>IFERROR(__xludf.DUMMYFUNCTION("""COMPUTED_VALUE"""),"https://luna-dr.com/kawasaki/")</f>
        <v>https://luna-dr.com/kawasaki/</v>
      </c>
    </row>
    <row r="1222">
      <c r="A1222" s="31" t="str">
        <f>IFERROR(__xludf.DUMMYFUNCTION("""COMPUTED_VALUE"""),"再診の場合は予約が必要ですか？")</f>
        <v>再診の場合は予約が必要ですか？</v>
      </c>
      <c r="B1222" s="31" t="str">
        <f>IFERROR(__xludf.DUMMYFUNCTION("""COMPUTED_VALUE"""),"ルナレディースクリニック川崎駅前院では、再診の方はスムーズなご案内のため、基本的にご予約をお願いしています。")</f>
        <v>ルナレディースクリニック川崎駅前院では、再診の方はスムーズなご案内のため、基本的にご予約をお願いしています。</v>
      </c>
      <c r="C1222" s="31" t="str">
        <f>IFERROR(__xludf.DUMMYFUNCTION("""COMPUTED_VALUE"""),"再診")</f>
        <v>再診</v>
      </c>
      <c r="D1222" s="31" t="str">
        <f>IFERROR(__xludf.DUMMYFUNCTION("""COMPUTED_VALUE"""),"再診,予約")</f>
        <v>再診,予約</v>
      </c>
      <c r="E1222" s="32" t="str">
        <f>IFERROR(__xludf.DUMMYFUNCTION("""COMPUTED_VALUE"""),"https://luna-dr.com/kawasaki/")</f>
        <v>https://luna-dr.com/kawasaki/</v>
      </c>
    </row>
    <row r="1223">
      <c r="A1223" s="31" t="str">
        <f>IFERROR(__xludf.DUMMYFUNCTION("""COMPUTED_VALUE"""),"男性の同伴は可能ですか？")</f>
        <v>男性の同伴は可能ですか？</v>
      </c>
      <c r="B1223" s="31" t="str">
        <f>IFERROR(__xludf.DUMMYFUNCTION("""COMPUTED_VALUE"""),"ルナレディースクリニック川崎駅前院では、男性同伴でのご来院はお控えいただいています。")</f>
        <v>ルナレディースクリニック川崎駅前院では、男性同伴でのご来院はお控えいただいています。</v>
      </c>
      <c r="C1223" s="31" t="str">
        <f>IFERROR(__xludf.DUMMYFUNCTION("""COMPUTED_VALUE"""),"来院ルール")</f>
        <v>来院ルール</v>
      </c>
      <c r="D1223" s="31" t="str">
        <f>IFERROR(__xludf.DUMMYFUNCTION("""COMPUTED_VALUE"""),"男性同伴,注意事項")</f>
        <v>男性同伴,注意事項</v>
      </c>
      <c r="E1223" s="32" t="str">
        <f>IFERROR(__xludf.DUMMYFUNCTION("""COMPUTED_VALUE"""),"https://luna-dr.com/kawasaki/")</f>
        <v>https://luna-dr.com/kawasaki/</v>
      </c>
    </row>
    <row r="1224">
      <c r="A1224" s="31" t="str">
        <f>IFERROR(__xludf.DUMMYFUNCTION("""COMPUTED_VALUE"""),"日本語での会話が難しい場合はどうすればよいですか？")</f>
        <v>日本語での会話が難しい場合はどうすればよいですか？</v>
      </c>
      <c r="B1224" s="31" t="str">
        <f>IFERROR(__xludf.DUMMYFUNCTION("""COMPUTED_VALUE"""),"ルナレディースクリニック川崎駅前院では、日本語での会話が難しい方は、女性通訳の方の同伴をお願いしています。")</f>
        <v>ルナレディースクリニック川崎駅前院では、日本語での会話が難しい方は、女性通訳の方の同伴をお願いしています。</v>
      </c>
      <c r="C1224" s="31" t="str">
        <f>IFERROR(__xludf.DUMMYFUNCTION("""COMPUTED_VALUE"""),"来院ルール")</f>
        <v>来院ルール</v>
      </c>
      <c r="D1224" s="31" t="str">
        <f>IFERROR(__xludf.DUMMYFUNCTION("""COMPUTED_VALUE"""),"通訳,日本語")</f>
        <v>通訳,日本語</v>
      </c>
      <c r="E1224" s="32" t="str">
        <f>IFERROR(__xludf.DUMMYFUNCTION("""COMPUTED_VALUE"""),"https://luna-dr.com/kawasaki/")</f>
        <v>https://luna-dr.com/kawasaki/</v>
      </c>
    </row>
    <row r="1225">
      <c r="A1225" s="31" t="str">
        <f>IFERROR(__xludf.DUMMYFUNCTION("""COMPUTED_VALUE"""),"川崎駅前院ではどんな診療を行っていますか？")</f>
        <v>川崎駅前院ではどんな診療を行っていますか？</v>
      </c>
      <c r="B1225" s="31" t="str">
        <f>IFERROR(__xludf.DUMMYFUNCTION("""COMPUTED_VALUE"""),"ルナレディースクリニック川崎駅前院では、ピルの処方、低用量ピル、アフターピル、月経移動、ブライダルチェック、生理不順、生理痛、おりもの異常、不正出血、妊娠検査、女性の健診、中絶、性感染症に対応しています。
※乳房に関する診療、更年期障害の治療、不妊治療は行っていません。")</f>
        <v>ルナレディースクリニック川崎駅前院では、ピルの処方、低用量ピル、アフターピル、月経移動、ブライダルチェック、生理不順、生理痛、おりもの異常、不正出血、妊娠検査、女性の健診、中絶、性感染症に対応しています。
※乳房に関する診療、更年期障害の治療、不妊治療は行っていません。</v>
      </c>
      <c r="C1225" s="31" t="str">
        <f>IFERROR(__xludf.DUMMYFUNCTION("""COMPUTED_VALUE"""),"診療内容")</f>
        <v>診療内容</v>
      </c>
      <c r="D1225" s="31" t="str">
        <f>IFERROR(__xludf.DUMMYFUNCTION("""COMPUTED_VALUE"""),"川崎,診療内容")</f>
        <v>川崎,診療内容</v>
      </c>
      <c r="E1225" s="32" t="str">
        <f>IFERROR(__xludf.DUMMYFUNCTION("""COMPUTED_VALUE"""),"https://luna-dr.com/kawasaki/")</f>
        <v>https://luna-dr.com/kawasaki/</v>
      </c>
    </row>
    <row r="1226">
      <c r="A1226" s="31" t="str">
        <f>IFERROR(__xludf.DUMMYFUNCTION("""COMPUTED_VALUE"""),"対応していない診療はありますか？")</f>
        <v>対応していない診療はありますか？</v>
      </c>
      <c r="B1226" s="31" t="str">
        <f>IFERROR(__xludf.DUMMYFUNCTION("""COMPUTED_VALUE"""),"ルナレディースクリニック川崎駅前院では、乳房に関する診療、更年期障害の治療、不妊治療は行っていません。")</f>
        <v>ルナレディースクリニック川崎駅前院では、乳房に関する診療、更年期障害の治療、不妊治療は行っていません。</v>
      </c>
      <c r="C1226" s="31" t="str">
        <f>IFERROR(__xludf.DUMMYFUNCTION("""COMPUTED_VALUE"""),"診療内容")</f>
        <v>診療内容</v>
      </c>
      <c r="D1226" s="31" t="str">
        <f>IFERROR(__xludf.DUMMYFUNCTION("""COMPUTED_VALUE"""),"対応外,診療範囲")</f>
        <v>対応外,診療範囲</v>
      </c>
      <c r="E1226" s="32" t="str">
        <f>IFERROR(__xludf.DUMMYFUNCTION("""COMPUTED_VALUE"""),"https://luna-dr.com/kawasaki/")</f>
        <v>https://luna-dr.com/kawasaki/</v>
      </c>
    </row>
    <row r="1227">
      <c r="A1227" s="31" t="str">
        <f>IFERROR(__xludf.DUMMYFUNCTION("""COMPUTED_VALUE"""),"川崎駅前院の住所を教えてください")</f>
        <v>川崎駅前院の住所を教えてください</v>
      </c>
      <c r="B1227" s="31" t="str">
        <f>IFERROR(__xludf.DUMMYFUNCTION("""COMPUTED_VALUE"""),"ルナレディースクリニック川崎駅前院の住所は、〒210-0007 神奈川県川崎市川崎区駅前本町3-1 NMF川崎東口ビルB1Fです。川崎駅から徒歩30秒の場所にあります。")</f>
        <v>ルナレディースクリニック川崎駅前院の住所は、〒210-0007 神奈川県川崎市川崎区駅前本町3-1 NMF川崎東口ビルB1Fです。川崎駅から徒歩30秒の場所にあります。</v>
      </c>
      <c r="C1227" s="31" t="str">
        <f>IFERROR(__xludf.DUMMYFUNCTION("""COMPUTED_VALUE"""),"アクセス")</f>
        <v>アクセス</v>
      </c>
      <c r="D1227" s="31" t="str">
        <f>IFERROR(__xludf.DUMMYFUNCTION("""COMPUTED_VALUE"""),"住所,川崎,アクセス")</f>
        <v>住所,川崎,アクセス</v>
      </c>
      <c r="E1227" s="32" t="str">
        <f>IFERROR(__xludf.DUMMYFUNCTION("""COMPUTED_VALUE"""),"https://luna-dr.com/kawasaki/")</f>
        <v>https://luna-dr.com/kawasaki/</v>
      </c>
    </row>
    <row r="1228">
      <c r="A1228" s="31" t="str">
        <f>IFERROR(__xludf.DUMMYFUNCTION("""COMPUTED_VALUE"""),"川崎駅前院の地図はどこで確認できますか？")</f>
        <v>川崎駅前院の地図はどこで確認できますか？</v>
      </c>
      <c r="B1228" s="31" t="str">
        <f>IFERROR(__xludf.DUMMYFUNCTION("""COMPUTED_VALUE"""),"ルナレディースクリニック川崎駅前院の場所は、Googleマップでご確認いただけます。川崎駅から徒歩30秒のNMF川崎東口ビルB1Fにあります。")</f>
        <v>ルナレディースクリニック川崎駅前院の場所は、Googleマップでご確認いただけます。川崎駅から徒歩30秒のNMF川崎東口ビルB1Fにあります。</v>
      </c>
      <c r="C1228" s="31" t="str">
        <f>IFERROR(__xludf.DUMMYFUNCTION("""COMPUTED_VALUE"""),"アクセス")</f>
        <v>アクセス</v>
      </c>
      <c r="D1228" s="31" t="str">
        <f>IFERROR(__xludf.DUMMYFUNCTION("""COMPUTED_VALUE"""),"地図,Googleマップ,川崎")</f>
        <v>地図,Googleマップ,川崎</v>
      </c>
      <c r="E1228" s="32" t="str">
        <f>IFERROR(__xludf.DUMMYFUNCTION("""COMPUTED_VALUE"""),"https://luna-dr.com/kawasaki/")</f>
        <v>https://luna-dr.com/kawasaki/</v>
      </c>
    </row>
    <row r="1229">
      <c r="A1229" s="31" t="str">
        <f>IFERROR(__xludf.DUMMYFUNCTION("""COMPUTED_VALUE"""),"川崎駅前院の電話番号を教えてください")</f>
        <v>川崎駅前院の電話番号を教えてください</v>
      </c>
      <c r="B1229" s="31" t="str">
        <f>IFERROR(__xludf.DUMMYFUNCTION("""COMPUTED_VALUE"""),"当院の電話番号は050-1730-2768 になります。（電話番号は全院共通です。）")</f>
        <v>当院の電話番号は050-1730-2768 になります。（電話番号は全院共通です。）</v>
      </c>
      <c r="C1229" s="31" t="str">
        <f>IFERROR(__xludf.DUMMYFUNCTION("""COMPUTED_VALUE"""),"お問い合わせ")</f>
        <v>お問い合わせ</v>
      </c>
      <c r="D1229" s="31" t="str">
        <f>IFERROR(__xludf.DUMMYFUNCTION("""COMPUTED_VALUE"""),"電話番号,問い合わせ,川崎")</f>
        <v>電話番号,問い合わせ,川崎</v>
      </c>
      <c r="E1229" s="32" t="str">
        <f>IFERROR(__xludf.DUMMYFUNCTION("""COMPUTED_VALUE"""),"https://luna-dr.com/kawasaki/")</f>
        <v>https://luna-dr.com/kawasaki/</v>
      </c>
    </row>
    <row r="1230">
      <c r="A1230" s="31" t="str">
        <f>IFERROR(__xludf.DUMMYFUNCTION("""COMPUTED_VALUE"""),"川崎駅から川崎駅前院までの行き方を教えてください/川崎駅からの行き方を教えて下さい/川崎駅からクリニックまでの道順を教えてください")</f>
        <v>川崎駅から川崎駅前院までの行き方を教えてください/川崎駅からの行き方を教えて下さい/川崎駅からクリニックまでの道順を教えてください</v>
      </c>
      <c r="B1230" s="31" t="str">
        <f>IFERROR(__xludf.DUMMYFUNCTION("""COMPUTED_VALUE"""),"川崎駅東口改札を出て、直進します。エスカレーター、階段を降り、直進します。26番出口を出て、直進し、突き当りのビルがNMF川崎東口ビルで、当院は地下1階ございます。
動画でもクリニックへの行き方をご案内しております→youtube.com/watch?time_continue=8&amp;v=Tj4U66c9Y2Q&amp;embeds_referring_euri=https%3A%2F%2Fluna-dr.com%2F&amp;source_ve_path=MTM5MTE3LDEzOTExNywyODY2Ng")</f>
        <v>川崎駅東口改札を出て、直進します。エスカレーター、階段を降り、直進します。26番出口を出て、直進し、突き当りのビルがNMF川崎東口ビルで、当院は地下1階ございます。
動画でもクリニックへの行き方をご案内しております→youtube.com/watch?time_continue=8&amp;v=Tj4U66c9Y2Q&amp;embeds_referring_euri=https%3A%2F%2Fluna-dr.com%2F&amp;source_ve_path=MTM5MTE3LDEzOTExNywyODY2Ng</v>
      </c>
      <c r="C1230" s="31" t="str">
        <f>IFERROR(__xludf.DUMMYFUNCTION("""COMPUTED_VALUE"""),"アクセス")</f>
        <v>アクセス</v>
      </c>
      <c r="D1230" s="31" t="str">
        <f>IFERROR(__xludf.DUMMYFUNCTION("""COMPUTED_VALUE"""),"川崎駅前院,道案内,川崎駅,徒歩")</f>
        <v>川崎駅前院,道案内,川崎駅,徒歩</v>
      </c>
      <c r="E1230" s="32" t="str">
        <f>IFERROR(__xludf.DUMMYFUNCTION("""COMPUTED_VALUE"""),"https://luna-dr.com/kawasaki/access/")</f>
        <v>https://luna-dr.com/kawasaki/access/</v>
      </c>
    </row>
    <row r="1231">
      <c r="A1231" s="31" t="str">
        <f>IFERROR(__xludf.DUMMYFUNCTION("""COMPUTED_VALUE"""),"診療日は何曜日ですか？")</f>
        <v>診療日は何曜日ですか？</v>
      </c>
      <c r="B1231" s="31" t="str">
        <f>IFERROR(__xludf.DUMMYFUNCTION("""COMPUTED_VALUE"""),"当院は月曜日・火曜日・水曜日・木曜日・金曜日・土曜日・日曜日に診療を行っています。平日は午前診療が10:00〜14:00、午後診療が15:30〜20:00です。土日祝は午前診療が10:00〜14:00、午後診療が15:30〜19:00です。")</f>
        <v>当院は月曜日・火曜日・水曜日・木曜日・金曜日・土曜日・日曜日に診療を行っています。平日は午前診療が10:00〜14:00、午後診療が15:30〜20:00です。土日祝は午前診療が10:00〜14:00、午後診療が15:30〜19:00です。</v>
      </c>
      <c r="C1231" s="31" t="str">
        <f>IFERROR(__xludf.DUMMYFUNCTION("""COMPUTED_VALUE"""),"診療時間")</f>
        <v>診療時間</v>
      </c>
      <c r="D1231" s="31" t="str">
        <f>IFERROR(__xludf.DUMMYFUNCTION("""COMPUTED_VALUE"""),"診療日,曜日,休診日")</f>
        <v>診療日,曜日,休診日</v>
      </c>
      <c r="E1231" s="32" t="str">
        <f>IFERROR(__xludf.DUMMYFUNCTION("""COMPUTED_VALUE"""),"https://luna-dr.com/kawasaki/consultation-hours/")</f>
        <v>https://luna-dr.com/kawasaki/consultation-hours/</v>
      </c>
    </row>
    <row r="1232">
      <c r="A1232" s="31" t="str">
        <f>IFERROR(__xludf.DUMMYFUNCTION("""COMPUTED_VALUE"""),"休診日はいつですか？")</f>
        <v>休診日はいつですか？</v>
      </c>
      <c r="B1232" s="31" t="str">
        <f>IFERROR(__xludf.DUMMYFUNCTION("""COMPUTED_VALUE"""),"当院は、土日祝日も含め、毎日診療を行っています。平日は午前診療が10:00〜14:00、午後診療が15:30〜20:00です。土日祝は午前診療が10:00〜14:00、午後診療が15:30〜19:00です。月曜から日曜まで毎日診療を行っています。")</f>
        <v>当院は、土日祝日も含め、毎日診療を行っています。平日は午前診療が10:00〜14:00、午後診療が15:30〜20:00です。土日祝は午前診療が10:00〜14:00、午後診療が15:30〜19:00です。月曜から日曜まで毎日診療を行っています。</v>
      </c>
      <c r="C1232" s="31" t="str">
        <f>IFERROR(__xludf.DUMMYFUNCTION("""COMPUTED_VALUE"""),"診療時間")</f>
        <v>診療時間</v>
      </c>
      <c r="D1232" s="31" t="str">
        <f>IFERROR(__xludf.DUMMYFUNCTION("""COMPUTED_VALUE"""),"休診日,定休日")</f>
        <v>休診日,定休日</v>
      </c>
      <c r="E1232" s="32" t="str">
        <f>IFERROR(__xludf.DUMMYFUNCTION("""COMPUTED_VALUE"""),"https://luna-dr.com/kawasaki/consultation-hours/")</f>
        <v>https://luna-dr.com/kawasaki/consultation-hours/</v>
      </c>
    </row>
    <row r="1233">
      <c r="A1233" s="31" t="str">
        <f>IFERROR(__xludf.DUMMYFUNCTION("""COMPUTED_VALUE"""),"祝日は診療していますか？")</f>
        <v>祝日は診療していますか？</v>
      </c>
      <c r="B1233" s="31" t="str">
        <f>IFERROR(__xludf.DUMMYFUNCTION("""COMPUTED_VALUE"""),"祝日も診療を行っています。祝日は午前診療が10:00〜14:00、午後診療が15:30〜19:00です。")</f>
        <v>祝日も診療を行っています。祝日は午前診療が10:00〜14:00、午後診療が15:30〜19:00です。</v>
      </c>
      <c r="C1233" s="31" t="str">
        <f>IFERROR(__xludf.DUMMYFUNCTION("""COMPUTED_VALUE"""),"診療時間")</f>
        <v>診療時間</v>
      </c>
      <c r="D1233" s="31" t="str">
        <f>IFERROR(__xludf.DUMMYFUNCTION("""COMPUTED_VALUE"""),"祝日,祝日診療,休日")</f>
        <v>祝日,祝日診療,休日</v>
      </c>
      <c r="E1233" s="32" t="str">
        <f>IFERROR(__xludf.DUMMYFUNCTION("""COMPUTED_VALUE"""),"https://luna-dr.com/kawasaki/consultation-hours/")</f>
        <v>https://luna-dr.com/kawasaki/consultation-hours/</v>
      </c>
    </row>
    <row r="1234">
      <c r="A1234" s="31" t="str">
        <f>IFERROR(__xludf.DUMMYFUNCTION("""COMPUTED_VALUE"""),"統括院長の名前を教えてください。")</f>
        <v>統括院長の名前を教えてください。</v>
      </c>
      <c r="B1234" s="31" t="str">
        <f>IFERROR(__xludf.DUMMYFUNCTION("""COMPUTED_VALUE"""),"ルナレディースクリニックの統括院長は川原 正行 院長です。")</f>
        <v>ルナレディースクリニックの統括院長は川原 正行 院長です。</v>
      </c>
      <c r="C1234" s="31" t="str">
        <f>IFERROR(__xludf.DUMMYFUNCTION("""COMPUTED_VALUE"""),"ドクター紹介")</f>
        <v>ドクター紹介</v>
      </c>
      <c r="D1234" s="31" t="str">
        <f>IFERROR(__xludf.DUMMYFUNCTION("""COMPUTED_VALUE"""),"院長,医師名,ドクター")</f>
        <v>院長,医師名,ドクター</v>
      </c>
      <c r="E1234" s="32" t="str">
        <f>IFERROR(__xludf.DUMMYFUNCTION("""COMPUTED_VALUE"""),"https://luna-dr.com/machida/doctors/")</f>
        <v>https://luna-dr.com/machida/doctors/</v>
      </c>
    </row>
    <row r="1235">
      <c r="A1235" s="31" t="str">
        <f>IFERROR(__xludf.DUMMYFUNCTION("""COMPUTED_VALUE"""),"院長の資格を教えてください。")</f>
        <v>院長の資格を教えてください。</v>
      </c>
      <c r="B1235" s="31" t="str">
        <f>IFERROR(__xludf.DUMMYFUNCTION("""COMPUTED_VALUE"""),"川原正行院長は、日本産婦人科学会専門医および母体保護法指定医の資格を有しています。")</f>
        <v>川原正行院長は、日本産婦人科学会専門医および母体保護法指定医の資格を有しています。</v>
      </c>
      <c r="C1235" s="31" t="str">
        <f>IFERROR(__xludf.DUMMYFUNCTION("""COMPUTED_VALUE"""),"ドクター紹介")</f>
        <v>ドクター紹介</v>
      </c>
      <c r="D1235" s="31" t="str">
        <f>IFERROR(__xludf.DUMMYFUNCTION("""COMPUTED_VALUE"""),"資格,専門医,母体保護法指定医")</f>
        <v>資格,専門医,母体保護法指定医</v>
      </c>
      <c r="E1235" s="32" t="str">
        <f>IFERROR(__xludf.DUMMYFUNCTION("""COMPUTED_VALUE"""),"https://luna-dr.com/kawasaki/doctors/")</f>
        <v>https://luna-dr.com/kawasaki/doctors/</v>
      </c>
    </row>
    <row r="1236">
      <c r="A1236" s="31" t="str">
        <f>IFERROR(__xludf.DUMMYFUNCTION("""COMPUTED_VALUE"""),"院長はどのような学会に所属していますか？")</f>
        <v>院長はどのような学会に所属していますか？</v>
      </c>
      <c r="B1236" s="31" t="str">
        <f>IFERROR(__xludf.DUMMYFUNCTION("""COMPUTED_VALUE"""),"川原正行院長は、日本産科婦人科学会、日本産婦人科医会、日本医師会に所属しています。")</f>
        <v>川原正行院長は、日本産科婦人科学会、日本産婦人科医会、日本医師会に所属しています。</v>
      </c>
      <c r="C1236" s="31" t="str">
        <f>IFERROR(__xludf.DUMMYFUNCTION("""COMPUTED_VALUE"""),"ドクター紹介")</f>
        <v>ドクター紹介</v>
      </c>
      <c r="D1236" s="31" t="str">
        <f>IFERROR(__xludf.DUMMYFUNCTION("""COMPUTED_VALUE"""),"学会,所属学会,産婦人科")</f>
        <v>学会,所属学会,産婦人科</v>
      </c>
      <c r="E1236" s="32" t="str">
        <f>IFERROR(__xludf.DUMMYFUNCTION("""COMPUTED_VALUE"""),"https://luna-dr.com/kawasaki/doctors/")</f>
        <v>https://luna-dr.com/kawasaki/doctors/</v>
      </c>
    </row>
    <row r="1237">
      <c r="A1237" s="31" t="str">
        <f>IFERROR(__xludf.DUMMYFUNCTION("""COMPUTED_VALUE"""),"院長の経歴を教えてください。")</f>
        <v>院長の経歴を教えてください。</v>
      </c>
      <c r="B1237" s="31" t="str">
        <f>IFERROR(__xludf.DUMMYFUNCTION("""COMPUTED_VALUE"""),"川原正行院長は1998年に岡山大学医学部を卒業後、大学病院・国立病院・総合病院で産婦人科診療を経験し、北京International SOS Clinicでの家庭医経験を経て、複数のレディースクリニックで診療に携わってきました。2021年には川崎駅前レディースクリニックを開業しています。日本産婦人科学会専門医および母体保護法指定医として、長年にわたり産婦人科診療に携わってきた医師です。")</f>
        <v>川原正行院長は1998年に岡山大学医学部を卒業後、大学病院・国立病院・総合病院で産婦人科診療を経験し、北京International SOS Clinicでの家庭医経験を経て、複数のレディースクリニックで診療に携わってきました。2021年には川崎駅前レディースクリニックを開業しています。日本産婦人科学会専門医および母体保護法指定医として、長年にわたり産婦人科診療に携わってきた医師です。</v>
      </c>
      <c r="C1237" s="31" t="str">
        <f>IFERROR(__xludf.DUMMYFUNCTION("""COMPUTED_VALUE"""),"ドクター紹介")</f>
        <v>ドクター紹介</v>
      </c>
      <c r="D1237" s="31" t="str">
        <f>IFERROR(__xludf.DUMMYFUNCTION("""COMPUTED_VALUE"""),"経歴,医師経歴,院長経歴")</f>
        <v>経歴,医師経歴,院長経歴</v>
      </c>
      <c r="E1237" s="32" t="str">
        <f>IFERROR(__xludf.DUMMYFUNCTION("""COMPUTED_VALUE"""),"https://luna-dr.com/kawasaki/doctors/")</f>
        <v>https://luna-dr.com/kawasaki/doctors/</v>
      </c>
    </row>
    <row r="1238">
      <c r="A1238" s="31" t="str">
        <f>IFERROR(__xludf.DUMMYFUNCTION("""COMPUTED_VALUE"""),"院長のインタビュー記事はありますか？")</f>
        <v>院長のインタビュー記事はありますか？</v>
      </c>
      <c r="B1238" s="31" t="str">
        <f>IFERROR(__xludf.DUMMYFUNCTION("""COMPUTED_VALUE"""),"川原正行院長のインタビューは「川崎ドクターズ（https://kanagawa-doctors.com/clinicList/66831/interview）」「ドクターズファイル（https://kanagawa-doctors.com/clinicList/66831/interview）」に掲載されています。院長の診療に対する考え方や想いをご覧いただけます。")</f>
        <v>川原正行院長のインタビューは「川崎ドクターズ（https://kanagawa-doctors.com/clinicList/66831/interview）」「ドクターズファイル（https://kanagawa-doctors.com/clinicList/66831/interview）」に掲載されています。院長の診療に対する考え方や想いをご覧いただけます。</v>
      </c>
      <c r="C1238" s="31" t="str">
        <f>IFERROR(__xludf.DUMMYFUNCTION("""COMPUTED_VALUE"""),"ドクター紹介")</f>
        <v>ドクター紹介</v>
      </c>
      <c r="D1238" s="31" t="str">
        <f>IFERROR(__xludf.DUMMYFUNCTION("""COMPUTED_VALUE"""),"インタビュー,医師紹介")</f>
        <v>インタビュー,医師紹介</v>
      </c>
      <c r="E1238" s="32" t="str">
        <f>IFERROR(__xludf.DUMMYFUNCTION("""COMPUTED_VALUE"""),"https://luna-dr.com/kawasaki/doctors/")</f>
        <v>https://luna-dr.com/kawasaki/doctors/</v>
      </c>
    </row>
    <row r="1239">
      <c r="A1239" s="31" t="str">
        <f>IFERROR(__xludf.DUMMYFUNCTION("""COMPUTED_VALUE"""),"低用量ピルの料金はいくらですか？")</f>
        <v>低用量ピルの料金はいくらですか？</v>
      </c>
      <c r="B1239" s="31" t="str">
        <f>IFERROR(__xludf.DUMMYFUNCTION("""COMPUTED_VALUE"""),"低用量ピルは自費診療となり、1シート3,000円（税込）です。")</f>
        <v>低用量ピルは自費診療となり、1シート3,000円（税込）です。</v>
      </c>
      <c r="C1239" s="31" t="str">
        <f>IFERROR(__xludf.DUMMYFUNCTION("""COMPUTED_VALUE"""),"料金・ピル")</f>
        <v>料金・ピル</v>
      </c>
      <c r="D1239" s="31" t="str">
        <f>IFERROR(__xludf.DUMMYFUNCTION("""COMPUTED_VALUE"""),"低用量ピル,料金,自費,")</f>
        <v>低用量ピル,料金,自費,</v>
      </c>
      <c r="E1239" s="32" t="str">
        <f>IFERROR(__xludf.DUMMYFUNCTION("""COMPUTED_VALUE"""),"https://luna-dr.com/kawasaki/price/")</f>
        <v>https://luna-dr.com/kawasaki/price/</v>
      </c>
    </row>
    <row r="1240">
      <c r="A1240" s="31" t="str">
        <f>IFERROR(__xludf.DUMMYFUNCTION("""COMPUTED_VALUE"""),"低用量ピルは保険診療ですか？")</f>
        <v>低用量ピルは保険診療ですか？</v>
      </c>
      <c r="B1240" s="31" t="str">
        <f>IFERROR(__xludf.DUMMYFUNCTION("""COMPUTED_VALUE"""),"低用量ピルは避妊目的の場合、保険適用外の自費診療となります。")</f>
        <v>低用量ピルは避妊目的の場合、保険適用外の自費診療となります。</v>
      </c>
      <c r="C1240" s="31" t="str">
        <f>IFERROR(__xludf.DUMMYFUNCTION("""COMPUTED_VALUE"""),"保険適用・ピル")</f>
        <v>保険適用・ピル</v>
      </c>
      <c r="D1240" s="31" t="str">
        <f>IFERROR(__xludf.DUMMYFUNCTION("""COMPUTED_VALUE"""),"低用量ピル,保険,自費,")</f>
        <v>低用量ピル,保険,自費,</v>
      </c>
      <c r="E1240" s="32" t="str">
        <f>IFERROR(__xludf.DUMMYFUNCTION("""COMPUTED_VALUE"""),"https://luna-dr.com/kawasaki/price/")</f>
        <v>https://luna-dr.com/kawasaki/price/</v>
      </c>
    </row>
    <row r="1241">
      <c r="A1241" s="31" t="str">
        <f>IFERROR(__xludf.DUMMYFUNCTION("""COMPUTED_VALUE"""),"アフターピルの料金はいくらですか？")</f>
        <v>アフターピルの料金はいくらですか？</v>
      </c>
      <c r="B1241" s="31" t="str">
        <f>IFERROR(__xludf.DUMMYFUNCTION("""COMPUTED_VALUE"""),"アフターピルは自費診療となり、15,000円（税込）です。")</f>
        <v>アフターピルは自費診療となり、15,000円（税込）です。</v>
      </c>
      <c r="C1241" s="31" t="str">
        <f>IFERROR(__xludf.DUMMYFUNCTION("""COMPUTED_VALUE"""),"料金・アフターピル")</f>
        <v>料金・アフターピル</v>
      </c>
      <c r="D1241" s="31" t="str">
        <f>IFERROR(__xludf.DUMMYFUNCTION("""COMPUTED_VALUE"""),"アフターピル,料金,")</f>
        <v>アフターピル,料金,</v>
      </c>
      <c r="E1241" s="32" t="str">
        <f>IFERROR(__xludf.DUMMYFUNCTION("""COMPUTED_VALUE"""),"https://luna-dr.com/kawasaki/price/")</f>
        <v>https://luna-dr.com/kawasaki/price/</v>
      </c>
    </row>
    <row r="1242">
      <c r="A1242" s="31" t="str">
        <f>IFERROR(__xludf.DUMMYFUNCTION("""COMPUTED_VALUE"""),"アフターピルは保険診療ですか？")</f>
        <v>アフターピルは保険診療ですか？</v>
      </c>
      <c r="B1242" s="31" t="str">
        <f>IFERROR(__xludf.DUMMYFUNCTION("""COMPUTED_VALUE"""),"アフターピルは健康保険適用外の自費診療です。")</f>
        <v>アフターピルは健康保険適用外の自費診療です。</v>
      </c>
      <c r="C1242" s="31" t="str">
        <f>IFERROR(__xludf.DUMMYFUNCTION("""COMPUTED_VALUE"""),"保険適用・アフターピル")</f>
        <v>保険適用・アフターピル</v>
      </c>
      <c r="D1242" s="31" t="str">
        <f>IFERROR(__xludf.DUMMYFUNCTION("""COMPUTED_VALUE"""),"アフターピル,保険,")</f>
        <v>アフターピル,保険,</v>
      </c>
      <c r="E1242" s="32" t="str">
        <f>IFERROR(__xludf.DUMMYFUNCTION("""COMPUTED_VALUE"""),"https://luna-dr.com/kawasaki/price/")</f>
        <v>https://luna-dr.com/kawasaki/price/</v>
      </c>
    </row>
    <row r="1243">
      <c r="A1243" s="31" t="str">
        <f>IFERROR(__xludf.DUMMYFUNCTION("""COMPUTED_VALUE"""),"月経移動の費用はいくらですか？")</f>
        <v>月経移動の費用はいくらですか？</v>
      </c>
      <c r="B1243" s="31" t="str">
        <f>IFERROR(__xludf.DUMMYFUNCTION("""COMPUTED_VALUE"""),"月経移動は自費診療となり、5,000円（税込）です。")</f>
        <v>月経移動は自費診療となり、5,000円（税込）です。</v>
      </c>
      <c r="C1243" s="31" t="str">
        <f>IFERROR(__xludf.DUMMYFUNCTION("""COMPUTED_VALUE"""),"料金・月経移動")</f>
        <v>料金・月経移動</v>
      </c>
      <c r="D1243" s="31" t="str">
        <f>IFERROR(__xludf.DUMMYFUNCTION("""COMPUTED_VALUE"""),"月経移動,料金,")</f>
        <v>月経移動,料金,</v>
      </c>
      <c r="E1243" s="32" t="str">
        <f>IFERROR(__xludf.DUMMYFUNCTION("""COMPUTED_VALUE"""),"https://luna-dr.com/kawasaki/price/")</f>
        <v>https://luna-dr.com/kawasaki/price/</v>
      </c>
    </row>
    <row r="1244">
      <c r="A1244" s="31" t="str">
        <f>IFERROR(__xludf.DUMMYFUNCTION("""COMPUTED_VALUE"""),"月経移動は保険診療ですか？")</f>
        <v>月経移動は保険診療ですか？</v>
      </c>
      <c r="B1244" s="31" t="str">
        <f>IFERROR(__xludf.DUMMYFUNCTION("""COMPUTED_VALUE"""),"月経移動は健康保険適用外の自費診療です。")</f>
        <v>月経移動は健康保険適用外の自費診療です。</v>
      </c>
      <c r="C1244" s="31" t="str">
        <f>IFERROR(__xludf.DUMMYFUNCTION("""COMPUTED_VALUE"""),"保険適用・月経移動")</f>
        <v>保険適用・月経移動</v>
      </c>
      <c r="D1244" s="31" t="str">
        <f>IFERROR(__xludf.DUMMYFUNCTION("""COMPUTED_VALUE"""),"月経移動,保険,")</f>
        <v>月経移動,保険,</v>
      </c>
      <c r="E1244" s="32" t="str">
        <f>IFERROR(__xludf.DUMMYFUNCTION("""COMPUTED_VALUE"""),"https://luna-dr.com/kawasaki/price/")</f>
        <v>https://luna-dr.com/kawasaki/price/</v>
      </c>
    </row>
    <row r="1245">
      <c r="A1245" s="31" t="str">
        <f>IFERROR(__xludf.DUMMYFUNCTION("""COMPUTED_VALUE"""),"避妊リングの費用はいくらですか？/ミレーナの費用はいくらですか？")</f>
        <v>避妊リングの費用はいくらですか？/ミレーナの費用はいくらですか？</v>
      </c>
      <c r="B1245" s="31" t="str">
        <f>IFERROR(__xludf.DUMMYFUNCTION("""COMPUTED_VALUE"""),"避妊リング（ミレーナ）は自費診療となり、75,500円（税込）です。")</f>
        <v>避妊リング（ミレーナ）は自費診療となり、75,500円（税込）です。</v>
      </c>
      <c r="C1245" s="31" t="str">
        <f>IFERROR(__xludf.DUMMYFUNCTION("""COMPUTED_VALUE"""),"料金・ミレーナ")</f>
        <v>料金・ミレーナ</v>
      </c>
      <c r="D1245" s="31" t="str">
        <f>IFERROR(__xludf.DUMMYFUNCTION("""COMPUTED_VALUE"""),"ミレーナ,避妊リング,料金,")</f>
        <v>ミレーナ,避妊リング,料金,</v>
      </c>
      <c r="E1245" s="32" t="str">
        <f>IFERROR(__xludf.DUMMYFUNCTION("""COMPUTED_VALUE"""),"https://luna-dr.com/kawasaki/price/")</f>
        <v>https://luna-dr.com/kawasaki/price/</v>
      </c>
    </row>
    <row r="1246">
      <c r="A1246" s="31" t="str">
        <f>IFERROR(__xludf.DUMMYFUNCTION("""COMPUTED_VALUE"""),"避妊リングは保険診療ですか？/ミレーナは保険診療ですか？")</f>
        <v>避妊リングは保険診療ですか？/ミレーナは保険診療ですか？</v>
      </c>
      <c r="B1246" s="31" t="str">
        <f>IFERROR(__xludf.DUMMYFUNCTION("""COMPUTED_VALUE"""),"避妊リング（ミレーナ）は健康保険適用外の自費診療です。")</f>
        <v>避妊リング（ミレーナ）は健康保険適用外の自費診療です。</v>
      </c>
      <c r="C1246" s="31" t="str">
        <f>IFERROR(__xludf.DUMMYFUNCTION("""COMPUTED_VALUE"""),"保険適用・ミレーナ")</f>
        <v>保険適用・ミレーナ</v>
      </c>
      <c r="D1246" s="31" t="str">
        <f>IFERROR(__xludf.DUMMYFUNCTION("""COMPUTED_VALUE"""),"ミレーナ,保険,")</f>
        <v>ミレーナ,保険,</v>
      </c>
      <c r="E1246" s="32" t="str">
        <f>IFERROR(__xludf.DUMMYFUNCTION("""COMPUTED_VALUE"""),"https://luna-dr.com/kawasaki/price/")</f>
        <v>https://luna-dr.com/kawasaki/price/</v>
      </c>
    </row>
    <row r="1247">
      <c r="A1247" s="31" t="str">
        <f>IFERROR(__xludf.DUMMYFUNCTION("""COMPUTED_VALUE"""),"人工妊娠中絶手術の費用はいくらですか？")</f>
        <v>人工妊娠中絶手術の費用はいくらですか？</v>
      </c>
      <c r="B1247" s="31" t="str">
        <f>IFERROR(__xludf.DUMMYFUNCTION("""COMPUTED_VALUE"""),"人工妊娠中絶手術は自費診療で、92,400円（税込）〜となります。別途、事前検査費用が発生します")</f>
        <v>人工妊娠中絶手術は自費診療で、92,400円（税込）〜となります。別途、事前検査費用が発生します</v>
      </c>
      <c r="C1247" s="31" t="str">
        <f>IFERROR(__xludf.DUMMYFUNCTION("""COMPUTED_VALUE"""),"料金・中絶")</f>
        <v>料金・中絶</v>
      </c>
      <c r="D1247" s="31" t="str">
        <f>IFERROR(__xludf.DUMMYFUNCTION("""COMPUTED_VALUE"""),"中絶,費用,自費,")</f>
        <v>中絶,費用,自費,</v>
      </c>
      <c r="E1247" s="32" t="str">
        <f>IFERROR(__xludf.DUMMYFUNCTION("""COMPUTED_VALUE"""),"https://luna-dr.com/kawasaki/price/")</f>
        <v>https://luna-dr.com/kawasaki/price/</v>
      </c>
    </row>
    <row r="1248">
      <c r="A1248" s="31" t="str">
        <f>IFERROR(__xludf.DUMMYFUNCTION("""COMPUTED_VALUE"""),"人工妊娠中絶手術は保険診療ですか？/中絶は保険診療ですか？")</f>
        <v>人工妊娠中絶手術は保険診療ですか？/中絶は保険診療ですか？</v>
      </c>
      <c r="B1248" s="31" t="str">
        <f>IFERROR(__xludf.DUMMYFUNCTION("""COMPUTED_VALUE"""),"人工妊娠中絶手術は健康保険適用外の自費診療です。")</f>
        <v>人工妊娠中絶手術は健康保険適用外の自費診療です。</v>
      </c>
      <c r="C1248" s="31" t="str">
        <f>IFERROR(__xludf.DUMMYFUNCTION("""COMPUTED_VALUE"""),"保険適用・人工妊娠中絶手術")</f>
        <v>保険適用・人工妊娠中絶手術</v>
      </c>
      <c r="D1248" s="31" t="str">
        <f>IFERROR(__xludf.DUMMYFUNCTION("""COMPUTED_VALUE"""),"人工妊娠中絶手術,保険,")</f>
        <v>人工妊娠中絶手術,保険,</v>
      </c>
      <c r="E1248" s="32" t="str">
        <f>IFERROR(__xludf.DUMMYFUNCTION("""COMPUTED_VALUE"""),"https://luna-dr.com/kawasaki/price/")</f>
        <v>https://luna-dr.com/kawasaki/price/</v>
      </c>
    </row>
    <row r="1249">
      <c r="A1249" s="31" t="str">
        <f>IFERROR(__xludf.DUMMYFUNCTION("""COMPUTED_VALUE"""),"人工妊娠中絶の事前検査費用はいくらですか？")</f>
        <v>人工妊娠中絶の事前検査費用はいくらですか？</v>
      </c>
      <c r="B1249" s="31" t="str">
        <f>IFERROR(__xludf.DUMMYFUNCTION("""COMPUTED_VALUE"""),"人工妊娠中絶の事前検査は16,500円（税込）です。")</f>
        <v>人工妊娠中絶の事前検査は16,500円（税込）です。</v>
      </c>
      <c r="C1249" s="31" t="str">
        <f>IFERROR(__xludf.DUMMYFUNCTION("""COMPUTED_VALUE"""),"料金・中絶検査")</f>
        <v>料金・中絶検査</v>
      </c>
      <c r="D1249" s="31" t="str">
        <f>IFERROR(__xludf.DUMMYFUNCTION("""COMPUTED_VALUE"""),"中絶,事前検査,")</f>
        <v>中絶,事前検査,</v>
      </c>
      <c r="E1249" s="32" t="str">
        <f>IFERROR(__xludf.DUMMYFUNCTION("""COMPUTED_VALUE"""),"https://luna-dr.com/kawasaki/price/")</f>
        <v>https://luna-dr.com/kawasaki/price/</v>
      </c>
    </row>
    <row r="1250">
      <c r="A1250" s="31" t="str">
        <f>IFERROR(__xludf.DUMMYFUNCTION("""COMPUTED_VALUE"""),"クラミジア検査の費用はいくらですか？")</f>
        <v>クラミジア検査の費用はいくらですか？</v>
      </c>
      <c r="B1250" s="31" t="str">
        <f>IFERROR(__xludf.DUMMYFUNCTION("""COMPUTED_VALUE"""),"クラミジア検査は自費診療となり、5,000円（税込）です。")</f>
        <v>クラミジア検査は自費診療となり、5,000円（税込）です。</v>
      </c>
      <c r="C1250" s="31" t="str">
        <f>IFERROR(__xludf.DUMMYFUNCTION("""COMPUTED_VALUE"""),"料金・性病検査")</f>
        <v>料金・性病検査</v>
      </c>
      <c r="D1250" s="31" t="str">
        <f>IFERROR(__xludf.DUMMYFUNCTION("""COMPUTED_VALUE"""),"クラミジア,検査,料金,")</f>
        <v>クラミジア,検査,料金,</v>
      </c>
      <c r="E1250" s="32" t="str">
        <f>IFERROR(__xludf.DUMMYFUNCTION("""COMPUTED_VALUE"""),"https://luna-dr.com/kawasaki/price/")</f>
        <v>https://luna-dr.com/kawasaki/price/</v>
      </c>
    </row>
    <row r="1251">
      <c r="A1251" s="31" t="str">
        <f>IFERROR(__xludf.DUMMYFUNCTION("""COMPUTED_VALUE"""),"クラミジア検査は保険診療ですか？")</f>
        <v>クラミジア検査は保険診療ですか？</v>
      </c>
      <c r="B1251" s="31" t="str">
        <f>IFERROR(__xludf.DUMMYFUNCTION("""COMPUTED_VALUE"""),"クラミジア検査は自費診療となり、健康保険は適用されません。")</f>
        <v>クラミジア検査は自費診療となり、健康保険は適用されません。</v>
      </c>
      <c r="C1251" s="31" t="str">
        <f>IFERROR(__xludf.DUMMYFUNCTION("""COMPUTED_VALUE"""),"保険適用・性病検査")</f>
        <v>保険適用・性病検査</v>
      </c>
      <c r="D1251" s="31" t="str">
        <f>IFERROR(__xludf.DUMMYFUNCTION("""COMPUTED_VALUE"""),"クラミジア,保険,自費,")</f>
        <v>クラミジア,保険,自費,</v>
      </c>
      <c r="E1251" s="32" t="str">
        <f>IFERROR(__xludf.DUMMYFUNCTION("""COMPUTED_VALUE"""),"https://luna-dr.com/kawasaki/price/")</f>
        <v>https://luna-dr.com/kawasaki/price/</v>
      </c>
    </row>
    <row r="1252">
      <c r="A1252" s="31" t="str">
        <f>IFERROR(__xludf.DUMMYFUNCTION("""COMPUTED_VALUE"""),"淋病検査の費用はいくらですか？")</f>
        <v>淋病検査の費用はいくらですか？</v>
      </c>
      <c r="B1252" s="31" t="str">
        <f>IFERROR(__xludf.DUMMYFUNCTION("""COMPUTED_VALUE"""),"淋病検査は自費診療となり、5,000円（税込）です。")</f>
        <v>淋病検査は自費診療となり、5,000円（税込）です。</v>
      </c>
      <c r="C1252" s="31" t="str">
        <f>IFERROR(__xludf.DUMMYFUNCTION("""COMPUTED_VALUE"""),"料金・性病検査")</f>
        <v>料金・性病検査</v>
      </c>
      <c r="D1252" s="31" t="str">
        <f>IFERROR(__xludf.DUMMYFUNCTION("""COMPUTED_VALUE"""),"淋病,検査,料金,")</f>
        <v>淋病,検査,料金,</v>
      </c>
      <c r="E1252" s="32" t="str">
        <f>IFERROR(__xludf.DUMMYFUNCTION("""COMPUTED_VALUE"""),"https://luna-dr.com/kawasaki/price/")</f>
        <v>https://luna-dr.com/kawasaki/price/</v>
      </c>
    </row>
    <row r="1253">
      <c r="A1253" s="31" t="str">
        <f>IFERROR(__xludf.DUMMYFUNCTION("""COMPUTED_VALUE"""),"淋病検査は保険診療ですか？")</f>
        <v>淋病検査は保険診療ですか？</v>
      </c>
      <c r="B1253" s="31" t="str">
        <f>IFERROR(__xludf.DUMMYFUNCTION("""COMPUTED_VALUE"""),"淋病検査は自費診療となり、健康保険は適用されません。")</f>
        <v>淋病検査は自費診療となり、健康保険は適用されません。</v>
      </c>
      <c r="C1253" s="31" t="str">
        <f>IFERROR(__xludf.DUMMYFUNCTION("""COMPUTED_VALUE"""),"保険適用・性病検査")</f>
        <v>保険適用・性病検査</v>
      </c>
      <c r="D1253" s="31" t="str">
        <f>IFERROR(__xludf.DUMMYFUNCTION("""COMPUTED_VALUE"""),"淋病,保険,自費,")</f>
        <v>淋病,保険,自費,</v>
      </c>
      <c r="E1253" s="32" t="str">
        <f>IFERROR(__xludf.DUMMYFUNCTION("""COMPUTED_VALUE"""),"https://luna-dr.com/kawasaki/price/")</f>
        <v>https://luna-dr.com/kawasaki/price/</v>
      </c>
    </row>
    <row r="1254">
      <c r="A1254" s="31" t="str">
        <f>IFERROR(__xludf.DUMMYFUNCTION("""COMPUTED_VALUE"""),"カンジダ検査の費用はいくらですか？")</f>
        <v>カンジダ検査の費用はいくらですか？</v>
      </c>
      <c r="B1254" s="31" t="str">
        <f>IFERROR(__xludf.DUMMYFUNCTION("""COMPUTED_VALUE"""),"カンジダ検査は自費診療となり、5,000円（税込）です。")</f>
        <v>カンジダ検査は自費診療となり、5,000円（税込）です。</v>
      </c>
      <c r="C1254" s="31" t="str">
        <f>IFERROR(__xludf.DUMMYFUNCTION("""COMPUTED_VALUE"""),"料金・性病検査")</f>
        <v>料金・性病検査</v>
      </c>
      <c r="D1254" s="31" t="str">
        <f>IFERROR(__xludf.DUMMYFUNCTION("""COMPUTED_VALUE"""),"カンジダ,検査,料金,")</f>
        <v>カンジダ,検査,料金,</v>
      </c>
      <c r="E1254" s="32" t="str">
        <f>IFERROR(__xludf.DUMMYFUNCTION("""COMPUTED_VALUE"""),"https://luna-dr.com/kawasaki/price/")</f>
        <v>https://luna-dr.com/kawasaki/price/</v>
      </c>
    </row>
    <row r="1255">
      <c r="A1255" s="31" t="str">
        <f>IFERROR(__xludf.DUMMYFUNCTION("""COMPUTED_VALUE"""),"カンジダ検査は保険診療ですか？")</f>
        <v>カンジダ検査は保険診療ですか？</v>
      </c>
      <c r="B1255" s="31" t="str">
        <f>IFERROR(__xludf.DUMMYFUNCTION("""COMPUTED_VALUE"""),"カンジダ検査は自費診療となり、健康保険は適用されません。")</f>
        <v>カンジダ検査は自費診療となり、健康保険は適用されません。</v>
      </c>
      <c r="C1255" s="31" t="str">
        <f>IFERROR(__xludf.DUMMYFUNCTION("""COMPUTED_VALUE"""),"保険適用・性病検査")</f>
        <v>保険適用・性病検査</v>
      </c>
      <c r="D1255" s="31" t="str">
        <f>IFERROR(__xludf.DUMMYFUNCTION("""COMPUTED_VALUE"""),"カンジダ,保険,自費,")</f>
        <v>カンジダ,保険,自費,</v>
      </c>
      <c r="E1255" s="32" t="str">
        <f>IFERROR(__xludf.DUMMYFUNCTION("""COMPUTED_VALUE"""),"https://luna-dr.com/kawasaki/price/")</f>
        <v>https://luna-dr.com/kawasaki/price/</v>
      </c>
    </row>
    <row r="1256">
      <c r="A1256" s="31" t="str">
        <f>IFERROR(__xludf.DUMMYFUNCTION("""COMPUTED_VALUE"""),"HIV検査の費用はいくらですか？")</f>
        <v>HIV検査の費用はいくらですか？</v>
      </c>
      <c r="B1256" s="31" t="str">
        <f>IFERROR(__xludf.DUMMYFUNCTION("""COMPUTED_VALUE"""),"HIV検査は自費診療となり、5,000円（税込）です。")</f>
        <v>HIV検査は自費診療となり、5,000円（税込）です。</v>
      </c>
      <c r="C1256" s="31" t="str">
        <f>IFERROR(__xludf.DUMMYFUNCTION("""COMPUTED_VALUE"""),"料金・性病検査")</f>
        <v>料金・性病検査</v>
      </c>
      <c r="D1256" s="31" t="str">
        <f>IFERROR(__xludf.DUMMYFUNCTION("""COMPUTED_VALUE"""),"HIV,検査,料金,")</f>
        <v>HIV,検査,料金,</v>
      </c>
      <c r="E1256" s="32" t="str">
        <f>IFERROR(__xludf.DUMMYFUNCTION("""COMPUTED_VALUE"""),"https://luna-dr.com/kawasaki/price/")</f>
        <v>https://luna-dr.com/kawasaki/price/</v>
      </c>
    </row>
    <row r="1257">
      <c r="A1257" s="31" t="str">
        <f>IFERROR(__xludf.DUMMYFUNCTION("""COMPUTED_VALUE"""),"HIV検査は保険診療ですか？")</f>
        <v>HIV検査は保険診療ですか？</v>
      </c>
      <c r="B1257" s="31" t="str">
        <f>IFERROR(__xludf.DUMMYFUNCTION("""COMPUTED_VALUE"""),"HIV検査は自費診療となり、健康保険は適用されません。")</f>
        <v>HIV検査は自費診療となり、健康保険は適用されません。</v>
      </c>
      <c r="C1257" s="31" t="str">
        <f>IFERROR(__xludf.DUMMYFUNCTION("""COMPUTED_VALUE"""),"保険適用・性病検査")</f>
        <v>保険適用・性病検査</v>
      </c>
      <c r="D1257" s="31" t="str">
        <f>IFERROR(__xludf.DUMMYFUNCTION("""COMPUTED_VALUE"""),"HIV,保険,自費,")</f>
        <v>HIV,保険,自費,</v>
      </c>
      <c r="E1257" s="32" t="str">
        <f>IFERROR(__xludf.DUMMYFUNCTION("""COMPUTED_VALUE"""),"https://luna-dr.com/kawasaki/price/")</f>
        <v>https://luna-dr.com/kawasaki/price/</v>
      </c>
    </row>
    <row r="1258">
      <c r="A1258" s="31" t="str">
        <f>IFERROR(__xludf.DUMMYFUNCTION("""COMPUTED_VALUE"""),"B型肝炎検査の費用はいくらですか？")</f>
        <v>B型肝炎検査の費用はいくらですか？</v>
      </c>
      <c r="B1258" s="31" t="str">
        <f>IFERROR(__xludf.DUMMYFUNCTION("""COMPUTED_VALUE"""),"B型肝炎検査は自費診療となり、5,000円（税込）です。")</f>
        <v>B型肝炎検査は自費診療となり、5,000円（税込）です。</v>
      </c>
      <c r="C1258" s="31" t="str">
        <f>IFERROR(__xludf.DUMMYFUNCTION("""COMPUTED_VALUE"""),"料金・性病検査")</f>
        <v>料金・性病検査</v>
      </c>
      <c r="D1258" s="31" t="str">
        <f>IFERROR(__xludf.DUMMYFUNCTION("""COMPUTED_VALUE"""),"B型肝炎,検査,料金,")</f>
        <v>B型肝炎,検査,料金,</v>
      </c>
      <c r="E1258" s="32" t="str">
        <f>IFERROR(__xludf.DUMMYFUNCTION("""COMPUTED_VALUE"""),"https://luna-dr.com/kawasaki/price/")</f>
        <v>https://luna-dr.com/kawasaki/price/</v>
      </c>
    </row>
    <row r="1259">
      <c r="A1259" s="31" t="str">
        <f>IFERROR(__xludf.DUMMYFUNCTION("""COMPUTED_VALUE"""),"B型肝炎検査は保険診療ですか？")</f>
        <v>B型肝炎検査は保険診療ですか？</v>
      </c>
      <c r="B1259" s="31" t="str">
        <f>IFERROR(__xludf.DUMMYFUNCTION("""COMPUTED_VALUE"""),"B型肝炎検査は自費診療となり、健康保険は適用されません。")</f>
        <v>B型肝炎検査は自費診療となり、健康保険は適用されません。</v>
      </c>
      <c r="C1259" s="31" t="str">
        <f>IFERROR(__xludf.DUMMYFUNCTION("""COMPUTED_VALUE"""),"保険適用・性病検査")</f>
        <v>保険適用・性病検査</v>
      </c>
      <c r="D1259" s="31" t="str">
        <f>IFERROR(__xludf.DUMMYFUNCTION("""COMPUTED_VALUE"""),"B型肝炎,保険,自費,")</f>
        <v>B型肝炎,保険,自費,</v>
      </c>
      <c r="E1259" s="32" t="str">
        <f>IFERROR(__xludf.DUMMYFUNCTION("""COMPUTED_VALUE"""),"https://luna-dr.com/kawasaki/price/")</f>
        <v>https://luna-dr.com/kawasaki/price/</v>
      </c>
    </row>
    <row r="1260">
      <c r="A1260" s="31" t="str">
        <f>IFERROR(__xludf.DUMMYFUNCTION("""COMPUTED_VALUE"""),"C型肝炎検査の費用はいくらですか？")</f>
        <v>C型肝炎検査の費用はいくらですか？</v>
      </c>
      <c r="B1260" s="31" t="str">
        <f>IFERROR(__xludf.DUMMYFUNCTION("""COMPUTED_VALUE"""),"C型肝炎検査は自費診療となり、5,000円（税込）です。")</f>
        <v>C型肝炎検査は自費診療となり、5,000円（税込）です。</v>
      </c>
      <c r="C1260" s="31" t="str">
        <f>IFERROR(__xludf.DUMMYFUNCTION("""COMPUTED_VALUE"""),"料金・性病検査")</f>
        <v>料金・性病検査</v>
      </c>
      <c r="D1260" s="31" t="str">
        <f>IFERROR(__xludf.DUMMYFUNCTION("""COMPUTED_VALUE"""),"C型肝炎,検査,料金,")</f>
        <v>C型肝炎,検査,料金,</v>
      </c>
      <c r="E1260" s="32" t="str">
        <f>IFERROR(__xludf.DUMMYFUNCTION("""COMPUTED_VALUE"""),"https://luna-dr.com/kawasaki/price/")</f>
        <v>https://luna-dr.com/kawasaki/price/</v>
      </c>
    </row>
    <row r="1261">
      <c r="A1261" s="31" t="str">
        <f>IFERROR(__xludf.DUMMYFUNCTION("""COMPUTED_VALUE"""),"C型肝炎検査は保険診療ですか？")</f>
        <v>C型肝炎検査は保険診療ですか？</v>
      </c>
      <c r="B1261" s="31" t="str">
        <f>IFERROR(__xludf.DUMMYFUNCTION("""COMPUTED_VALUE"""),"C型肝炎検査は自費診療となり、健康保険は適用されません。")</f>
        <v>C型肝炎検査は自費診療となり、健康保険は適用されません。</v>
      </c>
      <c r="C1261" s="31" t="str">
        <f>IFERROR(__xludf.DUMMYFUNCTION("""COMPUTED_VALUE"""),"保険適用・性病検査")</f>
        <v>保険適用・性病検査</v>
      </c>
      <c r="D1261" s="31" t="str">
        <f>IFERROR(__xludf.DUMMYFUNCTION("""COMPUTED_VALUE"""),"C型肝炎,保険,自費,")</f>
        <v>C型肝炎,保険,自費,</v>
      </c>
      <c r="E1261" s="32" t="str">
        <f>IFERROR(__xludf.DUMMYFUNCTION("""COMPUTED_VALUE"""),"https://luna-dr.com/kawasaki/price/")</f>
        <v>https://luna-dr.com/kawasaki/price/</v>
      </c>
    </row>
    <row r="1262">
      <c r="A1262" s="31" t="str">
        <f>IFERROR(__xludf.DUMMYFUNCTION("""COMPUTED_VALUE"""),"梅毒検査の費用はいくらですか？")</f>
        <v>梅毒検査の費用はいくらですか？</v>
      </c>
      <c r="B1262" s="31" t="str">
        <f>IFERROR(__xludf.DUMMYFUNCTION("""COMPUTED_VALUE"""),"梅毒検査は自費診療となり、5,000円（税込）です。")</f>
        <v>梅毒検査は自費診療となり、5,000円（税込）です。</v>
      </c>
      <c r="C1262" s="31" t="str">
        <f>IFERROR(__xludf.DUMMYFUNCTION("""COMPUTED_VALUE"""),"料金・性病検査")</f>
        <v>料金・性病検査</v>
      </c>
      <c r="D1262" s="31" t="str">
        <f>IFERROR(__xludf.DUMMYFUNCTION("""COMPUTED_VALUE"""),"梅毒,検査,料金,")</f>
        <v>梅毒,検査,料金,</v>
      </c>
      <c r="E1262" s="32" t="str">
        <f>IFERROR(__xludf.DUMMYFUNCTION("""COMPUTED_VALUE"""),"https://luna-dr.com/kawasaki/price/")</f>
        <v>https://luna-dr.com/kawasaki/price/</v>
      </c>
    </row>
    <row r="1263">
      <c r="A1263" s="31" t="str">
        <f>IFERROR(__xludf.DUMMYFUNCTION("""COMPUTED_VALUE"""),"梅毒検査は保険診療ですか？")</f>
        <v>梅毒検査は保険診療ですか？</v>
      </c>
      <c r="B1263" s="31" t="str">
        <f>IFERROR(__xludf.DUMMYFUNCTION("""COMPUTED_VALUE"""),"梅毒検査は自費診療となり、健康保険は適用されません。")</f>
        <v>梅毒検査は自費診療となり、健康保険は適用されません。</v>
      </c>
      <c r="C1263" s="31" t="str">
        <f>IFERROR(__xludf.DUMMYFUNCTION("""COMPUTED_VALUE"""),"保険適用・性病検査")</f>
        <v>保険適用・性病検査</v>
      </c>
      <c r="D1263" s="31" t="str">
        <f>IFERROR(__xludf.DUMMYFUNCTION("""COMPUTED_VALUE"""),"梅毒,保険,自費,")</f>
        <v>梅毒,保険,自費,</v>
      </c>
      <c r="E1263" s="32" t="str">
        <f>IFERROR(__xludf.DUMMYFUNCTION("""COMPUTED_VALUE"""),"https://luna-dr.com/kawasaki/price/")</f>
        <v>https://luna-dr.com/kawasaki/price/</v>
      </c>
    </row>
    <row r="1264">
      <c r="A1264" s="31" t="str">
        <f>IFERROR(__xludf.DUMMYFUNCTION("""COMPUTED_VALUE"""),"トリコモナス検査の費用はいくらですか？")</f>
        <v>トリコモナス検査の費用はいくらですか？</v>
      </c>
      <c r="B1264" s="31" t="str">
        <f>IFERROR(__xludf.DUMMYFUNCTION("""COMPUTED_VALUE"""),"トリコモナス検査は自費診療となり、5,000円（税込）です。")</f>
        <v>トリコモナス検査は自費診療となり、5,000円（税込）です。</v>
      </c>
      <c r="C1264" s="31" t="str">
        <f>IFERROR(__xludf.DUMMYFUNCTION("""COMPUTED_VALUE"""),"料金・性病検査")</f>
        <v>料金・性病検査</v>
      </c>
      <c r="D1264" s="31" t="str">
        <f>IFERROR(__xludf.DUMMYFUNCTION("""COMPUTED_VALUE"""),"トリコモナス,検査,料金,")</f>
        <v>トリコモナス,検査,料金,</v>
      </c>
      <c r="E1264" s="32" t="str">
        <f>IFERROR(__xludf.DUMMYFUNCTION("""COMPUTED_VALUE"""),"https://luna-dr.com/kawasaki/price/")</f>
        <v>https://luna-dr.com/kawasaki/price/</v>
      </c>
    </row>
    <row r="1265">
      <c r="A1265" s="31" t="str">
        <f>IFERROR(__xludf.DUMMYFUNCTION("""COMPUTED_VALUE"""),"トリコモナス検査は保険診療ですか？")</f>
        <v>トリコモナス検査は保険診療ですか？</v>
      </c>
      <c r="B1265" s="31" t="str">
        <f>IFERROR(__xludf.DUMMYFUNCTION("""COMPUTED_VALUE"""),"トリコモナス検査は自費診療となり、健康保険は適用されません。")</f>
        <v>トリコモナス検査は自費診療となり、健康保険は適用されません。</v>
      </c>
      <c r="C1265" s="31" t="str">
        <f>IFERROR(__xludf.DUMMYFUNCTION("""COMPUTED_VALUE"""),"保険適用・性病検査")</f>
        <v>保険適用・性病検査</v>
      </c>
      <c r="D1265" s="31" t="str">
        <f>IFERROR(__xludf.DUMMYFUNCTION("""COMPUTED_VALUE"""),"トリコモナス,保険,自費,")</f>
        <v>トリコモナス,保険,自費,</v>
      </c>
      <c r="E1265" s="32" t="str">
        <f>IFERROR(__xludf.DUMMYFUNCTION("""COMPUTED_VALUE"""),"https://luna-dr.com/kawasaki/price/")</f>
        <v>https://luna-dr.com/kawasaki/price/</v>
      </c>
    </row>
    <row r="1266">
      <c r="A1266" s="31" t="str">
        <f>IFERROR(__xludf.DUMMYFUNCTION("""COMPUTED_VALUE"""),"子宮頸がん検診の料金はいくらですか？")</f>
        <v>子宮頸がん検診の料金はいくらですか？</v>
      </c>
      <c r="B1266" s="31" t="str">
        <f>IFERROR(__xludf.DUMMYFUNCTION("""COMPUTED_VALUE"""),"子宮頸がん検診（自費）は5,000円（税込）です。妊娠中の方は妊娠10週まで当院で経過を診ている場合に限ります。
川崎市子宮頸がん検診を受診される場合の料金は1,000円（税込）となります。")</f>
        <v>子宮頸がん検診（自費）は5,000円（税込）です。妊娠中の方は妊娠10週まで当院で経過を診ている場合に限ります。
川崎市子宮頸がん検診を受診される場合の料金は1,000円（税込）となります。</v>
      </c>
      <c r="C1266" s="31" t="str">
        <f>IFERROR(__xludf.DUMMYFUNCTION("""COMPUTED_VALUE"""),"料金・検診")</f>
        <v>料金・検診</v>
      </c>
      <c r="D1266" s="31" t="str">
        <f>IFERROR(__xludf.DUMMYFUNCTION("""COMPUTED_VALUE"""),"子宮頸がん検診,料金,")</f>
        <v>子宮頸がん検診,料金,</v>
      </c>
      <c r="E1266" s="32" t="str">
        <f>IFERROR(__xludf.DUMMYFUNCTION("""COMPUTED_VALUE"""),"https://luna-dr.com/kawasaki/price/")</f>
        <v>https://luna-dr.com/kawasaki/price/</v>
      </c>
    </row>
    <row r="1267">
      <c r="A1267" s="31" t="str">
        <f>IFERROR(__xludf.DUMMYFUNCTION("""COMPUTED_VALUE"""),"子宮頸がん検診は保険診療ですか？")</f>
        <v>子宮頸がん検診は保険診療ですか？</v>
      </c>
      <c r="B1267" s="31" t="str">
        <f>IFERROR(__xludf.DUMMYFUNCTION("""COMPUTED_VALUE"""),"子宮頸がん検診は、原則として健康保険が使えない自費診療です。ただし、お住まいの市区町村が実施している「子宮頸がん検診の公費助成（クーポン）」の対象となる場合は、自己負担が軽減される場合もございます。公費の対象かどうかは、お住まいの地域・年齢・年度ごとの制度によって異なります。横浜市・川崎市・町田市などでは条件を満たす方に公費検診が用意されていますので、対象かどうかはお手数ですが自治体の案内をご確認いただくか、ご来院予定の院へお問い合わせください。")</f>
        <v>子宮頸がん検診は、原則として健康保険が使えない自費診療です。ただし、お住まいの市区町村が実施している「子宮頸がん検診の公費助成（クーポン）」の対象となる場合は、自己負担が軽減される場合もございます。公費の対象かどうかは、お住まいの地域・年齢・年度ごとの制度によって異なります。横浜市・川崎市・町田市などでは条件を満たす方に公費検診が用意されていますので、対象かどうかはお手数ですが自治体の案内をご確認いただくか、ご来院予定の院へお問い合わせください。</v>
      </c>
      <c r="C1267" s="31" t="str">
        <f>IFERROR(__xludf.DUMMYFUNCTION("""COMPUTED_VALUE"""),"料金・保険")</f>
        <v>料金・保険</v>
      </c>
      <c r="D1267" s="31" t="str">
        <f>IFERROR(__xludf.DUMMYFUNCTION("""COMPUTED_VALUE"""),"子宮頸がん検診,保険診療,自費診療,公費,クーポン,横浜市,川崎市,町田市")</f>
        <v>子宮頸がん検診,保険診療,自費診療,公費,クーポン,横浜市,川崎市,町田市</v>
      </c>
      <c r="E1267" s="32" t="str">
        <f>IFERROR(__xludf.DUMMYFUNCTION("""COMPUTED_VALUE"""),"https://luna-dr.com/kawasaki/price/")</f>
        <v>https://luna-dr.com/kawasaki/price/</v>
      </c>
    </row>
    <row r="1268">
      <c r="A1268" s="31" t="str">
        <f>IFERROR(__xludf.DUMMYFUNCTION("""COMPUTED_VALUE"""),"川崎市の子宮頸がん検診の料金はいくらですか？")</f>
        <v>川崎市の子宮頸がん検診の料金はいくらですか？</v>
      </c>
      <c r="B1268" s="31" t="str">
        <f>IFERROR(__xludf.DUMMYFUNCTION("""COMPUTED_VALUE"""),"子宮頸がん検診（自費）は1,000円（税込）です。妊娠中の方は妊娠10週まで当院で経過を診ている場合に限ります。")</f>
        <v>子宮頸がん検診（自費）は1,000円（税込）です。妊娠中の方は妊娠10週まで当院で経過を診ている場合に限ります。</v>
      </c>
      <c r="C1268" s="31" t="str">
        <f>IFERROR(__xludf.DUMMYFUNCTION("""COMPUTED_VALUE"""),"料金・検診")</f>
        <v>料金・検診</v>
      </c>
      <c r="D1268" s="31" t="str">
        <f>IFERROR(__xludf.DUMMYFUNCTION("""COMPUTED_VALUE"""),"子宮頸がん検診,料金,")</f>
        <v>子宮頸がん検診,料金,</v>
      </c>
      <c r="E1268" s="32" t="str">
        <f>IFERROR(__xludf.DUMMYFUNCTION("""COMPUTED_VALUE"""),"https://luna-dr.com/kawasaki/price/")</f>
        <v>https://luna-dr.com/kawasaki/price/</v>
      </c>
    </row>
    <row r="1269">
      <c r="A1269" s="31" t="str">
        <f>IFERROR(__xludf.DUMMYFUNCTION("""COMPUTED_VALUE"""),"子宮体がん検診の料金はいくらですか？")</f>
        <v>子宮体がん検診の料金はいくらですか？</v>
      </c>
      <c r="B1269" s="31" t="str">
        <f>IFERROR(__xludf.DUMMYFUNCTION("""COMPUTED_VALUE"""),"子宮体がん検診は6,000円（税込）です。妊娠中の方は妊娠10週まで当院で経過を診ている場合に限ります。
川崎市子宮頸がん検診＋体がん検診を受診される場合の料金は1,800円（税込）となります。")</f>
        <v>子宮体がん検診は6,000円（税込）です。妊娠中の方は妊娠10週まで当院で経過を診ている場合に限ります。
川崎市子宮頸がん検診＋体がん検診を受診される場合の料金は1,800円（税込）となります。</v>
      </c>
      <c r="C1269" s="31" t="str">
        <f>IFERROR(__xludf.DUMMYFUNCTION("""COMPUTED_VALUE"""),"料金・検診")</f>
        <v>料金・検診</v>
      </c>
      <c r="D1269" s="31" t="str">
        <f>IFERROR(__xludf.DUMMYFUNCTION("""COMPUTED_VALUE"""),"子宮体がん検診,料金,")</f>
        <v>子宮体がん検診,料金,</v>
      </c>
      <c r="E1269" s="32" t="str">
        <f>IFERROR(__xludf.DUMMYFUNCTION("""COMPUTED_VALUE"""),"https://luna-dr.com/kawasaki/price/")</f>
        <v>https://luna-dr.com/kawasaki/price/</v>
      </c>
    </row>
    <row r="1270">
      <c r="A1270" s="31" t="str">
        <f>IFERROR(__xludf.DUMMYFUNCTION("""COMPUTED_VALUE"""),"川崎市の子宮体がん検診の料金はいくらですか？")</f>
        <v>川崎市の子宮体がん検診の料金はいくらですか？</v>
      </c>
      <c r="B1270" s="31" t="str">
        <f>IFERROR(__xludf.DUMMYFUNCTION("""COMPUTED_VALUE"""),"川崎市子宮頸がん検診＋体がん検診を受診される場合の料金は1,800円（税込）となります。妊娠中の方は妊娠10週まで当院で経過を診ている場合に限ります。")</f>
        <v>川崎市子宮頸がん検診＋体がん検診を受診される場合の料金は1,800円（税込）となります。妊娠中の方は妊娠10週まで当院で経過を診ている場合に限ります。</v>
      </c>
      <c r="C1270" s="31" t="str">
        <f>IFERROR(__xludf.DUMMYFUNCTION("""COMPUTED_VALUE"""),"料金・検診")</f>
        <v>料金・検診</v>
      </c>
      <c r="D1270" s="31" t="str">
        <f>IFERROR(__xludf.DUMMYFUNCTION("""COMPUTED_VALUE"""),"子宮頸がん検診,料金,")</f>
        <v>子宮頸がん検診,料金,</v>
      </c>
      <c r="E1270" s="32" t="str">
        <f>IFERROR(__xludf.DUMMYFUNCTION("""COMPUTED_VALUE"""),"https://luna-dr.com/kawasaki/price/")</f>
        <v>https://luna-dr.com/kawasaki/price/</v>
      </c>
    </row>
    <row r="1271">
      <c r="A1271" s="31" t="str">
        <f>IFERROR(__xludf.DUMMYFUNCTION("""COMPUTED_VALUE"""),"子宮体がん検査は保険診療ですか？")</f>
        <v>子宮体がん検査は保険診療ですか？</v>
      </c>
      <c r="B1271" s="31" t="str">
        <f>IFERROR(__xludf.DUMMYFUNCTION("""COMPUTED_VALUE"""),"子宮体がん検査は、原則として自費診療です。実際に保険適用や公費対象となるかは、症状やお住まいの自治体、診察時の医師判断によって異なります。対象かどうかはお手数ですが自治体の案内をご確認いただくか、ご来院予定の院へお問い合わせください。")</f>
        <v>子宮体がん検査は、原則として自費診療です。実際に保険適用や公費対象となるかは、症状やお住まいの自治体、診察時の医師判断によって異なります。対象かどうかはお手数ですが自治体の案内をご確認いただくか、ご来院予定の院へお問い合わせください。</v>
      </c>
      <c r="C1271" s="31" t="str">
        <f>IFERROR(__xludf.DUMMYFUNCTION("""COMPUTED_VALUE"""),"料金・保険")</f>
        <v>料金・保険</v>
      </c>
      <c r="D1271" s="31" t="str">
        <f>IFERROR(__xludf.DUMMYFUNCTION("""COMPUTED_VALUE"""),"子宮体がん検査,保険診療,自費診療,公費,川崎院,不正出血")</f>
        <v>子宮体がん検査,保険診療,自費診療,公費,川崎院,不正出血</v>
      </c>
      <c r="E1271" s="32" t="str">
        <f>IFERROR(__xludf.DUMMYFUNCTION("""COMPUTED_VALUE"""),"https://luna-dr.com/kawasaki/price/")</f>
        <v>https://luna-dr.com/kawasaki/price/</v>
      </c>
    </row>
    <row r="1272">
      <c r="A1272" s="31" t="str">
        <f>IFERROR(__xludf.DUMMYFUNCTION("""COMPUTED_VALUE"""),"ホルモン検査の費用はいくらですか？")</f>
        <v>ホルモン検査の費用はいくらですか？</v>
      </c>
      <c r="B1272" s="31" t="str">
        <f>IFERROR(__xludf.DUMMYFUNCTION("""COMPUTED_VALUE"""),"ホルモン検査（自費）は8,000円（税込）です。")</f>
        <v>ホルモン検査（自費）は8,000円（税込）です。</v>
      </c>
      <c r="C1272" s="31" t="str">
        <f>IFERROR(__xludf.DUMMYFUNCTION("""COMPUTED_VALUE"""),"料金・検査")</f>
        <v>料金・検査</v>
      </c>
      <c r="D1272" s="31" t="str">
        <f>IFERROR(__xludf.DUMMYFUNCTION("""COMPUTED_VALUE"""),"ホルモン検査,料金,")</f>
        <v>ホルモン検査,料金,</v>
      </c>
      <c r="E1272" s="32" t="str">
        <f>IFERROR(__xludf.DUMMYFUNCTION("""COMPUTED_VALUE"""),"https://luna-dr.com/kawasaki/price/")</f>
        <v>https://luna-dr.com/kawasaki/price/</v>
      </c>
    </row>
    <row r="1273">
      <c r="A1273" s="31" t="str">
        <f>IFERROR(__xludf.DUMMYFUNCTION("""COMPUTED_VALUE"""),"ホルモン検査は保険診療ですか？")</f>
        <v>ホルモン検査は保険診療ですか？</v>
      </c>
      <c r="B1273" s="31" t="str">
        <f>IFERROR(__xludf.DUMMYFUNCTION("""COMPUTED_VALUE"""),"ホルモン検査は自費診療となり、健康保険は適用されません。")</f>
        <v>ホルモン検査は自費診療となり、健康保険は適用されません。</v>
      </c>
      <c r="C1273" s="31" t="str">
        <f>IFERROR(__xludf.DUMMYFUNCTION("""COMPUTED_VALUE"""),"保険適用・ホルモン検査")</f>
        <v>保険適用・ホルモン検査</v>
      </c>
      <c r="D1273" s="31" t="str">
        <f>IFERROR(__xludf.DUMMYFUNCTION("""COMPUTED_VALUE"""),"ホルモン検査,保険,自費,")</f>
        <v>ホルモン検査,保険,自費,</v>
      </c>
      <c r="E1273" s="32" t="str">
        <f>IFERROR(__xludf.DUMMYFUNCTION("""COMPUTED_VALUE"""),"https://luna-dr.com/kawasaki/price/")</f>
        <v>https://luna-dr.com/kawasaki/price/</v>
      </c>
    </row>
    <row r="1274">
      <c r="A1274" s="31" t="str">
        <f>IFERROR(__xludf.DUMMYFUNCTION("""COMPUTED_VALUE"""),"AMH検査の料金はいくらですか？")</f>
        <v>AMH検査の料金はいくらですか？</v>
      </c>
      <c r="B1274" s="31" t="str">
        <f>IFERROR(__xludf.DUMMYFUNCTION("""COMPUTED_VALUE"""),"AMH検査は10,000円（税込）です。")</f>
        <v>AMH検査は10,000円（税込）です。</v>
      </c>
      <c r="C1274" s="31" t="str">
        <f>IFERROR(__xludf.DUMMYFUNCTION("""COMPUTED_VALUE"""),"料金・検査")</f>
        <v>料金・検査</v>
      </c>
      <c r="D1274" s="31" t="str">
        <f>IFERROR(__xludf.DUMMYFUNCTION("""COMPUTED_VALUE"""),"AMH,卵巣年齢,")</f>
        <v>AMH,卵巣年齢,</v>
      </c>
      <c r="E1274" s="32" t="str">
        <f>IFERROR(__xludf.DUMMYFUNCTION("""COMPUTED_VALUE"""),"https://luna-dr.com/kawasaki/price/")</f>
        <v>https://luna-dr.com/kawasaki/price/</v>
      </c>
    </row>
    <row r="1275">
      <c r="A1275" s="31" t="str">
        <f>IFERROR(__xludf.DUMMYFUNCTION("""COMPUTED_VALUE"""),"AMH検査は保険診療ですか？")</f>
        <v>AMH検査は保険診療ですか？</v>
      </c>
      <c r="B1275" s="31" t="str">
        <f>IFERROR(__xludf.DUMMYFUNCTION("""COMPUTED_VALUE"""),"AMH検査は自費診療となり、健康保険は適用されません。")</f>
        <v>AMH検査は自費診療となり、健康保険は適用されません。</v>
      </c>
      <c r="C1275" s="31" t="str">
        <f>IFERROR(__xludf.DUMMYFUNCTION("""COMPUTED_VALUE"""),"保険適用・AMH")</f>
        <v>保険適用・AMH</v>
      </c>
      <c r="D1275" s="31" t="str">
        <f>IFERROR(__xludf.DUMMYFUNCTION("""COMPUTED_VALUE"""),"AMH検査,保険,自費,")</f>
        <v>AMH検査,保険,自費,</v>
      </c>
      <c r="E1275" s="32" t="str">
        <f>IFERROR(__xludf.DUMMYFUNCTION("""COMPUTED_VALUE"""),"https://luna-dr.com/kawasaki/price/")</f>
        <v>https://luna-dr.com/kawasaki/price/</v>
      </c>
    </row>
    <row r="1276">
      <c r="A1276" s="31" t="str">
        <f>IFERROR(__xludf.DUMMYFUNCTION("""COMPUTED_VALUE"""),"風疹の抗体検査の料金はいくらですか？")</f>
        <v>風疹の抗体検査の料金はいくらですか？</v>
      </c>
      <c r="B1276" s="31" t="str">
        <f>IFERROR(__xludf.DUMMYFUNCTION("""COMPUTED_VALUE"""),"風疹の抗体検査は4,000円（税込）です。")</f>
        <v>風疹の抗体検査は4,000円（税込）です。</v>
      </c>
      <c r="C1276" s="31" t="str">
        <f>IFERROR(__xludf.DUMMYFUNCTION("""COMPUTED_VALUE"""),"料金・検査")</f>
        <v>料金・検査</v>
      </c>
      <c r="D1276" s="31" t="str">
        <f>IFERROR(__xludf.DUMMYFUNCTION("""COMPUTED_VALUE"""),"風疹,抗体検査,")</f>
        <v>風疹,抗体検査,</v>
      </c>
      <c r="E1276" s="32" t="str">
        <f>IFERROR(__xludf.DUMMYFUNCTION("""COMPUTED_VALUE"""),"https://luna-dr.com/kawasaki/price/")</f>
        <v>https://luna-dr.com/kawasaki/price/</v>
      </c>
    </row>
    <row r="1277">
      <c r="A1277" s="31" t="str">
        <f>IFERROR(__xludf.DUMMYFUNCTION("""COMPUTED_VALUE"""),"風疹の抗体検査は保険診療ですか？")</f>
        <v>風疹の抗体検査は保険診療ですか？</v>
      </c>
      <c r="B1277" s="31" t="str">
        <f>IFERROR(__xludf.DUMMYFUNCTION("""COMPUTED_VALUE"""),"風疹の抗体検査は自費診療となり、健康保険は適用されません。")</f>
        <v>風疹の抗体検査は自費診療となり、健康保険は適用されません。</v>
      </c>
      <c r="C1277" s="31" t="str">
        <f>IFERROR(__xludf.DUMMYFUNCTION("""COMPUTED_VALUE"""),"保険適用・風疹の抗体")</f>
        <v>保険適用・風疹の抗体</v>
      </c>
      <c r="D1277" s="31" t="str">
        <f>IFERROR(__xludf.DUMMYFUNCTION("""COMPUTED_VALUE"""),"風疹の抗体検査,保険,自費,")</f>
        <v>風疹の抗体検査,保険,自費,</v>
      </c>
      <c r="E1277" s="32" t="str">
        <f>IFERROR(__xludf.DUMMYFUNCTION("""COMPUTED_VALUE"""),"https://luna-dr.com/kawasaki/price/")</f>
        <v>https://luna-dr.com/kawasaki/price/</v>
      </c>
    </row>
    <row r="1278">
      <c r="A1278" s="31" t="str">
        <f>IFERROR(__xludf.DUMMYFUNCTION("""COMPUTED_VALUE"""),"ブライダルチェックの料金はいくらですか？")</f>
        <v>ブライダルチェックの料金はいくらですか？</v>
      </c>
      <c r="B1278" s="31" t="str">
        <f>IFERROR(__xludf.DUMMYFUNCTION("""COMPUTED_VALUE"""),"ブライダルチェックは15,500円（税込）です。")</f>
        <v>ブライダルチェックは15,500円（税込）です。</v>
      </c>
      <c r="C1278" s="31" t="str">
        <f>IFERROR(__xludf.DUMMYFUNCTION("""COMPUTED_VALUE"""),"料金・ブライダルチェック")</f>
        <v>料金・ブライダルチェック</v>
      </c>
      <c r="D1278" s="31" t="str">
        <f>IFERROR(__xludf.DUMMYFUNCTION("""COMPUTED_VALUE"""),"ブライダルチェック,料金,")</f>
        <v>ブライダルチェック,料金,</v>
      </c>
      <c r="E1278" s="32" t="str">
        <f>IFERROR(__xludf.DUMMYFUNCTION("""COMPUTED_VALUE"""),"https://luna-dr.com/kawasaki/price/")</f>
        <v>https://luna-dr.com/kawasaki/price/</v>
      </c>
    </row>
    <row r="1279">
      <c r="A1279" s="31" t="str">
        <f>IFERROR(__xludf.DUMMYFUNCTION("""COMPUTED_VALUE"""),"ブライダルチェックは保険診療ですか？")</f>
        <v>ブライダルチェックは保険診療ですか？</v>
      </c>
      <c r="B1279" s="31" t="str">
        <f>IFERROR(__xludf.DUMMYFUNCTION("""COMPUTED_VALUE"""),"ブライダルチェックは自費診療となり、健康保険は適用されません。")</f>
        <v>ブライダルチェックは自費診療となり、健康保険は適用されません。</v>
      </c>
      <c r="C1279" s="31" t="str">
        <f>IFERROR(__xludf.DUMMYFUNCTION("""COMPUTED_VALUE"""),"保険適用・ブライダルチェック")</f>
        <v>保険適用・ブライダルチェック</v>
      </c>
      <c r="D1279" s="31" t="str">
        <f>IFERROR(__xludf.DUMMYFUNCTION("""COMPUTED_VALUE"""),"ブライダルチェック,保険,自費,")</f>
        <v>ブライダルチェック,保険,自費,</v>
      </c>
      <c r="E1279" s="32" t="str">
        <f>IFERROR(__xludf.DUMMYFUNCTION("""COMPUTED_VALUE"""),"https://luna-dr.com/kawasaki/price/")</f>
        <v>https://luna-dr.com/kawasaki/price/</v>
      </c>
    </row>
    <row r="1280">
      <c r="A1280" s="31" t="str">
        <f>IFERROR(__xludf.DUMMYFUNCTION("""COMPUTED_VALUE"""),"かゆみやおりものの異常がある場合、いくらくらいかかりますか？")</f>
        <v>かゆみやおりものの異常がある場合、いくらくらいかかりますか？</v>
      </c>
      <c r="B1280" s="31" t="str">
        <f>IFERROR(__xludf.DUMMYFUNCTION("""COMPUTED_VALUE"""),"かゆみ・おりもの異常の診察は保険診療となり、内容により費用が異なります。目安として、雑菌・真菌の検査は約1,200円、雑菌・真菌の治療は約400円、性病検査は約1,500円です。保険診療は医師の診察内容により変更となるため、ご来院前にお電話やチャットで正確な料金のご案内はできませんのでご了承ください。また、別途初診料・再診料がかかります。")</f>
        <v>かゆみ・おりもの異常の診察は保険診療となり、内容により費用が異なります。目安として、雑菌・真菌の検査は約1,200円、雑菌・真菌の治療は約400円、性病検査は約1,500円です。保険診療は医師の診察内容により変更となるため、ご来院前にお電話やチャットで正確な料金のご案内はできませんのでご了承ください。また、別途初診料・再診料がかかります。</v>
      </c>
      <c r="C1280" s="31" t="str">
        <f>IFERROR(__xludf.DUMMYFUNCTION("""COMPUTED_VALUE"""),"保険診療・かゆみおりもの")</f>
        <v>保険診療・かゆみおりもの</v>
      </c>
      <c r="D1280" s="31" t="str">
        <f>IFERROR(__xludf.DUMMYFUNCTION("""COMPUTED_VALUE"""),"かゆみ,おりもの,保険診療,料金,")</f>
        <v>かゆみ,おりもの,保険診療,料金,</v>
      </c>
      <c r="E1280" s="32" t="str">
        <f>IFERROR(__xludf.DUMMYFUNCTION("""COMPUTED_VALUE"""),"https://luna-dr.com/kawasaki/price/")</f>
        <v>https://luna-dr.com/kawasaki/price/</v>
      </c>
    </row>
    <row r="1281">
      <c r="A1281" s="31" t="str">
        <f>IFERROR(__xludf.DUMMYFUNCTION("""COMPUTED_VALUE"""),"生理不順の相談では、どのくらいの費用がかかりますか？")</f>
        <v>生理不順の相談では、どのくらいの費用がかかりますか？</v>
      </c>
      <c r="B1281" s="31" t="str">
        <f>IFERROR(__xludf.DUMMYFUNCTION("""COMPUTED_VALUE"""),"生理不順の診察は保険診療となり、診察内容に応じて費用が決まります。目安として、生理を起こす薬の処方は約400円、ホルモン検査は約3,000円、卵巣の超音波検査は約1,600円です。保険診療は医師判断により内容が変わるため、ご来院前にお電話やチャットで正確な料金のご案内はできませんのでご了承ください。別途、初診料・再診料がかかります。")</f>
        <v>生理不順の診察は保険診療となり、診察内容に応じて費用が決まります。目安として、生理を起こす薬の処方は約400円、ホルモン検査は約3,000円、卵巣の超音波検査は約1,600円です。保険診療は医師判断により内容が変わるため、ご来院前にお電話やチャットで正確な料金のご案内はできませんのでご了承ください。別途、初診料・再診料がかかります。</v>
      </c>
      <c r="C1281" s="31" t="str">
        <f>IFERROR(__xludf.DUMMYFUNCTION("""COMPUTED_VALUE"""),"保険診療・生理不順")</f>
        <v>保険診療・生理不順</v>
      </c>
      <c r="D1281" s="31" t="str">
        <f>IFERROR(__xludf.DUMMYFUNCTION("""COMPUTED_VALUE"""),"生理不順,保険,料金,検査,")</f>
        <v>生理不順,保険,料金,検査,</v>
      </c>
      <c r="E1281" s="32" t="str">
        <f>IFERROR(__xludf.DUMMYFUNCTION("""COMPUTED_VALUE"""),"https://luna-dr.com/kawasaki/price/")</f>
        <v>https://luna-dr.com/kawasaki/price/</v>
      </c>
    </row>
    <row r="1282">
      <c r="A1282" s="31" t="str">
        <f>IFERROR(__xludf.DUMMYFUNCTION("""COMPUTED_VALUE"""),"生理痛で受診した場合、費用の目安はどれくらいですか？")</f>
        <v>生理痛で受診した場合、費用の目安はどれくらいですか？</v>
      </c>
      <c r="B1282" s="31" t="str">
        <f>IFERROR(__xludf.DUMMYFUNCTION("""COMPUTED_VALUE"""),"生理痛の診察は保険診療となります。目安として、子宮の超音波検査は約1,600円、痛み止めの処方は約400円、保険適用のピル処方は約2,700円です。診察内容により費用は変動するため、ご来院前にお電話やチャットで正確な料金のご案内はできませんのでご了承ください。別途、初診料・再診料がかかります。")</f>
        <v>生理痛の診察は保険診療となります。目安として、子宮の超音波検査は約1,600円、痛み止めの処方は約400円、保険適用のピル処方は約2,700円です。診察内容により費用は変動するため、ご来院前にお電話やチャットで正確な料金のご案内はできませんのでご了承ください。別途、初診料・再診料がかかります。</v>
      </c>
      <c r="C1282" s="31" t="str">
        <f>IFERROR(__xludf.DUMMYFUNCTION("""COMPUTED_VALUE"""),"保険診療・生理痛")</f>
        <v>保険診療・生理痛</v>
      </c>
      <c r="D1282" s="31" t="str">
        <f>IFERROR(__xludf.DUMMYFUNCTION("""COMPUTED_VALUE"""),"生理痛,保険診療,料金,ピル,")</f>
        <v>生理痛,保険診療,料金,ピル,</v>
      </c>
      <c r="E1282" s="32" t="str">
        <f>IFERROR(__xludf.DUMMYFUNCTION("""COMPUTED_VALUE"""),"https://luna-dr.com/kawasaki/price/")</f>
        <v>https://luna-dr.com/kawasaki/price/</v>
      </c>
    </row>
    <row r="1283">
      <c r="A1283" s="31" t="str">
        <f>IFERROR(__xludf.DUMMYFUNCTION("""COMPUTED_VALUE"""),"生理以外の出血がある場合、検査費用はいくらですか？/不正出血検査費用はいくらですか？")</f>
        <v>生理以外の出血がある場合、検査費用はいくらですか？/不正出血検査費用はいくらですか？</v>
      </c>
      <c r="B1283" s="31" t="str">
        <f>IFERROR(__xludf.DUMMYFUNCTION("""COMPUTED_VALUE"""),"生理以外の出血がある場合は保険診療での対応となります。目安として、子宮頸がん検査は約1,100円、子宮体がん検査は約2,100円、子宮の超音波検査は約1,600円、ホルモン検査は約3,000円です。診察内容により費用は変動しますので、ご来院前にお電話やチャットで正確な料金のご案内はできませんのでご了承ください。別途初診料・再診料がかかります。")</f>
        <v>生理以外の出血がある場合は保険診療での対応となります。目安として、子宮頸がん検査は約1,100円、子宮体がん検査は約2,100円、子宮の超音波検査は約1,600円、ホルモン検査は約3,000円です。診察内容により費用は変動しますので、ご来院前にお電話やチャットで正確な料金のご案内はできませんのでご了承ください。別途初診料・再診料がかかります。</v>
      </c>
      <c r="C1283" s="31" t="str">
        <f>IFERROR(__xludf.DUMMYFUNCTION("""COMPUTED_VALUE"""),"保険診療・不正出血")</f>
        <v>保険診療・不正出血</v>
      </c>
      <c r="D1283" s="31" t="str">
        <f>IFERROR(__xludf.DUMMYFUNCTION("""COMPUTED_VALUE"""),"不正出血,保険,子宮体がん,検査,")</f>
        <v>不正出血,保険,子宮体がん,検査,</v>
      </c>
      <c r="E1283" s="32" t="str">
        <f>IFERROR(__xludf.DUMMYFUNCTION("""COMPUTED_VALUE"""),"https://luna-dr.com/kawasaki/price/")</f>
        <v>https://luna-dr.com/kawasaki/price/</v>
      </c>
    </row>
    <row r="1284">
      <c r="A1284" s="31" t="str">
        <f>IFERROR(__xludf.DUMMYFUNCTION("""COMPUTED_VALUE"""),"腹痛で受診した場合の費用目安を教えてください。")</f>
        <v>腹痛で受診した場合の費用目安を教えてください。</v>
      </c>
      <c r="B1284" s="31" t="str">
        <f>IFERROR(__xludf.DUMMYFUNCTION("""COMPUTED_VALUE"""),"腹痛の診察は保険診療となります。目安として、超音波検査は約1,600円、性病検査は約1,500円です。医師の診察内容により検査項目が変わるため、料金も変動します。ご来院前にお電話やチャットで正確な料金のご案内はできませんのでご了承ください。別途初診料・再診料がかかります。")</f>
        <v>腹痛の診察は保険診療となります。目安として、超音波検査は約1,600円、性病検査は約1,500円です。医師の診察内容により検査項目が変わるため、料金も変動します。ご来院前にお電話やチャットで正確な料金のご案内はできませんのでご了承ください。別途初診料・再診料がかかります。</v>
      </c>
      <c r="C1284" s="31" t="str">
        <f>IFERROR(__xludf.DUMMYFUNCTION("""COMPUTED_VALUE"""),"保険診療・腹痛")</f>
        <v>保険診療・腹痛</v>
      </c>
      <c r="D1284" s="31" t="str">
        <f>IFERROR(__xludf.DUMMYFUNCTION("""COMPUTED_VALUE"""),"腹痛,保険診療,超音波,料金,")</f>
        <v>腹痛,保険診療,超音波,料金,</v>
      </c>
      <c r="E1284" s="32" t="str">
        <f>IFERROR(__xludf.DUMMYFUNCTION("""COMPUTED_VALUE"""),"https://luna-dr.com/kawasaki/price/")</f>
        <v>https://luna-dr.com/kawasaki/price/</v>
      </c>
    </row>
    <row r="1285">
      <c r="A1285" s="31" t="str">
        <f>IFERROR(__xludf.DUMMYFUNCTION("""COMPUTED_VALUE"""),"性病検査を保険で受けた場合、いくらくらいですか？/性病検査はいくらくらいですか？")</f>
        <v>性病検査を保険で受けた場合、いくらくらいですか？/性病検査はいくらくらいですか？</v>
      </c>
      <c r="B1285" s="31" t="str">
        <f>IFERROR(__xludf.DUMMYFUNCTION("""COMPUTED_VALUE"""),"症状があり医師が必要と判断した場合、性病検査は保険診療で行われます。目安の料金は約1,500円です。診察内容によって検査項目が変わるため、費用は前後する可能性があります。ご来院前にお電話やチャットで正確な料金のご案内はできませんのでご了承ください。別途、初診料・再診料がかかります。")</f>
        <v>症状があり医師が必要と判断した場合、性病検査は保険診療で行われます。目安の料金は約1,500円です。診察内容によって検査項目が変わるため、費用は前後する可能性があります。ご来院前にお電話やチャットで正確な料金のご案内はできませんのでご了承ください。別途、初診料・再診料がかかります。</v>
      </c>
      <c r="C1285" s="31" t="str">
        <f>IFERROR(__xludf.DUMMYFUNCTION("""COMPUTED_VALUE"""),"保険診療・性病検査")</f>
        <v>保険診療・性病検査</v>
      </c>
      <c r="D1285" s="31" t="str">
        <f>IFERROR(__xludf.DUMMYFUNCTION("""COMPUTED_VALUE"""),"性病検査,保険,料金,")</f>
        <v>性病検査,保険,料金,</v>
      </c>
      <c r="E1285" s="32" t="str">
        <f>IFERROR(__xludf.DUMMYFUNCTION("""COMPUTED_VALUE"""),"https://luna-dr.com/kawasaki/price/")</f>
        <v>https://luna-dr.com/kawasaki/price/</v>
      </c>
    </row>
    <row r="1286">
      <c r="A1286" s="31" t="str">
        <f>IFERROR(__xludf.DUMMYFUNCTION("""COMPUTED_VALUE"""),"ポリープ切除は保険診療ですか？/ポリープ切除の費用はいくらですか？/ポリープの費用はいくらですか？")</f>
        <v>ポリープ切除は保険診療ですか？/ポリープ切除の費用はいくらですか？/ポリープの費用はいくらですか？</v>
      </c>
      <c r="B1286" s="31" t="str">
        <f>IFERROR(__xludf.DUMMYFUNCTION("""COMPUTED_VALUE"""),"ポリープ切除は保険診療で行われます。目安の費用は約6,700円です。ただし、診察内容や処置内容により費用が変動する場合があります。保険診療のため、ご来院前にお電話やチャットで正確な料金のご案内はできませんのでご了承ください。別途、初診料・再診料がかかります。")</f>
        <v>ポリープ切除は保険診療で行われます。目安の費用は約6,700円です。ただし、診察内容や処置内容により費用が変動する場合があります。保険診療のため、ご来院前にお電話やチャットで正確な料金のご案内はできませんのでご了承ください。別途、初診料・再診料がかかります。</v>
      </c>
      <c r="C1286" s="31" t="str">
        <f>IFERROR(__xludf.DUMMYFUNCTION("""COMPUTED_VALUE"""),"保険診療・処置")</f>
        <v>保険診療・処置</v>
      </c>
      <c r="D1286" s="31" t="str">
        <f>IFERROR(__xludf.DUMMYFUNCTION("""COMPUTED_VALUE"""),"ポリープ切除,保険診療,料金,")</f>
        <v>ポリープ切除,保険診療,料金,</v>
      </c>
      <c r="E1286" s="32" t="str">
        <f>IFERROR(__xludf.DUMMYFUNCTION("""COMPUTED_VALUE"""),"https://luna-dr.com/kawasaki/price/")</f>
        <v>https://luna-dr.com/kawasaki/price/</v>
      </c>
    </row>
    <row r="1287">
      <c r="A1287" s="31" t="str">
        <f>IFERROR(__xludf.DUMMYFUNCTION("""COMPUTED_VALUE"""),"膀胱炎の診察費用はどのくらいですか？")</f>
        <v>膀胱炎の診察費用はどのくらいですか？</v>
      </c>
      <c r="B1287" s="31" t="str">
        <f>IFERROR(__xludf.DUMMYFUNCTION("""COMPUTED_VALUE"""),"膀胱炎の診察は保険診療となり、尿検査と抗生剤処方を行った場合の目安料金は約600円です。診察内容によって費用が変わることがありますので、ご来院前にお電話やチャットで正確な料金のご案内はできませんのでご了承ください。別途、初診料・再診料がかかります。")</f>
        <v>膀胱炎の診察は保険診療となり、尿検査と抗生剤処方を行った場合の目安料金は約600円です。診察内容によって費用が変わることがありますので、ご来院前にお電話やチャットで正確な料金のご案内はできませんのでご了承ください。別途、初診料・再診料がかかります。</v>
      </c>
      <c r="C1287" s="31" t="str">
        <f>IFERROR(__xludf.DUMMYFUNCTION("""COMPUTED_VALUE"""),"保険診療・膀胱炎")</f>
        <v>保険診療・膀胱炎</v>
      </c>
      <c r="D1287" s="31" t="str">
        <f>IFERROR(__xludf.DUMMYFUNCTION("""COMPUTED_VALUE"""),"膀胱炎,保険,尿検査,料金,")</f>
        <v>膀胱炎,保険,尿検査,料金,</v>
      </c>
      <c r="E1287" s="32" t="str">
        <f>IFERROR(__xludf.DUMMYFUNCTION("""COMPUTED_VALUE"""),"https://luna-dr.com/kawasaki/price/")</f>
        <v>https://luna-dr.com/kawasaki/price/</v>
      </c>
    </row>
    <row r="1288">
      <c r="A1288" s="31" t="str">
        <f>IFERROR(__xludf.DUMMYFUNCTION("""COMPUTED_VALUE"""),"雑菌・真菌の検査はいくらですか？")</f>
        <v>雑菌・真菌の検査はいくらですか？</v>
      </c>
      <c r="B1288" s="31" t="str">
        <f>IFERROR(__xludf.DUMMYFUNCTION("""COMPUTED_VALUE"""),"雑菌・真菌の検査は、保険診療の場合の目安料金は約1,200円（税込）です。診察内容により検査内容が変わるため、料金は前後することがあります。別途、初診料・再診料がかかります。")</f>
        <v>雑菌・真菌の検査は、保険診療の場合の目安料金は約1,200円（税込）です。診察内容により検査内容が変わるため、料金は前後することがあります。別途、初診料・再診料がかかります。</v>
      </c>
      <c r="C1288" s="31" t="str">
        <f>IFERROR(__xludf.DUMMYFUNCTION("""COMPUTED_VALUE"""),"検査・料金")</f>
        <v>検査・料金</v>
      </c>
      <c r="D1288" s="31" t="str">
        <f>IFERROR(__xludf.DUMMYFUNCTION("""COMPUTED_VALUE"""),"雑菌検査,真菌検査,おりもの,かゆみ,料金,")</f>
        <v>雑菌検査,真菌検査,おりもの,かゆみ,料金,</v>
      </c>
      <c r="E1288" s="32" t="str">
        <f>IFERROR(__xludf.DUMMYFUNCTION("""COMPUTED_VALUE"""),"https://luna-dr.com/kawasaki/price/")</f>
        <v>https://luna-dr.com/kawasaki/price/</v>
      </c>
    </row>
    <row r="1289">
      <c r="A1289" s="31" t="str">
        <f>IFERROR(__xludf.DUMMYFUNCTION("""COMPUTED_VALUE"""),"雑菌・真菌の治療はいくらですか？")</f>
        <v>雑菌・真菌の治療はいくらですか？</v>
      </c>
      <c r="B1289" s="31" t="str">
        <f>IFERROR(__xludf.DUMMYFUNCTION("""COMPUTED_VALUE"""),"雑菌・真菌の治療は、保険診療の場合の目安料金は約400円（税込）です。処方内容や症状により費用が変動することがあります。別途、初診料・再診料がかかります。")</f>
        <v>雑菌・真菌の治療は、保険診療の場合の目安料金は約400円（税込）です。処方内容や症状により費用が変動することがあります。別途、初診料・再診料がかかります。</v>
      </c>
      <c r="C1289" s="31" t="str">
        <f>IFERROR(__xludf.DUMMYFUNCTION("""COMPUTED_VALUE"""),"治療・料金")</f>
        <v>治療・料金</v>
      </c>
      <c r="D1289" s="31" t="str">
        <f>IFERROR(__xludf.DUMMYFUNCTION("""COMPUTED_VALUE"""),"真菌治療,雑菌治療,膣炎,料金,")</f>
        <v>真菌治療,雑菌治療,膣炎,料金,</v>
      </c>
      <c r="E1289" s="32" t="str">
        <f>IFERROR(__xludf.DUMMYFUNCTION("""COMPUTED_VALUE"""),"https://luna-dr.com/kawasaki/price/")</f>
        <v>https://luna-dr.com/kawasaki/price/</v>
      </c>
    </row>
    <row r="1290">
      <c r="A1290" s="31" t="str">
        <f>IFERROR(__xludf.DUMMYFUNCTION("""COMPUTED_VALUE"""),"性病検査はいくらですか？")</f>
        <v>性病検査はいくらですか？</v>
      </c>
      <c r="B1290" s="31" t="str">
        <f>IFERROR(__xludf.DUMMYFUNCTION("""COMPUTED_VALUE"""),"性病検査は、保険診療の場合の目安料金は約1,500円（税込）です。検査項目や症状によって内容が異なるため、料金は診察後に確定します。別途、初診料・再診料がかかります。")</f>
        <v>性病検査は、保険診療の場合の目安料金は約1,500円（税込）です。検査項目や症状によって内容が異なるため、料金は診察後に確定します。別途、初診料・再診料がかかります。</v>
      </c>
      <c r="C1290" s="31" t="str">
        <f>IFERROR(__xludf.DUMMYFUNCTION("""COMPUTED_VALUE"""),"検査・料金")</f>
        <v>検査・料金</v>
      </c>
      <c r="D1290" s="31" t="str">
        <f>IFERROR(__xludf.DUMMYFUNCTION("""COMPUTED_VALUE"""),"性病検査,STD,保険診療,料金,")</f>
        <v>性病検査,STD,保険診療,料金,</v>
      </c>
      <c r="E1290" s="32" t="str">
        <f>IFERROR(__xludf.DUMMYFUNCTION("""COMPUTED_VALUE"""),"https://luna-dr.com/kawasaki/price/")</f>
        <v>https://luna-dr.com/kawasaki/price/</v>
      </c>
    </row>
    <row r="1291">
      <c r="A1291" s="31" t="str">
        <f>IFERROR(__xludf.DUMMYFUNCTION("""COMPUTED_VALUE"""),"生理を起こす薬の処方はいくらですか？")</f>
        <v>生理を起こす薬の処方はいくらですか？</v>
      </c>
      <c r="B1291" s="31" t="str">
        <f>IFERROR(__xludf.DUMMYFUNCTION("""COMPUTED_VALUE"""),"生理を起こす薬の処方は、保険診療の場合の目安料金は約400円（税込）です。診察内容により処方が変更となる場合があります。別途、初診料・再診料がかかります。")</f>
        <v>生理を起こす薬の処方は、保険診療の場合の目安料金は約400円（税込）です。診察内容により処方が変更となる場合があります。別途、初診料・再診料がかかります。</v>
      </c>
      <c r="C1291" s="31" t="str">
        <f>IFERROR(__xludf.DUMMYFUNCTION("""COMPUTED_VALUE"""),"治療・料金")</f>
        <v>治療・料金</v>
      </c>
      <c r="D1291" s="31" t="str">
        <f>IFERROR(__xludf.DUMMYFUNCTION("""COMPUTED_VALUE"""),"生理不順,薬,ホルモン,料金,")</f>
        <v>生理不順,薬,ホルモン,料金,</v>
      </c>
      <c r="E1291" s="32" t="str">
        <f>IFERROR(__xludf.DUMMYFUNCTION("""COMPUTED_VALUE"""),"https://luna-dr.com/kawasaki/price/")</f>
        <v>https://luna-dr.com/kawasaki/price/</v>
      </c>
    </row>
    <row r="1292">
      <c r="A1292" s="31" t="str">
        <f>IFERROR(__xludf.DUMMYFUNCTION("""COMPUTED_VALUE"""),"ホルモン検査はいくらですか？")</f>
        <v>ホルモン検査はいくらですか？</v>
      </c>
      <c r="B1292" s="31" t="str">
        <f>IFERROR(__xludf.DUMMYFUNCTION("""COMPUTED_VALUE"""),"ホルモン検査は、保険診療の場合の目安料金は約3,000円（税込）です。検査項目は診察内容により決まるため、事前に正確な金額のご案内はできません。別途、初診料・再診料がかかります。")</f>
        <v>ホルモン検査は、保険診療の場合の目安料金は約3,000円（税込）です。検査項目は診察内容により決まるため、事前に正確な金額のご案内はできません。別途、初診料・再診料がかかります。</v>
      </c>
      <c r="C1292" s="31" t="str">
        <f>IFERROR(__xludf.DUMMYFUNCTION("""COMPUTED_VALUE"""),"検査・料金")</f>
        <v>検査・料金</v>
      </c>
      <c r="D1292" s="31" t="str">
        <f>IFERROR(__xludf.DUMMYFUNCTION("""COMPUTED_VALUE"""),"ホルモン検査,血液検査,生理不順,料金,")</f>
        <v>ホルモン検査,血液検査,生理不順,料金,</v>
      </c>
      <c r="E1292" s="32" t="str">
        <f>IFERROR(__xludf.DUMMYFUNCTION("""COMPUTED_VALUE"""),"https://luna-dr.com/kawasaki/price/")</f>
        <v>https://luna-dr.com/kawasaki/price/</v>
      </c>
    </row>
    <row r="1293">
      <c r="A1293" s="31" t="str">
        <f>IFERROR(__xludf.DUMMYFUNCTION("""COMPUTED_VALUE"""),"卵巣の超音波検査はいくらですか？")</f>
        <v>卵巣の超音波検査はいくらですか？</v>
      </c>
      <c r="B1293" s="31" t="str">
        <f>IFERROR(__xludf.DUMMYFUNCTION("""COMPUTED_VALUE"""),"卵巣の超音波検査は、保険診療の場合の目安料金は約1,600円（税込）です。症状や診察内容によって検査範囲が変わることがあります。別途、初診料・再診料がかかります。")</f>
        <v>卵巣の超音波検査は、保険診療の場合の目安料金は約1,600円（税込）です。症状や診察内容によって検査範囲が変わることがあります。別途、初診料・再診料がかかります。</v>
      </c>
      <c r="C1293" s="31" t="str">
        <f>IFERROR(__xludf.DUMMYFUNCTION("""COMPUTED_VALUE"""),"検査・料金")</f>
        <v>検査・料金</v>
      </c>
      <c r="D1293" s="31" t="str">
        <f>IFERROR(__xludf.DUMMYFUNCTION("""COMPUTED_VALUE"""),"卵巣,超音波検査,エコー,料金,")</f>
        <v>卵巣,超音波検査,エコー,料金,</v>
      </c>
      <c r="E1293" s="32" t="str">
        <f>IFERROR(__xludf.DUMMYFUNCTION("""COMPUTED_VALUE"""),"https://luna-dr.com/kawasaki/price/")</f>
        <v>https://luna-dr.com/kawasaki/price/</v>
      </c>
    </row>
    <row r="1294">
      <c r="A1294" s="31" t="str">
        <f>IFERROR(__xludf.DUMMYFUNCTION("""COMPUTED_VALUE"""),"子宮の超音波検査はいくらですか？")</f>
        <v>子宮の超音波検査はいくらですか？</v>
      </c>
      <c r="B1294" s="31" t="str">
        <f>IFERROR(__xludf.DUMMYFUNCTION("""COMPUTED_VALUE"""),"子宮の超音波検査は、保険診療の場合の目安料金は約1,600円（税込）です。診察内容により検査方法が変わる場合があります。別途、初診料・再診料がかかります。")</f>
        <v>子宮の超音波検査は、保険診療の場合の目安料金は約1,600円（税込）です。診察内容により検査方法が変わる場合があります。別途、初診料・再診料がかかります。</v>
      </c>
      <c r="C1294" s="31" t="str">
        <f>IFERROR(__xludf.DUMMYFUNCTION("""COMPUTED_VALUE"""),"検査・料金")</f>
        <v>検査・料金</v>
      </c>
      <c r="D1294" s="31" t="str">
        <f>IFERROR(__xludf.DUMMYFUNCTION("""COMPUTED_VALUE"""),"子宮,超音波検査,エコー,料金,")</f>
        <v>子宮,超音波検査,エコー,料金,</v>
      </c>
      <c r="E1294" s="32" t="str">
        <f>IFERROR(__xludf.DUMMYFUNCTION("""COMPUTED_VALUE"""),"https://luna-dr.com/kawasaki/price/")</f>
        <v>https://luna-dr.com/kawasaki/price/</v>
      </c>
    </row>
    <row r="1295">
      <c r="A1295" s="31" t="str">
        <f>IFERROR(__xludf.DUMMYFUNCTION("""COMPUTED_VALUE"""),"痛み止めの処方はいくらですか？")</f>
        <v>痛み止めの処方はいくらですか？</v>
      </c>
      <c r="B1295" s="31" t="str">
        <f>IFERROR(__xludf.DUMMYFUNCTION("""COMPUTED_VALUE"""),"痛み止めの処方は、保険診療の場合の目安料金は約400円（税込）です。処方内容により金額が前後する場合があります。別途、初診料・再診料がかかります。")</f>
        <v>痛み止めの処方は、保険診療の場合の目安料金は約400円（税込）です。処方内容により金額が前後する場合があります。別途、初診料・再診料がかかります。</v>
      </c>
      <c r="C1295" s="31" t="str">
        <f>IFERROR(__xludf.DUMMYFUNCTION("""COMPUTED_VALUE"""),"治療・料金")</f>
        <v>治療・料金</v>
      </c>
      <c r="D1295" s="31" t="str">
        <f>IFERROR(__xludf.DUMMYFUNCTION("""COMPUTED_VALUE"""),"生理痛,鎮痛剤,処方,料金,")</f>
        <v>生理痛,鎮痛剤,処方,料金,</v>
      </c>
      <c r="E1295" s="32" t="str">
        <f>IFERROR(__xludf.DUMMYFUNCTION("""COMPUTED_VALUE"""),"https://luna-dr.com/kawasaki/price/")</f>
        <v>https://luna-dr.com/kawasaki/price/</v>
      </c>
    </row>
    <row r="1296">
      <c r="A1296" s="31" t="str">
        <f>IFERROR(__xludf.DUMMYFUNCTION("""COMPUTED_VALUE"""),"保険適用ピルはいくらですか？")</f>
        <v>保険適用ピルはいくらですか？</v>
      </c>
      <c r="B1296" s="31" t="str">
        <f>IFERROR(__xludf.DUMMYFUNCTION("""COMPUTED_VALUE"""),"保険適用のピル処方は、保険診療の場合の目安料金は約2,700円（税込）です。適応可否は医師の診察により判断されます。別途、初診料・再診料がかかります。")</f>
        <v>保険適用のピル処方は、保険診療の場合の目安料金は約2,700円（税込）です。適応可否は医師の診察により判断されます。別途、初診料・再診料がかかります。</v>
      </c>
      <c r="C1296" s="31" t="str">
        <f>IFERROR(__xludf.DUMMYFUNCTION("""COMPUTED_VALUE"""),"治療・料金")</f>
        <v>治療・料金</v>
      </c>
      <c r="D1296" s="31" t="str">
        <f>IFERROR(__xludf.DUMMYFUNCTION("""COMPUTED_VALUE"""),"ピル,保険診療,生理痛,料金,")</f>
        <v>ピル,保険診療,生理痛,料金,</v>
      </c>
      <c r="E1296" s="32" t="str">
        <f>IFERROR(__xludf.DUMMYFUNCTION("""COMPUTED_VALUE"""),"https://luna-dr.com/kawasaki/price/")</f>
        <v>https://luna-dr.com/kawasaki/price/</v>
      </c>
    </row>
    <row r="1297">
      <c r="A1297" s="31" t="str">
        <f>IFERROR(__xludf.DUMMYFUNCTION("""COMPUTED_VALUE"""),"子宮頸がん検査はいくらですか？")</f>
        <v>子宮頸がん検査はいくらですか？</v>
      </c>
      <c r="B1297" s="31" t="str">
        <f>IFERROR(__xludf.DUMMYFUNCTION("""COMPUTED_VALUE"""),"子宮頸がん検査は、保険診療の場合の目安料金は約1,100円（税込）です。症状や検診目的により内容が異なる場合があります。別途、初診料・再診料がかかります。")</f>
        <v>子宮頸がん検査は、保険診療の場合の目安料金は約1,100円（税込）です。症状や検診目的により内容が異なる場合があります。別途、初診料・再診料がかかります。</v>
      </c>
      <c r="C1297" s="31" t="str">
        <f>IFERROR(__xludf.DUMMYFUNCTION("""COMPUTED_VALUE"""),"検査・料金")</f>
        <v>検査・料金</v>
      </c>
      <c r="D1297" s="31" t="str">
        <f>IFERROR(__xludf.DUMMYFUNCTION("""COMPUTED_VALUE"""),"子宮頸がん検査,がん検診,料金,")</f>
        <v>子宮頸がん検査,がん検診,料金,</v>
      </c>
      <c r="E1297" s="32" t="str">
        <f>IFERROR(__xludf.DUMMYFUNCTION("""COMPUTED_VALUE"""),"https://luna-dr.com/kawasaki/price/")</f>
        <v>https://luna-dr.com/kawasaki/price/</v>
      </c>
    </row>
    <row r="1298">
      <c r="A1298" s="31" t="str">
        <f>IFERROR(__xludf.DUMMYFUNCTION("""COMPUTED_VALUE"""),"子宮体がん検査はいくらですか？")</f>
        <v>子宮体がん検査はいくらですか？</v>
      </c>
      <c r="B1298" s="31" t="str">
        <f>IFERROR(__xludf.DUMMYFUNCTION("""COMPUTED_VALUE"""),"子宮体がん検査は、保険診療の場合の目安料金は約2,100円（税込）です。症状がある場合に実施される検査です。別途、初診料・再診料がかかります。")</f>
        <v>子宮体がん検査は、保険診療の場合の目安料金は約2,100円（税込）です。症状がある場合に実施される検査です。別途、初診料・再診料がかかります。</v>
      </c>
      <c r="C1298" s="31" t="str">
        <f>IFERROR(__xludf.DUMMYFUNCTION("""COMPUTED_VALUE"""),"検査・料金")</f>
        <v>検査・料金</v>
      </c>
      <c r="D1298" s="31" t="str">
        <f>IFERROR(__xludf.DUMMYFUNCTION("""COMPUTED_VALUE"""),"子宮体がん検査,不正出血,料金,")</f>
        <v>子宮体がん検査,不正出血,料金,</v>
      </c>
      <c r="E1298" s="32" t="str">
        <f>IFERROR(__xludf.DUMMYFUNCTION("""COMPUTED_VALUE"""),"https://luna-dr.com/kawasaki/price/")</f>
        <v>https://luna-dr.com/kawasaki/price/</v>
      </c>
    </row>
    <row r="1299">
      <c r="A1299" s="31" t="str">
        <f>IFERROR(__xludf.DUMMYFUNCTION("""COMPUTED_VALUE"""),"子宮の超音波検査はいくらですか？")</f>
        <v>子宮の超音波検査はいくらですか？</v>
      </c>
      <c r="B1299" s="31" t="str">
        <f>IFERROR(__xludf.DUMMYFUNCTION("""COMPUTED_VALUE"""),"子宮の超音波検査は、保険診療の場合、目安として約1,600円（税込）です。診察内容や検査内容により金額が前後することがあり、別途、初診料・再診料がかかります。")</f>
        <v>子宮の超音波検査は、保険診療の場合、目安として約1,600円（税込）です。診察内容や検査内容により金額が前後することがあり、別途、初診料・再診料がかかります。</v>
      </c>
      <c r="C1299" s="31" t="str">
        <f>IFERROR(__xludf.DUMMYFUNCTION("""COMPUTED_VALUE"""),"料金・検査")</f>
        <v>料金・検査</v>
      </c>
      <c r="D1299" s="31" t="str">
        <f>IFERROR(__xludf.DUMMYFUNCTION("""COMPUTED_VALUE"""),"子宮超音波検査,エコー,料金,保険診療,")</f>
        <v>子宮超音波検査,エコー,料金,保険診療,</v>
      </c>
      <c r="E1299" s="32" t="str">
        <f>IFERROR(__xludf.DUMMYFUNCTION("""COMPUTED_VALUE"""),"https://luna-dr.com/kawasaki/price/")</f>
        <v>https://luna-dr.com/kawasaki/price/</v>
      </c>
    </row>
    <row r="1300">
      <c r="A1300" s="31" t="str">
        <f>IFERROR(__xludf.DUMMYFUNCTION("""COMPUTED_VALUE"""),"ホルモン検査はいくらですか？")</f>
        <v>ホルモン検査はいくらですか？</v>
      </c>
      <c r="B1300" s="31" t="str">
        <f>IFERROR(__xludf.DUMMYFUNCTION("""COMPUTED_VALUE"""),"ホルモン検査は、保険診療の場合、目安として約3,000円（税込）です。診察内容や検査項目によって金額が変わることがあり、別途、初診料・再診料がかかります。")</f>
        <v>ホルモン検査は、保険診療の場合、目安として約3,000円（税込）です。診察内容や検査項目によって金額が変わることがあり、別途、初診料・再診料がかかります。</v>
      </c>
      <c r="C1300" s="31" t="str">
        <f>IFERROR(__xludf.DUMMYFUNCTION("""COMPUTED_VALUE"""),"料金・検査")</f>
        <v>料金・検査</v>
      </c>
      <c r="D1300" s="31" t="str">
        <f>IFERROR(__xludf.DUMMYFUNCTION("""COMPUTED_VALUE"""),"ホルモン検査,血液検査,料金,保険診療,")</f>
        <v>ホルモン検査,血液検査,料金,保険診療,</v>
      </c>
      <c r="E1300" s="32" t="str">
        <f>IFERROR(__xludf.DUMMYFUNCTION("""COMPUTED_VALUE"""),"https://luna-dr.com/kawasaki/price/")</f>
        <v>https://luna-dr.com/kawasaki/price/</v>
      </c>
    </row>
    <row r="1301">
      <c r="A1301" s="31" t="str">
        <f>IFERROR(__xludf.DUMMYFUNCTION("""COMPUTED_VALUE"""),"腹痛の際の超音波検査はいくらですか？")</f>
        <v>腹痛の際の超音波検査はいくらですか？</v>
      </c>
      <c r="B1301" s="31" t="str">
        <f>IFERROR(__xludf.DUMMYFUNCTION("""COMPUTED_VALUE"""),"腹痛の症状で行う超音波検査は、保険診療の場合、目安として約1,600円（税込）です。診察内容により検査が追加される場合があり、別途、初診料・再診料がかかります。")</f>
        <v>腹痛の症状で行う超音波検査は、保険診療の場合、目安として約1,600円（税込）です。診察内容により検査が追加される場合があり、別途、初診料・再診料がかかります。</v>
      </c>
      <c r="C1301" s="31" t="str">
        <f>IFERROR(__xludf.DUMMYFUNCTION("""COMPUTED_VALUE"""),"料金・症状別")</f>
        <v>料金・症状別</v>
      </c>
      <c r="D1301" s="31" t="str">
        <f>IFERROR(__xludf.DUMMYFUNCTION("""COMPUTED_VALUE"""),"腹痛,超音波検査,エコー,料金,保険診療,")</f>
        <v>腹痛,超音波検査,エコー,料金,保険診療,</v>
      </c>
      <c r="E1301" s="32" t="str">
        <f>IFERROR(__xludf.DUMMYFUNCTION("""COMPUTED_VALUE"""),"https://luna-dr.com/kawasaki/price/")</f>
        <v>https://luna-dr.com/kawasaki/price/</v>
      </c>
    </row>
    <row r="1302">
      <c r="A1302" s="31" t="str">
        <f>IFERROR(__xludf.DUMMYFUNCTION("""COMPUTED_VALUE"""),"腹痛で行う性病検査はいくらですか？")</f>
        <v>腹痛で行う性病検査はいくらですか？</v>
      </c>
      <c r="B1302" s="31" t="str">
        <f>IFERROR(__xludf.DUMMYFUNCTION("""COMPUTED_VALUE"""),"腹痛の症状により行う性病検査は、保険診療の場合、目安として約1,500円（税込）です。診察内容によって検査内容や金額が変わることがあり、別途、初診料・再診料がかかります。")</f>
        <v>腹痛の症状により行う性病検査は、保険診療の場合、目安として約1,500円（税込）です。診察内容によって検査内容や金額が変わることがあり、別途、初診料・再診料がかかります。</v>
      </c>
      <c r="C1302" s="31" t="str">
        <f>IFERROR(__xludf.DUMMYFUNCTION("""COMPUTED_VALUE"""),"料金・症状別")</f>
        <v>料金・症状別</v>
      </c>
      <c r="D1302" s="31" t="str">
        <f>IFERROR(__xludf.DUMMYFUNCTION("""COMPUTED_VALUE"""),"腹痛,性病検査,STD,料金,保険診療,")</f>
        <v>腹痛,性病検査,STD,料金,保険診療,</v>
      </c>
      <c r="E1302" s="32" t="str">
        <f>IFERROR(__xludf.DUMMYFUNCTION("""COMPUTED_VALUE"""),"https://luna-dr.com/kawasaki/price/")</f>
        <v>https://luna-dr.com/kawasaki/price/</v>
      </c>
    </row>
    <row r="1303">
      <c r="A1303" s="31" t="str">
        <f>IFERROR(__xludf.DUMMYFUNCTION("""COMPUTED_VALUE"""),"保険の性病検査はいくらですか？")</f>
        <v>保険の性病検査はいくらですか？</v>
      </c>
      <c r="B1303" s="31" t="str">
        <f>IFERROR(__xludf.DUMMYFUNCTION("""COMPUTED_VALUE"""),"性病検査は、症状があり医師が必要と判断した場合、保険診療で目安として約1,500円（税込）です。診察内容により検査項目が変更となる場合があります。別途、初診料・再診料がかかります。")</f>
        <v>性病検査は、症状があり医師が必要と判断した場合、保険診療で目安として約1,500円（税込）です。診察内容により検査項目が変更となる場合があります。別途、初診料・再診料がかかります。</v>
      </c>
      <c r="C1303" s="31" t="str">
        <f>IFERROR(__xludf.DUMMYFUNCTION("""COMPUTED_VALUE"""),"料金・検査")</f>
        <v>料金・検査</v>
      </c>
      <c r="D1303" s="31" t="str">
        <f>IFERROR(__xludf.DUMMYFUNCTION("""COMPUTED_VALUE"""),"性病検査,STD,料金,保険診療,")</f>
        <v>性病検査,STD,料金,保険診療,</v>
      </c>
      <c r="E1303" s="32" t="str">
        <f>IFERROR(__xludf.DUMMYFUNCTION("""COMPUTED_VALUE"""),"https://luna-dr.com/kawasaki/price/")</f>
        <v>https://luna-dr.com/kawasaki/price/</v>
      </c>
    </row>
    <row r="1304">
      <c r="A1304" s="31" t="str">
        <f>IFERROR(__xludf.DUMMYFUNCTION("""COMPUTED_VALUE"""),"ポリープ切除はいくらですか？")</f>
        <v>ポリープ切除はいくらですか？</v>
      </c>
      <c r="B1304" s="31" t="str">
        <f>IFERROR(__xludf.DUMMYFUNCTION("""COMPUTED_VALUE"""),"ポリープ切除は、保険診療の場合の目安料金は約6,700円（税込）です。ポリープの大きさや部位により費用が変動する場合があります。別途、初診料・再診料がかかります。")</f>
        <v>ポリープ切除は、保険診療の場合の目安料金は約6,700円（税込）です。ポリープの大きさや部位により費用が変動する場合があります。別途、初診料・再診料がかかります。</v>
      </c>
      <c r="C1304" s="31" t="str">
        <f>IFERROR(__xludf.DUMMYFUNCTION("""COMPUTED_VALUE"""),"処置・料金")</f>
        <v>処置・料金</v>
      </c>
      <c r="D1304" s="31" t="str">
        <f>IFERROR(__xludf.DUMMYFUNCTION("""COMPUTED_VALUE"""),"ポリープ切除,子宮ポリープ,料金,")</f>
        <v>ポリープ切除,子宮ポリープ,料金,</v>
      </c>
      <c r="E1304" s="32" t="str">
        <f>IFERROR(__xludf.DUMMYFUNCTION("""COMPUTED_VALUE"""),"https://luna-dr.com/kawasaki/price/")</f>
        <v>https://luna-dr.com/kawasaki/price/</v>
      </c>
    </row>
    <row r="1305">
      <c r="A1305" s="31" t="str">
        <f>IFERROR(__xludf.DUMMYFUNCTION("""COMPUTED_VALUE"""),"膀胱炎の検査と治療はいくらですか？")</f>
        <v>膀胱炎の検査と治療はいくらですか？</v>
      </c>
      <c r="B1305" s="31" t="str">
        <f>IFERROR(__xludf.DUMMYFUNCTION("""COMPUTED_VALUE"""),"膀胱炎の尿検査と抗生剤処方は、保険診療の場合の目安料金は約600円（税込）です。症状や治療内容により変動することがあります。別途、初診料・再診料がかかります。")</f>
        <v>膀胱炎の尿検査と抗生剤処方は、保険診療の場合の目安料金は約600円（税込）です。症状や治療内容により変動することがあります。別途、初診料・再診料がかかります。</v>
      </c>
      <c r="C1305" s="31" t="str">
        <f>IFERROR(__xludf.DUMMYFUNCTION("""COMPUTED_VALUE"""),"検査・治療・料金")</f>
        <v>検査・治療・料金</v>
      </c>
      <c r="D1305" s="31" t="str">
        <f>IFERROR(__xludf.DUMMYFUNCTION("""COMPUTED_VALUE"""),"膀胱炎,尿検査,抗生剤,料金,")</f>
        <v>膀胱炎,尿検査,抗生剤,料金,</v>
      </c>
      <c r="E1305" s="32" t="str">
        <f>IFERROR(__xludf.DUMMYFUNCTION("""COMPUTED_VALUE"""),"https://luna-dr.com/kawasaki/price/")</f>
        <v>https://luna-dr.com/kawasaki/price/</v>
      </c>
    </row>
    <row r="1306">
      <c r="A1306" s="31" t="str">
        <f>IFERROR(__xludf.DUMMYFUNCTION("""COMPUTED_VALUE"""),"検査結果はどこで確認できますか？")</f>
        <v>検査結果はどこで確認できますか？</v>
      </c>
      <c r="B1306" s="31" t="str">
        <f>IFERROR(__xludf.DUMMYFUNCTION("""COMPUTED_VALUE"""),"検査結果は、当院の検査結果確認サイトからご確認いただけます。こちらのURLにアクセスしてください。https://result.luna-dr.com/clinic_login 患者番号は、会計時にお渡ししている領収書に記載のある10桁の番号となります。")</f>
        <v>検査結果は、当院の検査結果確認サイトからご確認いただけます。こちらのURLにアクセスしてください。https://result.luna-dr.com/clinic_login 患者番号は、会計時にお渡ししている領収書に記載のある10桁の番号となります。</v>
      </c>
      <c r="C1306" s="31" t="str">
        <f>IFERROR(__xludf.DUMMYFUNCTION("""COMPUTED_VALUE"""),"検査結果・確認方法")</f>
        <v>検査結果・確認方法</v>
      </c>
      <c r="D1306" s="31" t="str">
        <f>IFERROR(__xludf.DUMMYFUNCTION("""COMPUTED_VALUE"""),"検査結果,結果確認,確認方法,")</f>
        <v>検査結果,結果確認,確認方法,</v>
      </c>
      <c r="E1306" s="32" t="str">
        <f>IFERROR(__xludf.DUMMYFUNCTION("""COMPUTED_VALUE"""),"https://luna-dr.com/kawasaki/about_result/")</f>
        <v>https://luna-dr.com/kawasaki/about_result/</v>
      </c>
    </row>
    <row r="1307">
      <c r="A1307" s="31" t="str">
        <f>IFERROR(__xludf.DUMMYFUNCTION("""COMPUTED_VALUE"""),"検査結果の確認方法を教えてください/検査結果をWebで確認したい/検査結果のWeb確認方法")</f>
        <v>検査結果の確認方法を教えてください/検査結果をWebで確認したい/検査結果のWeb確認方法</v>
      </c>
      <c r="B1307" s="31" t="str">
        <f>IFERROR(__xludf.DUMMYFUNCTION("""COMPUTED_VALUE"""),"検査結果確認サイト（https://result.luna-dr.com/clinic_login）にアクセスし、患者番号と生年月日を入力して「結果を見る」ボタンをクリックしてください。患者番号は、会計時にお渡ししている領収書に記載のある10桁の番号となります。")</f>
        <v>検査結果確認サイト（https://result.luna-dr.com/clinic_login）にアクセスし、患者番号と生年月日を入力して「結果を見る」ボタンをクリックしてください。患者番号は、会計時にお渡ししている領収書に記載のある10桁の番号となります。</v>
      </c>
      <c r="C1307" s="31" t="str">
        <f>IFERROR(__xludf.DUMMYFUNCTION("""COMPUTED_VALUE"""),"検査結果・確認方法")</f>
        <v>検査結果・確認方法</v>
      </c>
      <c r="D1307" s="31" t="str">
        <f>IFERROR(__xludf.DUMMYFUNCTION("""COMPUTED_VALUE"""),"検査結果,診察券番号,生年月日,Web,確認方法,サイト")</f>
        <v>検査結果,診察券番号,生年月日,Web,確認方法,サイト</v>
      </c>
      <c r="E1307" s="32" t="str">
        <f>IFERROR(__xludf.DUMMYFUNCTION("""COMPUTED_VALUE"""),"https://luna-dr.com/kawasaki/about_result/")</f>
        <v>https://luna-dr.com/kawasaki/about_result/</v>
      </c>
    </row>
    <row r="1308">
      <c r="A1308" s="31" t="str">
        <f>IFERROR(__xludf.DUMMYFUNCTION("""COMPUTED_VALUE"""),"検査結果はいつ頃わかりますか？")</f>
        <v>検査結果はいつ頃わかりますか？</v>
      </c>
      <c r="B1308" s="31" t="str">
        <f>IFERROR(__xludf.DUMMYFUNCTION("""COMPUTED_VALUE"""),"検査項目によって結果が判明するまでの時間は異なります。結果が出た検査項目から順次システムに登録され、ご確認いただけるようになります。")</f>
        <v>検査項目によって結果が判明するまでの時間は異なります。結果が出た検査項目から順次システムに登録され、ご確認いただけるようになります。</v>
      </c>
      <c r="C1308" s="31" t="str">
        <f>IFERROR(__xludf.DUMMYFUNCTION("""COMPUTED_VALUE"""),"検査結果・確認方法")</f>
        <v>検査結果・確認方法</v>
      </c>
      <c r="D1308" s="31" t="str">
        <f>IFERROR(__xludf.DUMMYFUNCTION("""COMPUTED_VALUE"""),"検査結果,結果判明,検査項目,")</f>
        <v>検査結果,結果判明,検査項目,</v>
      </c>
      <c r="E1308" s="32" t="str">
        <f>IFERROR(__xludf.DUMMYFUNCTION("""COMPUTED_VALUE"""),"https://luna-dr.com/kawasaki/about_result/")</f>
        <v>https://luna-dr.com/kawasaki/about_result/</v>
      </c>
    </row>
    <row r="1309">
      <c r="A1309" s="31" t="str">
        <f>IFERROR(__xludf.DUMMYFUNCTION("""COMPUTED_VALUE"""),"検査結果が表示されません。どうすればいいですか？")</f>
        <v>検査結果が表示されません。どうすればいいですか？</v>
      </c>
      <c r="B1309" s="31" t="str">
        <f>IFERROR(__xludf.DUMMYFUNCTION("""COMPUTED_VALUE"""),"結果が表示されない場合は、まだ結果が確定していない可能性があります。しばらく時間をおいて再度ご確認ください。それでも確認できない場合は、お手数ですがクリニックまでお電話（050-1730-2768）またはメールにてお問い合わせください。")</f>
        <v>結果が表示されない場合は、まだ結果が確定していない可能性があります。しばらく時間をおいて再度ご確認ください。それでも確認できない場合は、お手数ですがクリニックまでお電話（050-1730-2768）またはメールにてお問い合わせください。</v>
      </c>
      <c r="C1309" s="31" t="str">
        <f>IFERROR(__xludf.DUMMYFUNCTION("""COMPUTED_VALUE"""),"検査結果・確認方法")</f>
        <v>検査結果・確認方法</v>
      </c>
      <c r="D1309" s="31" t="str">
        <f>IFERROR(__xludf.DUMMYFUNCTION("""COMPUTED_VALUE"""),"検査結果,表示されない,問い合わせ,")</f>
        <v>検査結果,表示されない,問い合わせ,</v>
      </c>
      <c r="E1309" s="32" t="str">
        <f>IFERROR(__xludf.DUMMYFUNCTION("""COMPUTED_VALUE"""),"https://luna-dr.com/kawasaki/about_result/")</f>
        <v>https://luna-dr.com/kawasaki/about_result/</v>
      </c>
    </row>
    <row r="1310">
      <c r="A1310" s="31" t="str">
        <f>IFERROR(__xludf.DUMMYFUNCTION("""COMPUTED_VALUE"""),"若返り点滴は現在も受けられますか？")</f>
        <v>若返り点滴は現在も受けられますか？</v>
      </c>
      <c r="B1310" s="31" t="str">
        <f>IFERROR(__xludf.DUMMYFUNCTION("""COMPUTED_VALUE"""),"若返り点滴は、2025年7月末をもって提供を終了しております。ご愛顧いただいていた患者様にはご不便をおかけいたしますが、何卒ご理解賜りますようお願い申し上げます。")</f>
        <v>若返り点滴は、2025年7月末をもって提供を終了しております。ご愛顧いただいていた患者様にはご不便をおかけいたしますが、何卒ご理解賜りますようお願い申し上げます。</v>
      </c>
      <c r="C1310" s="31" t="str">
        <f>IFERROR(__xludf.DUMMYFUNCTION("""COMPUTED_VALUE"""),"提供終了メニュー")</f>
        <v>提供終了メニュー</v>
      </c>
      <c r="D1310" s="31" t="str">
        <f>IFERROR(__xludf.DUMMYFUNCTION("""COMPUTED_VALUE"""),"若返り点滴,美容点滴,提供終了")</f>
        <v>若返り点滴,美容点滴,提供終了</v>
      </c>
      <c r="E1310" s="31"/>
    </row>
    <row r="1311">
      <c r="A1311" s="31" t="str">
        <f>IFERROR(__xludf.DUMMYFUNCTION("""COMPUTED_VALUE"""),"美白点滴はいつまで受けられますか？")</f>
        <v>美白点滴はいつまで受けられますか？</v>
      </c>
      <c r="B1311" s="31" t="str">
        <f>IFERROR(__xludf.DUMMYFUNCTION("""COMPUTED_VALUE"""),"美白点滴は、2025年8月15日をもって提供を終了いたします。ご愛顧いただいていた患者様にはご不便をおかけいたしますが、何卒ご理解賜りますようお願い申し上げます。")</f>
        <v>美白点滴は、2025年8月15日をもって提供を終了いたします。ご愛顧いただいていた患者様にはご不便をおかけいたしますが、何卒ご理解賜りますようお願い申し上げます。</v>
      </c>
      <c r="C1311" s="31" t="str">
        <f>IFERROR(__xludf.DUMMYFUNCTION("""COMPUTED_VALUE"""),"提供終了メニュー")</f>
        <v>提供終了メニュー</v>
      </c>
      <c r="D1311" s="31" t="str">
        <f>IFERROR(__xludf.DUMMYFUNCTION("""COMPUTED_VALUE"""),"美白点滴,美容点滴,提供終了")</f>
        <v>美白点滴,美容点滴,提供終了</v>
      </c>
      <c r="E1311" s="31"/>
    </row>
    <row r="1312">
      <c r="A1312" s="31" t="str">
        <f>IFERROR(__xludf.DUMMYFUNCTION("""COMPUTED_VALUE"""),"疲労回復点滴は現在も実施していますか？")</f>
        <v>疲労回復点滴は現在も実施していますか？</v>
      </c>
      <c r="B1312" s="31" t="str">
        <f>IFERROR(__xludf.DUMMYFUNCTION("""COMPUTED_VALUE"""),"疲労回復点滴は、2025年8月末をもって提供を終了しております。ご愛顧いただいていた患者様にはご不便をおかけいたしますが、何卒ご理解賜りますようお願い申し上げます。")</f>
        <v>疲労回復点滴は、2025年8月末をもって提供を終了しております。ご愛顧いただいていた患者様にはご不便をおかけいたしますが、何卒ご理解賜りますようお願い申し上げます。</v>
      </c>
      <c r="C1312" s="31" t="str">
        <f>IFERROR(__xludf.DUMMYFUNCTION("""COMPUTED_VALUE"""),"提供終了メニュー")</f>
        <v>提供終了メニュー</v>
      </c>
      <c r="D1312" s="31" t="str">
        <f>IFERROR(__xludf.DUMMYFUNCTION("""COMPUTED_VALUE"""),"疲労回復点滴,美容点滴,提供終了")</f>
        <v>疲労回復点滴,美容点滴,提供終了</v>
      </c>
      <c r="E1312" s="31"/>
    </row>
    <row r="1313">
      <c r="A1313" s="31" t="str">
        <f>IFERROR(__xludf.DUMMYFUNCTION("""COMPUTED_VALUE"""),"プラセンタ点滴は今後も受けられますか？")</f>
        <v>プラセンタ点滴は今後も受けられますか？</v>
      </c>
      <c r="B1313" s="31" t="str">
        <f>IFERROR(__xludf.DUMMYFUNCTION("""COMPUTED_VALUE"""),"プラセンタ点滴は、2025年8月末をもって提供を終了しております。ご愛顧いただいていた患者様にはご不便をおかけいたしますが、何卒ご理解賜りますようお願い申し上げます。")</f>
        <v>プラセンタ点滴は、2025年8月末をもって提供を終了しております。ご愛顧いただいていた患者様にはご不便をおかけいたしますが、何卒ご理解賜りますようお願い申し上げます。</v>
      </c>
      <c r="C1313" s="31" t="str">
        <f>IFERROR(__xludf.DUMMYFUNCTION("""COMPUTED_VALUE"""),"提供終了メニュー")</f>
        <v>提供終了メニュー</v>
      </c>
      <c r="D1313" s="31" t="str">
        <f>IFERROR(__xludf.DUMMYFUNCTION("""COMPUTED_VALUE"""),"プラセンタ点滴,美容点滴,提供終了")</f>
        <v>プラセンタ点滴,美容点滴,提供終了</v>
      </c>
      <c r="E1313" s="31"/>
    </row>
    <row r="1314">
      <c r="A1314" s="31" t="str">
        <f>IFERROR(__xludf.DUMMYFUNCTION("""COMPUTED_VALUE"""),"美容点滴の提供終了メニューについて教えてください")</f>
        <v>美容点滴の提供終了メニューについて教えてください</v>
      </c>
      <c r="B1314" s="31" t="str">
        <f>IFERROR(__xludf.DUMMYFUNCTION("""COMPUTED_VALUE"""),"若返り点滴（2025年7月末終了）、美白点滴（2025年8月15日終了）、疲労回復点滴（2025年8月末終了）、プラセンタ点滴（2025年8月末終了）の提供は終了しております。ご愛顧いただいていた患者様にはご不便をおかけいたしますが、何卒ご理解賜りますようお願い申し上げます。")</f>
        <v>若返り点滴（2025年7月末終了）、美白点滴（2025年8月15日終了）、疲労回復点滴（2025年8月末終了）、プラセンタ点滴（2025年8月末終了）の提供は終了しております。ご愛顧いただいていた患者様にはご不便をおかけいたしますが、何卒ご理解賜りますようお願い申し上げます。</v>
      </c>
      <c r="C1314" s="31" t="str">
        <f>IFERROR(__xludf.DUMMYFUNCTION("""COMPUTED_VALUE"""),"提供終了メニュー")</f>
        <v>提供終了メニュー</v>
      </c>
      <c r="D1314" s="31" t="str">
        <f>IFERROR(__xludf.DUMMYFUNCTION("""COMPUTED_VALUE"""),"美容点滴,点滴終了,提供終了")</f>
        <v>美容点滴,点滴終了,提供終了</v>
      </c>
      <c r="E1314" s="31"/>
    </row>
    <row r="1315">
      <c r="A1315" s="31" t="str">
        <f>IFERROR(__xludf.DUMMYFUNCTION("""COMPUTED_VALUE"""),"他の院でも受診できますか？")</f>
        <v>他の院でも受診できますか？</v>
      </c>
      <c r="B1315" s="31" t="str">
        <f>IFERROR(__xludf.DUMMYFUNCTION("""COMPUTED_VALUE"""),"ルナレディースクリニックでは、当院の別の院（横浜駅前院・川崎駅前院・町田駅前院）でのご受診も可能です。ただし、保険診療の場合は別途初診料が発生する可能性がございます。
また、当院より紹介状を発行しMRI検査を受けられた方につきましては、検査結果のご説明は紹介元のクリニックのみで行っております。あらかじめご了承くださいますようお願い申し上げます。")</f>
        <v>ルナレディースクリニックでは、当院の別の院（横浜駅前院・川崎駅前院・町田駅前院）でのご受診も可能です。ただし、保険診療の場合は別途初診料が発生する可能性がございます。
また、当院より紹介状を発行しMRI検査を受けられた方につきましては、検査結果のご説明は紹介元のクリニックのみで行っております。あらかじめご了承くださいますようお願い申し上げます。</v>
      </c>
      <c r="C1315" s="31" t="str">
        <f>IFERROR(__xludf.DUMMYFUNCTION("""COMPUTED_VALUE"""),"受診案内・院変更")</f>
        <v>受診案内・院変更</v>
      </c>
      <c r="D1315" s="31" t="str">
        <f>IFERROR(__xludf.DUMMYFUNCTION("""COMPUTED_VALUE"""),"院変更,横浜駅前院,川崎駅前院,町田駅前院,初診料,保険診療,MRI,紹介状,検査結果")</f>
        <v>院変更,横浜駅前院,川崎駅前院,町田駅前院,初診料,保険診療,MRI,紹介状,検査結果</v>
      </c>
      <c r="E1315" s="31"/>
    </row>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 r:id="rId25" ref="E26"/>
    <hyperlink r:id="rId26" ref="E27"/>
    <hyperlink r:id="rId27" ref="E28"/>
    <hyperlink r:id="rId28" ref="E29"/>
    <hyperlink r:id="rId29" ref="E30"/>
    <hyperlink r:id="rId30" ref="E31"/>
    <hyperlink r:id="rId31" ref="E32"/>
    <hyperlink r:id="rId32" ref="E33"/>
    <hyperlink r:id="rId33" ref="E34"/>
    <hyperlink r:id="rId34" ref="E37"/>
    <hyperlink r:id="rId35" ref="E38"/>
    <hyperlink r:id="rId36" ref="E39"/>
    <hyperlink r:id="rId37" ref="E40"/>
    <hyperlink r:id="rId38" ref="E41"/>
    <hyperlink r:id="rId39" ref="E42"/>
    <hyperlink r:id="rId40" ref="E43"/>
    <hyperlink r:id="rId41" ref="E44"/>
    <hyperlink r:id="rId42" ref="E45"/>
    <hyperlink r:id="rId43" ref="E46"/>
    <hyperlink r:id="rId44" ref="E47"/>
    <hyperlink r:id="rId45" ref="E49"/>
    <hyperlink r:id="rId46" ref="E50"/>
    <hyperlink r:id="rId47" ref="E51"/>
    <hyperlink r:id="rId48" ref="E53"/>
    <hyperlink r:id="rId49" ref="E54"/>
    <hyperlink r:id="rId50" ref="E55"/>
    <hyperlink r:id="rId51" ref="E56"/>
    <hyperlink r:id="rId52" ref="E57"/>
    <hyperlink r:id="rId53" ref="E58"/>
    <hyperlink r:id="rId54" ref="E59"/>
    <hyperlink r:id="rId55" ref="E60"/>
    <hyperlink r:id="rId56" ref="E61"/>
    <hyperlink r:id="rId57" ref="E62"/>
    <hyperlink r:id="rId58" ref="E63"/>
    <hyperlink r:id="rId59" ref="E64"/>
    <hyperlink r:id="rId60" ref="E65"/>
    <hyperlink r:id="rId61" ref="E66"/>
    <hyperlink r:id="rId62" ref="E67"/>
    <hyperlink r:id="rId63" ref="E68"/>
    <hyperlink r:id="rId64" ref="E69"/>
    <hyperlink r:id="rId65" ref="E70"/>
    <hyperlink r:id="rId66" ref="E71"/>
    <hyperlink r:id="rId67" ref="E72"/>
    <hyperlink r:id="rId68" ref="E73"/>
    <hyperlink r:id="rId69" ref="E74"/>
    <hyperlink r:id="rId70" ref="E75"/>
    <hyperlink r:id="rId71" ref="E76"/>
    <hyperlink r:id="rId72" ref="E77"/>
    <hyperlink r:id="rId73" ref="E78"/>
    <hyperlink r:id="rId74" ref="E79"/>
    <hyperlink r:id="rId75" ref="E80"/>
    <hyperlink r:id="rId76" ref="E81"/>
    <hyperlink r:id="rId77" ref="E82"/>
    <hyperlink r:id="rId78" ref="E83"/>
    <hyperlink r:id="rId79" ref="E84"/>
    <hyperlink r:id="rId80" ref="E85"/>
    <hyperlink r:id="rId81" ref="E86"/>
    <hyperlink r:id="rId82" ref="E87"/>
    <hyperlink r:id="rId83" ref="E88"/>
    <hyperlink r:id="rId84" ref="E89"/>
    <hyperlink r:id="rId85" ref="E90"/>
    <hyperlink r:id="rId86" ref="E91"/>
    <hyperlink r:id="rId87" ref="E92"/>
    <hyperlink r:id="rId88" ref="E93"/>
    <hyperlink r:id="rId89" ref="E94"/>
    <hyperlink r:id="rId90" ref="E95"/>
    <hyperlink r:id="rId91" ref="E96"/>
    <hyperlink r:id="rId92" ref="E97"/>
    <hyperlink r:id="rId93" ref="E98"/>
    <hyperlink r:id="rId94" ref="E99"/>
    <hyperlink r:id="rId95" ref="E100"/>
    <hyperlink r:id="rId96" ref="E101"/>
    <hyperlink r:id="rId97" ref="E102"/>
    <hyperlink r:id="rId98" ref="E103"/>
    <hyperlink r:id="rId99" ref="E104"/>
    <hyperlink r:id="rId100" ref="E105"/>
    <hyperlink r:id="rId101" ref="E106"/>
    <hyperlink r:id="rId102" ref="E107"/>
    <hyperlink r:id="rId103" ref="E108"/>
    <hyperlink r:id="rId104" ref="E109"/>
    <hyperlink r:id="rId105" ref="E110"/>
    <hyperlink r:id="rId106" ref="E111"/>
    <hyperlink r:id="rId107" ref="E112"/>
    <hyperlink r:id="rId108" ref="E113"/>
    <hyperlink r:id="rId109" ref="E114"/>
    <hyperlink r:id="rId110" ref="E115"/>
    <hyperlink r:id="rId111" ref="E116"/>
    <hyperlink r:id="rId112" ref="E117"/>
    <hyperlink r:id="rId113" ref="E118"/>
    <hyperlink r:id="rId114" ref="E119"/>
    <hyperlink r:id="rId115" ref="E120"/>
    <hyperlink r:id="rId116" ref="E121"/>
    <hyperlink r:id="rId117" ref="E122"/>
    <hyperlink r:id="rId118" ref="E123"/>
    <hyperlink r:id="rId119" ref="E124"/>
    <hyperlink r:id="rId120" ref="E125"/>
    <hyperlink r:id="rId121" ref="E126"/>
    <hyperlink r:id="rId122" ref="E127"/>
    <hyperlink r:id="rId123" ref="E128"/>
    <hyperlink r:id="rId124" ref="E129"/>
    <hyperlink r:id="rId125" ref="E130"/>
    <hyperlink r:id="rId126" ref="E131"/>
    <hyperlink r:id="rId127" ref="E132"/>
    <hyperlink r:id="rId128" ref="E133"/>
    <hyperlink r:id="rId129" ref="E134"/>
    <hyperlink r:id="rId130" ref="E135"/>
    <hyperlink r:id="rId131" ref="E136"/>
    <hyperlink r:id="rId132" ref="E137"/>
    <hyperlink r:id="rId133" ref="E138"/>
    <hyperlink r:id="rId134" ref="E139"/>
    <hyperlink r:id="rId135" ref="E140"/>
    <hyperlink r:id="rId136" ref="E141"/>
    <hyperlink r:id="rId137" ref="E142"/>
    <hyperlink r:id="rId138" ref="E143"/>
    <hyperlink r:id="rId139" ref="E144"/>
    <hyperlink r:id="rId140" ref="E145"/>
    <hyperlink r:id="rId141" ref="E146"/>
    <hyperlink r:id="rId142" ref="E147"/>
    <hyperlink r:id="rId143" ref="E148"/>
    <hyperlink r:id="rId144" ref="E149"/>
    <hyperlink r:id="rId145" ref="E150"/>
    <hyperlink r:id="rId146" ref="E151"/>
    <hyperlink r:id="rId147" ref="E152"/>
    <hyperlink r:id="rId148" ref="E153"/>
    <hyperlink r:id="rId149" ref="E154"/>
    <hyperlink r:id="rId150" ref="E155"/>
    <hyperlink r:id="rId151" ref="E156"/>
    <hyperlink r:id="rId152" ref="E157"/>
    <hyperlink r:id="rId153" ref="E158"/>
    <hyperlink r:id="rId154" ref="E159"/>
    <hyperlink r:id="rId155" ref="E160"/>
    <hyperlink r:id="rId156" ref="E161"/>
    <hyperlink r:id="rId157" ref="E162"/>
    <hyperlink r:id="rId158" ref="E163"/>
    <hyperlink r:id="rId159" ref="E164"/>
    <hyperlink r:id="rId160" ref="E165"/>
    <hyperlink r:id="rId161" ref="E166"/>
    <hyperlink r:id="rId162" ref="E167"/>
    <hyperlink r:id="rId163" ref="E168"/>
    <hyperlink r:id="rId164" ref="E169"/>
    <hyperlink r:id="rId165" ref="E170"/>
    <hyperlink r:id="rId166" ref="E171"/>
    <hyperlink r:id="rId167" ref="E172"/>
    <hyperlink r:id="rId168" ref="E173"/>
    <hyperlink r:id="rId169" ref="E174"/>
    <hyperlink r:id="rId170" ref="E175"/>
    <hyperlink r:id="rId171" ref="E176"/>
    <hyperlink r:id="rId172" ref="E177"/>
    <hyperlink r:id="rId173" ref="E178"/>
    <hyperlink r:id="rId174" ref="E179"/>
    <hyperlink r:id="rId175" ref="E180"/>
    <hyperlink r:id="rId176" ref="E181"/>
    <hyperlink r:id="rId177" ref="E182"/>
    <hyperlink r:id="rId178" ref="E183"/>
    <hyperlink r:id="rId179" ref="E184"/>
    <hyperlink r:id="rId180" ref="E185"/>
    <hyperlink r:id="rId181" ref="E186"/>
    <hyperlink r:id="rId182" ref="E187"/>
    <hyperlink r:id="rId183" ref="E188"/>
    <hyperlink r:id="rId184" ref="E189"/>
    <hyperlink r:id="rId185" ref="E190"/>
    <hyperlink r:id="rId186" ref="E191"/>
    <hyperlink r:id="rId187" ref="E192"/>
    <hyperlink r:id="rId188" ref="E193"/>
    <hyperlink r:id="rId189" ref="E194"/>
    <hyperlink r:id="rId190" ref="E195"/>
    <hyperlink r:id="rId191" ref="E196"/>
    <hyperlink r:id="rId192" ref="E197"/>
    <hyperlink r:id="rId193" ref="E198"/>
    <hyperlink r:id="rId194" ref="E199"/>
    <hyperlink r:id="rId195" ref="E200"/>
    <hyperlink r:id="rId196" ref="E201"/>
    <hyperlink r:id="rId197" ref="E202"/>
    <hyperlink r:id="rId198" ref="E203"/>
    <hyperlink r:id="rId199" ref="E204"/>
    <hyperlink r:id="rId200" ref="E205"/>
    <hyperlink r:id="rId201" ref="E206"/>
    <hyperlink r:id="rId202" ref="E207"/>
    <hyperlink r:id="rId203" ref="E208"/>
    <hyperlink r:id="rId204" ref="E209"/>
    <hyperlink r:id="rId205" ref="E210"/>
    <hyperlink r:id="rId206" ref="E211"/>
    <hyperlink r:id="rId207" ref="E212"/>
    <hyperlink r:id="rId208" ref="E213"/>
    <hyperlink r:id="rId209" ref="E214"/>
    <hyperlink r:id="rId210" ref="E215"/>
    <hyperlink r:id="rId211" ref="E216"/>
    <hyperlink r:id="rId212" ref="E217"/>
    <hyperlink r:id="rId213" ref="E218"/>
    <hyperlink r:id="rId214" ref="E219"/>
    <hyperlink r:id="rId215" ref="E220"/>
    <hyperlink r:id="rId216" ref="E221"/>
    <hyperlink r:id="rId217" ref="E222"/>
    <hyperlink r:id="rId218" ref="E223"/>
    <hyperlink r:id="rId219" ref="E224"/>
    <hyperlink r:id="rId220" ref="E225"/>
    <hyperlink r:id="rId221" ref="E226"/>
    <hyperlink r:id="rId222" ref="E227"/>
    <hyperlink r:id="rId223" ref="E228"/>
    <hyperlink r:id="rId224" ref="E229"/>
    <hyperlink r:id="rId225" ref="E230"/>
    <hyperlink r:id="rId226" ref="E231"/>
    <hyperlink r:id="rId227" ref="E232"/>
    <hyperlink r:id="rId228" ref="E233"/>
    <hyperlink r:id="rId229" ref="E234"/>
    <hyperlink r:id="rId230" ref="E235"/>
    <hyperlink r:id="rId231" ref="E236"/>
    <hyperlink r:id="rId232" ref="E237"/>
    <hyperlink r:id="rId233" ref="E238"/>
    <hyperlink r:id="rId234" ref="E239"/>
    <hyperlink r:id="rId235" ref="E240"/>
    <hyperlink r:id="rId236" ref="E241"/>
    <hyperlink r:id="rId237" ref="E242"/>
    <hyperlink r:id="rId238" ref="E243"/>
    <hyperlink r:id="rId239" ref="E244"/>
    <hyperlink r:id="rId240" ref="E245"/>
    <hyperlink r:id="rId241" ref="E246"/>
    <hyperlink r:id="rId242" ref="E247"/>
    <hyperlink r:id="rId243" ref="E248"/>
    <hyperlink r:id="rId244" ref="E249"/>
    <hyperlink r:id="rId245" ref="E250"/>
    <hyperlink r:id="rId246" ref="E251"/>
    <hyperlink r:id="rId247" ref="E252"/>
    <hyperlink r:id="rId248" ref="E253"/>
    <hyperlink r:id="rId249" ref="E254"/>
    <hyperlink r:id="rId250" ref="E255"/>
    <hyperlink r:id="rId251" ref="E256"/>
    <hyperlink r:id="rId252" ref="E257"/>
    <hyperlink r:id="rId253" ref="E258"/>
    <hyperlink r:id="rId254" ref="E259"/>
    <hyperlink r:id="rId255" ref="E260"/>
    <hyperlink r:id="rId256" ref="E261"/>
    <hyperlink r:id="rId257" ref="E262"/>
    <hyperlink r:id="rId258" ref="E263"/>
    <hyperlink r:id="rId259" ref="E264"/>
    <hyperlink r:id="rId260" ref="E265"/>
    <hyperlink r:id="rId261" ref="E266"/>
    <hyperlink r:id="rId262" ref="E267"/>
    <hyperlink r:id="rId263" ref="E268"/>
    <hyperlink r:id="rId264" ref="E269"/>
    <hyperlink r:id="rId265" ref="E270"/>
    <hyperlink r:id="rId266" ref="E271"/>
    <hyperlink r:id="rId267" ref="E272"/>
    <hyperlink r:id="rId268" ref="E273"/>
    <hyperlink r:id="rId269" ref="E274"/>
    <hyperlink r:id="rId270" ref="E275"/>
    <hyperlink r:id="rId271" ref="E276"/>
    <hyperlink r:id="rId272" ref="E277"/>
    <hyperlink r:id="rId273" ref="E278"/>
    <hyperlink r:id="rId274" ref="E279"/>
    <hyperlink r:id="rId275" ref="E280"/>
    <hyperlink r:id="rId276" ref="E281"/>
    <hyperlink r:id="rId277" ref="E282"/>
    <hyperlink r:id="rId278" ref="E283"/>
    <hyperlink r:id="rId279" ref="E284"/>
    <hyperlink r:id="rId280" ref="E285"/>
    <hyperlink r:id="rId281" ref="E286"/>
    <hyperlink r:id="rId282" ref="E287"/>
    <hyperlink r:id="rId283" ref="E288"/>
    <hyperlink r:id="rId284" ref="E289"/>
    <hyperlink r:id="rId285" ref="E290"/>
    <hyperlink r:id="rId286" ref="E291"/>
    <hyperlink r:id="rId287" ref="E292"/>
    <hyperlink r:id="rId288" ref="E293"/>
    <hyperlink r:id="rId289" ref="E294"/>
    <hyperlink r:id="rId290" ref="E295"/>
    <hyperlink r:id="rId291" ref="E296"/>
    <hyperlink r:id="rId292" ref="E297"/>
    <hyperlink r:id="rId293" ref="E298"/>
    <hyperlink r:id="rId294" ref="E299"/>
    <hyperlink r:id="rId295" ref="E300"/>
    <hyperlink r:id="rId296" ref="E301"/>
    <hyperlink r:id="rId297" ref="E302"/>
    <hyperlink r:id="rId298" ref="E303"/>
    <hyperlink r:id="rId299" ref="E304"/>
    <hyperlink r:id="rId300" ref="E305"/>
    <hyperlink r:id="rId301" ref="E306"/>
    <hyperlink r:id="rId302" ref="E307"/>
    <hyperlink r:id="rId303" ref="E308"/>
    <hyperlink r:id="rId304" ref="E309"/>
    <hyperlink r:id="rId305" ref="E310"/>
    <hyperlink r:id="rId306" ref="E311"/>
    <hyperlink r:id="rId307" ref="E312"/>
    <hyperlink r:id="rId308" ref="E313"/>
    <hyperlink r:id="rId309" ref="E314"/>
    <hyperlink r:id="rId310" ref="E315"/>
    <hyperlink r:id="rId311" ref="E316"/>
    <hyperlink r:id="rId312" ref="E317"/>
    <hyperlink r:id="rId313" ref="E318"/>
    <hyperlink r:id="rId314" ref="E319"/>
    <hyperlink r:id="rId315" ref="E320"/>
    <hyperlink r:id="rId316" ref="E321"/>
    <hyperlink r:id="rId317" ref="E322"/>
    <hyperlink r:id="rId318" ref="E323"/>
    <hyperlink r:id="rId319" ref="E324"/>
    <hyperlink r:id="rId320" ref="E325"/>
    <hyperlink r:id="rId321" ref="E326"/>
    <hyperlink r:id="rId322" ref="E327"/>
    <hyperlink r:id="rId323" ref="E328"/>
    <hyperlink r:id="rId324" ref="E329"/>
    <hyperlink r:id="rId325" ref="E330"/>
    <hyperlink r:id="rId326" ref="E331"/>
    <hyperlink r:id="rId327" ref="E332"/>
    <hyperlink r:id="rId328" ref="E333"/>
    <hyperlink r:id="rId329" ref="E334"/>
    <hyperlink r:id="rId330" ref="E335"/>
    <hyperlink r:id="rId331" ref="E336"/>
    <hyperlink r:id="rId332" ref="E337"/>
    <hyperlink r:id="rId333" ref="E338"/>
    <hyperlink r:id="rId334" ref="E339"/>
    <hyperlink r:id="rId335" ref="E340"/>
    <hyperlink r:id="rId336" ref="E341"/>
    <hyperlink r:id="rId337" ref="E342"/>
    <hyperlink r:id="rId338" ref="E343"/>
    <hyperlink r:id="rId339" ref="E344"/>
    <hyperlink r:id="rId340" ref="E345"/>
    <hyperlink r:id="rId341" ref="E346"/>
    <hyperlink r:id="rId342" ref="E347"/>
    <hyperlink r:id="rId343" ref="E348"/>
    <hyperlink r:id="rId344" ref="E349"/>
    <hyperlink r:id="rId345" ref="E350"/>
    <hyperlink r:id="rId346" ref="E351"/>
    <hyperlink r:id="rId347" ref="E352"/>
    <hyperlink r:id="rId348" ref="E353"/>
    <hyperlink r:id="rId349" ref="E354"/>
    <hyperlink r:id="rId350" ref="E355"/>
    <hyperlink r:id="rId351" ref="E356"/>
    <hyperlink r:id="rId352" ref="E357"/>
    <hyperlink r:id="rId353" ref="E358"/>
    <hyperlink r:id="rId354" ref="E359"/>
    <hyperlink r:id="rId355" ref="E360"/>
    <hyperlink r:id="rId356" ref="E361"/>
    <hyperlink r:id="rId357" ref="E362"/>
    <hyperlink r:id="rId358" ref="E363"/>
    <hyperlink r:id="rId359" ref="E364"/>
    <hyperlink r:id="rId360" ref="E365"/>
    <hyperlink r:id="rId361" ref="E366"/>
    <hyperlink r:id="rId362" ref="E367"/>
    <hyperlink r:id="rId363" ref="E368"/>
    <hyperlink r:id="rId364" ref="E369"/>
    <hyperlink r:id="rId365" ref="E370"/>
    <hyperlink r:id="rId366" ref="E371"/>
    <hyperlink r:id="rId367" ref="E372"/>
    <hyperlink r:id="rId368" ref="E373"/>
    <hyperlink r:id="rId369" ref="E374"/>
    <hyperlink r:id="rId370" ref="E375"/>
    <hyperlink r:id="rId371" ref="E376"/>
    <hyperlink r:id="rId372" ref="E377"/>
    <hyperlink r:id="rId373" ref="E378"/>
    <hyperlink r:id="rId374" ref="E379"/>
    <hyperlink r:id="rId375" ref="E380"/>
    <hyperlink r:id="rId376" ref="E381"/>
    <hyperlink r:id="rId377" ref="E382"/>
    <hyperlink r:id="rId378" ref="E383"/>
    <hyperlink r:id="rId379" ref="E384"/>
    <hyperlink r:id="rId380" ref="E385"/>
    <hyperlink r:id="rId381" ref="E386"/>
    <hyperlink r:id="rId382" ref="E387"/>
    <hyperlink r:id="rId383" ref="E388"/>
    <hyperlink r:id="rId384" ref="E389"/>
    <hyperlink r:id="rId385" ref="E390"/>
    <hyperlink r:id="rId386" ref="E391"/>
    <hyperlink r:id="rId387" ref="E392"/>
    <hyperlink r:id="rId388" ref="E393"/>
    <hyperlink r:id="rId389" ref="E394"/>
    <hyperlink r:id="rId390" ref="E395"/>
    <hyperlink r:id="rId391" ref="E396"/>
    <hyperlink r:id="rId392" ref="E397"/>
    <hyperlink r:id="rId393" ref="E398"/>
    <hyperlink r:id="rId394" ref="E399"/>
    <hyperlink r:id="rId395" ref="E400"/>
    <hyperlink r:id="rId396" ref="E401"/>
    <hyperlink r:id="rId397" ref="E402"/>
    <hyperlink r:id="rId398" ref="E403"/>
    <hyperlink r:id="rId399" ref="E404"/>
    <hyperlink r:id="rId400" ref="E405"/>
    <hyperlink r:id="rId401" ref="E406"/>
    <hyperlink r:id="rId402" ref="E407"/>
    <hyperlink r:id="rId403" ref="E408"/>
    <hyperlink r:id="rId404" ref="E409"/>
    <hyperlink r:id="rId405" ref="E410"/>
    <hyperlink r:id="rId406" ref="E411"/>
    <hyperlink r:id="rId407" ref="E412"/>
    <hyperlink r:id="rId408" ref="E413"/>
    <hyperlink r:id="rId409" ref="E414"/>
    <hyperlink r:id="rId410" ref="E415"/>
    <hyperlink r:id="rId411" ref="E416"/>
    <hyperlink r:id="rId412" ref="E417"/>
    <hyperlink r:id="rId413" ref="E418"/>
    <hyperlink r:id="rId414" ref="E419"/>
    <hyperlink r:id="rId415" ref="E420"/>
    <hyperlink r:id="rId416" ref="E421"/>
    <hyperlink r:id="rId417" ref="E422"/>
    <hyperlink r:id="rId418" ref="E423"/>
    <hyperlink r:id="rId419" ref="E424"/>
    <hyperlink r:id="rId420" ref="E425"/>
    <hyperlink r:id="rId421" ref="E426"/>
    <hyperlink r:id="rId422" ref="E427"/>
    <hyperlink r:id="rId423" ref="E428"/>
    <hyperlink r:id="rId424" ref="E429"/>
    <hyperlink r:id="rId425" ref="E430"/>
    <hyperlink r:id="rId426" ref="E431"/>
    <hyperlink r:id="rId427" ref="E432"/>
    <hyperlink r:id="rId428" ref="E433"/>
    <hyperlink r:id="rId429" ref="E434"/>
    <hyperlink r:id="rId430" ref="E435"/>
    <hyperlink r:id="rId431" ref="E436"/>
    <hyperlink r:id="rId432" ref="E437"/>
    <hyperlink r:id="rId433" ref="E438"/>
    <hyperlink r:id="rId434" ref="E439"/>
    <hyperlink r:id="rId435" ref="E440"/>
    <hyperlink r:id="rId436" ref="E441"/>
    <hyperlink r:id="rId437" ref="E442"/>
    <hyperlink r:id="rId438" ref="E443"/>
    <hyperlink r:id="rId439" ref="E444"/>
    <hyperlink r:id="rId440" ref="E445"/>
    <hyperlink r:id="rId441" ref="E446"/>
    <hyperlink r:id="rId442" ref="E447"/>
    <hyperlink r:id="rId443" ref="E448"/>
    <hyperlink r:id="rId444" ref="E449"/>
    <hyperlink r:id="rId445" ref="E450"/>
    <hyperlink r:id="rId446" ref="E451"/>
    <hyperlink r:id="rId447" ref="E452"/>
    <hyperlink r:id="rId448" ref="E453"/>
    <hyperlink r:id="rId449" ref="E454"/>
    <hyperlink r:id="rId450" ref="E455"/>
    <hyperlink r:id="rId451" ref="E456"/>
    <hyperlink r:id="rId452" ref="E457"/>
    <hyperlink r:id="rId453" ref="E458"/>
    <hyperlink r:id="rId454" ref="E459"/>
    <hyperlink r:id="rId455" ref="E460"/>
    <hyperlink r:id="rId456" ref="E461"/>
    <hyperlink r:id="rId457" ref="E462"/>
    <hyperlink r:id="rId458" ref="E463"/>
    <hyperlink r:id="rId459" ref="E464"/>
    <hyperlink r:id="rId460" ref="E465"/>
    <hyperlink r:id="rId461" ref="E466"/>
    <hyperlink r:id="rId462" ref="E467"/>
    <hyperlink r:id="rId463" ref="E468"/>
    <hyperlink r:id="rId464" ref="E469"/>
    <hyperlink r:id="rId465" ref="E470"/>
    <hyperlink r:id="rId466" ref="E471"/>
    <hyperlink r:id="rId467" ref="E472"/>
    <hyperlink r:id="rId468" ref="E473"/>
    <hyperlink r:id="rId469" ref="E474"/>
    <hyperlink r:id="rId470" ref="E475"/>
    <hyperlink r:id="rId471" ref="E476"/>
    <hyperlink r:id="rId472" ref="E477"/>
    <hyperlink r:id="rId473" ref="E478"/>
    <hyperlink r:id="rId474" ref="E479"/>
    <hyperlink r:id="rId475" ref="E480"/>
    <hyperlink r:id="rId476" ref="E481"/>
    <hyperlink r:id="rId477" ref="E482"/>
    <hyperlink r:id="rId478" ref="E483"/>
    <hyperlink r:id="rId479" ref="E484"/>
    <hyperlink r:id="rId480" ref="E485"/>
    <hyperlink r:id="rId481" ref="E486"/>
    <hyperlink r:id="rId482" ref="E487"/>
    <hyperlink r:id="rId483" ref="E488"/>
    <hyperlink r:id="rId484" ref="E489"/>
    <hyperlink r:id="rId485" ref="E490"/>
    <hyperlink r:id="rId486" ref="E491"/>
    <hyperlink r:id="rId487" ref="E492"/>
    <hyperlink r:id="rId488" ref="E493"/>
    <hyperlink r:id="rId489" ref="E494"/>
    <hyperlink r:id="rId490" ref="E495"/>
    <hyperlink r:id="rId491" ref="E496"/>
    <hyperlink r:id="rId492" ref="E497"/>
    <hyperlink r:id="rId493" ref="E498"/>
    <hyperlink r:id="rId494" ref="E499"/>
    <hyperlink r:id="rId495" ref="E500"/>
    <hyperlink r:id="rId496" ref="E501"/>
    <hyperlink r:id="rId497" ref="E502"/>
    <hyperlink r:id="rId498" ref="E503"/>
    <hyperlink r:id="rId499" ref="E504"/>
    <hyperlink r:id="rId500" ref="E505"/>
    <hyperlink r:id="rId501" ref="E506"/>
    <hyperlink r:id="rId502" ref="E507"/>
    <hyperlink r:id="rId503" ref="E508"/>
    <hyperlink r:id="rId504" ref="E509"/>
    <hyperlink r:id="rId505" ref="E510"/>
    <hyperlink r:id="rId506" ref="E511"/>
    <hyperlink r:id="rId507" ref="E512"/>
    <hyperlink r:id="rId508" ref="E513"/>
    <hyperlink r:id="rId509" ref="E514"/>
    <hyperlink r:id="rId510" ref="E515"/>
    <hyperlink r:id="rId511" ref="E516"/>
    <hyperlink r:id="rId512" ref="E517"/>
    <hyperlink r:id="rId513" ref="E518"/>
    <hyperlink r:id="rId514" ref="E519"/>
    <hyperlink r:id="rId515" ref="E520"/>
    <hyperlink r:id="rId516" ref="E521"/>
    <hyperlink r:id="rId517" ref="E522"/>
    <hyperlink r:id="rId518" ref="E523"/>
    <hyperlink r:id="rId519" ref="E524"/>
    <hyperlink r:id="rId520" ref="E525"/>
    <hyperlink r:id="rId521" ref="E526"/>
    <hyperlink r:id="rId522" ref="E527"/>
    <hyperlink r:id="rId523" ref="E528"/>
    <hyperlink r:id="rId524" ref="E529"/>
    <hyperlink r:id="rId525" ref="E530"/>
    <hyperlink r:id="rId526" ref="E531"/>
    <hyperlink r:id="rId527" ref="E532"/>
    <hyperlink r:id="rId528" ref="E533"/>
    <hyperlink r:id="rId529" ref="E534"/>
    <hyperlink r:id="rId530" ref="E535"/>
    <hyperlink r:id="rId531" ref="E536"/>
    <hyperlink r:id="rId532" ref="E537"/>
    <hyperlink r:id="rId533" ref="E538"/>
    <hyperlink r:id="rId534" ref="E539"/>
    <hyperlink r:id="rId535" ref="E540"/>
    <hyperlink r:id="rId536" ref="E541"/>
    <hyperlink r:id="rId537" ref="E542"/>
    <hyperlink r:id="rId538" ref="E543"/>
    <hyperlink r:id="rId539" ref="E544"/>
    <hyperlink r:id="rId540" ref="E545"/>
    <hyperlink r:id="rId541" ref="E546"/>
    <hyperlink r:id="rId542" ref="E547"/>
    <hyperlink r:id="rId543" ref="E548"/>
    <hyperlink r:id="rId544" ref="E549"/>
    <hyperlink r:id="rId545" ref="E550"/>
    <hyperlink r:id="rId546" ref="E551"/>
    <hyperlink r:id="rId547" ref="E552"/>
    <hyperlink r:id="rId548" ref="E553"/>
    <hyperlink r:id="rId549" ref="E554"/>
    <hyperlink r:id="rId550" ref="E555"/>
    <hyperlink r:id="rId551" ref="E556"/>
    <hyperlink r:id="rId552" ref="E557"/>
    <hyperlink r:id="rId553" ref="E558"/>
    <hyperlink r:id="rId554" ref="E559"/>
    <hyperlink r:id="rId555" ref="E560"/>
    <hyperlink r:id="rId556" ref="E561"/>
    <hyperlink r:id="rId557" ref="E562"/>
    <hyperlink r:id="rId558" ref="E563"/>
    <hyperlink r:id="rId559" ref="E564"/>
    <hyperlink r:id="rId560" ref="E565"/>
    <hyperlink r:id="rId561" ref="E566"/>
    <hyperlink r:id="rId562" ref="E567"/>
    <hyperlink r:id="rId563" ref="E568"/>
    <hyperlink r:id="rId564" ref="E569"/>
    <hyperlink r:id="rId565" ref="E570"/>
    <hyperlink r:id="rId566" ref="E571"/>
    <hyperlink r:id="rId567" ref="E572"/>
    <hyperlink r:id="rId568" ref="E573"/>
    <hyperlink r:id="rId569" ref="E574"/>
    <hyperlink r:id="rId570" ref="E575"/>
    <hyperlink r:id="rId571" ref="E576"/>
    <hyperlink r:id="rId572" ref="E577"/>
    <hyperlink r:id="rId573" ref="E578"/>
    <hyperlink r:id="rId574" ref="E579"/>
    <hyperlink r:id="rId575" ref="E580"/>
    <hyperlink r:id="rId576" ref="E581"/>
    <hyperlink r:id="rId577" ref="E582"/>
    <hyperlink r:id="rId578" ref="E583"/>
    <hyperlink r:id="rId579" ref="E584"/>
    <hyperlink r:id="rId580" ref="E585"/>
    <hyperlink r:id="rId581" ref="E586"/>
    <hyperlink r:id="rId582" ref="E587"/>
    <hyperlink r:id="rId583" ref="E588"/>
    <hyperlink r:id="rId584" ref="E589"/>
    <hyperlink r:id="rId585" ref="E590"/>
    <hyperlink r:id="rId586" ref="E591"/>
    <hyperlink r:id="rId587" ref="E592"/>
    <hyperlink r:id="rId588" ref="E593"/>
    <hyperlink r:id="rId589" ref="E594"/>
    <hyperlink r:id="rId590" ref="E595"/>
    <hyperlink r:id="rId591" ref="E596"/>
    <hyperlink r:id="rId592" ref="E597"/>
    <hyperlink r:id="rId593" ref="E598"/>
    <hyperlink r:id="rId594" ref="E599"/>
    <hyperlink r:id="rId595" ref="E600"/>
    <hyperlink r:id="rId596" ref="E601"/>
    <hyperlink r:id="rId597" ref="E602"/>
    <hyperlink r:id="rId598" ref="E603"/>
    <hyperlink r:id="rId599" ref="E604"/>
    <hyperlink r:id="rId600" ref="E605"/>
    <hyperlink r:id="rId601" ref="E606"/>
    <hyperlink r:id="rId602" ref="E607"/>
    <hyperlink r:id="rId603" ref="E608"/>
    <hyperlink r:id="rId604" ref="E609"/>
    <hyperlink r:id="rId605" ref="E610"/>
    <hyperlink r:id="rId606" ref="E611"/>
    <hyperlink r:id="rId607" ref="E612"/>
    <hyperlink r:id="rId608" ref="E613"/>
    <hyperlink r:id="rId609" ref="E614"/>
    <hyperlink r:id="rId610" ref="E615"/>
    <hyperlink r:id="rId611" ref="E616"/>
    <hyperlink r:id="rId612" ref="E617"/>
    <hyperlink r:id="rId613" ref="E618"/>
    <hyperlink r:id="rId614" ref="E619"/>
    <hyperlink r:id="rId615" ref="E620"/>
    <hyperlink r:id="rId616" ref="E621"/>
    <hyperlink r:id="rId617" ref="E622"/>
    <hyperlink r:id="rId618" ref="E623"/>
    <hyperlink r:id="rId619" ref="E624"/>
    <hyperlink r:id="rId620" ref="E625"/>
    <hyperlink r:id="rId621" ref="E626"/>
    <hyperlink r:id="rId622" ref="E627"/>
    <hyperlink r:id="rId623" ref="E628"/>
    <hyperlink r:id="rId624" ref="E629"/>
    <hyperlink r:id="rId625" ref="E630"/>
    <hyperlink r:id="rId626" ref="E631"/>
    <hyperlink r:id="rId627" ref="E632"/>
    <hyperlink r:id="rId628" ref="E633"/>
    <hyperlink r:id="rId629" ref="E634"/>
    <hyperlink r:id="rId630" ref="E635"/>
    <hyperlink r:id="rId631" ref="E636"/>
    <hyperlink r:id="rId632" ref="E637"/>
    <hyperlink r:id="rId633" ref="E638"/>
    <hyperlink r:id="rId634" ref="E639"/>
    <hyperlink r:id="rId635" ref="E640"/>
    <hyperlink r:id="rId636" ref="E641"/>
    <hyperlink r:id="rId637" ref="E642"/>
    <hyperlink r:id="rId638" ref="E643"/>
    <hyperlink r:id="rId639" ref="E644"/>
    <hyperlink r:id="rId640" ref="E645"/>
    <hyperlink r:id="rId641" ref="E646"/>
    <hyperlink r:id="rId642" ref="E647"/>
    <hyperlink r:id="rId643" ref="E648"/>
    <hyperlink r:id="rId644" ref="E649"/>
    <hyperlink r:id="rId645" ref="E650"/>
    <hyperlink r:id="rId646" ref="E651"/>
    <hyperlink r:id="rId647" ref="E652"/>
    <hyperlink r:id="rId648" ref="E653"/>
    <hyperlink r:id="rId649" ref="E654"/>
    <hyperlink r:id="rId650" ref="E655"/>
    <hyperlink r:id="rId651" ref="E656"/>
    <hyperlink r:id="rId652" ref="E657"/>
    <hyperlink r:id="rId653" ref="E658"/>
    <hyperlink r:id="rId654" ref="E659"/>
    <hyperlink r:id="rId655" ref="E660"/>
    <hyperlink r:id="rId656" ref="E661"/>
    <hyperlink r:id="rId657" ref="E662"/>
    <hyperlink r:id="rId658" ref="E663"/>
    <hyperlink r:id="rId659" ref="E664"/>
    <hyperlink r:id="rId660" ref="E665"/>
    <hyperlink r:id="rId661" ref="E666"/>
    <hyperlink r:id="rId662" ref="E667"/>
    <hyperlink r:id="rId663" ref="E668"/>
    <hyperlink r:id="rId664" ref="E669"/>
    <hyperlink r:id="rId665" ref="E670"/>
    <hyperlink r:id="rId666" ref="E671"/>
    <hyperlink r:id="rId667" ref="E672"/>
    <hyperlink r:id="rId668" ref="E673"/>
    <hyperlink r:id="rId669" ref="E674"/>
    <hyperlink r:id="rId670" ref="E675"/>
    <hyperlink r:id="rId671" ref="E676"/>
    <hyperlink r:id="rId672" ref="E677"/>
    <hyperlink r:id="rId673" ref="E678"/>
    <hyperlink r:id="rId674" ref="E679"/>
    <hyperlink r:id="rId675" ref="E680"/>
    <hyperlink r:id="rId676" ref="E681"/>
    <hyperlink r:id="rId677" ref="E682"/>
    <hyperlink r:id="rId678" ref="E683"/>
    <hyperlink r:id="rId679" ref="E684"/>
    <hyperlink r:id="rId680" ref="E685"/>
    <hyperlink r:id="rId681" ref="E686"/>
    <hyperlink r:id="rId682" ref="E688"/>
    <hyperlink r:id="rId683" ref="E689"/>
    <hyperlink r:id="rId684" ref="E690"/>
    <hyperlink r:id="rId685" ref="E691"/>
    <hyperlink r:id="rId686" ref="E692"/>
    <hyperlink r:id="rId687" ref="E693"/>
    <hyperlink r:id="rId688" ref="E694"/>
    <hyperlink r:id="rId689" ref="E695"/>
    <hyperlink r:id="rId690" ref="E696"/>
    <hyperlink r:id="rId691" ref="E697"/>
    <hyperlink r:id="rId692" ref="E698"/>
    <hyperlink r:id="rId693" ref="E699"/>
    <hyperlink r:id="rId694" ref="E700"/>
    <hyperlink r:id="rId695" ref="E701"/>
    <hyperlink r:id="rId696" ref="E702"/>
    <hyperlink r:id="rId697" ref="E703"/>
    <hyperlink r:id="rId698" ref="E704"/>
    <hyperlink r:id="rId699" ref="E705"/>
    <hyperlink r:id="rId700" ref="E706"/>
    <hyperlink r:id="rId701" ref="E707"/>
    <hyperlink r:id="rId702" ref="E708"/>
    <hyperlink r:id="rId703" ref="E709"/>
    <hyperlink r:id="rId704" ref="E710"/>
    <hyperlink r:id="rId705" ref="E711"/>
    <hyperlink r:id="rId706" ref="E712"/>
    <hyperlink r:id="rId707" ref="E713"/>
    <hyperlink r:id="rId708" ref="E714"/>
    <hyperlink r:id="rId709" ref="E715"/>
    <hyperlink r:id="rId710" ref="E716"/>
    <hyperlink r:id="rId711" ref="E717"/>
    <hyperlink r:id="rId712" ref="E718"/>
    <hyperlink r:id="rId713" ref="E719"/>
    <hyperlink r:id="rId714" ref="E720"/>
    <hyperlink r:id="rId715" ref="E721"/>
    <hyperlink r:id="rId716" ref="E722"/>
    <hyperlink r:id="rId717" ref="E723"/>
    <hyperlink r:id="rId718" ref="E724"/>
    <hyperlink r:id="rId719" ref="E725"/>
    <hyperlink r:id="rId720" ref="E726"/>
    <hyperlink r:id="rId721" ref="E727"/>
    <hyperlink r:id="rId722" ref="E728"/>
    <hyperlink r:id="rId723" ref="E729"/>
    <hyperlink r:id="rId724" ref="E730"/>
    <hyperlink r:id="rId725" ref="E731"/>
    <hyperlink r:id="rId726" ref="E732"/>
    <hyperlink r:id="rId727" ref="E733"/>
    <hyperlink r:id="rId728" ref="E734"/>
    <hyperlink r:id="rId729" ref="E735"/>
    <hyperlink r:id="rId730" ref="E736"/>
    <hyperlink r:id="rId731" ref="E737"/>
    <hyperlink r:id="rId732" ref="E738"/>
    <hyperlink r:id="rId733" ref="E739"/>
    <hyperlink r:id="rId734" ref="E740"/>
    <hyperlink r:id="rId735" ref="E741"/>
    <hyperlink r:id="rId736" ref="E742"/>
    <hyperlink r:id="rId737" ref="E743"/>
    <hyperlink r:id="rId738" ref="E744"/>
    <hyperlink r:id="rId739" ref="E745"/>
    <hyperlink r:id="rId740" ref="E746"/>
    <hyperlink r:id="rId741" ref="E747"/>
    <hyperlink r:id="rId742" ref="E748"/>
    <hyperlink r:id="rId743" ref="E749"/>
    <hyperlink r:id="rId744" ref="E750"/>
    <hyperlink r:id="rId745" ref="E751"/>
    <hyperlink r:id="rId746" ref="E752"/>
    <hyperlink r:id="rId747" ref="E753"/>
    <hyperlink r:id="rId748" ref="E754"/>
    <hyperlink r:id="rId749" ref="E755"/>
    <hyperlink r:id="rId750" ref="E756"/>
    <hyperlink r:id="rId751" ref="E757"/>
    <hyperlink r:id="rId752" ref="E758"/>
    <hyperlink r:id="rId753" ref="E759"/>
    <hyperlink r:id="rId754" ref="E760"/>
    <hyperlink r:id="rId755" ref="E761"/>
    <hyperlink r:id="rId756" ref="E762"/>
    <hyperlink r:id="rId757" ref="E763"/>
    <hyperlink r:id="rId758" ref="E764"/>
    <hyperlink r:id="rId759" ref="E765"/>
    <hyperlink r:id="rId760" ref="E766"/>
    <hyperlink r:id="rId761" ref="E767"/>
    <hyperlink r:id="rId762" ref="E768"/>
    <hyperlink r:id="rId763" ref="E769"/>
    <hyperlink r:id="rId764" ref="E770"/>
    <hyperlink r:id="rId765" ref="E771"/>
    <hyperlink r:id="rId766" ref="E772"/>
    <hyperlink r:id="rId767" ref="E773"/>
    <hyperlink r:id="rId768" ref="E774"/>
    <hyperlink r:id="rId769" ref="E775"/>
    <hyperlink r:id="rId770" ref="E776"/>
    <hyperlink r:id="rId771" ref="E777"/>
    <hyperlink r:id="rId772" ref="E778"/>
    <hyperlink r:id="rId773" ref="E779"/>
    <hyperlink r:id="rId774" ref="E780"/>
    <hyperlink r:id="rId775" ref="E781"/>
    <hyperlink r:id="rId776" ref="E822"/>
    <hyperlink r:id="rId777" ref="E959"/>
    <hyperlink r:id="rId778" ref="E960"/>
    <hyperlink r:id="rId779" ref="E961"/>
    <hyperlink r:id="rId780" ref="E962"/>
    <hyperlink r:id="rId781" ref="E963"/>
    <hyperlink r:id="rId782" ref="E964"/>
    <hyperlink r:id="rId783" ref="E965"/>
    <hyperlink r:id="rId784" ref="E966"/>
    <hyperlink r:id="rId785" ref="E970"/>
    <hyperlink r:id="rId786" ref="E971"/>
    <hyperlink r:id="rId787" ref="E972"/>
    <hyperlink r:id="rId788" ref="E973"/>
    <hyperlink r:id="rId789" ref="E1006"/>
    <hyperlink r:id="rId790" ref="E1011"/>
    <hyperlink r:id="rId791" ref="E1012"/>
    <hyperlink r:id="rId792" ref="E1017"/>
    <hyperlink r:id="rId793" ref="E1049"/>
    <hyperlink r:id="rId794" ref="E1069"/>
    <hyperlink r:id="rId795" ref="E1070"/>
    <hyperlink r:id="rId796" ref="E1071"/>
    <hyperlink r:id="rId797" ref="E1072"/>
    <hyperlink r:id="rId798" ref="E1073"/>
    <hyperlink r:id="rId799" ref="E1074"/>
    <hyperlink r:id="rId800" ref="E1100"/>
    <hyperlink r:id="rId801" ref="E1110"/>
    <hyperlink r:id="rId802" ref="E1163"/>
    <hyperlink r:id="rId803" ref="E1164"/>
    <hyperlink r:id="rId804" ref="E1213"/>
    <hyperlink r:id="rId805" ref="E1216"/>
    <hyperlink r:id="rId806" ref="E1217"/>
    <hyperlink r:id="rId807" ref="E1218"/>
    <hyperlink r:id="rId808" ref="E1219"/>
    <hyperlink r:id="rId809" ref="E1220"/>
    <hyperlink r:id="rId810" ref="E1221"/>
    <hyperlink r:id="rId811" ref="E1222"/>
    <hyperlink r:id="rId812" ref="E1223"/>
    <hyperlink r:id="rId813" ref="E1224"/>
    <hyperlink r:id="rId814" ref="E1225"/>
    <hyperlink r:id="rId815" ref="E1226"/>
    <hyperlink r:id="rId816" ref="E1227"/>
    <hyperlink r:id="rId817" ref="E1228"/>
    <hyperlink r:id="rId818" ref="E1229"/>
    <hyperlink r:id="rId819" ref="E1230"/>
    <hyperlink r:id="rId820" ref="E1231"/>
    <hyperlink r:id="rId821" ref="E1232"/>
    <hyperlink r:id="rId822" ref="E1233"/>
    <hyperlink r:id="rId823" ref="E1234"/>
    <hyperlink r:id="rId824" ref="E1235"/>
    <hyperlink r:id="rId825" ref="E1236"/>
    <hyperlink r:id="rId826" ref="E1237"/>
    <hyperlink r:id="rId827" ref="E1238"/>
    <hyperlink r:id="rId828" ref="E1239"/>
    <hyperlink r:id="rId829" ref="E1240"/>
    <hyperlink r:id="rId830" ref="E1241"/>
    <hyperlink r:id="rId831" ref="E1242"/>
    <hyperlink r:id="rId832" ref="E1243"/>
    <hyperlink r:id="rId833" ref="E1244"/>
    <hyperlink r:id="rId834" ref="E1245"/>
    <hyperlink r:id="rId835" ref="E1246"/>
    <hyperlink r:id="rId836" ref="E1247"/>
    <hyperlink r:id="rId837" ref="E1248"/>
    <hyperlink r:id="rId838" ref="E1249"/>
    <hyperlink r:id="rId839" ref="E1250"/>
    <hyperlink r:id="rId840" ref="E1251"/>
    <hyperlink r:id="rId841" ref="E1252"/>
    <hyperlink r:id="rId842" ref="E1253"/>
    <hyperlink r:id="rId843" ref="E1254"/>
    <hyperlink r:id="rId844" ref="E1255"/>
    <hyperlink r:id="rId845" ref="E1256"/>
    <hyperlink r:id="rId846" ref="E1257"/>
    <hyperlink r:id="rId847" ref="E1258"/>
    <hyperlink r:id="rId848" ref="E1259"/>
    <hyperlink r:id="rId849" ref="E1260"/>
    <hyperlink r:id="rId850" ref="E1261"/>
    <hyperlink r:id="rId851" ref="E1262"/>
    <hyperlink r:id="rId852" ref="E1263"/>
    <hyperlink r:id="rId853" ref="E1264"/>
    <hyperlink r:id="rId854" ref="E1265"/>
    <hyperlink r:id="rId855" ref="E1266"/>
    <hyperlink r:id="rId856" ref="E1267"/>
    <hyperlink r:id="rId857" ref="E1268"/>
    <hyperlink r:id="rId858" ref="E1269"/>
    <hyperlink r:id="rId859" ref="E1270"/>
    <hyperlink r:id="rId860" ref="E1271"/>
    <hyperlink r:id="rId861" ref="E1272"/>
    <hyperlink r:id="rId862" ref="E1273"/>
    <hyperlink r:id="rId863" ref="E1274"/>
    <hyperlink r:id="rId864" ref="E1275"/>
    <hyperlink r:id="rId865" ref="E1276"/>
    <hyperlink r:id="rId866" ref="E1277"/>
    <hyperlink r:id="rId867" ref="E1278"/>
    <hyperlink r:id="rId868" ref="E1279"/>
    <hyperlink r:id="rId869" ref="E1280"/>
    <hyperlink r:id="rId870" ref="E1281"/>
    <hyperlink r:id="rId871" ref="E1282"/>
    <hyperlink r:id="rId872" ref="E1283"/>
    <hyperlink r:id="rId873" ref="E1284"/>
    <hyperlink r:id="rId874" ref="E1285"/>
    <hyperlink r:id="rId875" ref="E1286"/>
    <hyperlink r:id="rId876" ref="E1287"/>
    <hyperlink r:id="rId877" ref="E1288"/>
    <hyperlink r:id="rId878" ref="E1289"/>
    <hyperlink r:id="rId879" ref="E1290"/>
    <hyperlink r:id="rId880" ref="E1291"/>
    <hyperlink r:id="rId881" ref="E1292"/>
    <hyperlink r:id="rId882" ref="E1293"/>
    <hyperlink r:id="rId883" ref="E1294"/>
    <hyperlink r:id="rId884" ref="E1295"/>
    <hyperlink r:id="rId885" ref="E1296"/>
    <hyperlink r:id="rId886" ref="E1297"/>
    <hyperlink r:id="rId887" ref="E1298"/>
    <hyperlink r:id="rId888" ref="E1299"/>
    <hyperlink r:id="rId889" ref="E1300"/>
    <hyperlink r:id="rId890" ref="E1301"/>
    <hyperlink r:id="rId891" ref="E1302"/>
    <hyperlink r:id="rId892" ref="E1303"/>
    <hyperlink r:id="rId893" ref="E1304"/>
    <hyperlink r:id="rId894" ref="E1305"/>
    <hyperlink r:id="rId895" ref="E1306"/>
    <hyperlink r:id="rId896" ref="E1307"/>
    <hyperlink r:id="rId897" ref="E1308"/>
    <hyperlink r:id="rId898" ref="E1309"/>
  </hyperlinks>
  <drawing r:id="rId899"/>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1" t="str">
        <f>IFERROR(__xludf.DUMMYFUNCTION("QUERY(
  {
    'faq（共通）'!A:E;
    'faq（横浜駅前）'!A:E
  },
  ""where Col1 is not null"",
  0
)
"),"question")</f>
        <v>question</v>
      </c>
      <c r="B1" s="31" t="str">
        <f>IFERROR(__xludf.DUMMYFUNCTION("""COMPUTED_VALUE"""),"answer")</f>
        <v>answer</v>
      </c>
      <c r="C1" s="31" t="str">
        <f>IFERROR(__xludf.DUMMYFUNCTION("""COMPUTED_VALUE"""),"category")</f>
        <v>category</v>
      </c>
      <c r="D1" s="31" t="str">
        <f>IFERROR(__xludf.DUMMYFUNCTION("""COMPUTED_VALUE"""),"keywords")</f>
        <v>keywords</v>
      </c>
      <c r="E1" s="31" t="str">
        <f>IFERROR(__xludf.DUMMYFUNCTION("""COMPUTED_VALUE"""),"source_url")</f>
        <v>source_url</v>
      </c>
    </row>
    <row r="2">
      <c r="A2" s="31" t="str">
        <f>IFERROR(__xludf.DUMMYFUNCTION("""COMPUTED_VALUE"""),"どんな想いで運営しているクリニックですか？")</f>
        <v>どんな想いで運営しているクリニックですか？</v>
      </c>
      <c r="B2" s="31" t="str">
        <f>IFERROR(__xludf.DUMMYFUNCTION("""COMPUTED_VALUE"""),"ルナレディースクリニックでは、忙しい毎日の中でもご自身のカラダと向き合いたい女性が、もっと身近に、もっと気軽に通えるクリニックを目指しています。ひとりひとりの悩みや気持ちに寄り添いながら、ご利用いただける環境づくりを大切にしています。")</f>
        <v>ルナレディースクリニックでは、忙しい毎日の中でもご自身のカラダと向き合いたい女性が、もっと身近に、もっと気軽に通えるクリニックを目指しています。ひとりひとりの悩みや気持ちに寄り添いながら、ご利用いただける環境づくりを大切にしています。</v>
      </c>
      <c r="C2" s="31" t="str">
        <f>IFERROR(__xludf.DUMMYFUNCTION("""COMPUTED_VALUE"""),"クリニックについて")</f>
        <v>クリニックについて</v>
      </c>
      <c r="D2" s="31" t="str">
        <f>IFERROR(__xludf.DUMMYFUNCTION("""COMPUTED_VALUE"""),"コンセプト,想い,特徴")</f>
        <v>コンセプト,想い,特徴</v>
      </c>
      <c r="E2" s="32" t="str">
        <f>IFERROR(__xludf.DUMMYFUNCTION("""COMPUTED_VALUE"""),"https://luna-dr.com/")</f>
        <v>https://luna-dr.com/</v>
      </c>
    </row>
    <row r="3">
      <c r="A3" s="31" t="str">
        <f>IFERROR(__xludf.DUMMYFUNCTION("""COMPUTED_VALUE"""),"仕事やプライベートが忙しくても通えますか？")</f>
        <v>仕事やプライベートが忙しくても通えますか？</v>
      </c>
      <c r="B3" s="31" t="str">
        <f>IFERROR(__xludf.DUMMYFUNCTION("""COMPUTED_VALUE"""),"ルナレディースクリニックでは、ライフスタイルに合わせて通っていただけるよう、オンライン診療やLINE予約などを取り入れています。忙しい方でもご利用しやすい体制を整えています。")</f>
        <v>ルナレディースクリニックでは、ライフスタイルに合わせて通っていただけるよう、オンライン診療やLINE予約などを取り入れています。忙しい方でもご利用しやすい体制を整えています。</v>
      </c>
      <c r="C3" s="31" t="str">
        <f>IFERROR(__xludf.DUMMYFUNCTION("""COMPUTED_VALUE"""),"クリニックについて")</f>
        <v>クリニックについて</v>
      </c>
      <c r="D3" s="31" t="str">
        <f>IFERROR(__xludf.DUMMYFUNCTION("""COMPUTED_VALUE"""),"通いやすさ,忙しい,オンライン診療")</f>
        <v>通いやすさ,忙しい,オンライン診療</v>
      </c>
      <c r="E3" s="32" t="str">
        <f>IFERROR(__xludf.DUMMYFUNCTION("""COMPUTED_VALUE"""),"https://luna-dr.com/")</f>
        <v>https://luna-dr.com/</v>
      </c>
    </row>
    <row r="4">
      <c r="A4" s="31" t="str">
        <f>IFERROR(__xludf.DUMMYFUNCTION("""COMPUTED_VALUE"""),"プライバシーへの配慮はされていますか？")</f>
        <v>プライバシーへの配慮はされていますか？</v>
      </c>
      <c r="B4" s="31" t="str">
        <f>IFERROR(__xludf.DUMMYFUNCTION("""COMPUTED_VALUE"""),"ルナレディースクリニックでは、患者さまが安心してご相談いただけるよう、プライバシーに配慮した院内環境を整えています。")</f>
        <v>ルナレディースクリニックでは、患者さまが安心してご相談いただけるよう、プライバシーに配慮した院内環境を整えています。</v>
      </c>
      <c r="C4" s="31" t="str">
        <f>IFERROR(__xludf.DUMMYFUNCTION("""COMPUTED_VALUE"""),"クリニックについて")</f>
        <v>クリニックについて</v>
      </c>
      <c r="D4" s="31" t="str">
        <f>IFERROR(__xludf.DUMMYFUNCTION("""COMPUTED_VALUE"""),"プライバシー,院内環境")</f>
        <v>プライバシー,院内環境</v>
      </c>
      <c r="E4" s="32" t="str">
        <f>IFERROR(__xludf.DUMMYFUNCTION("""COMPUTED_VALUE"""),"https://luna-dr.com/")</f>
        <v>https://luna-dr.com/</v>
      </c>
    </row>
    <row r="5">
      <c r="A5" s="31" t="str">
        <f>IFERROR(__xludf.DUMMYFUNCTION("""COMPUTED_VALUE"""),"オンライン診療には対応していますか？")</f>
        <v>オンライン診療には対応していますか？</v>
      </c>
      <c r="B5" s="31" t="str">
        <f>IFERROR(__xludf.DUMMYFUNCTION("""COMPUTED_VALUE"""),"ルナレディースクリニックでは、スマートフォンを使って自宅から受診できるオンライン診療を行っています。来院が難しい場合でもご相談いただけます。")</f>
        <v>ルナレディースクリニックでは、スマートフォンを使って自宅から受診できるオンライン診療を行っています。来院が難しい場合でもご相談いただけます。</v>
      </c>
      <c r="C5" s="31" t="str">
        <f>IFERROR(__xludf.DUMMYFUNCTION("""COMPUTED_VALUE"""),"オンライン診療")</f>
        <v>オンライン診療</v>
      </c>
      <c r="D5" s="31" t="str">
        <f>IFERROR(__xludf.DUMMYFUNCTION("""COMPUTED_VALUE"""),"オンライン診療,スマホ診療")</f>
        <v>オンライン診療,スマホ診療</v>
      </c>
      <c r="E5" s="32" t="str">
        <f>IFERROR(__xludf.DUMMYFUNCTION("""COMPUTED_VALUE"""),"https://luna-dr.com/")</f>
        <v>https://luna-dr.com/</v>
      </c>
    </row>
    <row r="6">
      <c r="A6" s="31" t="str">
        <f>IFERROR(__xludf.DUMMYFUNCTION("""COMPUTED_VALUE"""),"オンライン診療では待ち時間はありますか？")</f>
        <v>オンライン診療では待ち時間はありますか？</v>
      </c>
      <c r="B6" s="31" t="str">
        <f>IFERROR(__xludf.DUMMYFUNCTION("""COMPUTED_VALUE"""),"ルナレディースクリニックでは、事前にWEB問診を行っていただくことで、待ち時間の短縮を目指しています。")</f>
        <v>ルナレディースクリニックでは、事前にWEB問診を行っていただくことで、待ち時間の短縮を目指しています。</v>
      </c>
      <c r="C6" s="31" t="str">
        <f>IFERROR(__xludf.DUMMYFUNCTION("""COMPUTED_VALUE"""),"オンライン診療")</f>
        <v>オンライン診療</v>
      </c>
      <c r="D6" s="31" t="str">
        <f>IFERROR(__xludf.DUMMYFUNCTION("""COMPUTED_VALUE"""),"待ち時間,WEB問診")</f>
        <v>待ち時間,WEB問診</v>
      </c>
      <c r="E6" s="32" t="str">
        <f>IFERROR(__xludf.DUMMYFUNCTION("""COMPUTED_VALUE"""),"https://luna-dr.com/")</f>
        <v>https://luna-dr.com/</v>
      </c>
    </row>
    <row r="7">
      <c r="A7" s="31" t="str">
        <f>IFERROR(__xludf.DUMMYFUNCTION("""COMPUTED_VALUE"""),"予約はどこからできますか？/予約はどのようにできますか？")</f>
        <v>予約はどこからできますか？/予約はどのようにできますか？</v>
      </c>
      <c r="B7" s="31" t="str">
        <f>IFERROR(__xludf.DUMMYFUNCTION("""COMPUTED_VALUE"""),"ルナレディースクリニックでは、LINE予約を受け付けています。LINEはこちら→https://cline-app.com/qr-codes/98ad6f149bfa20f4f2a9a2e91aac4187/preview")</f>
        <v>ルナレディースクリニックでは、LINE予約を受け付けています。LINEはこちら→https://cline-app.com/qr-codes/98ad6f149bfa20f4f2a9a2e91aac4187/preview</v>
      </c>
      <c r="C7" s="31" t="str">
        <f>IFERROR(__xludf.DUMMYFUNCTION("""COMPUTED_VALUE"""),"予約・導線")</f>
        <v>予約・導線</v>
      </c>
      <c r="D7" s="31" t="str">
        <f>IFERROR(__xludf.DUMMYFUNCTION("""COMPUTED_VALUE"""),"予約,LINE予約,全院共通")</f>
        <v>予約,LINE予約,全院共通</v>
      </c>
      <c r="E7" s="32" t="str">
        <f>IFERROR(__xludf.DUMMYFUNCTION("""COMPUTED_VALUE"""),"https://luna-dr.com/")</f>
        <v>https://luna-dr.com/</v>
      </c>
    </row>
    <row r="8">
      <c r="A8" s="31" t="str">
        <f>IFERROR(__xludf.DUMMYFUNCTION("""COMPUTED_VALUE"""),"町田駅前院の予約方法を教えてください")</f>
        <v>町田駅前院の予約方法を教えてください</v>
      </c>
      <c r="B8" s="31" t="str">
        <f>IFERROR(__xludf.DUMMYFUNCTION("""COMPUTED_VALUE"""),"ルナレディースクリニック町田駅前院では、LINEから24時間いつでもご予約いただけます。LINEはこちら→https://cline-app.com/qr-codes/98ad6f149bfa20f4f2a9a2e91aac4187/preview")</f>
        <v>ルナレディースクリニック町田駅前院では、LINEから24時間いつでもご予約いただけます。LINEはこちら→https://cline-app.com/qr-codes/98ad6f149bfa20f4f2a9a2e91aac4187/preview</v>
      </c>
      <c r="C8" s="31" t="str">
        <f>IFERROR(__xludf.DUMMYFUNCTION("""COMPUTED_VALUE"""),"予約・導線")</f>
        <v>予約・導線</v>
      </c>
      <c r="D8" s="31" t="str">
        <f>IFERROR(__xludf.DUMMYFUNCTION("""COMPUTED_VALUE"""),"町田,予約,LINE予約")</f>
        <v>町田,予約,LINE予約</v>
      </c>
      <c r="E8" s="32" t="str">
        <f>IFERROR(__xludf.DUMMYFUNCTION("""COMPUTED_VALUE"""),"https://cline-app.com/qr-codes/98ad6f149bfa20f4f2a9a2e91aac4187/preview")</f>
        <v>https://cline-app.com/qr-codes/98ad6f149bfa20f4f2a9a2e91aac4187/preview</v>
      </c>
    </row>
    <row r="9">
      <c r="A9" s="31" t="str">
        <f>IFERROR(__xludf.DUMMYFUNCTION("""COMPUTED_VALUE"""),"横浜駅前院の予約方法を教えてください")</f>
        <v>横浜駅前院の予約方法を教えてください</v>
      </c>
      <c r="B9" s="31" t="str">
        <f>IFERROR(__xludf.DUMMYFUNCTION("""COMPUTED_VALUE"""),"ルナレディースクリニック横浜駅前院では、LINEを利用した予約を受け付けています。LINEはこちら→https://cline-app.com/qr-codes/98ad6f149bfa20f4f2a9a2e91aac4187/preview")</f>
        <v>ルナレディースクリニック横浜駅前院では、LINEを利用した予約を受け付けています。LINEはこちら→https://cline-app.com/qr-codes/98ad6f149bfa20f4f2a9a2e91aac4187/preview</v>
      </c>
      <c r="C9" s="31" t="str">
        <f>IFERROR(__xludf.DUMMYFUNCTION("""COMPUTED_VALUE"""),"予約・導線")</f>
        <v>予約・導線</v>
      </c>
      <c r="D9" s="31" t="str">
        <f>IFERROR(__xludf.DUMMYFUNCTION("""COMPUTED_VALUE"""),"横浜,予約,LINE予約")</f>
        <v>横浜,予約,LINE予約</v>
      </c>
      <c r="E9" s="32" t="str">
        <f>IFERROR(__xludf.DUMMYFUNCTION("""COMPUTED_VALUE"""),"https://cline-app.com/qr-codes/98ad6f149bfa20f4f2a9a2e91aac4187/preview")</f>
        <v>https://cline-app.com/qr-codes/98ad6f149bfa20f4f2a9a2e91aac4187/preview</v>
      </c>
    </row>
    <row r="10">
      <c r="A10" s="31" t="str">
        <f>IFERROR(__xludf.DUMMYFUNCTION("""COMPUTED_VALUE"""),"川崎駅前院の予約方法を教えてください")</f>
        <v>川崎駅前院の予約方法を教えてください</v>
      </c>
      <c r="B10" s="31" t="str">
        <f>IFERROR(__xludf.DUMMYFUNCTION("""COMPUTED_VALUE"""),"ルナレディースクリニック川崎駅前院では、LINEから簡単にご予約いただけます。LINEはこちら→https://cline-app.com/qr-codes/98ad6f149bfa20f4f2a9a2e91aac4187/preview")</f>
        <v>ルナレディースクリニック川崎駅前院では、LINEから簡単にご予約いただけます。LINEはこちら→https://cline-app.com/qr-codes/98ad6f149bfa20f4f2a9a2e91aac4187/preview</v>
      </c>
      <c r="C10" s="31" t="str">
        <f>IFERROR(__xludf.DUMMYFUNCTION("""COMPUTED_VALUE"""),"予約・導線")</f>
        <v>予約・導線</v>
      </c>
      <c r="D10" s="31" t="str">
        <f>IFERROR(__xludf.DUMMYFUNCTION("""COMPUTED_VALUE"""),"川崎,予約,LINE予約")</f>
        <v>川崎,予約,LINE予約</v>
      </c>
      <c r="E10" s="32" t="str">
        <f>IFERROR(__xludf.DUMMYFUNCTION("""COMPUTED_VALUE"""),"https://cline-app.com/qr-codes/98ad6f149bfa20f4f2a9a2e91aac4187/preview")</f>
        <v>https://cline-app.com/qr-codes/98ad6f149bfa20f4f2a9a2e91aac4187/preview</v>
      </c>
    </row>
    <row r="11">
      <c r="A11" s="31" t="str">
        <f>IFERROR(__xludf.DUMMYFUNCTION("""COMPUTED_VALUE"""),"どの院を予約すればよいか迷っています")</f>
        <v>どの院を予約すればよいか迷っています</v>
      </c>
      <c r="B11" s="31" t="str">
        <f>IFERROR(__xludf.DUMMYFUNCTION("""COMPUTED_VALUE"""),"ルナレディースクリニックでは、町田駅前院・横浜駅前院・川崎駅前院がございます。ご自宅・職場から通いやすい院をご選択ください。診療内容によってはご自宅でも受けられるオンライン診療をご提供しております。")</f>
        <v>ルナレディースクリニックでは、町田駅前院・横浜駅前院・川崎駅前院がございます。ご自宅・職場から通いやすい院をご選択ください。診療内容によってはご自宅でも受けられるオンライン診療をご提供しております。</v>
      </c>
      <c r="C11" s="31" t="str">
        <f>IFERROR(__xludf.DUMMYFUNCTION("""COMPUTED_VALUE"""),"予約・導線")</f>
        <v>予約・導線</v>
      </c>
      <c r="D11" s="31" t="str">
        <f>IFERROR(__xludf.DUMMYFUNCTION("""COMPUTED_VALUE"""),"院選択,どこで予約")</f>
        <v>院選択,どこで予約</v>
      </c>
      <c r="E11" s="32" t="str">
        <f>IFERROR(__xludf.DUMMYFUNCTION("""COMPUTED_VALUE"""),"https://luna-dr.com/")</f>
        <v>https://luna-dr.com/</v>
      </c>
    </row>
    <row r="12">
      <c r="A12" s="31" t="str">
        <f>IFERROR(__xludf.DUMMYFUNCTION("""COMPUTED_VALUE"""),"クリニックは駅から近いですか？")</f>
        <v>クリニックは駅から近いですか？</v>
      </c>
      <c r="B12" s="31" t="str">
        <f>IFERROR(__xludf.DUMMYFUNCTION("""COMPUTED_VALUE"""),"ルナレディースクリニックは、すべての院が最寄り駅から徒歩5分以内の場所にあります。通いやすい立地です。")</f>
        <v>ルナレディースクリニックは、すべての院が最寄り駅から徒歩5分以内の場所にあります。通いやすい立地です。</v>
      </c>
      <c r="C12" s="31" t="str">
        <f>IFERROR(__xludf.DUMMYFUNCTION("""COMPUTED_VALUE"""),"アクセス")</f>
        <v>アクセス</v>
      </c>
      <c r="D12" s="31" t="str">
        <f>IFERROR(__xludf.DUMMYFUNCTION("""COMPUTED_VALUE"""),"駅チカ,徒歩5分以内")</f>
        <v>駅チカ,徒歩5分以内</v>
      </c>
      <c r="E12" s="32" t="str">
        <f>IFERROR(__xludf.DUMMYFUNCTION("""COMPUTED_VALUE"""),"https://luna-dr.com/")</f>
        <v>https://luna-dr.com/</v>
      </c>
    </row>
    <row r="13">
      <c r="A13" s="31" t="str">
        <f>IFERROR(__xludf.DUMMYFUNCTION("""COMPUTED_VALUE"""),"どんな診療を行っていますか？/受け付けてる診察内容を教えてください")</f>
        <v>どんな診療を行っていますか？/受け付けてる診察内容を教えてください</v>
      </c>
      <c r="B13" s="31" t="str">
        <f>IFERROR(__xludf.DUMMYFUNCTION("""COMPUTED_VALUE"""),"ルナレディースクリニックでは、ピルの処方、低用量ピル、月経移動、ブライダルチェック、生理不順、生理痛、おりもの検査、不正出血、妊娠検査、女性の検診・検査、中絶、アフターピル、IUS（子宮内システム）、HPVワクチン（子宮頸がんワクチン）、性感染症に対応しています。
※乳房に関する診療、更年期障害の治療、不妊治療は行っていません。")</f>
        <v>ルナレディースクリニックでは、ピルの処方、低用量ピル、月経移動、ブライダルチェック、生理不順、生理痛、おりもの検査、不正出血、妊娠検査、女性の検診・検査、中絶、アフターピル、IUS（子宮内システム）、HPVワクチン（子宮頸がんワクチン）、性感染症に対応しています。
※乳房に関する診療、更年期障害の治療、不妊治療は行っていません。</v>
      </c>
      <c r="C13" s="31" t="str">
        <f>IFERROR(__xludf.DUMMYFUNCTION("""COMPUTED_VALUE"""),"診療内容")</f>
        <v>診療内容</v>
      </c>
      <c r="D13" s="31" t="str">
        <f>IFERROR(__xludf.DUMMYFUNCTION("""COMPUTED_VALUE"""),"診療内容,対応している治療,婦人科")</f>
        <v>診療内容,対応している治療,婦人科</v>
      </c>
      <c r="E13" s="32" t="str">
        <f>IFERROR(__xludf.DUMMYFUNCTION("""COMPUTED_VALUE"""),"https://luna-dr.com/")</f>
        <v>https://luna-dr.com/</v>
      </c>
    </row>
    <row r="14">
      <c r="A14" s="31" t="str">
        <f>IFERROR(__xludf.DUMMYFUNCTION("""COMPUTED_VALUE"""),"生理に関する相談はできますか？")</f>
        <v>生理に関する相談はできますか？</v>
      </c>
      <c r="B14" s="31" t="str">
        <f>IFERROR(__xludf.DUMMYFUNCTION("""COMPUTED_VALUE"""),"ルナレディースクリニックでは、生理不順や生理痛、月経移動など、生理に関するお悩みのご相談を受け付けています。")</f>
        <v>ルナレディースクリニックでは、生理不順や生理痛、月経移動など、生理に関するお悩みのご相談を受け付けています。</v>
      </c>
      <c r="C14" s="31" t="str">
        <f>IFERROR(__xludf.DUMMYFUNCTION("""COMPUTED_VALUE"""),"診療内容")</f>
        <v>診療内容</v>
      </c>
      <c r="D14" s="31" t="str">
        <f>IFERROR(__xludf.DUMMYFUNCTION("""COMPUTED_VALUE"""),"生理,月経,生理痛")</f>
        <v>生理,月経,生理痛</v>
      </c>
      <c r="E14" s="32" t="str">
        <f>IFERROR(__xludf.DUMMYFUNCTION("""COMPUTED_VALUE"""),"https://luna-dr.com/subjects/menstrual-pain/")</f>
        <v>https://luna-dr.com/subjects/menstrual-pain/</v>
      </c>
    </row>
    <row r="15">
      <c r="A15" s="31" t="str">
        <f>IFERROR(__xludf.DUMMYFUNCTION("""COMPUTED_VALUE"""),"生理不順の相談はできますか？")</f>
        <v>生理不順の相談はできますか？</v>
      </c>
      <c r="B15" s="31" t="str">
        <f>IFERROR(__xludf.DUMMYFUNCTION("""COMPUTED_VALUE"""),"ルナレディースクリニックでは、生理不順に関するご相談を行っています。")</f>
        <v>ルナレディースクリニックでは、生理不順に関するご相談を行っています。</v>
      </c>
      <c r="C15" s="31" t="str">
        <f>IFERROR(__xludf.DUMMYFUNCTION("""COMPUTED_VALUE"""),"診療内容")</f>
        <v>診療内容</v>
      </c>
      <c r="D15" s="31" t="str">
        <f>IFERROR(__xludf.DUMMYFUNCTION("""COMPUTED_VALUE"""),"生理不順,月経")</f>
        <v>生理不順,月経</v>
      </c>
      <c r="E15" s="32" t="str">
        <f>IFERROR(__xludf.DUMMYFUNCTION("""COMPUTED_VALUE"""),"https://luna-dr.com/subjects/menstrual-irregularity/")</f>
        <v>https://luna-dr.com/subjects/menstrual-irregularity/</v>
      </c>
    </row>
    <row r="16">
      <c r="A16" s="31" t="str">
        <f>IFERROR(__xludf.DUMMYFUNCTION("""COMPUTED_VALUE"""),"生理痛について相談できますか？")</f>
        <v>生理痛について相談できますか？</v>
      </c>
      <c r="B16" s="31" t="str">
        <f>IFERROR(__xludf.DUMMYFUNCTION("""COMPUTED_VALUE"""),"ルナレディースクリニックでは、生理痛に関するご相談を受け付けています。")</f>
        <v>ルナレディースクリニックでは、生理痛に関するご相談を受け付けています。</v>
      </c>
      <c r="C16" s="31" t="str">
        <f>IFERROR(__xludf.DUMMYFUNCTION("""COMPUTED_VALUE"""),"診療内容")</f>
        <v>診療内容</v>
      </c>
      <c r="D16" s="31" t="str">
        <f>IFERROR(__xludf.DUMMYFUNCTION("""COMPUTED_VALUE"""),"生理痛,月経")</f>
        <v>生理痛,月経</v>
      </c>
      <c r="E16" s="32" t="str">
        <f>IFERROR(__xludf.DUMMYFUNCTION("""COMPUTED_VALUE"""),"https://luna-dr.com/subjects/menstrual-pain/")</f>
        <v>https://luna-dr.com/subjects/menstrual-pain/</v>
      </c>
    </row>
    <row r="17">
      <c r="A17" s="31" t="str">
        <f>IFERROR(__xludf.DUMMYFUNCTION("""COMPUTED_VALUE"""),"中絶の相談はできますか？")</f>
        <v>中絶の相談はできますか？</v>
      </c>
      <c r="B17" s="31" t="str">
        <f>IFERROR(__xludf.DUMMYFUNCTION("""COMPUTED_VALUE"""),"ルナレディースクリニックでは、中絶に関するご相談を行っています。")</f>
        <v>ルナレディースクリニックでは、中絶に関するご相談を行っています。</v>
      </c>
      <c r="C17" s="31" t="str">
        <f>IFERROR(__xludf.DUMMYFUNCTION("""COMPUTED_VALUE"""),"診療内容")</f>
        <v>診療内容</v>
      </c>
      <c r="D17" s="31" t="str">
        <f>IFERROR(__xludf.DUMMYFUNCTION("""COMPUTED_VALUE"""),"中絶,妊娠")</f>
        <v>中絶,妊娠</v>
      </c>
      <c r="E17" s="32" t="str">
        <f>IFERROR(__xludf.DUMMYFUNCTION("""COMPUTED_VALUE"""),"https://luna-dr.com/subjects/abortion_page/")</f>
        <v>https://luna-dr.com/subjects/abortion_page/</v>
      </c>
    </row>
    <row r="18">
      <c r="A18" s="31" t="str">
        <f>IFERROR(__xludf.DUMMYFUNCTION("""COMPUTED_VALUE"""),"ピルや避妊の相談はできますか？")</f>
        <v>ピルや避妊の相談はできますか？</v>
      </c>
      <c r="B18" s="31" t="str">
        <f>IFERROR(__xludf.DUMMYFUNCTION("""COMPUTED_VALUE"""),"ルナレディースクリニックでは、低用量ピルやアフターピル、IUSなど、ピルや避妊に関するご相談を行っています。")</f>
        <v>ルナレディースクリニックでは、低用量ピルやアフターピル、IUSなど、ピルや避妊に関するご相談を行っています。</v>
      </c>
      <c r="C18" s="31" t="str">
        <f>IFERROR(__xludf.DUMMYFUNCTION("""COMPUTED_VALUE"""),"診療内容")</f>
        <v>診療内容</v>
      </c>
      <c r="D18" s="31" t="str">
        <f>IFERROR(__xludf.DUMMYFUNCTION("""COMPUTED_VALUE"""),"ピル,避妊,低用量ピル")</f>
        <v>ピル,避妊,低用量ピル</v>
      </c>
      <c r="E18" s="32" t="str">
        <f>IFERROR(__xludf.DUMMYFUNCTION("""COMPUTED_VALUE"""),"https://luna-dr.com/subjects/pill-prescription/")</f>
        <v>https://luna-dr.com/subjects/pill-prescription/</v>
      </c>
    </row>
    <row r="19">
      <c r="A19" s="31" t="str">
        <f>IFERROR(__xludf.DUMMYFUNCTION("""COMPUTED_VALUE"""),"アフターピルの相談はできますか？")</f>
        <v>アフターピルの相談はできますか？</v>
      </c>
      <c r="B19" s="31" t="str">
        <f>IFERROR(__xludf.DUMMYFUNCTION("""COMPUTED_VALUE"""),"ルナレディースクリニックでは、アフターピルについてのご相談と処方を行っています。")</f>
        <v>ルナレディースクリニックでは、アフターピルについてのご相談と処方を行っています。</v>
      </c>
      <c r="C19" s="31" t="str">
        <f>IFERROR(__xludf.DUMMYFUNCTION("""COMPUTED_VALUE"""),"診療内容")</f>
        <v>診療内容</v>
      </c>
      <c r="D19" s="31" t="str">
        <f>IFERROR(__xludf.DUMMYFUNCTION("""COMPUTED_VALUE"""),"アフターピル,緊急避妊")</f>
        <v>アフターピル,緊急避妊</v>
      </c>
      <c r="E19" s="32" t="str">
        <f>IFERROR(__xludf.DUMMYFUNCTION("""COMPUTED_VALUE"""),"https://luna-dr.com/subjects/after-pill_page/")</f>
        <v>https://luna-dr.com/subjects/after-pill_page/</v>
      </c>
    </row>
    <row r="20">
      <c r="A20" s="31" t="str">
        <f>IFERROR(__xludf.DUMMYFUNCTION("""COMPUTED_VALUE"""),"低用量ピルの相談はできますか？")</f>
        <v>低用量ピルの相談はできますか？</v>
      </c>
      <c r="B20" s="31" t="str">
        <f>IFERROR(__xludf.DUMMYFUNCTION("""COMPUTED_VALUE"""),"ルナレディースクリニックでは、低用量ピルについてのご相談と処方を行っています。")</f>
        <v>ルナレディースクリニックでは、低用量ピルについてのご相談と処方を行っています。</v>
      </c>
      <c r="C20" s="31" t="str">
        <f>IFERROR(__xludf.DUMMYFUNCTION("""COMPUTED_VALUE"""),"診療内容")</f>
        <v>診療内容</v>
      </c>
      <c r="D20" s="31" t="str">
        <f>IFERROR(__xludf.DUMMYFUNCTION("""COMPUTED_VALUE"""),"低用量ピル,ピル")</f>
        <v>低用量ピル,ピル</v>
      </c>
      <c r="E20" s="32" t="str">
        <f>IFERROR(__xludf.DUMMYFUNCTION("""COMPUTED_VALUE"""),"https://luna-dr.com/subjects/low-dose-contraceptive/")</f>
        <v>https://luna-dr.com/subjects/low-dose-contraceptive/</v>
      </c>
    </row>
    <row r="21">
      <c r="A21" s="31" t="str">
        <f>IFERROR(__xludf.DUMMYFUNCTION("""COMPUTED_VALUE"""),"ピルの処方は行っていますか？")</f>
        <v>ピルの処方は行っていますか？</v>
      </c>
      <c r="B21" s="31" t="str">
        <f>IFERROR(__xludf.DUMMYFUNCTION("""COMPUTED_VALUE"""),"ルナレディースクリニックでは、ピルの処方に対応しています。ご相談内容に応じて診察を行っています。")</f>
        <v>ルナレディースクリニックでは、ピルの処方に対応しています。ご相談内容に応じて診察を行っています。</v>
      </c>
      <c r="C21" s="31" t="str">
        <f>IFERROR(__xludf.DUMMYFUNCTION("""COMPUTED_VALUE"""),"診療内容")</f>
        <v>診療内容</v>
      </c>
      <c r="D21" s="31" t="str">
        <f>IFERROR(__xludf.DUMMYFUNCTION("""COMPUTED_VALUE"""),"ピル,処方")</f>
        <v>ピル,処方</v>
      </c>
      <c r="E21" s="32" t="str">
        <f>IFERROR(__xludf.DUMMYFUNCTION("""COMPUTED_VALUE"""),"https://luna-dr.com/subjects/pill-prescription/")</f>
        <v>https://luna-dr.com/subjects/pill-prescription/</v>
      </c>
    </row>
    <row r="22">
      <c r="A22" s="31" t="str">
        <f>IFERROR(__xludf.DUMMYFUNCTION("""COMPUTED_VALUE"""),"月経移動の相談はできますか？")</f>
        <v>月経移動の相談はできますか？</v>
      </c>
      <c r="B22" s="31" t="str">
        <f>IFERROR(__xludf.DUMMYFUNCTION("""COMPUTED_VALUE"""),"ルナレディースクリニックでは、月経移動に関するご相談を受け付けています。")</f>
        <v>ルナレディースクリニックでは、月経移動に関するご相談を受け付けています。</v>
      </c>
      <c r="C22" s="31" t="str">
        <f>IFERROR(__xludf.DUMMYFUNCTION("""COMPUTED_VALUE"""),"診療内容")</f>
        <v>診療内容</v>
      </c>
      <c r="D22" s="31" t="str">
        <f>IFERROR(__xludf.DUMMYFUNCTION("""COMPUTED_VALUE"""),"月経移動,生理調整")</f>
        <v>月経移動,生理調整</v>
      </c>
      <c r="E22" s="32" t="str">
        <f>IFERROR(__xludf.DUMMYFUNCTION("""COMPUTED_VALUE"""),"https://luna-dr.com/subjects/menstrual-manipulation/")</f>
        <v>https://luna-dr.com/subjects/menstrual-manipulation/</v>
      </c>
    </row>
    <row r="23">
      <c r="A23" s="31" t="str">
        <f>IFERROR(__xludf.DUMMYFUNCTION("""COMPUTED_VALUE"""),"おりものの検査はできますか？/おりもの検査の診察もしてますか？/おりものが気になるので検査したい/おりものの検査は来院が必要ですか？")</f>
        <v>おりものの検査はできますか？/おりもの検査の診察もしてますか？/おりものが気になるので検査したい/おりものの検査は来院が必要ですか？</v>
      </c>
      <c r="B23" s="31" t="str">
        <f>IFERROR(__xludf.DUMMYFUNCTION("""COMPUTED_VALUE"""),"ルナレディースクリニックでは、おりもの検査を行っています。来院での検査のほか、ご自宅で検査できる郵送検査キット「FemCHECK（フェムチェック）」もご利用いただけます。症状について直接医師に相談したい方は来院での受診をおすすめしております。")</f>
        <v>ルナレディースクリニックでは、おりもの検査を行っています。来院での検査のほか、ご自宅で検査できる郵送検査キット「FemCHECK（フェムチェック）」もご利用いただけます。症状について直接医師に相談したい方は来院での受診をおすすめしております。</v>
      </c>
      <c r="C23" s="31" t="str">
        <f>IFERROR(__xludf.DUMMYFUNCTION("""COMPUTED_VALUE"""),"診療内容")</f>
        <v>診療内容</v>
      </c>
      <c r="D23" s="31" t="str">
        <f>IFERROR(__xludf.DUMMYFUNCTION("""COMPUTED_VALUE"""),"おりもの検査,症状,FemCHECK,来院,郵送検査")</f>
        <v>おりもの検査,症状,FemCHECK,来院,郵送検査</v>
      </c>
      <c r="E23" s="32" t="str">
        <f>IFERROR(__xludf.DUMMYFUNCTION("""COMPUTED_VALUE"""),"https://luna-dr.com/subjects/abnormal-vaginal-discharge/")</f>
        <v>https://luna-dr.com/subjects/abnormal-vaginal-discharge/</v>
      </c>
    </row>
    <row r="24">
      <c r="A24" s="31" t="str">
        <f>IFERROR(__xludf.DUMMYFUNCTION("""COMPUTED_VALUE"""),"ブライダルチェックは受けられますか？")</f>
        <v>ブライダルチェックは受けられますか？</v>
      </c>
      <c r="B24" s="31" t="str">
        <f>IFERROR(__xludf.DUMMYFUNCTION("""COMPUTED_VALUE"""),"ルナレディースクリニックでは、ブライダルチェックに対応しています。「そろそろ赤ちゃんを考えたい」「結婚の前に、自分の体に問題がないか知っておきたい」将来、妊娠・出産を考えている場合、ご自身の体の状態を把握しておくことはとても大切です。ルナレディースクリニックでは、ブライダルチェックを「結婚前だけの検査」とは考えていません。結婚の有無にかかわらず、将来妊娠を望むすべての女性に受けていただきたい、ご自身の体を守るための大切な検査です。ぜひご受診をご検討ください。※当院では、不妊治療や妊活に関する専門的なご相談"&amp;"・治療は行っておりません。※当院では男性の院内への入室はできないため、パートナー様と一緒にご来院して検査を受けていただくことはできません。男性の方には、ご自宅で検査ができる郵送検査キット「FemCHECK（フェムチェック）」をご用意しております。詳細はこちらをご確認ください。https://luna-dr.com/femcheck/?utm_source=lunamedia&amp;utm_medium=banner&amp;utm_campaign=femcheck_article_hpseo")</f>
        <v>ルナレディースクリニックでは、ブライダルチェックに対応しています。「そろそろ赤ちゃんを考えたい」「結婚の前に、自分の体に問題がないか知っておきたい」将来、妊娠・出産を考えている場合、ご自身の体の状態を把握しておくことはとても大切です。ルナレディースクリニックでは、ブライダルチェックを「結婚前だけの検査」とは考えていません。結婚の有無にかかわらず、将来妊娠を望むすべての女性に受けていただきたい、ご自身の体を守るための大切な検査です。ぜひご受診をご検討ください。※当院では、不妊治療や妊活に関する専門的なご相談・治療は行っておりません。※当院では男性の院内への入室はできないため、パートナー様と一緒にご来院して検査を受けていただくことはできません。男性の方には、ご自宅で検査ができる郵送検査キット「FemCHECK（フェムチェック）」をご用意しております。詳細はこちらをご確認ください。https://luna-dr.com/femcheck/?utm_source=lunamedia&amp;utm_medium=banner&amp;utm_campaign=femcheck_article_hpseo</v>
      </c>
      <c r="C24" s="31" t="str">
        <f>IFERROR(__xludf.DUMMYFUNCTION("""COMPUTED_VALUE"""),"診療内容")</f>
        <v>診療内容</v>
      </c>
      <c r="D24" s="31" t="str">
        <f>IFERROR(__xludf.DUMMYFUNCTION("""COMPUTED_VALUE"""),"ブライダルチェック,検査")</f>
        <v>ブライダルチェック,検査</v>
      </c>
      <c r="E24" s="32" t="str">
        <f>IFERROR(__xludf.DUMMYFUNCTION("""COMPUTED_VALUE"""),"https://luna-dr.com/subjects/bridal-check/")</f>
        <v>https://luna-dr.com/subjects/bridal-check/</v>
      </c>
    </row>
    <row r="25">
      <c r="A25" s="31" t="str">
        <f>IFERROR(__xludf.DUMMYFUNCTION("""COMPUTED_VALUE"""),"性感染症の検査はできますか？")</f>
        <v>性感染症の検査はできますか？</v>
      </c>
      <c r="B25" s="31" t="str">
        <f>IFERROR(__xludf.DUMMYFUNCTION("""COMPUTED_VALUE"""),"ルナレディースクリニックでは、性感染症に関する検査のご相談を受け付けています。")</f>
        <v>ルナレディースクリニックでは、性感染症に関する検査のご相談を受け付けています。</v>
      </c>
      <c r="C25" s="31" t="str">
        <f>IFERROR(__xludf.DUMMYFUNCTION("""COMPUTED_VALUE"""),"診療内容")</f>
        <v>診療内容</v>
      </c>
      <c r="D25" s="31" t="str">
        <f>IFERROR(__xludf.DUMMYFUNCTION("""COMPUTED_VALUE"""),"性感染症,検査")</f>
        <v>性感染症,検査</v>
      </c>
      <c r="E25" s="32" t="str">
        <f>IFERROR(__xludf.DUMMYFUNCTION("""COMPUTED_VALUE"""),"https://luna-dr.com/subjects/std/")</f>
        <v>https://luna-dr.com/subjects/std/</v>
      </c>
    </row>
    <row r="26">
      <c r="A26" s="31" t="str">
        <f>IFERROR(__xludf.DUMMYFUNCTION("""COMPUTED_VALUE"""),"妊娠検査や中絶の相談はできますか？")</f>
        <v>妊娠検査や中絶の相談はできますか？</v>
      </c>
      <c r="B26" s="31" t="str">
        <f>IFERROR(__xludf.DUMMYFUNCTION("""COMPUTED_VALUE"""),"ルナレディースクリニックでは、妊娠検査や中絶に関するご相談を行っています。")</f>
        <v>ルナレディースクリニックでは、妊娠検査や中絶に関するご相談を行っています。</v>
      </c>
      <c r="C26" s="31" t="str">
        <f>IFERROR(__xludf.DUMMYFUNCTION("""COMPUTED_VALUE"""),"診療内容")</f>
        <v>診療内容</v>
      </c>
      <c r="D26" s="31" t="str">
        <f>IFERROR(__xludf.DUMMYFUNCTION("""COMPUTED_VALUE"""),"妊娠検査,中絶")</f>
        <v>妊娠検査,中絶</v>
      </c>
      <c r="E26" s="32" t="str">
        <f>IFERROR(__xludf.DUMMYFUNCTION("""COMPUTED_VALUE"""),"https://luna-dr.com/subjects/pregnancy-test/,https://luna-dr.com/subjects/abortion_page/")</f>
        <v>https://luna-dr.com/subjects/pregnancy-test/,https://luna-dr.com/subjects/abortion_page/</v>
      </c>
    </row>
    <row r="27">
      <c r="A27" s="31" t="str">
        <f>IFERROR(__xludf.DUMMYFUNCTION("""COMPUTED_VALUE"""),"妊娠検査は行っていますか？")</f>
        <v>妊娠検査は行っていますか？</v>
      </c>
      <c r="B27" s="31" t="str">
        <f>IFERROR(__xludf.DUMMYFUNCTION("""COMPUTED_VALUE"""),"ルナレディースクリニックでは、妊娠検査に対応しています。")</f>
        <v>ルナレディースクリニックでは、妊娠検査に対応しています。</v>
      </c>
      <c r="C27" s="31" t="str">
        <f>IFERROR(__xludf.DUMMYFUNCTION("""COMPUTED_VALUE"""),"診療内容")</f>
        <v>診療内容</v>
      </c>
      <c r="D27" s="31" t="str">
        <f>IFERROR(__xludf.DUMMYFUNCTION("""COMPUTED_VALUE"""),"妊娠検査,妊娠")</f>
        <v>妊娠検査,妊娠</v>
      </c>
      <c r="E27" s="32" t="str">
        <f>IFERROR(__xludf.DUMMYFUNCTION("""COMPUTED_VALUE"""),"https://luna-dr.com/subjects/pregnancy-test/")</f>
        <v>https://luna-dr.com/subjects/pregnancy-test/</v>
      </c>
    </row>
    <row r="28">
      <c r="A28" s="31" t="str">
        <f>IFERROR(__xludf.DUMMYFUNCTION("""COMPUTED_VALUE"""),"不正出血の相談は可能ですか？")</f>
        <v>不正出血の相談は可能ですか？</v>
      </c>
      <c r="B28" s="31" t="str">
        <f>IFERROR(__xludf.DUMMYFUNCTION("""COMPUTED_VALUE"""),"ルナレディースクリニックでは、不正出血に関するご相談を受け付けています。")</f>
        <v>ルナレディースクリニックでは、不正出血に関するご相談を受け付けています。</v>
      </c>
      <c r="C28" s="31" t="str">
        <f>IFERROR(__xludf.DUMMYFUNCTION("""COMPUTED_VALUE"""),"診療内容")</f>
        <v>診療内容</v>
      </c>
      <c r="D28" s="31" t="str">
        <f>IFERROR(__xludf.DUMMYFUNCTION("""COMPUTED_VALUE"""),"不正出血,症状")</f>
        <v>不正出血,症状</v>
      </c>
      <c r="E28" s="32" t="str">
        <f>IFERROR(__xludf.DUMMYFUNCTION("""COMPUTED_VALUE"""),"https://luna-dr.com/subjects/irregular-genital-bleeding/")</f>
        <v>https://luna-dr.com/subjects/irregular-genital-bleeding/</v>
      </c>
    </row>
    <row r="29">
      <c r="A29" s="31" t="str">
        <f>IFERROR(__xludf.DUMMYFUNCTION("""COMPUTED_VALUE"""),"女性の検診・検査は受けられますか？")</f>
        <v>女性の検診・検査は受けられますか？</v>
      </c>
      <c r="B29" s="31" t="str">
        <f>IFERROR(__xludf.DUMMYFUNCTION("""COMPUTED_VALUE"""),"ルナレディースクリニックでは、女性の検診・検査に対応しています。")</f>
        <v>ルナレディースクリニックでは、女性の検診・検査に対応しています。</v>
      </c>
      <c r="C29" s="31" t="str">
        <f>IFERROR(__xludf.DUMMYFUNCTION("""COMPUTED_VALUE"""),"診療内容")</f>
        <v>診療内容</v>
      </c>
      <c r="D29" s="31" t="str">
        <f>IFERROR(__xludf.DUMMYFUNCTION("""COMPUTED_VALUE"""),"女性の検診,検査")</f>
        <v>女性の検診,検査</v>
      </c>
      <c r="E29" s="32" t="str">
        <f>IFERROR(__xludf.DUMMYFUNCTION("""COMPUTED_VALUE"""),"https://luna-dr.com/subjects/medical-checkup/")</f>
        <v>https://luna-dr.com/subjects/medical-checkup/</v>
      </c>
    </row>
    <row r="30">
      <c r="A30" s="31" t="str">
        <f>IFERROR(__xludf.DUMMYFUNCTION("""COMPUTED_VALUE"""),"IUSに対応していますか？/子宮内システムに対応していますか？/ミレーナはできますか？/ミレーナは対応していますか？")</f>
        <v>IUSに対応していますか？/子宮内システムに対応していますか？/ミレーナはできますか？/ミレーナは対応していますか？</v>
      </c>
      <c r="B30" s="31" t="str">
        <f>IFERROR(__xludf.DUMMYFUNCTION("""COMPUTED_VALUE"""),"ルナレディースクリニックでは、ミレーナ（IUS：子宮内システム）に関するご相談を受け付けています。")</f>
        <v>ルナレディースクリニックでは、ミレーナ（IUS：子宮内システム）に関するご相談を受け付けています。</v>
      </c>
      <c r="C30" s="31" t="str">
        <f>IFERROR(__xludf.DUMMYFUNCTION("""COMPUTED_VALUE"""),"診療内容")</f>
        <v>診療内容</v>
      </c>
      <c r="D30" s="31" t="str">
        <f>IFERROR(__xludf.DUMMYFUNCTION("""COMPUTED_VALUE"""),"IUS,子宮内システム,ミレーナ")</f>
        <v>IUS,子宮内システム,ミレーナ</v>
      </c>
      <c r="E30" s="32" t="str">
        <f>IFERROR(__xludf.DUMMYFUNCTION("""COMPUTED_VALUE"""),"https://luna-dr.com/subjects/ius-treatment/")</f>
        <v>https://luna-dr.com/subjects/ius-treatment/</v>
      </c>
    </row>
    <row r="31">
      <c r="A31" s="31" t="str">
        <f>IFERROR(__xludf.DUMMYFUNCTION("""COMPUTED_VALUE"""),"HPVワクチンは受けられますか？/子宮頸がんワクチンは受けられますか？")</f>
        <v>HPVワクチンは受けられますか？/子宮頸がんワクチンは受けられますか？</v>
      </c>
      <c r="B31" s="31" t="str">
        <f>IFERROR(__xludf.DUMMYFUNCTION("""COMPUTED_VALUE"""),"ルナレディースクリニックでは、HPVワクチン（子宮頸がんワクチン）に対応しています。")</f>
        <v>ルナレディースクリニックでは、HPVワクチン（子宮頸がんワクチン）に対応しています。</v>
      </c>
      <c r="C31" s="31" t="str">
        <f>IFERROR(__xludf.DUMMYFUNCTION("""COMPUTED_VALUE"""),"診療内容")</f>
        <v>診療内容</v>
      </c>
      <c r="D31" s="31" t="str">
        <f>IFERROR(__xludf.DUMMYFUNCTION("""COMPUTED_VALUE"""),"HPVワクチン,ワクチン,子宮頸がん")</f>
        <v>HPVワクチン,ワクチン,子宮頸がん</v>
      </c>
      <c r="E31" s="32" t="str">
        <f>IFERROR(__xludf.DUMMYFUNCTION("""COMPUTED_VALUE"""),"https://luna-dr.com/subjects/hpv-vaccine/")</f>
        <v>https://luna-dr.com/subjects/hpv-vaccine/</v>
      </c>
    </row>
    <row r="32">
      <c r="A32" s="31" t="str">
        <f>IFERROR(__xludf.DUMMYFUNCTION("""COMPUTED_VALUE"""),"クリニックは駅から近いですか？")</f>
        <v>クリニックは駅から近いですか？</v>
      </c>
      <c r="B32" s="31" t="str">
        <f>IFERROR(__xludf.DUMMYFUNCTION("""COMPUTED_VALUE"""),"ルナレディースクリニックは、町田駅前院は町田駅から徒歩2分、横浜駅前院は横浜駅から徒歩2分、川崎駅前院は川崎駅から徒歩30秒の場所にあります。いずれの院も駅から近く、通いやすい立地です。")</f>
        <v>ルナレディースクリニックは、町田駅前院は町田駅から徒歩2分、横浜駅前院は横浜駅から徒歩2分、川崎駅前院は川崎駅から徒歩30秒の場所にあります。いずれの院も駅から近く、通いやすい立地です。</v>
      </c>
      <c r="C32" s="31" t="str">
        <f>IFERROR(__xludf.DUMMYFUNCTION("""COMPUTED_VALUE"""),"アクセス")</f>
        <v>アクセス</v>
      </c>
      <c r="D32" s="31" t="str">
        <f>IFERROR(__xludf.DUMMYFUNCTION("""COMPUTED_VALUE"""),"駅チカ,アクセス,徒歩")</f>
        <v>駅チカ,アクセス,徒歩</v>
      </c>
      <c r="E32" s="32" t="str">
        <f>IFERROR(__xludf.DUMMYFUNCTION("""COMPUTED_VALUE"""),"https://luna-dr.com/")</f>
        <v>https://luna-dr.com/</v>
      </c>
    </row>
    <row r="33">
      <c r="A33" s="31" t="str">
        <f>IFERROR(__xludf.DUMMYFUNCTION("""COMPUTED_VALUE"""),"受けられない診療内容はありますか？/対応していない診療内容はありますか？")</f>
        <v>受けられない診療内容はありますか？/対応していない診療内容はありますか？</v>
      </c>
      <c r="B33" s="31" t="str">
        <f>IFERROR(__xludf.DUMMYFUNCTION("""COMPUTED_VALUE"""),"ルナレディースクリニックでは、乳房に関する診療、更年期障害の治療、不妊治療は行っていません。")</f>
        <v>ルナレディースクリニックでは、乳房に関する診療、更年期障害の治療、不妊治療は行っていません。</v>
      </c>
      <c r="C33" s="31" t="str">
        <f>IFERROR(__xludf.DUMMYFUNCTION("""COMPUTED_VALUE"""),"診療内容")</f>
        <v>診療内容</v>
      </c>
      <c r="D33" s="31" t="str">
        <f>IFERROR(__xludf.DUMMYFUNCTION("""COMPUTED_VALUE"""),"対応外,診療範囲")</f>
        <v>対応外,診療範囲</v>
      </c>
      <c r="E33" s="32" t="str">
        <f>IFERROR(__xludf.DUMMYFUNCTION("""COMPUTED_VALUE"""),"https://luna-dr.com/")</f>
        <v>https://luna-dr.com/</v>
      </c>
    </row>
    <row r="34">
      <c r="A34" s="31" t="str">
        <f>IFERROR(__xludf.DUMMYFUNCTION("""COMPUTED_VALUE"""),"更年期障害の治療は行っていますか？/更年期はみれますか？")</f>
        <v>更年期障害の治療は行っていますか？/更年期はみれますか？</v>
      </c>
      <c r="B34" s="31" t="str">
        <f>IFERROR(__xludf.DUMMYFUNCTION("""COMPUTED_VALUE"""),"大変恐縮ですが、当院では、更年期障害の治療は行っていません。お近くの婦人科へご相談ください。")</f>
        <v>大変恐縮ですが、当院では、更年期障害の治療は行っていません。お近くの婦人科へご相談ください。</v>
      </c>
      <c r="C34" s="31" t="str">
        <f>IFERROR(__xludf.DUMMYFUNCTION("""COMPUTED_VALUE"""),"受診案内")</f>
        <v>受診案内</v>
      </c>
      <c r="D34" s="31" t="str">
        <f>IFERROR(__xludf.DUMMYFUNCTION("""COMPUTED_VALUE"""),"更年期,更年期障害,更年期症状,ホルモン療法,のぼせ,ほてり,診療可否")</f>
        <v>更年期,更年期障害,更年期症状,ホルモン療法,のぼせ,ほてり,診療可否</v>
      </c>
      <c r="E34" s="32" t="str">
        <f>IFERROR(__xludf.DUMMYFUNCTION("""COMPUTED_VALUE"""),"https://luna-dr.com/")</f>
        <v>https://luna-dr.com/</v>
      </c>
    </row>
    <row r="35">
      <c r="A35" s="31" t="str">
        <f>IFERROR(__xludf.DUMMYFUNCTION("""COMPUTED_VALUE"""),"乳房の検査はできますか？/胸の検査はできますか？/乳腺炎は診てもらえますか？/乳腺炎の診察はできますか？/乳腺炎について相談したい/乳腺炎の治療/乳腺炎の症状がある場合の受診方法を教えてください/マンモグラフィ検査はありますか？/マンモグラフィはできますか？/乳がん検診は受けられますか？/乳腺エコーはできますか？/胸にしこりがあるのですが/胸が痛いのですが受診できますか？/乳がん検査はできますか？/授乳中のトラブルは診てもらえますか？")</f>
        <v>乳房の検査はできますか？/胸の検査はできますか？/乳腺炎は診てもらえますか？/乳腺炎の診察はできますか？/乳腺炎について相談したい/乳腺炎の治療/乳腺炎の症状がある場合の受診方法を教えてください/マンモグラフィ検査はありますか？/マンモグラフィはできますか？/乳がん検診は受けられますか？/乳腺エコーはできますか？/胸にしこりがあるのですが/胸が痛いのですが受診できますか？/乳がん検査はできますか？/授乳中のトラブルは診てもらえますか？</v>
      </c>
      <c r="B35" s="31" t="str">
        <f>IFERROR(__xludf.DUMMYFUNCTION("""COMPUTED_VALUE"""),"当院では乳腺炎・マンモグラフィ・乳腺エコー・乳がん検診を含む乳房に関する診療・検査は行っておりません。胸のしこりや痛み、授乳中のトラブルについても対応しておりませんので、乳腺外科へのご受診をお願いいたします。")</f>
        <v>当院では乳腺炎・マンモグラフィ・乳腺エコー・乳がん検診を含む乳房に関する診療・検査は行っておりません。胸のしこりや痛み、授乳中のトラブルについても対応しておりませんので、乳腺外科へのご受診をお願いいたします。</v>
      </c>
      <c r="C35" s="31" t="str">
        <f>IFERROR(__xludf.DUMMYFUNCTION("""COMPUTED_VALUE"""),"受診案内")</f>
        <v>受診案内</v>
      </c>
      <c r="D35" s="31" t="str">
        <f>IFERROR(__xludf.DUMMYFUNCTION("""COMPUTED_VALUE"""),"乳房,胸,乳がん検査,乳腺,マンモグラフィ,マンモ,エコー,超音波,乳腺エコー,しこり,痛み,検診,健診,診療可否,乳腺炎")</f>
        <v>乳房,胸,乳がん検査,乳腺,マンモグラフィ,マンモ,エコー,超音波,乳腺エコー,しこり,痛み,検診,健診,診療可否,乳腺炎</v>
      </c>
      <c r="E35" s="31"/>
    </row>
    <row r="36">
      <c r="A36" s="31" t="str">
        <f>IFERROR(__xludf.DUMMYFUNCTION("""COMPUTED_VALUE"""),"不妊治療はできますか？")</f>
        <v>不妊治療はできますか？</v>
      </c>
      <c r="B36" s="31" t="str">
        <f>IFERROR(__xludf.DUMMYFUNCTION("""COMPUTED_VALUE"""),"大変恐縮ですが、当院では、不妊治療は行っていません。お近くの婦人科へご相談ください。")</f>
        <v>大変恐縮ですが、当院では、不妊治療は行っていません。お近くの婦人科へご相談ください。</v>
      </c>
      <c r="C36" s="31" t="str">
        <f>IFERROR(__xludf.DUMMYFUNCTION("""COMPUTED_VALUE"""),"受診案内")</f>
        <v>受診案内</v>
      </c>
      <c r="D36" s="31" t="str">
        <f>IFERROR(__xludf.DUMMYFUNCTION("""COMPUTED_VALUE"""),"不妊,不妊治療,妊活,タイミング法,排卵誘発,人工授精,AIH,体外受精,IVF,顕微授精,ICSI,卵巣機能,診療可否")</f>
        <v>不妊,不妊治療,妊活,タイミング法,排卵誘発,人工授精,AIH,体外受精,IVF,顕微授精,ICSI,卵巣機能,診療可否</v>
      </c>
      <c r="E36" s="31"/>
    </row>
    <row r="37">
      <c r="A37" s="31" t="str">
        <f>IFERROR(__xludf.DUMMYFUNCTION("""COMPUTED_VALUE"""),"診断書や紹介状などの書類は発行できますか？/紹介状の宛名変更をしたい/診断書を紛失したので再発行したい")</f>
        <v>診断書や紹介状などの書類は発行できますか？/紹介状の宛名変更をしたい/診断書を紛失したので再発行したい</v>
      </c>
      <c r="B37" s="31" t="str">
        <f>IFERROR(__xludf.DUMMYFUNCTION("""COMPUTED_VALUE"""),"ルナレディースクリニックでは、内容によっては診断書や紹介状（診療情報提供書）を発行できない場合があります。発行をご希望の場合は診察時に医師へご相談ください。外来の混雑状況により当日中の発行が難しい場合もありますので、平日17:00までのご予約・ご来院をおすすめしています。")</f>
        <v>ルナレディースクリニックでは、内容によっては診断書や紹介状（診療情報提供書）を発行できない場合があります。発行をご希望の場合は診察時に医師へご相談ください。外来の混雑状況により当日中の発行が難しい場合もありますので、平日17:00までのご予約・ご来院をおすすめしています。</v>
      </c>
      <c r="C37" s="31" t="str">
        <f>IFERROR(__xludf.DUMMYFUNCTION("""COMPUTED_VALUE"""),"書類発行")</f>
        <v>書類発行</v>
      </c>
      <c r="D37" s="31" t="str">
        <f>IFERROR(__xludf.DUMMYFUNCTION("""COMPUTED_VALUE"""),"診断書,紹介状,書類発行")</f>
        <v>診断書,紹介状,書類発行</v>
      </c>
      <c r="E37" s="32" t="str">
        <f>IFERROR(__xludf.DUMMYFUNCTION("""COMPUTED_VALUE"""),"https://luna-dr.com/question/")</f>
        <v>https://luna-dr.com/question/</v>
      </c>
    </row>
    <row r="38">
      <c r="A38" s="31" t="str">
        <f>IFERROR(__xludf.DUMMYFUNCTION("""COMPUTED_VALUE"""),"妊婦でも診察は受けられますか？")</f>
        <v>妊婦でも診察は受けられますか？</v>
      </c>
      <c r="B38" s="31" t="str">
        <f>IFERROR(__xludf.DUMMYFUNCTION("""COMPUTED_VALUE"""),"ルナレディースクリニックでは、妊娠12週までの方の診察を行っています。ただし、すでに他の医療機関で妊娠経過を診てもらっている場合は、原則としてかかりつけ医での受診をお願いしています。")</f>
        <v>ルナレディースクリニックでは、妊娠12週までの方の診察を行っています。ただし、すでに他の医療機関で妊娠経過を診てもらっている場合は、原則としてかかりつけ医での受診をお願いしています。</v>
      </c>
      <c r="C38" s="31" t="str">
        <f>IFERROR(__xludf.DUMMYFUNCTION("""COMPUTED_VALUE"""),"妊娠中の受診")</f>
        <v>妊娠中の受診</v>
      </c>
      <c r="D38" s="31" t="str">
        <f>IFERROR(__xludf.DUMMYFUNCTION("""COMPUTED_VALUE"""),"妊婦,妊娠初期")</f>
        <v>妊婦,妊娠初期</v>
      </c>
      <c r="E38" s="32" t="str">
        <f>IFERROR(__xludf.DUMMYFUNCTION("""COMPUTED_VALUE"""),"https://luna-dr.com/question/")</f>
        <v>https://luna-dr.com/question/</v>
      </c>
    </row>
    <row r="39">
      <c r="A39" s="31" t="str">
        <f>IFERROR(__xludf.DUMMYFUNCTION("""COMPUTED_VALUE"""),"連休中でも検査結果は通常通り反映されますか？")</f>
        <v>連休中でも検査結果は通常通り反映されますか？</v>
      </c>
      <c r="B39" s="31" t="str">
        <f>IFERROR(__xludf.DUMMYFUNCTION("""COMPUTED_VALUE"""),"ルナレディースクリニックでは、ゴールデンウィークや年末年始などの連休期間中は、検査結果の反映が通常より遅れる場合があります。あらかじめご了承ください。")</f>
        <v>ルナレディースクリニックでは、ゴールデンウィークや年末年始などの連休期間中は、検査結果の反映が通常より遅れる場合があります。あらかじめご了承ください。</v>
      </c>
      <c r="C39" s="31" t="str">
        <f>IFERROR(__xludf.DUMMYFUNCTION("""COMPUTED_VALUE"""),"検査")</f>
        <v>検査</v>
      </c>
      <c r="D39" s="31" t="str">
        <f>IFERROR(__xludf.DUMMYFUNCTION("""COMPUTED_VALUE"""),"検査結果,連休")</f>
        <v>検査結果,連休</v>
      </c>
      <c r="E39" s="32" t="str">
        <f>IFERROR(__xludf.DUMMYFUNCTION("""COMPUTED_VALUE"""),"https://luna-dr.com/question/")</f>
        <v>https://luna-dr.com/question/</v>
      </c>
    </row>
    <row r="40">
      <c r="A40" s="31" t="str">
        <f>IFERROR(__xludf.DUMMYFUNCTION("""COMPUTED_VALUE"""),"市区町村のHPVワクチンと保険診療は同じ日に受けられますか？/市区町村の子宮頸がんワクチンと保険診療は同じ日に受けられますか？")</f>
        <v>市区町村のHPVワクチンと保険診療は同じ日に受けられますか？/市区町村の子宮頸がんワクチンと保険診療は同じ日に受けられますか？</v>
      </c>
      <c r="B40" s="31" t="str">
        <f>IFERROR(__xludf.DUMMYFUNCTION("""COMPUTED_VALUE"""),"ルナレディースクリニックでは、市区町村のHPVワクチンと保険診療を同一日に行うことはできません。保険診療は別日に受診をお願いしています。")</f>
        <v>ルナレディースクリニックでは、市区町村のHPVワクチンと保険診療を同一日に行うことはできません。保険診療は別日に受診をお願いしています。</v>
      </c>
      <c r="C40" s="31" t="str">
        <f>IFERROR(__xludf.DUMMYFUNCTION("""COMPUTED_VALUE"""),"ワクチン・健診")</f>
        <v>ワクチン・健診</v>
      </c>
      <c r="D40" s="31" t="str">
        <f>IFERROR(__xludf.DUMMYFUNCTION("""COMPUTED_VALUE"""),"HPVワクチン,保険診療,子宮頸がん")</f>
        <v>HPVワクチン,保険診療,子宮頸がん</v>
      </c>
      <c r="E40" s="32" t="str">
        <f>IFERROR(__xludf.DUMMYFUNCTION("""COMPUTED_VALUE"""),"https://luna-dr.com/question/")</f>
        <v>https://luna-dr.com/question/</v>
      </c>
    </row>
    <row r="41">
      <c r="A41" s="31" t="str">
        <f>IFERROR(__xludf.DUMMYFUNCTION("""COMPUTED_VALUE"""),"市区町村の子宮頸がん検診と保険診療は同じ日に受けられますか？")</f>
        <v>市区町村の子宮頸がん検診と保険診療は同じ日に受けられますか？</v>
      </c>
      <c r="B41" s="31" t="str">
        <f>IFERROR(__xludf.DUMMYFUNCTION("""COMPUTED_VALUE"""),"ルナレディースクリニックでは、市区町村の子宮頸がん検診と保険診療を同一日に行うことはできません。保険診療は別日に受診をお願いしています。")</f>
        <v>ルナレディースクリニックでは、市区町村の子宮頸がん検診と保険診療を同一日に行うことはできません。保険診療は別日に受診をお願いしています。</v>
      </c>
      <c r="C41" s="31" t="str">
        <f>IFERROR(__xludf.DUMMYFUNCTION("""COMPUTED_VALUE"""),"ワクチン・健診")</f>
        <v>ワクチン・健診</v>
      </c>
      <c r="D41" s="31" t="str">
        <f>IFERROR(__xludf.DUMMYFUNCTION("""COMPUTED_VALUE"""),"子宮頸がん検診,保険診療")</f>
        <v>子宮頸がん検診,保険診療</v>
      </c>
      <c r="E41" s="32" t="str">
        <f>IFERROR(__xludf.DUMMYFUNCTION("""COMPUTED_VALUE"""),"https://luna-dr.com/question/")</f>
        <v>https://luna-dr.com/question/</v>
      </c>
    </row>
    <row r="42">
      <c r="A42" s="31" t="str">
        <f>IFERROR(__xludf.DUMMYFUNCTION("""COMPUTED_VALUE"""),"生理中でも診察は受けられますか？")</f>
        <v>生理中でも診察は受けられますか？</v>
      </c>
      <c r="B42" s="31" t="str">
        <f>IFERROR(__xludf.DUMMYFUNCTION("""COMPUTED_VALUE"""),"ルナレディースクリニックでは、出血量が多い場合に正確な検査ができないことがあり、診察時に検査をお断りする場合があります。できるだけ生理中の受診は避けてください。")</f>
        <v>ルナレディースクリニックでは、出血量が多い場合に正確な検査ができないことがあり、診察時に検査をお断りする場合があります。できるだけ生理中の受診は避けてください。</v>
      </c>
      <c r="C42" s="31" t="str">
        <f>IFERROR(__xludf.DUMMYFUNCTION("""COMPUTED_VALUE"""),"受診について")</f>
        <v>受診について</v>
      </c>
      <c r="D42" s="31" t="str">
        <f>IFERROR(__xludf.DUMMYFUNCTION("""COMPUTED_VALUE"""),"生理中,受診")</f>
        <v>生理中,受診</v>
      </c>
      <c r="E42" s="32" t="str">
        <f>IFERROR(__xludf.DUMMYFUNCTION("""COMPUTED_VALUE"""),"https://luna-dr.com/question/")</f>
        <v>https://luna-dr.com/question/</v>
      </c>
    </row>
    <row r="43">
      <c r="A43" s="31" t="str">
        <f>IFERROR(__xludf.DUMMYFUNCTION("""COMPUTED_VALUE"""),"生理中でも子宮頸がん検診はできますか？")</f>
        <v>生理中でも子宮頸がん検診はできますか？</v>
      </c>
      <c r="B43" s="31" t="str">
        <f>IFERROR(__xludf.DUMMYFUNCTION("""COMPUTED_VALUE"""),"ルナレディースクリニックでは、子宮頸がん検診は生理中には行っていません。より正確な結果のため、生理期間を避けての受診をお願いしています。")</f>
        <v>ルナレディースクリニックでは、子宮頸がん検診は生理中には行っていません。より正確な結果のため、生理期間を避けての受診をお願いしています。</v>
      </c>
      <c r="C43" s="31" t="str">
        <f>IFERROR(__xludf.DUMMYFUNCTION("""COMPUTED_VALUE"""),"検査")</f>
        <v>検査</v>
      </c>
      <c r="D43" s="31" t="str">
        <f>IFERROR(__xludf.DUMMYFUNCTION("""COMPUTED_VALUE"""),"子宮頸がん検診,生理中")</f>
        <v>子宮頸がん検診,生理中</v>
      </c>
      <c r="E43" s="32" t="str">
        <f>IFERROR(__xludf.DUMMYFUNCTION("""COMPUTED_VALUE"""),"https://luna-dr.com/question/")</f>
        <v>https://luna-dr.com/question/</v>
      </c>
    </row>
    <row r="44">
      <c r="A44" s="31" t="str">
        <f>IFERROR(__xludf.DUMMYFUNCTION("""COMPUTED_VALUE"""),"予約時間に遅れても診察は受けられますか？/遅刻しても診察は受けられますか？/電車の遅延で遅れそう/予約時間より遅れそう/遅刻しそうなのですがどうすればいいですか？/遅刻の連絡方法/遅刻しそうの場合どこに連絡すればいい？/遅刻の連絡先はどこですか？")</f>
        <v>予約時間に遅れても診察は受けられますか？/遅刻しても診察は受けられますか？/電車の遅延で遅れそう/予約時間より遅れそう/遅刻しそうなのですがどうすればいいですか？/遅刻の連絡方法/遅刻しそうの場合どこに連絡すればいい？/遅刻の連絡先はどこですか？</v>
      </c>
      <c r="B44" s="31" t="str">
        <f>IFERROR(__xludf.DUMMYFUNCTION("""COMPUTED_VALUE"""),"予約されている方であれば、10分以内の遅れであれば診察が可能です。
ただし、10分以上遅刻された場合は、事前にご連絡をいただいていても予約外来院扱いとなります。
なお、診療内容によって最終受付時間が異なる場合がございますので、あらかじめご了承ください。")</f>
        <v>予約されている方であれば、10分以内の遅れであれば診察が可能です。
ただし、10分以上遅刻された場合は、事前にご連絡をいただいていても予約外来院扱いとなります。
なお、診療内容によって最終受付時間が異なる場合がございますので、あらかじめご了承ください。</v>
      </c>
      <c r="C44" s="31" t="str">
        <f>IFERROR(__xludf.DUMMYFUNCTION("""COMPUTED_VALUE"""),"予約・来院")</f>
        <v>予約・来院</v>
      </c>
      <c r="D44" s="31" t="str">
        <f>IFERROR(__xludf.DUMMYFUNCTION("""COMPUTED_VALUE"""),"遅刻,予約,遅刻連絡")</f>
        <v>遅刻,予約,遅刻連絡</v>
      </c>
      <c r="E44" s="32" t="str">
        <f>IFERROR(__xludf.DUMMYFUNCTION("""COMPUTED_VALUE"""),"https://luna-dr.com/question/")</f>
        <v>https://luna-dr.com/question/</v>
      </c>
    </row>
    <row r="45">
      <c r="A45" s="31" t="str">
        <f>IFERROR(__xludf.DUMMYFUNCTION("""COMPUTED_VALUE"""),"淋菌の点滴抗生剤治療は受けられますか？")</f>
        <v>淋菌の点滴抗生剤治療は受けられますか？</v>
      </c>
      <c r="B45" s="31" t="str">
        <f>IFERROR(__xludf.DUMMYFUNCTION("""COMPUTED_VALUE"""),"ルナレディースクリニックでは、淋菌陽性などの点滴治療について、診療時間内の決められた受付時間までにご来院いただく必要があります。")</f>
        <v>ルナレディースクリニックでは、淋菌陽性などの点滴治療について、診療時間内の決められた受付時間までにご来院いただく必要があります。</v>
      </c>
      <c r="C45" s="31" t="str">
        <f>IFERROR(__xludf.DUMMYFUNCTION("""COMPUTED_VALUE"""),"診療内容")</f>
        <v>診療内容</v>
      </c>
      <c r="D45" s="31" t="str">
        <f>IFERROR(__xludf.DUMMYFUNCTION("""COMPUTED_VALUE"""),"淋菌,点滴治療")</f>
        <v>淋菌,点滴治療</v>
      </c>
      <c r="E45" s="32" t="str">
        <f>IFERROR(__xludf.DUMMYFUNCTION("""COMPUTED_VALUE"""),"https://luna-dr.com/question/")</f>
        <v>https://luna-dr.com/question/</v>
      </c>
    </row>
    <row r="46">
      <c r="A46" s="31" t="str">
        <f>IFERROR(__xludf.DUMMYFUNCTION("""COMPUTED_VALUE"""),"医師の指名はできますか？/女性医師を指名したい/女性の先生に診てもらえますか？/女性の医師はいますか？/女医さんはいますか？/女性の先生を希望したい/女性医師に担当してほしい/女性医師希望だがwebから予約できますか？/女性医師希望だがwebから予約できますか？")</f>
        <v>医師の指名はできますか？/女性医師を指名したい/女性の先生に診てもらえますか？/女性の医師はいますか？/女医さんはいますか？/女性の先生を希望したい/女性医師に担当してほしい/女性医師希望だがwebから予約できますか？/女性医師希望だがwebから予約できますか？</v>
      </c>
      <c r="B46" s="31" t="str">
        <f>IFERROR(__xludf.DUMMYFUNCTION("""COMPUTED_VALUE"""),"ルナレディースクリニックでは、外来の混雑緩和のため、特定の医師の指名はお受けしていません。女性医師をご希望の場合はお電話でご予約・お問い合わせください。お電話は 050-1730-2768 までご連絡ください。電話受付時間は、平日9:45〜13:40・15:15〜19:40、土日祝9:45〜13:40・15:15〜18:40です。")</f>
        <v>ルナレディースクリニックでは、外来の混雑緩和のため、特定の医師の指名はお受けしていません。女性医師をご希望の場合はお電話でご予約・お問い合わせください。お電話は 050-1730-2768 までご連絡ください。電話受付時間は、平日9:45〜13:40・15:15〜19:40、土日祝9:45〜13:40・15:15〜18:40です。</v>
      </c>
      <c r="C46" s="31" t="str">
        <f>IFERROR(__xludf.DUMMYFUNCTION("""COMPUTED_VALUE"""),"診察体制")</f>
        <v>診察体制</v>
      </c>
      <c r="D46" s="31" t="str">
        <f>IFERROR(__xludf.DUMMYFUNCTION("""COMPUTED_VALUE"""),"医師指名,女性医師,女医,電話予約")</f>
        <v>医師指名,女性医師,女医,電話予約</v>
      </c>
      <c r="E46" s="32" t="str">
        <f>IFERROR(__xludf.DUMMYFUNCTION("""COMPUTED_VALUE"""),"https://luna-dr.com/question/")</f>
        <v>https://luna-dr.com/question/</v>
      </c>
    </row>
    <row r="47">
      <c r="A47" s="31" t="str">
        <f>IFERROR(__xludf.DUMMYFUNCTION("""COMPUTED_VALUE"""),"日本語以外での診察は可能ですか？")</f>
        <v>日本語以外での診察は可能ですか？</v>
      </c>
      <c r="B47" s="31" t="str">
        <f>IFERROR(__xludf.DUMMYFUNCTION("""COMPUTED_VALUE"""),"当院では、日本語のみでの診察を行っています。日本語での会話が難しい場合は、女性通訳の同伴をお願いしています。なお、中絶のご相談および診察はご本人様が日本語で医師と直接会話できることを前提としており、カウンセリングおよび診察の際にご同伴いただけるのはご家族のみとなります。ご友人の同伴はご遠慮いただいております。")</f>
        <v>当院では、日本語のみでの診察を行っています。日本語での会話が難しい場合は、女性通訳の同伴をお願いしています。なお、中絶のご相談および診察はご本人様が日本語で医師と直接会話できることを前提としており、カウンセリングおよび診察の際にご同伴いただけるのはご家族のみとなります。ご友人の同伴はご遠慮いただいております。</v>
      </c>
      <c r="C47" s="31" t="str">
        <f>IFERROR(__xludf.DUMMYFUNCTION("""COMPUTED_VALUE"""),"診察体制")</f>
        <v>診察体制</v>
      </c>
      <c r="D47" s="31" t="str">
        <f>IFERROR(__xludf.DUMMYFUNCTION("""COMPUTED_VALUE"""),"外国語対応,日本語")</f>
        <v>外国語対応,日本語</v>
      </c>
      <c r="E47" s="32" t="str">
        <f>IFERROR(__xludf.DUMMYFUNCTION("""COMPUTED_VALUE"""),"https://luna-dr.com/question/")</f>
        <v>https://luna-dr.com/question/</v>
      </c>
    </row>
    <row r="48">
      <c r="A48" s="31" t="str">
        <f>IFERROR(__xludf.DUMMYFUNCTION("""COMPUTED_VALUE"""),"中絶を希望していますが日本語が話せません。受診できますか？")</f>
        <v>中絶を希望していますが日本語が話せません。受診できますか？</v>
      </c>
      <c r="B48" s="31" t="str">
        <f>IFERROR(__xludf.DUMMYFUNCTION("""COMPUTED_VALUE"""),"当院では、中絶のご相談・診察はご本人様が日本語で医師と直接会話できることを前提としております。そのため、お一人で医師との会話が難しい場合はお断りする可能性がございます。また、カウンセリングおよび診察の際にご同伴いただけるのはご家族のみとなり、ご友人の同伴はご遠慮いただいております。あらかじめご了承ください。")</f>
        <v>当院では、中絶のご相談・診察はご本人様が日本語で医師と直接会話できることを前提としております。そのため、お一人で医師との会話が難しい場合はお断りする可能性がございます。また、カウンセリングおよび診察の際にご同伴いただけるのはご家族のみとなり、ご友人の同伴はご遠慮いただいております。あらかじめご了承ください。</v>
      </c>
      <c r="C48" s="31" t="str">
        <f>IFERROR(__xludf.DUMMYFUNCTION("""COMPUTED_VALUE"""),"中絶・受診案内")</f>
        <v>中絶・受診案内</v>
      </c>
      <c r="D48" s="31" t="str">
        <f>IFERROR(__xludf.DUMMYFUNCTION("""COMPUTED_VALUE"""),"中絶,日本語対応,通訳,同伴,家族のみ,友人不可,受診条件")</f>
        <v>中絶,日本語対応,通訳,同伴,家族のみ,友人不可,受診条件</v>
      </c>
      <c r="E48" s="31"/>
    </row>
    <row r="49">
      <c r="A49" s="31" t="str">
        <f>IFERROR(__xludf.DUMMYFUNCTION("""COMPUTED_VALUE"""),"妊娠何週まで子宮頸がん検診を受けられますか？")</f>
        <v>妊娠何週まで子宮頸がん検診を受けられますか？</v>
      </c>
      <c r="B49" s="31" t="str">
        <f>IFERROR(__xludf.DUMMYFUNCTION("""COMPUTED_VALUE"""),"ルナレディースクリニックでは、当院で妊娠経過を診ている妊娠10週までの方を対象に子宮頸がん検診を行っています。")</f>
        <v>ルナレディースクリニックでは、当院で妊娠経過を診ている妊娠10週までの方を対象に子宮頸がん検診を行っています。</v>
      </c>
      <c r="C49" s="31" t="str">
        <f>IFERROR(__xludf.DUMMYFUNCTION("""COMPUTED_VALUE"""),"妊娠中の検査")</f>
        <v>妊娠中の検査</v>
      </c>
      <c r="D49" s="31" t="str">
        <f>IFERROR(__xludf.DUMMYFUNCTION("""COMPUTED_VALUE"""),"妊娠,子宮頸がん検診")</f>
        <v>妊娠,子宮頸がん検診</v>
      </c>
      <c r="E49" s="32" t="str">
        <f>IFERROR(__xludf.DUMMYFUNCTION("""COMPUTED_VALUE"""),"https://luna-dr.com/question/")</f>
        <v>https://luna-dr.com/question/</v>
      </c>
    </row>
    <row r="50">
      <c r="A50" s="31" t="str">
        <f>IFERROR(__xludf.DUMMYFUNCTION("""COMPUTED_VALUE"""),"妊娠何週まで受診できますか？")</f>
        <v>妊娠何週まで受診できますか？</v>
      </c>
      <c r="B50" s="31" t="str">
        <f>IFERROR(__xludf.DUMMYFUNCTION("""COMPUTED_VALUE"""),"ルナレディースクリニックでは、超音波検査は経腟走査のみのため、妊娠12週までの診察対応としています。")</f>
        <v>ルナレディースクリニックでは、超音波検査は経腟走査のみのため、妊娠12週までの診察対応としています。</v>
      </c>
      <c r="C50" s="31" t="str">
        <f>IFERROR(__xludf.DUMMYFUNCTION("""COMPUTED_VALUE"""),"妊娠中の受診")</f>
        <v>妊娠中の受診</v>
      </c>
      <c r="D50" s="31" t="str">
        <f>IFERROR(__xludf.DUMMYFUNCTION("""COMPUTED_VALUE"""),"妊娠週数,受診")</f>
        <v>妊娠週数,受診</v>
      </c>
      <c r="E50" s="32" t="str">
        <f>IFERROR(__xludf.DUMMYFUNCTION("""COMPUTED_VALUE"""),"https://luna-dr.com/question/")</f>
        <v>https://luna-dr.com/question/</v>
      </c>
    </row>
    <row r="51">
      <c r="A51" s="31" t="str">
        <f>IFERROR(__xludf.DUMMYFUNCTION("""COMPUTED_VALUE"""),"他院で妊婦健診を受けていますが受診できますか？")</f>
        <v>他院で妊婦健診を受けていますが受診できますか？</v>
      </c>
      <c r="B51" s="31" t="str">
        <f>IFERROR(__xludf.DUMMYFUNCTION("""COMPUTED_VALUE"""),"ルナレディースクリニックでは、妊娠中の方は妊婦健診を受けているかかりつけの産婦人科での受診をお願いしています。")</f>
        <v>ルナレディースクリニックでは、妊娠中の方は妊婦健診を受けているかかりつけの産婦人科での受診をお願いしています。</v>
      </c>
      <c r="C51" s="31" t="str">
        <f>IFERROR(__xludf.DUMMYFUNCTION("""COMPUTED_VALUE"""),"妊娠中の受診")</f>
        <v>妊娠中の受診</v>
      </c>
      <c r="D51" s="31" t="str">
        <f>IFERROR(__xludf.DUMMYFUNCTION("""COMPUTED_VALUE"""),"他院通院,妊婦健診")</f>
        <v>他院通院,妊婦健診</v>
      </c>
      <c r="E51" s="32" t="str">
        <f>IFERROR(__xludf.DUMMYFUNCTION("""COMPUTED_VALUE"""),"https://luna-dr.com/question/")</f>
        <v>https://luna-dr.com/question/</v>
      </c>
    </row>
    <row r="52">
      <c r="A52" s="31" t="str">
        <f>IFERROR(__xludf.DUMMYFUNCTION("""COMPUTED_VALUE"""),"診察券番号が分かりません/診察券はありますか？/診察カードを忘れた/診察券を忘れた")</f>
        <v>診察券番号が分かりません/診察券はありますか？/診察カードを忘れた/診察券を忘れた</v>
      </c>
      <c r="B52" s="31" t="str">
        <f>IFERROR(__xludf.DUMMYFUNCTION("""COMPUTED_VALUE"""),"ルナレディースクリニックでは診察券の発行を行っていません。LINEや領収書などからご確認いただけます。領収書もお手元にない場合は、お電話（050-1730-2768）または問い合わせフォームよりお問い合わせください。問い合わせフォームはこちら（https://share.hsforms.com/1mH5zNVXTSSSolb2TyIvhuw4rffl）。LINEでの診察券番号の確認方法については、こちらのページをご参照ください。→https://luna-dr.notion.site/f0a26ab231"&amp;"534d8fa9cb069193c411a4")</f>
        <v>ルナレディースクリニックでは診察券の発行を行っていません。LINEや領収書などからご確認いただけます。領収書もお手元にない場合は、お電話（050-1730-2768）または問い合わせフォームよりお問い合わせください。問い合わせフォームはこちら（https://share.hsforms.com/1mH5zNVXTSSSolb2TyIvhuw4rffl）。LINEでの診察券番号の確認方法については、こちらのページをご参照ください。→https://luna-dr.notion.site/f0a26ab231534d8fa9cb069193c411a4</v>
      </c>
      <c r="C52" s="31" t="str">
        <f>IFERROR(__xludf.DUMMYFUNCTION("""COMPUTED_VALUE"""),"受診について")</f>
        <v>受診について</v>
      </c>
      <c r="D52" s="31" t="str">
        <f>IFERROR(__xludf.DUMMYFUNCTION("""COMPUTED_VALUE"""),"診察券,番号")</f>
        <v>診察券,番号</v>
      </c>
      <c r="E52" s="31"/>
    </row>
    <row r="53">
      <c r="A53" s="31" t="str">
        <f>IFERROR(__xludf.DUMMYFUNCTION("""COMPUTED_VALUE"""),"女性医師はいますか？")</f>
        <v>女性医師はいますか？</v>
      </c>
      <c r="B53" s="31" t="str">
        <f>IFERROR(__xludf.DUMMYFUNCTION("""COMPUTED_VALUE"""),"ルナレディースクリニックでは女性医師が在籍しています。曜日によって不在の場合がありますので、ご希望の方はお電話ください。お電話は 050-1730-2768 までご連絡ください。電話受付時間は、平日9:45〜13:40・15:15〜19:40、土日祝9:45〜13:40・15:15〜18:40です。")</f>
        <v>ルナレディースクリニックでは女性医師が在籍しています。曜日によって不在の場合がありますので、ご希望の方はお電話ください。お電話は 050-1730-2768 までご連絡ください。電話受付時間は、平日9:45〜13:40・15:15〜19:40、土日祝9:45〜13:40・15:15〜18:40です。</v>
      </c>
      <c r="C53" s="31" t="str">
        <f>IFERROR(__xludf.DUMMYFUNCTION("""COMPUTED_VALUE"""),"診察体制")</f>
        <v>診察体制</v>
      </c>
      <c r="D53" s="31" t="str">
        <f>IFERROR(__xludf.DUMMYFUNCTION("""COMPUTED_VALUE"""),"女性医師,医師")</f>
        <v>女性医師,医師</v>
      </c>
      <c r="E53" s="32" t="str">
        <f>IFERROR(__xludf.DUMMYFUNCTION("""COMPUTED_VALUE"""),"https://luna-dr.com/question/")</f>
        <v>https://luna-dr.com/question/</v>
      </c>
    </row>
    <row r="54">
      <c r="A54" s="31" t="str">
        <f>IFERROR(__xludf.DUMMYFUNCTION("""COMPUTED_VALUE"""),"何歳から診察を受けられますか？/小学生が受診できますか？/中学生でも受診できますか？/年齢制限はありますか？/未成年でも検査は受けられますか？/未成年の検査/検査可能な年齢は？/子供でも受診できますか？/15歳未満は受診できますか？/10代でも診てもらえますか？/年齢制限は何歳ですか？")</f>
        <v>何歳から診察を受けられますか？/小学生が受診できますか？/中学生でも受診できますか？/年齢制限はありますか？/未成年でも検査は受けられますか？/未成年の検査/検査可能な年齢は？/子供でも受診できますか？/15歳未満は受診できますか？/10代でも診てもらえますか？/年齢制限は何歳ですか？</v>
      </c>
      <c r="B54" s="31" t="str">
        <f>IFERROR(__xludf.DUMMYFUNCTION("""COMPUTED_VALUE"""),"当院は15歳以上の方からご受診いただけます。18歳未満の患者さまは保護者の方の同伴が必須となります。")</f>
        <v>当院は15歳以上の方からご受診いただけます。18歳未満の患者さまは保護者の方の同伴が必須となります。</v>
      </c>
      <c r="C54" s="31" t="str">
        <f>IFERROR(__xludf.DUMMYFUNCTION("""COMPUTED_VALUE"""),"受診案内")</f>
        <v>受診案内</v>
      </c>
      <c r="D54" s="31" t="str">
        <f>IFERROR(__xludf.DUMMYFUNCTION("""COMPUTED_VALUE"""),"年齢制限,未成年,15歳,18歳未満,小学生,中学生,高校生,保護者,同伴")</f>
        <v>年齢制限,未成年,15歳,18歳未満,小学生,中学生,高校生,保護者,同伴</v>
      </c>
      <c r="E54" s="32" t="str">
        <f>IFERROR(__xludf.DUMMYFUNCTION("""COMPUTED_VALUE"""),"https://luna-dr.com/question/")</f>
        <v>https://luna-dr.com/question/</v>
      </c>
    </row>
    <row r="55">
      <c r="A55" s="31" t="str">
        <f>IFERROR(__xludf.DUMMYFUNCTION("""COMPUTED_VALUE"""),"オンライン診療ではどんな相談ができますか？")</f>
        <v>オンライン診療ではどんな相談ができますか？</v>
      </c>
      <c r="B55" s="31" t="str">
        <f>IFERROR(__xludf.DUMMYFUNCTION("""COMPUTED_VALUE"""),"ルナレディースクリニックのオンライン診療では、「おりものが少し変かも」「この症状で病院に行く必要があるか不安」など、気になる婦人科のお悩みについて、実際の診察前に無料でご相談いただけます。オンライン診療はLINEからご利用いただけます。こちらのオンライン診療ページ（https://liff-gateway.lineml.jp/landing?follow=%40590gpxrd&amp;lp=fX73yx&amp;liff_id=1657094566-LmjNPPbV）からご利用ください。")</f>
        <v>ルナレディースクリニックのオンライン診療では、「おりものが少し変かも」「この症状で病院に行く必要があるか不安」など、気になる婦人科のお悩みについて、実際の診察前に無料でご相談いただけます。オンライン診療はLINEからご利用いただけます。こちらのオンライン診療ページ（https://liff-gateway.lineml.jp/landing?follow=%40590gpxrd&amp;lp=fX73yx&amp;liff_id=1657094566-LmjNPPbV）からご利用ください。</v>
      </c>
      <c r="C55" s="31" t="str">
        <f>IFERROR(__xludf.DUMMYFUNCTION("""COMPUTED_VALUE"""),"オンライン診療")</f>
        <v>オンライン診療</v>
      </c>
      <c r="D55" s="31" t="str">
        <f>IFERROR(__xludf.DUMMYFUNCTION("""COMPUTED_VALUE"""),"オンライン診療,無料相談,婦人科相談")</f>
        <v>オンライン診療,無料相談,婦人科相談</v>
      </c>
      <c r="E55" s="32" t="str">
        <f>IFERROR(__xludf.DUMMYFUNCTION("""COMPUTED_VALUE"""),"https://luna-dr.com/telemedicine/")</f>
        <v>https://luna-dr.com/telemedicine/</v>
      </c>
    </row>
    <row r="56">
      <c r="A56" s="31" t="str">
        <f>IFERROR(__xludf.DUMMYFUNCTION("""COMPUTED_VALUE"""),"オンライン診療の特徴を教えてください")</f>
        <v>オンライン診療の特徴を教えてください</v>
      </c>
      <c r="B56" s="31" t="str">
        <f>IFERROR(__xludf.DUMMYFUNCTION("""COMPUTED_VALUE"""),"ルナレディースクリニックのオンライン診療では、問診から診察、決済、お薬の処方まで、すべてLINEで完結します。実際の診察前に「おりものが少し変かも」「この症状で受診が必要か不安」といった婦人科のお悩みを、無料で気軽にご相談いただけます。専用アプリは不要で、LINEのチャットを使って相談員や医師とやりとりができ、初診の方もオンライン診療が可能です。処方されたお薬はご自宅まで配送されるため、外出の必要はありません。")</f>
        <v>ルナレディースクリニックのオンライン診療では、問診から診察、決済、お薬の処方まで、すべてLINEで完結します。実際の診察前に「おりものが少し変かも」「この症状で受診が必要か不安」といった婦人科のお悩みを、無料で気軽にご相談いただけます。専用アプリは不要で、LINEのチャットを使って相談員や医師とやりとりができ、初診の方もオンライン診療が可能です。処方されたお薬はご自宅まで配送されるため、外出の必要はありません。</v>
      </c>
      <c r="C56" s="31" t="str">
        <f>IFERROR(__xludf.DUMMYFUNCTION("""COMPUTED_VALUE"""),"オンライン診療")</f>
        <v>オンライン診療</v>
      </c>
      <c r="D56" s="31" t="str">
        <f>IFERROR(__xludf.DUMMYFUNCTION("""COMPUTED_VALUE"""),"オンライン診療,特徴,無料相談,LINE診療")</f>
        <v>オンライン診療,特徴,無料相談,LINE診療</v>
      </c>
      <c r="E56" s="32" t="str">
        <f>IFERROR(__xludf.DUMMYFUNCTION("""COMPUTED_VALUE"""),"https://luna-dr.com/telemedicine/")</f>
        <v>https://luna-dr.com/telemedicine/</v>
      </c>
    </row>
    <row r="57">
      <c r="A57" s="31" t="str">
        <f>IFERROR(__xludf.DUMMYFUNCTION("""COMPUTED_VALUE"""),"オンライン診療は初診から利用できますか？")</f>
        <v>オンライン診療は初診から利用できますか？</v>
      </c>
      <c r="B57" s="31" t="str">
        <f>IFERROR(__xludf.DUMMYFUNCTION("""COMPUTED_VALUE"""),"ルナレディースクリニックのオンライン診療では、再診だけでなく初診の方もオンラインで診療を受けていただけます。LINEから診察予約が可能です。")</f>
        <v>ルナレディースクリニックのオンライン診療では、再診だけでなく初診の方もオンラインで診療を受けていただけます。LINEから診察予約が可能です。</v>
      </c>
      <c r="C57" s="31" t="str">
        <f>IFERROR(__xludf.DUMMYFUNCTION("""COMPUTED_VALUE"""),"オンライン診療")</f>
        <v>オンライン診療</v>
      </c>
      <c r="D57" s="31" t="str">
        <f>IFERROR(__xludf.DUMMYFUNCTION("""COMPUTED_VALUE"""),"初診,オンライン診療")</f>
        <v>初診,オンライン診療</v>
      </c>
      <c r="E57" s="32" t="str">
        <f>IFERROR(__xludf.DUMMYFUNCTION("""COMPUTED_VALUE"""),"https://luna-dr.com/telemedicine/")</f>
        <v>https://luna-dr.com/telemedicine/</v>
      </c>
    </row>
    <row r="58">
      <c r="A58" s="31" t="str">
        <f>IFERROR(__xludf.DUMMYFUNCTION("""COMPUTED_VALUE"""),"オンライン診療はどのように受けられますか？")</f>
        <v>オンライン診療はどのように受けられますか？</v>
      </c>
      <c r="B58" s="31" t="str">
        <f>IFERROR(__xludf.DUMMYFUNCTION("""COMPUTED_VALUE"""),"ルナレディースクリニックのオンライン診療は、LINEのお友だち登録後、診察予約・WEB問診・医師の診察・決済・お薬の処方まで、すべてスマートフォンで完結します。こちらのオンライン診療ページ（https://liff-gateway.lineml.jp/landing?follow=%40590gpxrd&amp;lp=fX73yx&amp;liff_id=1657094566-LmjNPPbV）からご利用ください。")</f>
        <v>ルナレディースクリニックのオンライン診療は、LINEのお友だち登録後、診察予約・WEB問診・医師の診察・決済・お薬の処方まで、すべてスマートフォンで完結します。こちらのオンライン診療ページ（https://liff-gateway.lineml.jp/landing?follow=%40590gpxrd&amp;lp=fX73yx&amp;liff_id=1657094566-LmjNPPbV）からご利用ください。</v>
      </c>
      <c r="C58" s="31" t="str">
        <f>IFERROR(__xludf.DUMMYFUNCTION("""COMPUTED_VALUE"""),"オンライン診療")</f>
        <v>オンライン診療</v>
      </c>
      <c r="D58" s="31" t="str">
        <f>IFERROR(__xludf.DUMMYFUNCTION("""COMPUTED_VALUE"""),"LINE診療,スマホ診療")</f>
        <v>LINE診療,スマホ診療</v>
      </c>
      <c r="E58" s="32" t="str">
        <f>IFERROR(__xludf.DUMMYFUNCTION("""COMPUTED_VALUE"""),"https://luna-dr.com/telemedicine/")</f>
        <v>https://luna-dr.com/telemedicine/</v>
      </c>
    </row>
    <row r="59">
      <c r="A59" s="31" t="str">
        <f>IFERROR(__xludf.DUMMYFUNCTION("""COMPUTED_VALUE"""),"オンライン診療で対応している診療内容を教えてください")</f>
        <v>オンライン診療で対応している診療内容を教えてください</v>
      </c>
      <c r="B59" s="31" t="str">
        <f>IFERROR(__xludf.DUMMYFUNCTION("""COMPUTED_VALUE"""),"ルナレディースクリニックのオンライン診療では、ピルの処方、低用量ピル、アフターピル、月経移動、おりもの異常に対応しています。")</f>
        <v>ルナレディースクリニックのオンライン診療では、ピルの処方、低用量ピル、アフターピル、月経移動、おりもの異常に対応しています。</v>
      </c>
      <c r="C59" s="31" t="str">
        <f>IFERROR(__xludf.DUMMYFUNCTION("""COMPUTED_VALUE"""),"オンライン診療")</f>
        <v>オンライン診療</v>
      </c>
      <c r="D59" s="31" t="str">
        <f>IFERROR(__xludf.DUMMYFUNCTION("""COMPUTED_VALUE"""),"ピル,月経移動,おりもの")</f>
        <v>ピル,月経移動,おりもの</v>
      </c>
      <c r="E59" s="32" t="str">
        <f>IFERROR(__xludf.DUMMYFUNCTION("""COMPUTED_VALUE"""),"https://luna-dr.com/telemedicine/")</f>
        <v>https://luna-dr.com/telemedicine/</v>
      </c>
    </row>
    <row r="60">
      <c r="A60" s="31" t="str">
        <f>IFERROR(__xludf.DUMMYFUNCTION("""COMPUTED_VALUE"""),"オンライン診療の流れを教えてください")</f>
        <v>オンライン診療の流れを教えてください</v>
      </c>
      <c r="B60" s="31" t="str">
        <f>IFERROR(__xludf.DUMMYFUNCTION("""COMPUTED_VALUE"""),"ルナレディースクリニックのオンライン診療は、LINEのお友だち登録後、診察予約、WEB問診への回答、スタッフとのやりとり、医師による電話またはチャット診療、決済、お薬の発送という流れで進みます。")</f>
        <v>ルナレディースクリニックのオンライン診療は、LINEのお友だち登録後、診察予約、WEB問診への回答、スタッフとのやりとり、医師による電話またはチャット診療、決済、お薬の発送という流れで進みます。</v>
      </c>
      <c r="C60" s="31" t="str">
        <f>IFERROR(__xludf.DUMMYFUNCTION("""COMPUTED_VALUE"""),"オンライン診療")</f>
        <v>オンライン診療</v>
      </c>
      <c r="D60" s="31" t="str">
        <f>IFERROR(__xludf.DUMMYFUNCTION("""COMPUTED_VALUE"""),"診療の流れ,オンライン")</f>
        <v>診療の流れ,オンライン</v>
      </c>
      <c r="E60" s="32" t="str">
        <f>IFERROR(__xludf.DUMMYFUNCTION("""COMPUTED_VALUE"""),"https://luna-dr.com/telemedicine/")</f>
        <v>https://luna-dr.com/telemedicine/</v>
      </c>
    </row>
    <row r="61">
      <c r="A61" s="31" t="str">
        <f>IFERROR(__xludf.DUMMYFUNCTION("""COMPUTED_VALUE"""),"オンライン診療で処方された薬はどこで受け取れますか？")</f>
        <v>オンライン診療で処方された薬はどこで受け取れますか？</v>
      </c>
      <c r="B61" s="31" t="str">
        <f>IFERROR(__xludf.DUMMYFUNCTION("""COMPUTED_VALUE"""),"ルナレディースクリニックのオンライン診療で処方されたお薬は、ご自宅まで郵送でお届けしています。外出の必要はありません。")</f>
        <v>ルナレディースクリニックのオンライン診療で処方されたお薬は、ご自宅まで郵送でお届けしています。外出の必要はありません。</v>
      </c>
      <c r="C61" s="31" t="str">
        <f>IFERROR(__xludf.DUMMYFUNCTION("""COMPUTED_VALUE"""),"オンライン診療")</f>
        <v>オンライン診療</v>
      </c>
      <c r="D61" s="31" t="str">
        <f>IFERROR(__xludf.DUMMYFUNCTION("""COMPUTED_VALUE"""),"薬の受け取り,配送")</f>
        <v>薬の受け取り,配送</v>
      </c>
      <c r="E61" s="32" t="str">
        <f>IFERROR(__xludf.DUMMYFUNCTION("""COMPUTED_VALUE"""),"https://luna-dr.com/telemedicine/")</f>
        <v>https://luna-dr.com/telemedicine/</v>
      </c>
    </row>
    <row r="62">
      <c r="A62" s="31" t="str">
        <f>IFERROR(__xludf.DUMMYFUNCTION("""COMPUTED_VALUE"""),"オンライン診療の支払い方法を教えてください")</f>
        <v>オンライン診療の支払い方法を教えてください</v>
      </c>
      <c r="B62" s="31" t="str">
        <f>IFERROR(__xludf.DUMMYFUNCTION("""COMPUTED_VALUE"""),"ルナレディースクリニックのオンライン診療では、原則クレジットカード払いをお願いしております。対応ブランドは、VISA、Master、JCB、Diners、AmericanExpressです。
診察後にお支払い用のURLをご案内していますので、ご対応をいただきます。
※クレジットカード以外をご希望の場合は、振込または代引き（別途手数料あり）への変更も可能です。詳しくはカウンセラーへお問い合わせください。")</f>
        <v>ルナレディースクリニックのオンライン診療では、原則クレジットカード払いをお願いしております。対応ブランドは、VISA、Master、JCB、Diners、AmericanExpressです。
診察後にお支払い用のURLをご案内していますので、ご対応をいただきます。
※クレジットカード以外をご希望の場合は、振込または代引き（別途手数料あり）への変更も可能です。詳しくはカウンセラーへお問い合わせください。</v>
      </c>
      <c r="C62" s="31" t="str">
        <f>IFERROR(__xludf.DUMMYFUNCTION("""COMPUTED_VALUE"""),"オンライン診療")</f>
        <v>オンライン診療</v>
      </c>
      <c r="D62" s="31" t="str">
        <f>IFERROR(__xludf.DUMMYFUNCTION("""COMPUTED_VALUE"""),"支払い方法,クレジットカード")</f>
        <v>支払い方法,クレジットカード</v>
      </c>
      <c r="E62" s="32" t="str">
        <f>IFERROR(__xludf.DUMMYFUNCTION("""COMPUTED_VALUE"""),"https://luna-dr.com/telemedicine/")</f>
        <v>https://luna-dr.com/telemedicine/</v>
      </c>
    </row>
    <row r="63">
      <c r="A63" s="31" t="str">
        <f>IFERROR(__xludf.DUMMYFUNCTION("""COMPUTED_VALUE"""),"オンライン診療の対象年齢について教えてください")</f>
        <v>オンライン診療の対象年齢について教えてください</v>
      </c>
      <c r="B63" s="31" t="str">
        <f>IFERROR(__xludf.DUMMYFUNCTION("""COMPUTED_VALUE"""),"ルナレディースクリニックのオンライン診療は、全メニュー18歳以上の方が対象です。低用量ピルは18歳以上40歳未満の方が対象となり、低用量ピルの定期配送は45歳までご継続いただけます。")</f>
        <v>ルナレディースクリニックのオンライン診療は、全メニュー18歳以上の方が対象です。低用量ピルは18歳以上40歳未満の方が対象となり、低用量ピルの定期配送は45歳までご継続いただけます。</v>
      </c>
      <c r="C63" s="31" t="str">
        <f>IFERROR(__xludf.DUMMYFUNCTION("""COMPUTED_VALUE"""),"オンライン診療")</f>
        <v>オンライン診療</v>
      </c>
      <c r="D63" s="31" t="str">
        <f>IFERROR(__xludf.DUMMYFUNCTION("""COMPUTED_VALUE"""),"対象年齢,年齢制限,オンライン診療")</f>
        <v>対象年齢,年齢制限,オンライン診療</v>
      </c>
      <c r="E63" s="32" t="str">
        <f>IFERROR(__xludf.DUMMYFUNCTION("""COMPUTED_VALUE"""),"https://luna-dr.com/telemedicine/")</f>
        <v>https://luna-dr.com/telemedicine/</v>
      </c>
    </row>
    <row r="64">
      <c r="A64" s="31" t="str">
        <f>IFERROR(__xludf.DUMMYFUNCTION("""COMPUTED_VALUE"""),"オンライン診療の料金について教えてください")</f>
        <v>オンライン診療の料金について教えてください</v>
      </c>
      <c r="B64" s="31" t="str">
        <f>IFERROR(__xludf.DUMMYFUNCTION("""COMPUTED_VALUE"""),"ルナレディースクリニックのオンライン診療では、医師診察代は3,000円です。別途、お薬代と送料500円～1,000円がかかります。低用量ピルについては、医師診察代が無料となるキャンペーンを行っています。")</f>
        <v>ルナレディースクリニックのオンライン診療では、医師診察代は3,000円です。別途、お薬代と送料500円～1,000円がかかります。低用量ピルについては、医師診察代が無料となるキャンペーンを行っています。</v>
      </c>
      <c r="C64" s="31" t="str">
        <f>IFERROR(__xludf.DUMMYFUNCTION("""COMPUTED_VALUE"""),"オンライン診療")</f>
        <v>オンライン診療</v>
      </c>
      <c r="D64" s="31" t="str">
        <f>IFERROR(__xludf.DUMMYFUNCTION("""COMPUTED_VALUE"""),"料金,診察代,オンライン診療")</f>
        <v>料金,診察代,オンライン診療</v>
      </c>
      <c r="E64" s="32" t="str">
        <f>IFERROR(__xludf.DUMMYFUNCTION("""COMPUTED_VALUE"""),"https://luna-dr.com/telemedicine/")</f>
        <v>https://luna-dr.com/telemedicine/</v>
      </c>
    </row>
    <row r="65">
      <c r="A65" s="31" t="str">
        <f>IFERROR(__xludf.DUMMYFUNCTION("""COMPUTED_VALUE"""),"オンライン診療は保険が使えますか？/オンライン診療で保険が適用されますか？")</f>
        <v>オンライン診療は保険が使えますか？/オンライン診療で保険が適用されますか？</v>
      </c>
      <c r="B65" s="31" t="str">
        <f>IFERROR(__xludf.DUMMYFUNCTION("""COMPUTED_VALUE"""),"ルナレディースクリニックのオンライン診療は、現在すべて自費診療で行っています。")</f>
        <v>ルナレディースクリニックのオンライン診療は、現在すべて自費診療で行っています。</v>
      </c>
      <c r="C65" s="31" t="str">
        <f>IFERROR(__xludf.DUMMYFUNCTION("""COMPUTED_VALUE"""),"オンライン診療")</f>
        <v>オンライン診療</v>
      </c>
      <c r="D65" s="31" t="str">
        <f>IFERROR(__xludf.DUMMYFUNCTION("""COMPUTED_VALUE"""),"自費診療,保険")</f>
        <v>自費診療,保険</v>
      </c>
      <c r="E65" s="32" t="str">
        <f>IFERROR(__xludf.DUMMYFUNCTION("""COMPUTED_VALUE"""),"https://luna-dr.com/telemedicine/")</f>
        <v>https://luna-dr.com/telemedicine/</v>
      </c>
    </row>
    <row r="66">
      <c r="A66" s="31" t="str">
        <f>IFERROR(__xludf.DUMMYFUNCTION("""COMPUTED_VALUE"""),"オンライン診療の申し込みはどこからできますか？")</f>
        <v>オンライン診療の申し込みはどこからできますか？</v>
      </c>
      <c r="B66" s="31" t="str">
        <f>IFERROR(__xludf.DUMMYFUNCTION("""COMPUTED_VALUE"""),"ルナレディースクリニックのオンライン診療は、専用のLINE公式アカウントからお申し込みいただけます。こちらのオンライン診療ページ（https://liff-gateway.lineml.jp/landing?follow=%40590gpxrd&amp;lp=fX73yx&amp;liff_id=1657094566-LmjNPPbV）からご利用ください。")</f>
        <v>ルナレディースクリニックのオンライン診療は、専用のLINE公式アカウントからお申し込みいただけます。こちらのオンライン診療ページ（https://liff-gateway.lineml.jp/landing?follow=%40590gpxrd&amp;lp=fX73yx&amp;liff_id=1657094566-LmjNPPbV）からご利用ください。</v>
      </c>
      <c r="C66" s="31" t="str">
        <f>IFERROR(__xludf.DUMMYFUNCTION("""COMPUTED_VALUE"""),"オンライン診療")</f>
        <v>オンライン診療</v>
      </c>
      <c r="D66" s="31" t="str">
        <f>IFERROR(__xludf.DUMMYFUNCTION("""COMPUTED_VALUE"""),"オンライン診療URL,LINE")</f>
        <v>オンライン診療URL,LINE</v>
      </c>
      <c r="E66" s="32" t="str">
        <f>IFERROR(__xludf.DUMMYFUNCTION("""COMPUTED_VALUE"""),"https://luna-dr.com/telemedicine/")</f>
        <v>https://luna-dr.com/telemedicine/</v>
      </c>
    </row>
    <row r="67">
      <c r="A67" s="31" t="str">
        <f>IFERROR(__xludf.DUMMYFUNCTION("""COMPUTED_VALUE"""),"オンライン診療で処方された薬はどこで受け取れますか？")</f>
        <v>オンライン診療で処方された薬はどこで受け取れますか？</v>
      </c>
      <c r="B67" s="31" t="str">
        <f>IFERROR(__xludf.DUMMYFUNCTION("""COMPUTED_VALUE"""),"ルナレディースクリニックのオンライン診療で処方されたお薬は、ご自宅まで郵送でお届けしています。外出の必要はありません。")</f>
        <v>ルナレディースクリニックのオンライン診療で処方されたお薬は、ご自宅まで郵送でお届けしています。外出の必要はありません。</v>
      </c>
      <c r="C67" s="31" t="str">
        <f>IFERROR(__xludf.DUMMYFUNCTION("""COMPUTED_VALUE"""),"オンライン診療")</f>
        <v>オンライン診療</v>
      </c>
      <c r="D67" s="31" t="str">
        <f>IFERROR(__xludf.DUMMYFUNCTION("""COMPUTED_VALUE"""),"薬の受け取り,郵送,オンライン診療")</f>
        <v>薬の受け取り,郵送,オンライン診療</v>
      </c>
      <c r="E67" s="32" t="str">
        <f>IFERROR(__xludf.DUMMYFUNCTION("""COMPUTED_VALUE"""),"https://luna-dr.com/telemedicine/")</f>
        <v>https://luna-dr.com/telemedicine/</v>
      </c>
    </row>
    <row r="68">
      <c r="A68" s="31" t="str">
        <f>IFERROR(__xludf.DUMMYFUNCTION("""COMPUTED_VALUE"""),"オンライン診療の薬はどれくらいで届きますか？/ピルの定期配送は何日で届く？/ピルの定期便は注文して何日で届きますか？")</f>
        <v>オンライン診療の薬はどれくらいで届きますか？/ピルの定期配送は何日で届く？/ピルの定期便は注文して何日で届きますか？</v>
      </c>
      <c r="B68" s="31" t="str">
        <f>IFERROR(__xludf.DUMMYFUNCTION("""COMPUTED_VALUE"""),"ルナレディースクリニックのオンライン診療では、診察当日または翌営業日に神奈川県川崎市よりお薬を発送しています。到着までの時間は、お住まいの地域によって異なります。")</f>
        <v>ルナレディースクリニックのオンライン診療では、診察当日または翌営業日に神奈川県川崎市よりお薬を発送しています。到着までの時間は、お住まいの地域によって異なります。</v>
      </c>
      <c r="C68" s="31" t="str">
        <f>IFERROR(__xludf.DUMMYFUNCTION("""COMPUTED_VALUE"""),"オンライン診療")</f>
        <v>オンライン診療</v>
      </c>
      <c r="D68" s="31" t="str">
        <f>IFERROR(__xludf.DUMMYFUNCTION("""COMPUTED_VALUE"""),"薬の到着,配送日数,オンライン診療")</f>
        <v>薬の到着,配送日数,オンライン診療</v>
      </c>
      <c r="E68" s="32" t="str">
        <f>IFERROR(__xludf.DUMMYFUNCTION("""COMPUTED_VALUE"""),"https://luna-dr.com/telemedicine/")</f>
        <v>https://luna-dr.com/telemedicine/</v>
      </c>
    </row>
    <row r="69">
      <c r="A69" s="31" t="str">
        <f>IFERROR(__xludf.DUMMYFUNCTION("""COMPUTED_VALUE"""),"支払い方法/支払い方法には何が使えますか？/支払い方法を教えてください/どんな支払い方法がありますか？/お会計方法は？/お支払いはどうすればいいですか？")</f>
        <v>支払い方法/支払い方法には何が使えますか？/支払い方法を教えてください/どんな支払い方法がありますか？/お会計方法は？/お支払いはどうすればいいですか？</v>
      </c>
      <c r="B69" s="31" t="str">
        <f>IFERROR(__xludf.DUMMYFUNCTION("""COMPUTED_VALUE"""),"ルナレディースクリニックでは、現金のほか、クレジットカード（VISA、Mastercard、JCB、American Express、Diners Club、Discover）、交通系電子マネー（Suica、PASMO、Kitaca、TOICA、manaca、ICOCA、SUGOCA、nimoca、はやかけん）、電子マネー（QUICPay、iD、WAON）、QRコード決済（Alipay、WeChat Pay、PayPay、d払い、mPay）をご利用いただけます。")</f>
        <v>ルナレディースクリニックでは、現金のほか、クレジットカード（VISA、Mastercard、JCB、American Express、Diners Club、Discover）、交通系電子マネー（Suica、PASMO、Kitaca、TOICA、manaca、ICOCA、SUGOCA、nimoca、はやかけん）、電子マネー（QUICPay、iD、WAON）、QRコード決済（Alipay、WeChat Pay、PayPay、d払い、mPay）をご利用いただけます。</v>
      </c>
      <c r="C69" s="31" t="str">
        <f>IFERROR(__xludf.DUMMYFUNCTION("""COMPUTED_VALUE"""),"料金・支払い")</f>
        <v>料金・支払い</v>
      </c>
      <c r="D69" s="31" t="str">
        <f>IFERROR(__xludf.DUMMYFUNCTION("""COMPUTED_VALUE"""),"支払い方法,クレジットカード,電子マネー,QR決済")</f>
        <v>支払い方法,クレジットカード,電子マネー,QR決済</v>
      </c>
      <c r="E69" s="32" t="str">
        <f>IFERROR(__xludf.DUMMYFUNCTION("""COMPUTED_VALUE"""),"https://luna-dr.com/")</f>
        <v>https://luna-dr.com/</v>
      </c>
    </row>
    <row r="70">
      <c r="A70" s="31" t="str">
        <f>IFERROR(__xludf.DUMMYFUNCTION("""COMPUTED_VALUE"""),"クレジットカードは使えますか？")</f>
        <v>クレジットカードは使えますか？</v>
      </c>
      <c r="B70" s="31" t="str">
        <f>IFERROR(__xludf.DUMMYFUNCTION("""COMPUTED_VALUE"""),"ルナレディースクリニックでは、VISA、Mastercard、JCB、American Express、Diners Club、Discoverのクレジットカードをご利用いただけます。")</f>
        <v>ルナレディースクリニックでは、VISA、Mastercard、JCB、American Express、Diners Club、Discoverのクレジットカードをご利用いただけます。</v>
      </c>
      <c r="C70" s="31" t="str">
        <f>IFERROR(__xludf.DUMMYFUNCTION("""COMPUTED_VALUE"""),"料金・支払い")</f>
        <v>料金・支払い</v>
      </c>
      <c r="D70" s="31" t="str">
        <f>IFERROR(__xludf.DUMMYFUNCTION("""COMPUTED_VALUE"""),"クレジットカード,支払い方法,カード決済")</f>
        <v>クレジットカード,支払い方法,カード決済</v>
      </c>
      <c r="E70" s="32" t="str">
        <f>IFERROR(__xludf.DUMMYFUNCTION("""COMPUTED_VALUE"""),"https://luna-dr.com/")</f>
        <v>https://luna-dr.com/</v>
      </c>
    </row>
    <row r="71">
      <c r="A71" s="31" t="str">
        <f>IFERROR(__xludf.DUMMYFUNCTION("""COMPUTED_VALUE"""),"現金は使えますか？")</f>
        <v>現金は使えますか？</v>
      </c>
      <c r="B71" s="31" t="str">
        <f>IFERROR(__xludf.DUMMYFUNCTION("""COMPUTED_VALUE"""),"ルナレディースクリニックでは、現金でのお支払いが可能です。")</f>
        <v>ルナレディースクリニックでは、現金でのお支払いが可能です。</v>
      </c>
      <c r="C71" s="31" t="str">
        <f>IFERROR(__xludf.DUMMYFUNCTION("""COMPUTED_VALUE"""),"料金・支払い")</f>
        <v>料金・支払い</v>
      </c>
      <c r="D71" s="31" t="str">
        <f>IFERROR(__xludf.DUMMYFUNCTION("""COMPUTED_VALUE"""),"現金,支払い方法")</f>
        <v>現金,支払い方法</v>
      </c>
      <c r="E71" s="32" t="str">
        <f>IFERROR(__xludf.DUMMYFUNCTION("""COMPUTED_VALUE"""),"https://luna-dr.com/")</f>
        <v>https://luna-dr.com/</v>
      </c>
    </row>
    <row r="72">
      <c r="A72" s="31" t="str">
        <f>IFERROR(__xludf.DUMMYFUNCTION("""COMPUTED_VALUE"""),"交通系ICカードは使えますか？")</f>
        <v>交通系ICカードは使えますか？</v>
      </c>
      <c r="B72" s="31" t="str">
        <f>IFERROR(__xludf.DUMMYFUNCTION("""COMPUTED_VALUE"""),"ルナレディースクリニックでは、Suica、PASMO、Kitaca、TOICA、manaca、ICOCA、SUGOCA、nimoca、はやかけんの交通系電子マネーをご利用いただけます。")</f>
        <v>ルナレディースクリニックでは、Suica、PASMO、Kitaca、TOICA、manaca、ICOCA、SUGOCA、nimoca、はやかけんの交通系電子マネーをご利用いただけます。</v>
      </c>
      <c r="C72" s="31" t="str">
        <f>IFERROR(__xludf.DUMMYFUNCTION("""COMPUTED_VALUE"""),"料金・支払い")</f>
        <v>料金・支払い</v>
      </c>
      <c r="D72" s="31" t="str">
        <f>IFERROR(__xludf.DUMMYFUNCTION("""COMPUTED_VALUE"""),"交通系IC,電子マネー,支払い方法")</f>
        <v>交通系IC,電子マネー,支払い方法</v>
      </c>
      <c r="E72" s="32" t="str">
        <f>IFERROR(__xludf.DUMMYFUNCTION("""COMPUTED_VALUE"""),"https://luna-dr.com/")</f>
        <v>https://luna-dr.com/</v>
      </c>
    </row>
    <row r="73">
      <c r="A73" s="31" t="str">
        <f>IFERROR(__xludf.DUMMYFUNCTION("""COMPUTED_VALUE"""),"電子マネーは使えますか？")</f>
        <v>電子マネーは使えますか？</v>
      </c>
      <c r="B73" s="31" t="str">
        <f>IFERROR(__xludf.DUMMYFUNCTION("""COMPUTED_VALUE"""),"ルナレディースクリニックでは、QUICPay、iD、WAONの電子マネーをご利用いただけます。")</f>
        <v>ルナレディースクリニックでは、QUICPay、iD、WAONの電子マネーをご利用いただけます。</v>
      </c>
      <c r="C73" s="31" t="str">
        <f>IFERROR(__xludf.DUMMYFUNCTION("""COMPUTED_VALUE"""),"料金・支払い")</f>
        <v>料金・支払い</v>
      </c>
      <c r="D73" s="31" t="str">
        <f>IFERROR(__xludf.DUMMYFUNCTION("""COMPUTED_VALUE"""),"電子マネー,QUICPay,iD,WAON")</f>
        <v>電子マネー,QUICPay,iD,WAON</v>
      </c>
      <c r="E73" s="32" t="str">
        <f>IFERROR(__xludf.DUMMYFUNCTION("""COMPUTED_VALUE"""),"https://luna-dr.com/")</f>
        <v>https://luna-dr.com/</v>
      </c>
    </row>
    <row r="74">
      <c r="A74" s="31" t="str">
        <f>IFERROR(__xludf.DUMMYFUNCTION("""COMPUTED_VALUE"""),"PayPayは使えますか？")</f>
        <v>PayPayは使えますか？</v>
      </c>
      <c r="B74" s="31" t="str">
        <f>IFERROR(__xludf.DUMMYFUNCTION("""COMPUTED_VALUE"""),"ルナレディースクリニックでは、PayPayでのお支払いが可能です。")</f>
        <v>ルナレディースクリニックでは、PayPayでのお支払いが可能です。</v>
      </c>
      <c r="C74" s="31" t="str">
        <f>IFERROR(__xludf.DUMMYFUNCTION("""COMPUTED_VALUE"""),"料金・支払い")</f>
        <v>料金・支払い</v>
      </c>
      <c r="D74" s="31" t="str">
        <f>IFERROR(__xludf.DUMMYFUNCTION("""COMPUTED_VALUE"""),"PayPay,QR決済")</f>
        <v>PayPay,QR決済</v>
      </c>
      <c r="E74" s="32" t="str">
        <f>IFERROR(__xludf.DUMMYFUNCTION("""COMPUTED_VALUE"""),"https://luna-dr.com/")</f>
        <v>https://luna-dr.com/</v>
      </c>
    </row>
    <row r="75">
      <c r="A75" s="31" t="str">
        <f>IFERROR(__xludf.DUMMYFUNCTION("""COMPUTED_VALUE"""),"QRコード決済は使えますか？")</f>
        <v>QRコード決済は使えますか？</v>
      </c>
      <c r="B75" s="31" t="str">
        <f>IFERROR(__xludf.DUMMYFUNCTION("""COMPUTED_VALUE"""),"ルナレディースクリニックでは、Alipay、WeChat Pay、PayPay、d払い、mPayのQRコード決済をご利用いただけます。")</f>
        <v>ルナレディースクリニックでは、Alipay、WeChat Pay、PayPay、d払い、mPayのQRコード決済をご利用いただけます。</v>
      </c>
      <c r="C75" s="31" t="str">
        <f>IFERROR(__xludf.DUMMYFUNCTION("""COMPUTED_VALUE"""),"料金・支払い")</f>
        <v>料金・支払い</v>
      </c>
      <c r="D75" s="31" t="str">
        <f>IFERROR(__xludf.DUMMYFUNCTION("""COMPUTED_VALUE"""),"QR決済,スマホ決済")</f>
        <v>QR決済,スマホ決済</v>
      </c>
      <c r="E75" s="32" t="str">
        <f>IFERROR(__xludf.DUMMYFUNCTION("""COMPUTED_VALUE"""),"https://luna-dr.com/")</f>
        <v>https://luna-dr.com/</v>
      </c>
    </row>
    <row r="76">
      <c r="A76" s="31" t="str">
        <f>IFERROR(__xludf.DUMMYFUNCTION("""COMPUTED_VALUE"""),"海外発行のクレジットカードは使えますか？")</f>
        <v>海外発行のクレジットカードは使えますか？</v>
      </c>
      <c r="B76" s="31" t="str">
        <f>IFERROR(__xludf.DUMMYFUNCTION("""COMPUTED_VALUE"""),"ルナレディースクリニックでは、VISA、Mastercard、American Express、Diners Club、Discoverに対応しており、海外発行のカードもご利用いただけます。")</f>
        <v>ルナレディースクリニックでは、VISA、Mastercard、American Express、Diners Club、Discoverに対応しており、海外発行のカードもご利用いただけます。</v>
      </c>
      <c r="C76" s="31" t="str">
        <f>IFERROR(__xludf.DUMMYFUNCTION("""COMPUTED_VALUE"""),"料金・支払い")</f>
        <v>料金・支払い</v>
      </c>
      <c r="D76" s="31" t="str">
        <f>IFERROR(__xludf.DUMMYFUNCTION("""COMPUTED_VALUE"""),"海外カード,クレジットカード")</f>
        <v>海外カード,クレジットカード</v>
      </c>
      <c r="E76" s="32" t="str">
        <f>IFERROR(__xludf.DUMMYFUNCTION("""COMPUTED_VALUE"""),"https://luna-dr.com/")</f>
        <v>https://luna-dr.com/</v>
      </c>
    </row>
    <row r="77">
      <c r="A77" s="31" t="str">
        <f>IFERROR(__xludf.DUMMYFUNCTION("""COMPUTED_VALUE"""),"ルナレディースクリニックが選ばれている理由は何ですか？")</f>
        <v>ルナレディースクリニックが選ばれている理由は何ですか？</v>
      </c>
      <c r="B77" s="31" t="str">
        <f>IFERROR(__xludf.DUMMYFUNCTION("""COMPUTED_VALUE"""),"ルナレディースクリニックでは、女性が安心して気軽に相談でき、無理なく通い続けられるクリニックを目指しています。そのため、通いやすい立地、予約のしやすさ、プライバシーへの配慮、来院とオンラインを選べる診療体制を整えています。")</f>
        <v>ルナレディースクリニックでは、女性が安心して気軽に相談でき、無理なく通い続けられるクリニックを目指しています。そのため、通いやすい立地、予約のしやすさ、プライバシーへの配慮、来院とオンラインを選べる診療体制を整えています。</v>
      </c>
      <c r="C77" s="31" t="str">
        <f>IFERROR(__xludf.DUMMYFUNCTION("""COMPUTED_VALUE"""),"クリニックについて")</f>
        <v>クリニックについて</v>
      </c>
      <c r="D77" s="31" t="str">
        <f>IFERROR(__xludf.DUMMYFUNCTION("""COMPUTED_VALUE"""),"選ばれる理由,特徴")</f>
        <v>選ばれる理由,特徴</v>
      </c>
      <c r="E77" s="32" t="str">
        <f>IFERROR(__xludf.DUMMYFUNCTION("""COMPUTED_VALUE"""),"https://luna-dr.com/")</f>
        <v>https://luna-dr.com/</v>
      </c>
    </row>
    <row r="78">
      <c r="A78" s="31" t="str">
        <f>IFERROR(__xludf.DUMMYFUNCTION("""COMPUTED_VALUE"""),"どの院も駅から近く通いやすいですか？")</f>
        <v>どの院も駅から近く通いやすいですか？</v>
      </c>
      <c r="B78" s="31" t="str">
        <f>IFERROR(__xludf.DUMMYFUNCTION("""COMPUTED_VALUE"""),"ルナレディースクリニックは、横浜・川崎・町田のすべての院が駅直結の立地にあります。雨の日でも濡れる心配が少なく、お仕事やお買い物のついでにも立ち寄りやすい環境です。")</f>
        <v>ルナレディースクリニックは、横浜・川崎・町田のすべての院が駅直結の立地にあります。雨の日でも濡れる心配が少なく、お仕事やお買い物のついでにも立ち寄りやすい環境です。</v>
      </c>
      <c r="C78" s="31" t="str">
        <f>IFERROR(__xludf.DUMMYFUNCTION("""COMPUTED_VALUE"""),"アクセス")</f>
        <v>アクセス</v>
      </c>
      <c r="D78" s="31" t="str">
        <f>IFERROR(__xludf.DUMMYFUNCTION("""COMPUTED_VALUE"""),"駅直結,通いやすさ")</f>
        <v>駅直結,通いやすさ</v>
      </c>
      <c r="E78" s="32" t="str">
        <f>IFERROR(__xludf.DUMMYFUNCTION("""COMPUTED_VALUE"""),"https://luna-dr.com/")</f>
        <v>https://luna-dr.com/</v>
      </c>
    </row>
    <row r="79">
      <c r="A79" s="31" t="str">
        <f>IFERROR(__xludf.DUMMYFUNCTION("""COMPUTED_VALUE"""),"夜間や土日祝も診療していますか？")</f>
        <v>夜間や土日祝も診療していますか？</v>
      </c>
      <c r="B79" s="31" t="str">
        <f>IFERROR(__xludf.DUMMYFUNCTION("""COMPUTED_VALUE"""),"ルナレディースクリニックでは、平日は夜20時まで、土日祝は19時まで診療を行っています。診療内容により、最終の受付可能なお時間が異なることがありますので、夜間での受診をお考えの際は、事前にご予約の上、来院をお願いします。")</f>
        <v>ルナレディースクリニックでは、平日は夜20時まで、土日祝は19時まで診療を行っています。診療内容により、最終の受付可能なお時間が異なることがありますので、夜間での受診をお考えの際は、事前にご予約の上、来院をお願いします。</v>
      </c>
      <c r="C79" s="31" t="str">
        <f>IFERROR(__xludf.DUMMYFUNCTION("""COMPUTED_VALUE"""),"診療時間")</f>
        <v>診療時間</v>
      </c>
      <c r="D79" s="31" t="str">
        <f>IFERROR(__xludf.DUMMYFUNCTION("""COMPUTED_VALUE"""),"夜間診療,土日祝診療")</f>
        <v>夜間診療,土日祝診療</v>
      </c>
      <c r="E79" s="32" t="str">
        <f>IFERROR(__xludf.DUMMYFUNCTION("""COMPUTED_VALUE"""),"https://luna-dr.com/")</f>
        <v>https://luna-dr.com/</v>
      </c>
    </row>
    <row r="80">
      <c r="A80" s="31" t="str">
        <f>IFERROR(__xludf.DUMMYFUNCTION("""COMPUTED_VALUE"""),"予約はいつでもできますか？")</f>
        <v>予約はいつでもできますか？</v>
      </c>
      <c r="B80" s="31" t="str">
        <f>IFERROR(__xludf.DUMMYFUNCTION("""COMPUTED_VALUE"""),"ルナレディースクリニックでは、公式LINEから24時間いつでもご予約いただけます。深夜や早朝、移動中など、ご自身のタイミングで簡単に予約が可能です。")</f>
        <v>ルナレディースクリニックでは、公式LINEから24時間いつでもご予約いただけます。深夜や早朝、移動中など、ご自身のタイミングで簡単に予約が可能です。</v>
      </c>
      <c r="C80" s="31" t="str">
        <f>IFERROR(__xludf.DUMMYFUNCTION("""COMPUTED_VALUE"""),"予約")</f>
        <v>予約</v>
      </c>
      <c r="D80" s="31" t="str">
        <f>IFERROR(__xludf.DUMMYFUNCTION("""COMPUTED_VALUE"""),"LINE予約,24時間予約")</f>
        <v>LINE予約,24時間予約</v>
      </c>
      <c r="E80" s="32" t="str">
        <f>IFERROR(__xludf.DUMMYFUNCTION("""COMPUTED_VALUE"""),"https://luna-dr.com/")</f>
        <v>https://luna-dr.com/</v>
      </c>
    </row>
    <row r="81">
      <c r="A81" s="31" t="str">
        <f>IFERROR(__xludf.DUMMYFUNCTION("""COMPUTED_VALUE"""),"WEB問診を利用するメリットは何ですか？")</f>
        <v>WEB問診を利用するメリットは何ですか？</v>
      </c>
      <c r="B81" s="31" t="str">
        <f>IFERROR(__xludf.DUMMYFUNCTION("""COMPUTED_VALUE"""),"ルナレディースクリニックでは、来院前にWEB問診へご回答いただくことで、デリケートな内容を落ち着いた環境で入力できます。プライバシーに配慮できるほか、院内での待ち時間短縮にもつながります。")</f>
        <v>ルナレディースクリニックでは、来院前にWEB問診へご回答いただくことで、デリケートな内容を落ち着いた環境で入力できます。プライバシーに配慮できるほか、院内での待ち時間短縮にもつながります。</v>
      </c>
      <c r="C81" s="31" t="str">
        <f>IFERROR(__xludf.DUMMYFUNCTION("""COMPUTED_VALUE"""),"受診について")</f>
        <v>受診について</v>
      </c>
      <c r="D81" s="31" t="str">
        <f>IFERROR(__xludf.DUMMYFUNCTION("""COMPUTED_VALUE"""),"WEB問診,プライバシー")</f>
        <v>WEB問診,プライバシー</v>
      </c>
      <c r="E81" s="32" t="str">
        <f>IFERROR(__xludf.DUMMYFUNCTION("""COMPUTED_VALUE"""),"https://luna-dr.com/")</f>
        <v>https://luna-dr.com/</v>
      </c>
    </row>
    <row r="82">
      <c r="A82" s="31" t="str">
        <f>IFERROR(__xludf.DUMMYFUNCTION("""COMPUTED_VALUE"""),"来院診療とオンライン診療は選べますか？")</f>
        <v>来院診療とオンライン診療は選べますか？</v>
      </c>
      <c r="B82" s="31" t="str">
        <f>IFERROR(__xludf.DUMMYFUNCTION("""COMPUTED_VALUE"""),"ルナレディースクリニックでは、医師と直接相談できる来院診療を基本としつつ、ご自宅から受診できるオンライン診療にも対応しています。ライフスタイルに合わせて診療方法を選べます。")</f>
        <v>ルナレディースクリニックでは、医師と直接相談できる来院診療を基本としつつ、ご自宅から受診できるオンライン診療にも対応しています。ライフスタイルに合わせて診療方法を選べます。</v>
      </c>
      <c r="C82" s="31" t="str">
        <f>IFERROR(__xludf.DUMMYFUNCTION("""COMPUTED_VALUE"""),"診療体制")</f>
        <v>診療体制</v>
      </c>
      <c r="D82" s="31" t="str">
        <f>IFERROR(__xludf.DUMMYFUNCTION("""COMPUTED_VALUE"""),"来院診療,オンライン診療")</f>
        <v>来院診療,オンライン診療</v>
      </c>
      <c r="E82" s="32" t="str">
        <f>IFERROR(__xludf.DUMMYFUNCTION("""COMPUTED_VALUE"""),"https://luna-dr.com/")</f>
        <v>https://luna-dr.com/</v>
      </c>
    </row>
    <row r="83">
      <c r="A83" s="31" t="str">
        <f>IFERROR(__xludf.DUMMYFUNCTION("""COMPUTED_VALUE"""),"月経移動とは何ですか？/初診でも月経移動ピルは処方してもらえますか？/初めてでも月経移動できますか？")</f>
        <v>月経移動とは何ですか？/初診でも月経移動ピルは処方してもらえますか？/初めてでも月経移動できますか？</v>
      </c>
      <c r="B83" s="31" t="str">
        <f>IFERROR(__xludf.DUMMYFUNCTION("""COMPUTED_VALUE"""),"月経移動とは、ホルモン剤の一種であるピルを服用することで、生理が始まるタイミングを意図的に「早める」または「遅らせる」医療技術です。
ルナレディースクリニックでは、ピルを服用することで生理が始まるタイミングを「早める」または「遅らせる」月経移動を行っています。海外旅行や結婚式、試験など大切な予定に合わせてご相談いただけます。")</f>
        <v>月経移動とは、ホルモン剤の一種であるピルを服用することで、生理が始まるタイミングを意図的に「早める」または「遅らせる」医療技術です。
ルナレディースクリニックでは、ピルを服用することで生理が始まるタイミングを「早める」または「遅らせる」月経移動を行っています。海外旅行や結婚式、試験など大切な予定に合わせてご相談いただけます。</v>
      </c>
      <c r="C83" s="31" t="str">
        <f>IFERROR(__xludf.DUMMYFUNCTION("""COMPUTED_VALUE"""),"月経移動")</f>
        <v>月経移動</v>
      </c>
      <c r="D83" s="31" t="str">
        <f>IFERROR(__xludf.DUMMYFUNCTION("""COMPUTED_VALUE"""),"月経移動,生理調整,ピル")</f>
        <v>月経移動,生理調整,ピル</v>
      </c>
      <c r="E83" s="32" t="str">
        <f>IFERROR(__xludf.DUMMYFUNCTION("""COMPUTED_VALUE"""),"https://luna-dr.com/subjects/menstrual-manipulation/")</f>
        <v>https://luna-dr.com/subjects/menstrual-manipulation/</v>
      </c>
    </row>
    <row r="84">
      <c r="A84" s="31" t="str">
        <f>IFERROR(__xludf.DUMMYFUNCTION("""COMPUTED_VALUE"""),"どんな予定があるときに月経移動を利用できますか？")</f>
        <v>どんな予定があるときに月経移動を利用できますか？</v>
      </c>
      <c r="B84" s="31" t="str">
        <f>IFERROR(__xludf.DUMMYFUNCTION("""COMPUTED_VALUE"""),"月経移動は、海外旅行、結婚式、温泉旅行、スポーツ大会、試験など、さまざまな予定に合わせた月経移動のご相談を受け付けています。患者様一人ひとりのご予定やライフスタイルに合わせて、最適な月経移動プランをご提案します。")</f>
        <v>月経移動は、海外旅行、結婚式、温泉旅行、スポーツ大会、試験など、さまざまな予定に合わせた月経移動のご相談を受け付けています。患者様一人ひとりのご予定やライフスタイルに合わせて、最適な月経移動プランをご提案します。</v>
      </c>
      <c r="C84" s="31" t="str">
        <f>IFERROR(__xludf.DUMMYFUNCTION("""COMPUTED_VALUE"""),"月経移動")</f>
        <v>月経移動</v>
      </c>
      <c r="D84" s="31" t="str">
        <f>IFERROR(__xludf.DUMMYFUNCTION("""COMPUTED_VALUE"""),"旅行,試験,イベント,月経移動")</f>
        <v>旅行,試験,イベント,月経移動</v>
      </c>
      <c r="E84" s="32" t="str">
        <f>IFERROR(__xludf.DUMMYFUNCTION("""COMPUTED_VALUE"""),"https://luna-dr.com/subjects/menstrual-manipulation/")</f>
        <v>https://luna-dr.com/subjects/menstrual-manipulation/</v>
      </c>
    </row>
    <row r="85">
      <c r="A85" s="31" t="str">
        <f>IFERROR(__xludf.DUMMYFUNCTION("""COMPUTED_VALUE"""),"月経移動は生理と大事な予定が重なりそうなときは相談できますか？")</f>
        <v>月経移動は生理と大事な予定が重なりそうなときは相談できますか？</v>
      </c>
      <c r="B85" s="31" t="str">
        <f>IFERROR(__xludf.DUMMYFUNCTION("""COMPUTED_VALUE"""),"大切なご予定に合わせて生理日を調整したい場合の月経移動についてご相談いただけます。患者様一人ひとりのご予定やライフスタイルに合わせて、最適な月経移動プランをご提案します。")</f>
        <v>大切なご予定に合わせて生理日を調整したい場合の月経移動についてご相談いただけます。患者様一人ひとりのご予定やライフスタイルに合わせて、最適な月経移動プランをご提案します。</v>
      </c>
      <c r="C85" s="31" t="str">
        <f>IFERROR(__xludf.DUMMYFUNCTION("""COMPUTED_VALUE"""),"月経移動")</f>
        <v>月経移動</v>
      </c>
      <c r="D85" s="31" t="str">
        <f>IFERROR(__xludf.DUMMYFUNCTION("""COMPUTED_VALUE"""),"生理,予定,相談,月経移動")</f>
        <v>生理,予定,相談,月経移動</v>
      </c>
      <c r="E85" s="32" t="str">
        <f>IFERROR(__xludf.DUMMYFUNCTION("""COMPUTED_VALUE"""),"https://luna-dr.com/subjects/menstrual-manipulation/")</f>
        <v>https://luna-dr.com/subjects/menstrual-manipulation/</v>
      </c>
    </row>
    <row r="86">
      <c r="A86" s="31" t="str">
        <f>IFERROR(__xludf.DUMMYFUNCTION("""COMPUTED_VALUE"""),"月経移動はどのように行いますか？")</f>
        <v>月経移動はどのように行いますか？</v>
      </c>
      <c r="B86" s="31" t="str">
        <f>IFERROR(__xludf.DUMMYFUNCTION("""COMPUTED_VALUE"""),"ルナレディースクリニックでは、ピルを使用して生理日を早める、または遅らせる方法で月経移動を行います。ご予定や生理周期に合わせて医師がご提案します。")</f>
        <v>ルナレディースクリニックでは、ピルを使用して生理日を早める、または遅らせる方法で月経移動を行います。ご予定や生理周期に合わせて医師がご提案します。</v>
      </c>
      <c r="C86" s="31" t="str">
        <f>IFERROR(__xludf.DUMMYFUNCTION("""COMPUTED_VALUE"""),"月経移動")</f>
        <v>月経移動</v>
      </c>
      <c r="D86" s="31" t="str">
        <f>IFERROR(__xludf.DUMMYFUNCTION("""COMPUTED_VALUE"""),"方法,ピル,月経移動")</f>
        <v>方法,ピル,月経移動</v>
      </c>
      <c r="E86" s="32" t="str">
        <f>IFERROR(__xludf.DUMMYFUNCTION("""COMPUTED_VALUE"""),"https://luna-dr.com/subjects/menstrual-manipulation/")</f>
        <v>https://luna-dr.com/subjects/menstrual-manipulation/</v>
      </c>
    </row>
    <row r="87">
      <c r="A87" s="31" t="str">
        <f>IFERROR(__xludf.DUMMYFUNCTION("""COMPUTED_VALUE"""),"月経移動の費用はいくらですか？")</f>
        <v>月経移動の費用はいくらですか？</v>
      </c>
      <c r="B87" s="31" t="str">
        <f>IFERROR(__xludf.DUMMYFUNCTION("""COMPUTED_VALUE"""),"ルナレディースクリニックでは、月経移動（ピル処方・診察料込み）を5,000円（税込）で行っています。")</f>
        <v>ルナレディースクリニックでは、月経移動（ピル処方・診察料込み）を5,000円（税込）で行っています。</v>
      </c>
      <c r="C87" s="31" t="str">
        <f>IFERROR(__xludf.DUMMYFUNCTION("""COMPUTED_VALUE"""),"月経移動")</f>
        <v>月経移動</v>
      </c>
      <c r="D87" s="31" t="str">
        <f>IFERROR(__xludf.DUMMYFUNCTION("""COMPUTED_VALUE"""),"料金,費用,月経移動")</f>
        <v>料金,費用,月経移動</v>
      </c>
      <c r="E87" s="32" t="str">
        <f>IFERROR(__xludf.DUMMYFUNCTION("""COMPUTED_VALUE"""),"https://luna-dr.com/subjects/menstrual-manipulation/")</f>
        <v>https://luna-dr.com/subjects/menstrual-manipulation/</v>
      </c>
    </row>
    <row r="88">
      <c r="A88" s="31" t="str">
        <f>IFERROR(__xludf.DUMMYFUNCTION("""COMPUTED_VALUE"""),"月経移動にはどんな方法がありますか？")</f>
        <v>月経移動にはどんな方法がありますか？</v>
      </c>
      <c r="B88" s="31" t="str">
        <f>IFERROR(__xludf.DUMMYFUNCTION("""COMPUTED_VALUE"""),"月経移動には、生理を「遅らせる」方法と「早める」方法があります。どちらの方法を選ぶかは、生理予定日とご予定までの日数によって異なります。")</f>
        <v>月経移動には、生理を「遅らせる」方法と「早める」方法があります。どちらの方法を選ぶかは、生理予定日とご予定までの日数によって異なります。</v>
      </c>
      <c r="C88" s="31" t="str">
        <f>IFERROR(__xludf.DUMMYFUNCTION("""COMPUTED_VALUE"""),"月経移動")</f>
        <v>月経移動</v>
      </c>
      <c r="D88" s="31" t="str">
        <f>IFERROR(__xludf.DUMMYFUNCTION("""COMPUTED_VALUE"""),"方法,早める,遅らせる,月経移動")</f>
        <v>方法,早める,遅らせる,月経移動</v>
      </c>
      <c r="E88" s="32" t="str">
        <f>IFERROR(__xludf.DUMMYFUNCTION("""COMPUTED_VALUE"""),"https://luna-dr.com/subjects/menstrual-manipulation/")</f>
        <v>https://luna-dr.com/subjects/menstrual-manipulation/</v>
      </c>
    </row>
    <row r="89">
      <c r="A89" s="31" t="str">
        <f>IFERROR(__xludf.DUMMYFUNCTION("""COMPUTED_VALUE"""),"生理を遅らせる月経移動はどのような方法ですか？")</f>
        <v>生理を遅らせる月経移動はどのような方法ですか？</v>
      </c>
      <c r="B89" s="31" t="str">
        <f>IFERROR(__xludf.DUMMYFUNCTION("""COMPUTED_VALUE"""),"生理を遅らせる方法は、生理予定日の5日前からピルを服用し、生理を避けたいイベントの最終日まで毎日1錠飲み続ける方法です。内服終了後2～3日程度で生理が来る場合があります。")</f>
        <v>生理を遅らせる方法は、生理予定日の5日前からピルを服用し、生理を避けたいイベントの最終日まで毎日1錠飲み続ける方法です。内服終了後2～3日程度で生理が来る場合があります。</v>
      </c>
      <c r="C89" s="31" t="str">
        <f>IFERROR(__xludf.DUMMYFUNCTION("""COMPUTED_VALUE"""),"月経移動")</f>
        <v>月経移動</v>
      </c>
      <c r="D89" s="31" t="str">
        <f>IFERROR(__xludf.DUMMYFUNCTION("""COMPUTED_VALUE"""),"生理を遅らせる,服用方法,月経移動")</f>
        <v>生理を遅らせる,服用方法,月経移動</v>
      </c>
      <c r="E89" s="32" t="str">
        <f>IFERROR(__xludf.DUMMYFUNCTION("""COMPUTED_VALUE"""),"https://luna-dr.com/subjects/menstrual-manipulation/")</f>
        <v>https://luna-dr.com/subjects/menstrual-manipulation/</v>
      </c>
    </row>
    <row r="90">
      <c r="A90" s="31" t="str">
        <f>IFERROR(__xludf.DUMMYFUNCTION("""COMPUTED_VALUE"""),"生理を早める月経移動はどのような方法ですか？")</f>
        <v>生理を早める月経移動はどのような方法ですか？</v>
      </c>
      <c r="B90" s="31" t="str">
        <f>IFERROR(__xludf.DUMMYFUNCTION("""COMPUTED_VALUE"""),"生理を早める方法は、移動させたい生理の一つ前の生理開始5日目からピルを服用し、内服終了後2～3日程度で生理が来るよう調整する方法です。")</f>
        <v>生理を早める方法は、移動させたい生理の一つ前の生理開始5日目からピルを服用し、内服終了後2～3日程度で生理が来るよう調整する方法です。</v>
      </c>
      <c r="C90" s="31" t="str">
        <f>IFERROR(__xludf.DUMMYFUNCTION("""COMPUTED_VALUE"""),"月経移動")</f>
        <v>月経移動</v>
      </c>
      <c r="D90" s="31" t="str">
        <f>IFERROR(__xludf.DUMMYFUNCTION("""COMPUTED_VALUE"""),"生理を早める,服用方法,月経移動")</f>
        <v>生理を早める,服用方法,月経移動</v>
      </c>
      <c r="E90" s="32" t="str">
        <f>IFERROR(__xludf.DUMMYFUNCTION("""COMPUTED_VALUE"""),"https://luna-dr.com/subjects/menstrual-manipulation/")</f>
        <v>https://luna-dr.com/subjects/menstrual-manipulation/</v>
      </c>
    </row>
    <row r="91">
      <c r="A91" s="31" t="str">
        <f>IFERROR(__xludf.DUMMYFUNCTION("""COMPUTED_VALUE"""),"生理を早めるか遅らせるか迷っています")</f>
        <v>生理を早めるか遅らせるか迷っています</v>
      </c>
      <c r="B91" s="31" t="str">
        <f>IFERROR(__xludf.DUMMYFUNCTION("""COMPUTED_VALUE"""),"生理を早めるか遅らせるかは、ご予定までの期間によって異なります。ルナレディースクリニックでは、診察時に医師が状況を確認し、適した方法をご提案します。")</f>
        <v>生理を早めるか遅らせるかは、ご予定までの期間によって異なります。ルナレディースクリニックでは、診察時に医師が状況を確認し、適した方法をご提案します。</v>
      </c>
      <c r="C91" s="31" t="str">
        <f>IFERROR(__xludf.DUMMYFUNCTION("""COMPUTED_VALUE"""),"月経移動")</f>
        <v>月経移動</v>
      </c>
      <c r="D91" s="31" t="str">
        <f>IFERROR(__xludf.DUMMYFUNCTION("""COMPUTED_VALUE"""),"方法選択,相談,月経移動")</f>
        <v>方法選択,相談,月経移動</v>
      </c>
      <c r="E91" s="32" t="str">
        <f>IFERROR(__xludf.DUMMYFUNCTION("""COMPUTED_VALUE"""),"https://luna-dr.com/subjects/menstrual-manipulation/")</f>
        <v>https://luna-dr.com/subjects/menstrual-manipulation/</v>
      </c>
    </row>
    <row r="92">
      <c r="A92" s="31" t="str">
        <f>IFERROR(__xludf.DUMMYFUNCTION("""COMPUTED_VALUE"""),"月経移動の相談はいつまでにすればよいですか？")</f>
        <v>月経移動の相談はいつまでにすればよいですか？</v>
      </c>
      <c r="B92" s="31" t="str">
        <f>IFERROR(__xludf.DUMMYFUNCTION("""COMPUTED_VALUE"""),"生理を遅らせたい場合は生理予定日の1週間前まで、生理を早めたい場合はずらしたい生理の一つ前の生理期間中にご相談ください。")</f>
        <v>生理を遅らせたい場合は生理予定日の1週間前まで、生理を早めたい場合はずらしたい生理の一つ前の生理期間中にご相談ください。</v>
      </c>
      <c r="C92" s="31" t="str">
        <f>IFERROR(__xludf.DUMMYFUNCTION("""COMPUTED_VALUE"""),"月経移動")</f>
        <v>月経移動</v>
      </c>
      <c r="D92" s="31" t="str">
        <f>IFERROR(__xludf.DUMMYFUNCTION("""COMPUTED_VALUE"""),"相談時期,タイミング,月経移動")</f>
        <v>相談時期,タイミング,月経移動</v>
      </c>
      <c r="E92" s="32" t="str">
        <f>IFERROR(__xludf.DUMMYFUNCTION("""COMPUTED_VALUE"""),"https://luna-dr.com/subjects/menstrual-manipulation/")</f>
        <v>https://luna-dr.com/subjects/menstrual-manipulation/</v>
      </c>
    </row>
    <row r="93">
      <c r="A93" s="31" t="str">
        <f>IFERROR(__xludf.DUMMYFUNCTION("""COMPUTED_VALUE"""),"ピルはいつから飲めばいいですか？")</f>
        <v>ピルはいつから飲めばいいですか？</v>
      </c>
      <c r="B93" s="31" t="str">
        <f>IFERROR(__xludf.DUMMYFUNCTION("""COMPUTED_VALUE"""),"ピルを飲み始める時期は、生理を「早める」か「遅らせる」かによって異なります。生理を遅らせる場合は生理予定日の5日前から、生理を早める場合はずらしたい生理の一つ前の生理開始5日目から服用を開始します。どちらの方法が合っているかは、ご予定と生理周期を確認したうえで診察時にご案内します。")</f>
        <v>ピルを飲み始める時期は、生理を「早める」か「遅らせる」かによって異なります。生理を遅らせる場合は生理予定日の5日前から、生理を早める場合はずらしたい生理の一つ前の生理開始5日目から服用を開始します。どちらの方法が合っているかは、ご予定と生理周期を確認したうえで診察時にご案内します。</v>
      </c>
      <c r="C93" s="31" t="str">
        <f>IFERROR(__xludf.DUMMYFUNCTION("""COMPUTED_VALUE"""),"月経移動")</f>
        <v>月経移動</v>
      </c>
      <c r="D93" s="31" t="str">
        <f>IFERROR(__xludf.DUMMYFUNCTION("""COMPUTED_VALUE"""),"服用開始,いつから,選び方,月経移動")</f>
        <v>服用開始,いつから,選び方,月経移動</v>
      </c>
      <c r="E93" s="32" t="str">
        <f>IFERROR(__xludf.DUMMYFUNCTION("""COMPUTED_VALUE"""),"https://luna-dr.com/subjects/menstrual-manipulation/")</f>
        <v>https://luna-dr.com/subjects/menstrual-manipulation/</v>
      </c>
    </row>
    <row r="94">
      <c r="A94" s="31" t="str">
        <f>IFERROR(__xludf.DUMMYFUNCTION("""COMPUTED_VALUE"""),"ピルはいつまで飲み続ける必要がありますか？")</f>
        <v>ピルはいつまで飲み続ける必要がありますか？</v>
      </c>
      <c r="B94" s="31" t="str">
        <f>IFERROR(__xludf.DUMMYFUNCTION("""COMPUTED_VALUE"""),"ピルを飲み続ける期間は、生理を遅らせる場合と早める場合で異なります。生理を遅らせる場合は、生理を避けたいイベントの最終日まで毎日服用します。生理を早める場合は、医師から案内された期間、毎日服用します。服用期間については診察時にご説明します。")</f>
        <v>ピルを飲み続ける期間は、生理を遅らせる場合と早める場合で異なります。生理を遅らせる場合は、生理を避けたいイベントの最終日まで毎日服用します。生理を早める場合は、医師から案内された期間、毎日服用します。服用期間については診察時にご説明します。</v>
      </c>
      <c r="C94" s="31" t="str">
        <f>IFERROR(__xludf.DUMMYFUNCTION("""COMPUTED_VALUE"""),"月経移動")</f>
        <v>月経移動</v>
      </c>
      <c r="D94" s="31" t="str">
        <f>IFERROR(__xludf.DUMMYFUNCTION("""COMPUTED_VALUE"""),"服用期間,いつまで,月経移動")</f>
        <v>服用期間,いつまで,月経移動</v>
      </c>
      <c r="E94" s="32" t="str">
        <f>IFERROR(__xludf.DUMMYFUNCTION("""COMPUTED_VALUE"""),"https://luna-dr.com/subjects/menstrual-manipulation/")</f>
        <v>https://luna-dr.com/subjects/menstrual-manipulation/</v>
      </c>
    </row>
    <row r="95">
      <c r="A95" s="31" t="str">
        <f>IFERROR(__xludf.DUMMYFUNCTION("""COMPUTED_VALUE"""),"ピルを飲んだあとは、いつ生理が来ますか？")</f>
        <v>ピルを飲んだあとは、いつ生理が来ますか？</v>
      </c>
      <c r="B95" s="31" t="str">
        <f>IFERROR(__xludf.DUMMYFUNCTION("""COMPUTED_VALUE"""),"生理を早める場合・遅らせる場合のいずれも、ピルの服用を終了してから2～3日程度で生理が来ることがあります。生理が来るまでの日数には個人差があるため、詳しくは診察時にご説明します。")</f>
        <v>生理を早める場合・遅らせる場合のいずれも、ピルの服用を終了してから2～3日程度で生理が来ることがあります。生理が来るまでの日数には個人差があるため、詳しくは診察時にご説明します。</v>
      </c>
      <c r="C95" s="31" t="str">
        <f>IFERROR(__xludf.DUMMYFUNCTION("""COMPUTED_VALUE"""),"月経移動")</f>
        <v>月経移動</v>
      </c>
      <c r="D95" s="31" t="str">
        <f>IFERROR(__xludf.DUMMYFUNCTION("""COMPUTED_VALUE"""),"生理が来る時期,いつ来る,月経移動")</f>
        <v>生理が来る時期,いつ来る,月経移動</v>
      </c>
      <c r="E95" s="32" t="str">
        <f>IFERROR(__xludf.DUMMYFUNCTION("""COMPUTED_VALUE"""),"https://luna-dr.com/subjects/menstrual-manipulation/")</f>
        <v>https://luna-dr.com/subjects/menstrual-manipulation/</v>
      </c>
    </row>
    <row r="96">
      <c r="A96" s="31" t="str">
        <f>IFERROR(__xludf.DUMMYFUNCTION("""COMPUTED_VALUE"""),"月経移動の診察・処方の流れを教えてください")</f>
        <v>月経移動の診察・処方の流れを教えてください</v>
      </c>
      <c r="B96" s="31" t="str">
        <f>IFERROR(__xludf.DUMMYFUNCTION("""COMPUTED_VALUE"""),"ルナレディースクリニックでは、月経移動の診察・処方を来院診療またはオンライン診療から選べます。来院診療の場合は、公式LINEから予約後、WEB問診に回答し、診察で生理周期や生理を避けたい期間を確認します。診察後は必要日数分のお薬をその場でお渡しし、お会計となります。オンライン診療の場合は、公式LINEから予約し、WEB問診に回答後、予約時間に医師が電話またはチャットで診察を行います。診察後は決済リンクで支払いを行い、確認後にお薬を発送します。いずれの場合も、服用中に不安があればLINEで相談できます。")</f>
        <v>ルナレディースクリニックでは、月経移動の診察・処方を来院診療またはオンライン診療から選べます。来院診療の場合は、公式LINEから予約後、WEB問診に回答し、診察で生理周期や生理を避けたい期間を確認します。診察後は必要日数分のお薬をその場でお渡しし、お会計となります。オンライン診療の場合は、公式LINEから予約し、WEB問診に回答後、予約時間に医師が電話またはチャットで診察を行います。診察後は決済リンクで支払いを行い、確認後にお薬を発送します。いずれの場合も、服用中に不安があればLINEで相談できます。</v>
      </c>
      <c r="C96" s="31" t="str">
        <f>IFERROR(__xludf.DUMMYFUNCTION("""COMPUTED_VALUE"""),"月経移動")</f>
        <v>月経移動</v>
      </c>
      <c r="D96" s="31" t="str">
        <f>IFERROR(__xludf.DUMMYFUNCTION("""COMPUTED_VALUE"""),"診察の流れ,来院診療,オンライン診療,月経移動")</f>
        <v>診察の流れ,来院診療,オンライン診療,月経移動</v>
      </c>
      <c r="E96" s="32" t="str">
        <f>IFERROR(__xludf.DUMMYFUNCTION("""COMPUTED_VALUE"""),"https://luna-dr.com/subjects/menstrual-manipulation/")</f>
        <v>https://luna-dr.com/subjects/menstrual-manipulation/</v>
      </c>
    </row>
    <row r="97">
      <c r="A97" s="31" t="str">
        <f>IFERROR(__xludf.DUMMYFUNCTION("""COMPUTED_VALUE"""),"月経移動はどうやって相談できますか？/月経移動は来院とオンライン、どちらで相談できますか？")</f>
        <v>月経移動はどうやって相談できますか？/月経移動は来院とオンライン、どちらで相談できますか？</v>
      </c>
      <c r="B97" s="31" t="str">
        <f>IFERROR(__xludf.DUMMYFUNCTION("""COMPUTED_VALUE"""),"ルナレディースクリニックでは、来院診療とオンライン診療のどちらでも月経移動のご相談と処方を行っています。")</f>
        <v>ルナレディースクリニックでは、来院診療とオンライン診療のどちらでも月経移動のご相談と処方を行っています。</v>
      </c>
      <c r="C97" s="31" t="str">
        <f>IFERROR(__xludf.DUMMYFUNCTION("""COMPUTED_VALUE"""),"月経移動")</f>
        <v>月経移動</v>
      </c>
      <c r="D97" s="31" t="str">
        <f>IFERROR(__xludf.DUMMYFUNCTION("""COMPUTED_VALUE"""),"来院,オンライン診療,月経移動")</f>
        <v>来院,オンライン診療,月経移動</v>
      </c>
      <c r="E97" s="32" t="str">
        <f>IFERROR(__xludf.DUMMYFUNCTION("""COMPUTED_VALUE"""),"https://luna-dr.com/subjects/menstrual-manipulation/")</f>
        <v>https://luna-dr.com/subjects/menstrual-manipulation/</v>
      </c>
    </row>
    <row r="98">
      <c r="A98" s="31" t="str">
        <f>IFERROR(__xludf.DUMMYFUNCTION("""COMPUTED_VALUE"""),"月経移動は来院で相談できますか？")</f>
        <v>月経移動は来院で相談できますか？</v>
      </c>
      <c r="B98" s="31" t="str">
        <f>IFERROR(__xludf.DUMMYFUNCTION("""COMPUTED_VALUE"""),"クリニックにご来院いただき、医師に直接相談しながら月経移動の処方を受けることができます。診察時に不安な点をその場で相談したい方に向いています。")</f>
        <v>クリニックにご来院いただき、医師に直接相談しながら月経移動の処方を受けることができます。診察時に不安な点をその場で相談したい方に向いています。</v>
      </c>
      <c r="C98" s="31" t="str">
        <f>IFERROR(__xludf.DUMMYFUNCTION("""COMPUTED_VALUE"""),"月経移動")</f>
        <v>月経移動</v>
      </c>
      <c r="D98" s="31" t="str">
        <f>IFERROR(__xludf.DUMMYFUNCTION("""COMPUTED_VALUE"""),"来院診療,相談,月経移動")</f>
        <v>来院診療,相談,月経移動</v>
      </c>
      <c r="E98" s="32" t="str">
        <f>IFERROR(__xludf.DUMMYFUNCTION("""COMPUTED_VALUE"""),"https://luna-dr.com/subjects/menstrual-manipulation/")</f>
        <v>https://luna-dr.com/subjects/menstrual-manipulation/</v>
      </c>
    </row>
    <row r="99">
      <c r="A99" s="31" t="str">
        <f>IFERROR(__xludf.DUMMYFUNCTION("""COMPUTED_VALUE"""),"来院で月経移動を相談する場合、最初に何をすればよいですか？")</f>
        <v>来院で月経移動を相談する場合、最初に何をすればよいですか？</v>
      </c>
      <c r="B99" s="31" t="str">
        <f>IFERROR(__xludf.DUMMYFUNCTION("""COMPUTED_VALUE"""),"ルナレディースクリニックでは、来院で月経移動を相談する場合、公式LINEからのご予約とWEB問診のご回答をお願いしています。事前にWEB問診へご回答いただくことで、受付から診察までスムーズにご案内できます。")</f>
        <v>ルナレディースクリニックでは、来院で月経移動を相談する場合、公式LINEからのご予約とWEB問診のご回答をお願いしています。事前にWEB問診へご回答いただくことで、受付から診察までスムーズにご案内できます。</v>
      </c>
      <c r="C99" s="31" t="str">
        <f>IFERROR(__xludf.DUMMYFUNCTION("""COMPUTED_VALUE"""),"月経移動")</f>
        <v>月経移動</v>
      </c>
      <c r="D99" s="31" t="str">
        <f>IFERROR(__xludf.DUMMYFUNCTION("""COMPUTED_VALUE"""),"来院予約,WEB問診,月経移動")</f>
        <v>来院予約,WEB問診,月経移動</v>
      </c>
      <c r="E99" s="32" t="str">
        <f>IFERROR(__xludf.DUMMYFUNCTION("""COMPUTED_VALUE"""),"https://luna-dr.com/subjects/menstrual-manipulation/")</f>
        <v>https://luna-dr.com/subjects/menstrual-manipulation/</v>
      </c>
    </row>
    <row r="100">
      <c r="A100" s="31" t="str">
        <f>IFERROR(__xludf.DUMMYFUNCTION("""COMPUTED_VALUE"""),"来院前のWEB問診では何を入力しますか？")</f>
        <v>来院前のWEB問診では何を入力しますか？</v>
      </c>
      <c r="B100" s="31" t="str">
        <f>IFERROR(__xludf.DUMMYFUNCTION("""COMPUTED_VALUE"""),"ルナレディースクリニックのWEB問診では、現在の体調や生理周期、月経移動についてのご希望などをご入力いただきます。来院前に落ち着いた環境で入力できるため、デリケートな内容も相談しやすくなります。")</f>
        <v>ルナレディースクリニックのWEB問診では、現在の体調や生理周期、月経移動についてのご希望などをご入力いただきます。来院前に落ち着いた環境で入力できるため、デリケートな内容も相談しやすくなります。</v>
      </c>
      <c r="C100" s="31" t="str">
        <f>IFERROR(__xludf.DUMMYFUNCTION("""COMPUTED_VALUE"""),"月経移動")</f>
        <v>月経移動</v>
      </c>
      <c r="D100" s="31" t="str">
        <f>IFERROR(__xludf.DUMMYFUNCTION("""COMPUTED_VALUE"""),"WEB問診,事前準備,月経移動")</f>
        <v>WEB問診,事前準備,月経移動</v>
      </c>
      <c r="E100" s="32" t="str">
        <f>IFERROR(__xludf.DUMMYFUNCTION("""COMPUTED_VALUE"""),"https://luna-dr.com/subjects/menstrual-manipulation/")</f>
        <v>https://luna-dr.com/subjects/menstrual-manipulation/</v>
      </c>
    </row>
    <row r="101">
      <c r="A101" s="31" t="str">
        <f>IFERROR(__xludf.DUMMYFUNCTION("""COMPUTED_VALUE"""),"来院診療では医師にどんなことを聞かれますか？")</f>
        <v>来院診療では医師にどんなことを聞かれますか？</v>
      </c>
      <c r="B101" s="31" t="str">
        <f>IFERROR(__xludf.DUMMYFUNCTION("""COMPUTED_VALUE"""),"ルナレディースクリニックでは、診察時に現在の生理周期や「いつからいつまで生理を避けたいか」について確認します。その内容をもとに、月経移動の方法についてご説明します。")</f>
        <v>ルナレディースクリニックでは、診察時に現在の生理周期や「いつからいつまで生理を避けたいか」について確認します。その内容をもとに、月経移動の方法についてご説明します。</v>
      </c>
      <c r="C101" s="31" t="str">
        <f>IFERROR(__xludf.DUMMYFUNCTION("""COMPUTED_VALUE"""),"月経移動")</f>
        <v>月経移動</v>
      </c>
      <c r="D101" s="31" t="str">
        <f>IFERROR(__xludf.DUMMYFUNCTION("""COMPUTED_VALUE"""),"診察内容,相談,月経移動")</f>
        <v>診察内容,相談,月経移動</v>
      </c>
      <c r="E101" s="32" t="str">
        <f>IFERROR(__xludf.DUMMYFUNCTION("""COMPUTED_VALUE"""),"https://luna-dr.com/subjects/menstrual-manipulation/")</f>
        <v>https://luna-dr.com/subjects/menstrual-manipulation/</v>
      </c>
    </row>
    <row r="102">
      <c r="A102" s="31" t="str">
        <f>IFERROR(__xludf.DUMMYFUNCTION("""COMPUTED_VALUE"""),"来院診療ではどんな説明を受けられますか？")</f>
        <v>来院診療ではどんな説明を受けられますか？</v>
      </c>
      <c r="B102" s="31" t="str">
        <f>IFERROR(__xludf.DUMMYFUNCTION("""COMPUTED_VALUE"""),"ルナレディースクリニックでは、診察時に生理を早めるか遅らせるかの考え方や、ピルの服用方法、副作用について医師から説明を行います。")</f>
        <v>ルナレディースクリニックでは、診察時に生理を早めるか遅らせるかの考え方や、ピルの服用方法、副作用について医師から説明を行います。</v>
      </c>
      <c r="C102" s="31" t="str">
        <f>IFERROR(__xludf.DUMMYFUNCTION("""COMPUTED_VALUE"""),"月経移動")</f>
        <v>月経移動</v>
      </c>
      <c r="D102" s="31" t="str">
        <f>IFERROR(__xludf.DUMMYFUNCTION("""COMPUTED_VALUE"""),"服用方法,説明,月経移動")</f>
        <v>服用方法,説明,月経移動</v>
      </c>
      <c r="E102" s="32" t="str">
        <f>IFERROR(__xludf.DUMMYFUNCTION("""COMPUTED_VALUE"""),"https://luna-dr.com/subjects/menstrual-manipulation/")</f>
        <v>https://luna-dr.com/subjects/menstrual-manipulation/</v>
      </c>
    </row>
    <row r="103">
      <c r="A103" s="31" t="str">
        <f>IFERROR(__xludf.DUMMYFUNCTION("""COMPUTED_VALUE"""),"来院での診察後はどうなりますか？")</f>
        <v>来院での診察後はどうなりますか？</v>
      </c>
      <c r="B103" s="31" t="str">
        <f>IFERROR(__xludf.DUMMYFUNCTION("""COMPUTED_VALUE"""),"ルナレディースクリニックでは、来院診療の場合、診察後に月経移動に必要な日数分のお薬をその場でお渡しし、お会計となります。")</f>
        <v>ルナレディースクリニックでは、来院診療の場合、診察後に月経移動に必要な日数分のお薬をその場でお渡しし、お会計となります。</v>
      </c>
      <c r="C103" s="31" t="str">
        <f>IFERROR(__xludf.DUMMYFUNCTION("""COMPUTED_VALUE"""),"月経移動")</f>
        <v>月経移動</v>
      </c>
      <c r="D103" s="31" t="str">
        <f>IFERROR(__xludf.DUMMYFUNCTION("""COMPUTED_VALUE"""),"処方,会計,月経移動")</f>
        <v>処方,会計,月経移動</v>
      </c>
      <c r="E103" s="32" t="str">
        <f>IFERROR(__xludf.DUMMYFUNCTION("""COMPUTED_VALUE"""),"https://luna-dr.com/subjects/menstrual-manipulation/")</f>
        <v>https://luna-dr.com/subjects/menstrual-manipulation/</v>
      </c>
    </row>
    <row r="104">
      <c r="A104" s="31" t="str">
        <f>IFERROR(__xludf.DUMMYFUNCTION("""COMPUTED_VALUE"""),"来院で月経移動を相談する場合の流れを教えてください")</f>
        <v>来院で月経移動を相談する場合の流れを教えてください</v>
      </c>
      <c r="B104" s="31" t="str">
        <f>IFERROR(__xludf.DUMMYFUNCTION("""COMPUTED_VALUE"""),"公式LINEから予約後、WEB問診にご回答いただき、医師が生理周期やご予定を確認します。診察後に必要日数分のお薬をお渡しし、お会計となります。")</f>
        <v>公式LINEから予約後、WEB問診にご回答いただき、医師が生理周期やご予定を確認します。診察後に必要日数分のお薬をお渡しし、お会計となります。</v>
      </c>
      <c r="C104" s="31" t="str">
        <f>IFERROR(__xludf.DUMMYFUNCTION("""COMPUTED_VALUE"""),"月経移動")</f>
        <v>月経移動</v>
      </c>
      <c r="D104" s="31" t="str">
        <f>IFERROR(__xludf.DUMMYFUNCTION("""COMPUTED_VALUE"""),"来院診療,流れ,月経移動")</f>
        <v>来院診療,流れ,月経移動</v>
      </c>
      <c r="E104" s="32" t="str">
        <f>IFERROR(__xludf.DUMMYFUNCTION("""COMPUTED_VALUE"""),"https://luna-dr.com/subjects/menstrual-manipulation/")</f>
        <v>https://luna-dr.com/subjects/menstrual-manipulation/</v>
      </c>
    </row>
    <row r="105">
      <c r="A105" s="31" t="str">
        <f>IFERROR(__xludf.DUMMYFUNCTION("""COMPUTED_VALUE"""),"月経移動はオンライン診療でも相談できますか？")</f>
        <v>月経移動はオンライン診療でも相談できますか？</v>
      </c>
      <c r="B105" s="31" t="str">
        <f>IFERROR(__xludf.DUMMYFUNCTION("""COMPUTED_VALUE"""),"月経移動はオンライン診療でのご相談と処方が可能です。ご自宅などからスマートフォンで受診できます。")</f>
        <v>月経移動はオンライン診療でのご相談と処方が可能です。ご自宅などからスマートフォンで受診できます。</v>
      </c>
      <c r="C105" s="31" t="str">
        <f>IFERROR(__xludf.DUMMYFUNCTION("""COMPUTED_VALUE"""),"月経移動")</f>
        <v>月経移動</v>
      </c>
      <c r="D105" s="31" t="str">
        <f>IFERROR(__xludf.DUMMYFUNCTION("""COMPUTED_VALUE"""),"オンライン診療,初診,月経移動")</f>
        <v>オンライン診療,初診,月経移動</v>
      </c>
      <c r="E105" s="32" t="str">
        <f>IFERROR(__xludf.DUMMYFUNCTION("""COMPUTED_VALUE"""),"https://luna-dr.com/subjects/menstrual-manipulation/")</f>
        <v>https://luna-dr.com/subjects/menstrual-manipulation/</v>
      </c>
    </row>
    <row r="106">
      <c r="A106" s="31" t="str">
        <f>IFERROR(__xludf.DUMMYFUNCTION("""COMPUTED_VALUE"""),"オンライン診療で月経移動を相談する場合、最初に何をしますか？")</f>
        <v>オンライン診療で月経移動を相談する場合、最初に何をしますか？</v>
      </c>
      <c r="B106" s="31" t="str">
        <f>IFERROR(__xludf.DUMMYFUNCTION("""COMPUTED_VALUE"""),"ルナレディースクリニックでは、公式LINEから「オンライン診療」を選択し、ご希望の日時を予約していただきます。スマートフォン一つで予約が完了します。")</f>
        <v>ルナレディースクリニックでは、公式LINEから「オンライン診療」を選択し、ご希望の日時を予約していただきます。スマートフォン一つで予約が完了します。</v>
      </c>
      <c r="C106" s="31" t="str">
        <f>IFERROR(__xludf.DUMMYFUNCTION("""COMPUTED_VALUE"""),"月経移動")</f>
        <v>月経移動</v>
      </c>
      <c r="D106" s="31" t="str">
        <f>IFERROR(__xludf.DUMMYFUNCTION("""COMPUTED_VALUE"""),"オンライン予約,LINE,月経移動")</f>
        <v>オンライン予約,LINE,月経移動</v>
      </c>
      <c r="E106" s="32" t="str">
        <f>IFERROR(__xludf.DUMMYFUNCTION("""COMPUTED_VALUE"""),"https://luna-dr.com/subjects/menstrual-manipulation/")</f>
        <v>https://luna-dr.com/subjects/menstrual-manipulation/</v>
      </c>
    </row>
    <row r="107">
      <c r="A107" s="31" t="str">
        <f>IFERROR(__xludf.DUMMYFUNCTION("""COMPUTED_VALUE"""),"オンライン診療で月経移動を相談する流れを教えてください")</f>
        <v>オンライン診療で月経移動を相談する流れを教えてください</v>
      </c>
      <c r="B107" s="31" t="str">
        <f>IFERROR(__xludf.DUMMYFUNCTION("""COMPUTED_VALUE"""),"公式LINEから予約し、WEB問診後に電話またはチャットで医師が診察します。診察後は決済確認後にお薬を発送します。")</f>
        <v>公式LINEから予約し、WEB問診後に電話またはチャットで医師が診察します。診察後は決済確認後にお薬を発送します。</v>
      </c>
      <c r="C107" s="31" t="str">
        <f>IFERROR(__xludf.DUMMYFUNCTION("""COMPUTED_VALUE"""),"月経移動")</f>
        <v>月経移動</v>
      </c>
      <c r="D107" s="31" t="str">
        <f>IFERROR(__xludf.DUMMYFUNCTION("""COMPUTED_VALUE"""),"オンライン診療,流れ,月経移動")</f>
        <v>オンライン診療,流れ,月経移動</v>
      </c>
      <c r="E107" s="32" t="str">
        <f>IFERROR(__xludf.DUMMYFUNCTION("""COMPUTED_VALUE"""),"https://luna-dr.com/subjects/menstrual-manipulation/")</f>
        <v>https://luna-dr.com/subjects/menstrual-manipulation/</v>
      </c>
    </row>
    <row r="108">
      <c r="A108" s="31" t="str">
        <f>IFERROR(__xludf.DUMMYFUNCTION("""COMPUTED_VALUE"""),"オンライン診療のWEB問診では何を入力しますか？")</f>
        <v>オンライン診療のWEB問診では何を入力しますか？</v>
      </c>
      <c r="B108" s="31" t="str">
        <f>IFERROR(__xludf.DUMMYFUNCTION("""COMPUTED_VALUE"""),"ルナレディースクリニックでは、オンライン診療の予約後に届くWEB問診フォームに、お悩みや健康状態、生理周期などをご入力いただきます。")</f>
        <v>ルナレディースクリニックでは、オンライン診療の予約後に届くWEB問診フォームに、お悩みや健康状態、生理周期などをご入力いただきます。</v>
      </c>
      <c r="C108" s="31" t="str">
        <f>IFERROR(__xludf.DUMMYFUNCTION("""COMPUTED_VALUE"""),"月経移動")</f>
        <v>月経移動</v>
      </c>
      <c r="D108" s="31" t="str">
        <f>IFERROR(__xludf.DUMMYFUNCTION("""COMPUTED_VALUE"""),"WEB問診,オンライン,月経移動")</f>
        <v>WEB問診,オンライン,月経移動</v>
      </c>
      <c r="E108" s="32" t="str">
        <f>IFERROR(__xludf.DUMMYFUNCTION("""COMPUTED_VALUE"""),"https://luna-dr.com/subjects/menstrual-manipulation/")</f>
        <v>https://luna-dr.com/subjects/menstrual-manipulation/</v>
      </c>
    </row>
    <row r="109">
      <c r="A109" s="31" t="str">
        <f>IFERROR(__xludf.DUMMYFUNCTION("""COMPUTED_VALUE"""),"オンライン診療ではどのように診察が行われますか？/オンライン診療はビデオですか")</f>
        <v>オンライン診療ではどのように診察が行われますか？/オンライン診療はビデオですか</v>
      </c>
      <c r="B109" s="31" t="str">
        <f>IFERROR(__xludf.DUMMYFUNCTION("""COMPUTED_VALUE"""),"ルナレディースクリニックでは、予約時間にビデオ診療での診察を行います。お薬の服用方法や注意点についてもご説明いたします。")</f>
        <v>ルナレディースクリニックでは、予約時間にビデオ診療での診察を行います。お薬の服用方法や注意点についてもご説明いたします。</v>
      </c>
      <c r="C109" s="31" t="str">
        <f>IFERROR(__xludf.DUMMYFUNCTION("""COMPUTED_VALUE"""),"月経移動")</f>
        <v>月経移動</v>
      </c>
      <c r="D109" s="31" t="str">
        <f>IFERROR(__xludf.DUMMYFUNCTION("""COMPUTED_VALUE"""),"電話診療,チャット診療,月経移動")</f>
        <v>電話診療,チャット診療,月経移動</v>
      </c>
      <c r="E109" s="32" t="str">
        <f>IFERROR(__xludf.DUMMYFUNCTION("""COMPUTED_VALUE"""),"https://luna-dr.com/subjects/menstrual-manipulation/")</f>
        <v>https://luna-dr.com/subjects/menstrual-manipulation/</v>
      </c>
    </row>
    <row r="110">
      <c r="A110" s="31" t="str">
        <f>IFERROR(__xludf.DUMMYFUNCTION("""COMPUTED_VALUE"""),"オンライン診療後の支払いはどうなりますか？")</f>
        <v>オンライン診療後の支払いはどうなりますか？</v>
      </c>
      <c r="B110" s="31" t="str">
        <f>IFERROR(__xludf.DUMMYFUNCTION("""COMPUTED_VALUE"""),"ルナレディースクリニックでは、オンライン診療後に決済リンクをご案内します。リンクからお支払いを行い、決済確認後にお薬を発送します。")</f>
        <v>ルナレディースクリニックでは、オンライン診療後に決済リンクをご案内します。リンクからお支払いを行い、決済確認後にお薬を発送します。</v>
      </c>
      <c r="C110" s="31" t="str">
        <f>IFERROR(__xludf.DUMMYFUNCTION("""COMPUTED_VALUE"""),"月経移動")</f>
        <v>月経移動</v>
      </c>
      <c r="D110" s="31" t="str">
        <f>IFERROR(__xludf.DUMMYFUNCTION("""COMPUTED_VALUE"""),"支払い,薬の発送,月経移動")</f>
        <v>支払い,薬の発送,月経移動</v>
      </c>
      <c r="E110" s="32" t="str">
        <f>IFERROR(__xludf.DUMMYFUNCTION("""COMPUTED_VALUE"""),"https://luna-dr.com/subjects/menstrual-manipulation/")</f>
        <v>https://luna-dr.com/subjects/menstrual-manipulation/</v>
      </c>
    </row>
    <row r="111">
      <c r="A111" s="31" t="str">
        <f>IFERROR(__xludf.DUMMYFUNCTION("""COMPUTED_VALUE"""),"オンライン診療で処方された薬はどのように受け取りますか？")</f>
        <v>オンライン診療で処方された薬はどのように受け取りますか？</v>
      </c>
      <c r="B111" s="31" t="str">
        <f>IFERROR(__xludf.DUMMYFUNCTION("""COMPUTED_VALUE"""),"ルナレディースクリニックでは、オンライン診療の場合、決済確認後にご指定の場所へお薬を発送します。ご自宅で受け取ることができます。")</f>
        <v>ルナレディースクリニックでは、オンライン診療の場合、決済確認後にご指定の場所へお薬を発送します。ご自宅で受け取ることができます。</v>
      </c>
      <c r="C111" s="31" t="str">
        <f>IFERROR(__xludf.DUMMYFUNCTION("""COMPUTED_VALUE"""),"月経移動")</f>
        <v>月経移動</v>
      </c>
      <c r="D111" s="31" t="str">
        <f>IFERROR(__xludf.DUMMYFUNCTION("""COMPUTED_VALUE"""),"薬の受け取り,配送,月経移動")</f>
        <v>薬の受け取り,配送,月経移動</v>
      </c>
      <c r="E111" s="32" t="str">
        <f>IFERROR(__xludf.DUMMYFUNCTION("""COMPUTED_VALUE"""),"https://luna-dr.com/subjects/menstrual-manipulation/")</f>
        <v>https://luna-dr.com/subjects/menstrual-manipulation/</v>
      </c>
    </row>
    <row r="112">
      <c r="A112" s="31" t="str">
        <f>IFERROR(__xludf.DUMMYFUNCTION("""COMPUTED_VALUE"""),"月経移動は初診でもオンライン診療が可能ですか？")</f>
        <v>月経移動は初診でもオンライン診療が可能ですか？</v>
      </c>
      <c r="B112" s="31" t="str">
        <f>IFERROR(__xludf.DUMMYFUNCTION("""COMPUTED_VALUE"""),"月経移動は自由診療のため、初診からオンライン診療でのご相談と処方が可能です。")</f>
        <v>月経移動は自由診療のため、初診からオンライン診療でのご相談と処方が可能です。</v>
      </c>
      <c r="C112" s="31" t="str">
        <f>IFERROR(__xludf.DUMMYFUNCTION("""COMPUTED_VALUE"""),"月経移動")</f>
        <v>月経移動</v>
      </c>
      <c r="D112" s="31" t="str">
        <f>IFERROR(__xludf.DUMMYFUNCTION("""COMPUTED_VALUE"""),"初診,オンライン,月経移動")</f>
        <v>初診,オンライン,月経移動</v>
      </c>
      <c r="E112" s="32" t="str">
        <f>IFERROR(__xludf.DUMMYFUNCTION("""COMPUTED_VALUE"""),"https://luna-dr.com/subjects/menstrual-manipulation/")</f>
        <v>https://luna-dr.com/subjects/menstrual-manipulation/</v>
      </c>
    </row>
    <row r="113">
      <c r="A113" s="31" t="str">
        <f>IFERROR(__xludf.DUMMYFUNCTION("""COMPUTED_VALUE"""),"ピルの副作用はありますか？")</f>
        <v>ピルの副作用はありますか？</v>
      </c>
      <c r="B113" s="31" t="str">
        <f>IFERROR(__xludf.DUMMYFUNCTION("""COMPUTED_VALUE"""),"個人差はありますが、服用初期に吐き気や頭痛、だるさを感じることがあります。これらは数日で軽快することがほとんどです。")</f>
        <v>個人差はありますが、服用初期に吐き気や頭痛、だるさを感じることがあります。これらは数日で軽快することがほとんどです。</v>
      </c>
      <c r="C113" s="31" t="str">
        <f>IFERROR(__xludf.DUMMYFUNCTION("""COMPUTED_VALUE"""),"月経移動")</f>
        <v>月経移動</v>
      </c>
      <c r="D113" s="31" t="str">
        <f>IFERROR(__xludf.DUMMYFUNCTION("""COMPUTED_VALUE"""),"副作用,ピル,月経移動")</f>
        <v>副作用,ピル,月経移動</v>
      </c>
      <c r="E113" s="32" t="str">
        <f>IFERROR(__xludf.DUMMYFUNCTION("""COMPUTED_VALUE"""),"https://luna-dr.com/subjects/menstrual-manipulation/")</f>
        <v>https://luna-dr.com/subjects/menstrual-manipulation/</v>
      </c>
    </row>
    <row r="114">
      <c r="A114" s="31" t="str">
        <f>IFERROR(__xludf.DUMMYFUNCTION("""COMPUTED_VALUE"""),"生理不順でも月経移動はできますか？")</f>
        <v>生理不順でも月経移動はできますか？</v>
      </c>
      <c r="B114" s="31" t="str">
        <f>IFERROR(__xludf.DUMMYFUNCTION("""COMPUTED_VALUE"""),"生理不順の方でも月経移動の相談は可能です。ただし、服用開始のタイミングが難しい場合があるため、診察時にご相談ください。")</f>
        <v>生理不順の方でも月経移動の相談は可能です。ただし、服用開始のタイミングが難しい場合があるため、診察時にご相談ください。</v>
      </c>
      <c r="C114" s="31" t="str">
        <f>IFERROR(__xludf.DUMMYFUNCTION("""COMPUTED_VALUE"""),"月経移動")</f>
        <v>月経移動</v>
      </c>
      <c r="D114" s="31" t="str">
        <f>IFERROR(__xludf.DUMMYFUNCTION("""COMPUTED_VALUE"""),"生理不順,相談,月経移動")</f>
        <v>生理不順,相談,月経移動</v>
      </c>
      <c r="E114" s="32" t="str">
        <f>IFERROR(__xludf.DUMMYFUNCTION("""COMPUTED_VALUE"""),"https://luna-dr.com/subjects/menstrual-manipulation/")</f>
        <v>https://luna-dr.com/subjects/menstrual-manipulation/</v>
      </c>
    </row>
    <row r="115">
      <c r="A115" s="31" t="str">
        <f>IFERROR(__xludf.DUMMYFUNCTION("""COMPUTED_VALUE"""),"月経移動に使うピルに避妊効果はありますか？")</f>
        <v>月経移動に使うピルに避妊効果はありますか？</v>
      </c>
      <c r="B115" s="31" t="str">
        <f>IFERROR(__xludf.DUMMYFUNCTION("""COMPUTED_VALUE"""),"月経移動に使用するピルには、低用量ピルのような継続的な避妊効果はありません。避妊が必要な場合は他の方法を併用してください。")</f>
        <v>月経移動に使用するピルには、低用量ピルのような継続的な避妊効果はありません。避妊が必要な場合は他の方法を併用してください。</v>
      </c>
      <c r="C115" s="31" t="str">
        <f>IFERROR(__xludf.DUMMYFUNCTION("""COMPUTED_VALUE"""),"月経移動")</f>
        <v>月経移動</v>
      </c>
      <c r="D115" s="31" t="str">
        <f>IFERROR(__xludf.DUMMYFUNCTION("""COMPUTED_VALUE"""),"避妊効果,注意,月経移動")</f>
        <v>避妊効果,注意,月経移動</v>
      </c>
      <c r="E115" s="32" t="str">
        <f>IFERROR(__xludf.DUMMYFUNCTION("""COMPUTED_VALUE"""),"https://luna-dr.com/subjects/menstrual-manipulation/")</f>
        <v>https://luna-dr.com/subjects/menstrual-manipulation/</v>
      </c>
    </row>
    <row r="116">
      <c r="A116" s="31" t="str">
        <f>IFERROR(__xludf.DUMMYFUNCTION("""COMPUTED_VALUE"""),"服用中に不安がある場合は相談できますか？")</f>
        <v>服用中に不安がある場合は相談できますか？</v>
      </c>
      <c r="B116" s="31" t="str">
        <f>IFERROR(__xludf.DUMMYFUNCTION("""COMPUTED_VALUE"""),"ルナレディースクリニックでは、服用中に不安なことがあれば、LINEでご相談いただけます。")</f>
        <v>ルナレディースクリニックでは、服用中に不安なことがあれば、LINEでご相談いただけます。</v>
      </c>
      <c r="C116" s="31" t="str">
        <f>IFERROR(__xludf.DUMMYFUNCTION("""COMPUTED_VALUE"""),"月経移動")</f>
        <v>月経移動</v>
      </c>
      <c r="D116" s="31" t="str">
        <f>IFERROR(__xludf.DUMMYFUNCTION("""COMPUTED_VALUE"""),"アフターフォロー,LINE相談,月経移動")</f>
        <v>アフターフォロー,LINE相談,月経移動</v>
      </c>
      <c r="E116" s="32" t="str">
        <f>IFERROR(__xludf.DUMMYFUNCTION("""COMPUTED_VALUE"""),"https://luna-dr.com/subjects/menstrual-manipulation/")</f>
        <v>https://luna-dr.com/subjects/menstrual-manipulation/</v>
      </c>
    </row>
    <row r="117">
      <c r="A117" s="31" t="str">
        <f>IFERROR(__xludf.DUMMYFUNCTION("""COMPUTED_VALUE"""),"月経移動の相談はどうやって予約すればいいですか？")</f>
        <v>月経移動の相談はどうやって予約すればいいですか？</v>
      </c>
      <c r="B117" s="31" t="str">
        <f>IFERROR(__xludf.DUMMYFUNCTION("""COMPUTED_VALUE"""),"公式LINEから月経移動の診察予約が可能です。24時間いつでもご自身のタイミングで予約できます。
来院診療の場合は「月経移動ピル」のメニューでご予約ください。→https://cline-app.com/qr-codes/98ad6f149bfa20f4f2a9a2e91aac4187/preview
オンライン診療のご予約はこちら→https://liff-gateway.lineml.jp/landing?follow=%40590gpxrd&amp;lp=fX73yx&amp;liff_id=1657094566-"&amp;"LmjNPPbV")</f>
        <v>公式LINEから月経移動の診察予約が可能です。24時間いつでもご自身のタイミングで予約できます。
来院診療の場合は「月経移動ピル」のメニューでご予約ください。→https://cline-app.com/qr-codes/98ad6f149bfa20f4f2a9a2e91aac4187/preview
オンライン診療のご予約はこちら→https://liff-gateway.lineml.jp/landing?follow=%40590gpxrd&amp;lp=fX73yx&amp;liff_id=1657094566-LmjNPPbV</v>
      </c>
      <c r="C117" s="31" t="str">
        <f>IFERROR(__xludf.DUMMYFUNCTION("""COMPUTED_VALUE"""),"月経移動")</f>
        <v>月経移動</v>
      </c>
      <c r="D117" s="31" t="str">
        <f>IFERROR(__xludf.DUMMYFUNCTION("""COMPUTED_VALUE"""),"予約方法,LINE予約,電話予約,月経移動")</f>
        <v>予約方法,LINE予約,電話予約,月経移動</v>
      </c>
      <c r="E117" s="32" t="str">
        <f>IFERROR(__xludf.DUMMYFUNCTION("""COMPUTED_VALUE"""),"https://luna-dr.com/subjects/menstrual-manipulation/")</f>
        <v>https://luna-dr.com/subjects/menstrual-manipulation/</v>
      </c>
    </row>
    <row r="118">
      <c r="A118" s="31" t="str">
        <f>IFERROR(__xludf.DUMMYFUNCTION("""COMPUTED_VALUE"""),"月経移動はLINEから予約できますか？")</f>
        <v>月経移動はLINEから予約できますか？</v>
      </c>
      <c r="B118" s="31" t="str">
        <f>IFERROR(__xludf.DUMMYFUNCTION("""COMPUTED_VALUE"""),"公式LINEから月経移動の診察予約が可能です。24時間いつでもご自身のタイミングで予約できます。
来院診療の場合は「月経移動ピル」のメニューでご予約ください。→https://cline-app.com/qr-codes/98ad6f149bfa20f4f2a9a2e91aac4187/preview
オンライン診療のご予約はこちら→https://liff-gateway.lineml.jp/landing?follow=%40590gpxrd&amp;lp=fX73yx&amp;liff_id=1657094566-"&amp;"LmjNPPbV")</f>
        <v>公式LINEから月経移動の診察予約が可能です。24時間いつでもご自身のタイミングで予約できます。
来院診療の場合は「月経移動ピル」のメニューでご予約ください。→https://cline-app.com/qr-codes/98ad6f149bfa20f4f2a9a2e91aac4187/preview
オンライン診療のご予約はこちら→https://liff-gateway.lineml.jp/landing?follow=%40590gpxrd&amp;lp=fX73yx&amp;liff_id=1657094566-LmjNPPbV</v>
      </c>
      <c r="C118" s="31" t="str">
        <f>IFERROR(__xludf.DUMMYFUNCTION("""COMPUTED_VALUE"""),"月経移動")</f>
        <v>月経移動</v>
      </c>
      <c r="D118" s="31" t="str">
        <f>IFERROR(__xludf.DUMMYFUNCTION("""COMPUTED_VALUE"""),"LINE予約,婦人科予約,月経移動")</f>
        <v>LINE予約,婦人科予約,月経移動</v>
      </c>
      <c r="E118" s="32" t="str">
        <f>IFERROR(__xludf.DUMMYFUNCTION("""COMPUTED_VALUE"""),"https://luna-dr.com/subjects/menstrual-manipulation/")</f>
        <v>https://luna-dr.com/subjects/menstrual-manipulation/</v>
      </c>
    </row>
    <row r="119">
      <c r="A119" s="31" t="str">
        <f>IFERROR(__xludf.DUMMYFUNCTION("""COMPUTED_VALUE"""),"月経移動は電話でも予約できますか？")</f>
        <v>月経移動は電話でも予約できますか？</v>
      </c>
      <c r="B119" s="31" t="str">
        <f>IFERROR(__xludf.DUMMYFUNCTION("""COMPUTED_VALUE"""),"LINEでの予約後、事前問診等もLINEから行うことができ、スムーズに受診ができるため、当院ではLINEでのご予約を推奨しております。
来院診療の場合は「月経移動ピル」のメニューでご予約ください。→https://cline-app.com/qr-codes/98ad6f149bfa20f4f2a9a2e91aac4187/preview
オンライン診療のご予約はこちら→https://liff-gateway.lineml.jp/landing?follow=%40590gpxrd&amp;lp=fX73yx&amp;"&amp;"liff_id=1657094566-LmjNPPbV")</f>
        <v>LINEでの予約後、事前問診等もLINEから行うことができ、スムーズに受診ができるため、当院ではLINEでのご予約を推奨しております。
来院診療の場合は「月経移動ピル」のメニューでご予約ください。→https://cline-app.com/qr-codes/98ad6f149bfa20f4f2a9a2e91aac4187/preview
オンライン診療のご予約はこちら→https://liff-gateway.lineml.jp/landing?follow=%40590gpxrd&amp;lp=fX73yx&amp;liff_id=1657094566-LmjNPPbV</v>
      </c>
      <c r="C119" s="31" t="str">
        <f>IFERROR(__xludf.DUMMYFUNCTION("""COMPUTED_VALUE"""),"月経移動")</f>
        <v>月経移動</v>
      </c>
      <c r="D119" s="31" t="str">
        <f>IFERROR(__xludf.DUMMYFUNCTION("""COMPUTED_VALUE"""),"電話予約,問い合わせ,月経移動")</f>
        <v>電話予約,問い合わせ,月経移動</v>
      </c>
      <c r="E119" s="32" t="str">
        <f>IFERROR(__xludf.DUMMYFUNCTION("""COMPUTED_VALUE"""),"https://luna-dr.com/subjects/menstrual-manipulation/")</f>
        <v>https://luna-dr.com/subjects/menstrual-manipulation/</v>
      </c>
    </row>
    <row r="120">
      <c r="A120" s="31" t="str">
        <f>IFERROR(__xludf.DUMMYFUNCTION("""COMPUTED_VALUE"""),"月経移動は予約なしでも相談できますか？")</f>
        <v>月経移動は予約なしでも相談できますか？</v>
      </c>
      <c r="B120" s="31" t="str">
        <f>IFERROR(__xludf.DUMMYFUNCTION("""COMPUTED_VALUE"""),"来院治療の場合、予約外来院も可能です。スムーズなご案内のため、事前予約をおすすめしています。
来院診療の場合は「月経移動ピル」のメニューでご予約ください。→https://cline-app.com/qr-codes/98ad6f149bfa20f4f2a9a2e91aac4187/preview")</f>
        <v>来院治療の場合、予約外来院も可能です。スムーズなご案内のため、事前予約をおすすめしています。
来院診療の場合は「月経移動ピル」のメニューでご予約ください。→https://cline-app.com/qr-codes/98ad6f149bfa20f4f2a9a2e91aac4187/preview</v>
      </c>
      <c r="C120" s="31" t="str">
        <f>IFERROR(__xludf.DUMMYFUNCTION("""COMPUTED_VALUE"""),"月経移動")</f>
        <v>月経移動</v>
      </c>
      <c r="D120" s="31" t="str">
        <f>IFERROR(__xludf.DUMMYFUNCTION("""COMPUTED_VALUE"""),"予約なし,受診,月経移動")</f>
        <v>予約なし,受診,月経移動</v>
      </c>
      <c r="E120" s="32" t="str">
        <f>IFERROR(__xludf.DUMMYFUNCTION("""COMPUTED_VALUE"""),"https://luna-dr.com/subjects/menstrual-manipulation/")</f>
        <v>https://luna-dr.com/subjects/menstrual-manipulation/</v>
      </c>
    </row>
    <row r="121">
      <c r="A121" s="31" t="str">
        <f>IFERROR(__xludf.DUMMYFUNCTION("""COMPUTED_VALUE"""),"月経移動の予約前に準備しておくことはありますか？")</f>
        <v>月経移動の予約前に準備しておくことはありますか？</v>
      </c>
      <c r="B121" s="31" t="str">
        <f>IFERROR(__xludf.DUMMYFUNCTION("""COMPUTED_VALUE"""),"月経移動の診察前に、最終生理日やご予定日などをWEB問診にご入力いただくと、診察がスムーズに進みます。")</f>
        <v>月経移動の診察前に、最終生理日やご予定日などをWEB問診にご入力いただくと、診察がスムーズに進みます。</v>
      </c>
      <c r="C121" s="31" t="str">
        <f>IFERROR(__xludf.DUMMYFUNCTION("""COMPUTED_VALUE"""),"月経移動")</f>
        <v>月経移動</v>
      </c>
      <c r="D121" s="31" t="str">
        <f>IFERROR(__xludf.DUMMYFUNCTION("""COMPUTED_VALUE"""),"WEB問診,事前準備,月経移動")</f>
        <v>WEB問診,事前準備,月経移動</v>
      </c>
      <c r="E121" s="32" t="str">
        <f>IFERROR(__xludf.DUMMYFUNCTION("""COMPUTED_VALUE"""),"https://luna-dr.com/subjects/menstrual-manipulation/")</f>
        <v>https://luna-dr.com/subjects/menstrual-manipulation/</v>
      </c>
    </row>
    <row r="122">
      <c r="A122" s="31" t="str">
        <f>IFERROR(__xludf.DUMMYFUNCTION("""COMPUTED_VALUE"""),"月経移動は初診でも予約できますか？")</f>
        <v>月経移動は初診でも予約できますか？</v>
      </c>
      <c r="B122" s="31" t="str">
        <f>IFERROR(__xludf.DUMMYFUNCTION("""COMPUTED_VALUE"""),"月経移動は初診の方もご予約いただけます。ご予約は公式LINEから受け付けておりますので、友だち追加の上ご利用ください。
来院診療の場合は「月経移動ピル」のメニューでご予約ください。→https://cline-app.com/qr-codes/98ad6f149bfa20f4f2a9a2e91aac4187/preview
オンライン診療のご予約はこちら→https://liff-gateway.lineml.jp/landing?follow=%40590gpxrd&amp;lp=fX73yx&amp;liff_id="&amp;"1657094566-LmjNPPbV")</f>
        <v>月経移動は初診の方もご予約いただけます。ご予約は公式LINEから受け付けておりますので、友だち追加の上ご利用ください。
来院診療の場合は「月経移動ピル」のメニューでご予約ください。→https://cline-app.com/qr-codes/98ad6f149bfa20f4f2a9a2e91aac4187/preview
オンライン診療のご予約はこちら→https://liff-gateway.lineml.jp/landing?follow=%40590gpxrd&amp;lp=fX73yx&amp;liff_id=1657094566-LmjNPPbV</v>
      </c>
      <c r="C122" s="31" t="str">
        <f>IFERROR(__xludf.DUMMYFUNCTION("""COMPUTED_VALUE"""),"月経移動")</f>
        <v>月経移動</v>
      </c>
      <c r="D122" s="31" t="str">
        <f>IFERROR(__xludf.DUMMYFUNCTION("""COMPUTED_VALUE"""),"初診,予約,月経移動")</f>
        <v>初診,予約,月経移動</v>
      </c>
      <c r="E122" s="32" t="str">
        <f>IFERROR(__xludf.DUMMYFUNCTION("""COMPUTED_VALUE"""),"https://luna-dr.com/subjects/menstrual-manipulation/")</f>
        <v>https://luna-dr.com/subjects/menstrual-manipulation/</v>
      </c>
    </row>
    <row r="123">
      <c r="A123" s="31" t="str">
        <f>IFERROR(__xludf.DUMMYFUNCTION("""COMPUTED_VALUE"""),"月経移動は来院とオンライン、どちらで予約できますか？")</f>
        <v>月経移動は来院とオンライン、どちらで予約できますか？</v>
      </c>
      <c r="B123" s="31" t="str">
        <f>IFERROR(__xludf.DUMMYFUNCTION("""COMPUTED_VALUE"""),"月経移動のご相談は来院診療とオンライン診療のどちらでも予約が可能です。ご自身のライフスタイルに合わせて選べます。
来院診療の場合は「月経移動ピル」のメニューでご予約ください。→https://cline-app.com/qr-codes/98ad6f149bfa20f4f2a9a2e91aac4187/preview
オンライン診療のご予約はこちら→https://liff-gateway.lineml.jp/landing?follow=%40590gpxrd&amp;lp=fX73yx&amp;liff_id=165"&amp;"7094566-LmjNPPbV")</f>
        <v>月経移動のご相談は来院診療とオンライン診療のどちらでも予約が可能です。ご自身のライフスタイルに合わせて選べます。
来院診療の場合は「月経移動ピル」のメニューでご予約ください。→https://cline-app.com/qr-codes/98ad6f149bfa20f4f2a9a2e91aac4187/preview
オンライン診療のご予約はこちら→https://liff-gateway.lineml.jp/landing?follow=%40590gpxrd&amp;lp=fX73yx&amp;liff_id=1657094566-LmjNPPbV</v>
      </c>
      <c r="C123" s="31" t="str">
        <f>IFERROR(__xludf.DUMMYFUNCTION("""COMPUTED_VALUE"""),"月経移動")</f>
        <v>月経移動</v>
      </c>
      <c r="D123" s="31" t="str">
        <f>IFERROR(__xludf.DUMMYFUNCTION("""COMPUTED_VALUE"""),"来院診療,オンライン診療,月経移動")</f>
        <v>来院診療,オンライン診療,月経移動</v>
      </c>
      <c r="E123" s="32" t="str">
        <f>IFERROR(__xludf.DUMMYFUNCTION("""COMPUTED_VALUE"""),"https://luna-dr.com/subjects/menstrual-manipulation/")</f>
        <v>https://luna-dr.com/subjects/menstrual-manipulation/</v>
      </c>
    </row>
    <row r="124">
      <c r="A124" s="31" t="str">
        <f>IFERROR(__xludf.DUMMYFUNCTION("""COMPUTED_VALUE"""),"生理不順とは何ですか？")</f>
        <v>生理不順とは何ですか？</v>
      </c>
      <c r="B124" s="31" t="str">
        <f>IFERROR(__xludf.DUMMYFUNCTION("""COMPUTED_VALUE"""),"生理不順とは、生理周期が正常な範囲から外れ、不規則になっている状態を指します。健康な女性の生理周期は25日～38日とされており、この範囲を大きく外れる場合や、周期が毎回大きく変動する場合は注意が必要です。")</f>
        <v>生理不順とは、生理周期が正常な範囲から外れ、不規則になっている状態を指します。健康な女性の生理周期は25日～38日とされており、この範囲を大きく外れる場合や、周期が毎回大きく変動する場合は注意が必要です。</v>
      </c>
      <c r="C124" s="31" t="str">
        <f>IFERROR(__xludf.DUMMYFUNCTION("""COMPUTED_VALUE"""),"生理不順")</f>
        <v>生理不順</v>
      </c>
      <c r="D124" s="31" t="str">
        <f>IFERROR(__xludf.DUMMYFUNCTION("""COMPUTED_VALUE"""),"生理不順,月経不順,周期")</f>
        <v>生理不順,月経不順,周期</v>
      </c>
      <c r="E124" s="32" t="str">
        <f>IFERROR(__xludf.DUMMYFUNCTION("""COMPUTED_VALUE"""),"https://luna-dr.com/subjects/menstrual-irregularity/")</f>
        <v>https://luna-dr.com/subjects/menstrual-irregularity/</v>
      </c>
    </row>
    <row r="125">
      <c r="A125" s="31" t="str">
        <f>IFERROR(__xludf.DUMMYFUNCTION("""COMPUTED_VALUE"""),"生理不順はよくあることですか？")</f>
        <v>生理不順はよくあることですか？</v>
      </c>
      <c r="B125" s="31" t="str">
        <f>IFERROR(__xludf.DUMMYFUNCTION("""COMPUTED_VALUE"""),"生理不順は多くの女性が経験する身近な症状ですが、背景にホルモンバランスの乱れや病気が隠れている可能性もあるため、放置せずに相談することが大切です。")</f>
        <v>生理不順は多くの女性が経験する身近な症状ですが、背景にホルモンバランスの乱れや病気が隠れている可能性もあるため、放置せずに相談することが大切です。</v>
      </c>
      <c r="C125" s="31" t="str">
        <f>IFERROR(__xludf.DUMMYFUNCTION("""COMPUTED_VALUE"""),"生理不順")</f>
        <v>生理不順</v>
      </c>
      <c r="D125" s="31" t="str">
        <f>IFERROR(__xludf.DUMMYFUNCTION("""COMPUTED_VALUE"""),"よくある症状,不安,生理不順")</f>
        <v>よくある症状,不安,生理不順</v>
      </c>
      <c r="E125" s="32" t="str">
        <f>IFERROR(__xludf.DUMMYFUNCTION("""COMPUTED_VALUE"""),"https://luna-dr.com/subjects/menstrual-irregularity/")</f>
        <v>https://luna-dr.com/subjects/menstrual-irregularity/</v>
      </c>
    </row>
    <row r="126">
      <c r="A126" s="31" t="str">
        <f>IFERROR(__xludf.DUMMYFUNCTION("""COMPUTED_VALUE"""),"生理不順にはどんな種類がありますか？")</f>
        <v>生理不順にはどんな種類がありますか？</v>
      </c>
      <c r="B126" s="31" t="str">
        <f>IFERROR(__xludf.DUMMYFUNCTION("""COMPUTED_VALUE"""),"生理不順は、生理周期や出血の状態によっていくつかの種類に分けられます。ご自身の状態を知る目安として確認し、どのタイプであってもまずは専門医に相談することが大切です。")</f>
        <v>生理不順は、生理周期や出血の状態によっていくつかの種類に分けられます。ご自身の状態を知る目安として確認し、どのタイプであってもまずは専門医に相談することが大切です。</v>
      </c>
      <c r="C126" s="31" t="str">
        <f>IFERROR(__xludf.DUMMYFUNCTION("""COMPUTED_VALUE"""),"生理不順・概要")</f>
        <v>生理不順・概要</v>
      </c>
      <c r="D126" s="31" t="str">
        <f>IFERROR(__xludf.DUMMYFUNCTION("""COMPUTED_VALUE"""),"生理不順,種類,生理周期,婦人科")</f>
        <v>生理不順,種類,生理周期,婦人科</v>
      </c>
      <c r="E126" s="32" t="str">
        <f>IFERROR(__xludf.DUMMYFUNCTION("""COMPUTED_VALUE"""),"https://luna-dr.com/")</f>
        <v>https://luna-dr.com/</v>
      </c>
    </row>
    <row r="127">
      <c r="A127" s="31" t="str">
        <f>IFERROR(__xludf.DUMMYFUNCTION("""COMPUTED_VALUE"""),"生理周期が短いタイプの生理不順とはどんな状態ですか？/生理周期が短いです/すぐに生理がくる")</f>
        <v>生理周期が短いタイプの生理不順とはどんな状態ですか？/生理周期が短いです/すぐに生理がくる</v>
      </c>
      <c r="B127" s="31" t="str">
        <f>IFERROR(__xludf.DUMMYFUNCTION("""COMPUTED_VALUE"""),"生理周期が24日以内と短く、月に2回以上生理が来ることもある頻発月経（ひんぱつげっけい）という状態の可能性があります。ホルモンバランスの乱れや卵巣機能の低下が考えられます。まずは専門医に相談することが大切ですので、お気軽に当院にご相談ください。")</f>
        <v>生理周期が24日以内と短く、月に2回以上生理が来ることもある頻発月経（ひんぱつげっけい）という状態の可能性があります。ホルモンバランスの乱れや卵巣機能の低下が考えられます。まずは専門医に相談することが大切ですので、お気軽に当院にご相談ください。</v>
      </c>
      <c r="C127" s="31" t="str">
        <f>IFERROR(__xludf.DUMMYFUNCTION("""COMPUTED_VALUE"""),"生理不順・種類")</f>
        <v>生理不順・種類</v>
      </c>
      <c r="D127" s="31" t="str">
        <f>IFERROR(__xludf.DUMMYFUNCTION("""COMPUTED_VALUE"""),"生理不順,頻発月経,生理周期が短い")</f>
        <v>生理不順,頻発月経,生理周期が短い</v>
      </c>
      <c r="E127" s="32" t="str">
        <f>IFERROR(__xludf.DUMMYFUNCTION("""COMPUTED_VALUE"""),"https://luna-dr.com/")</f>
        <v>https://luna-dr.com/</v>
      </c>
    </row>
    <row r="128">
      <c r="A128" s="31" t="str">
        <f>IFERROR(__xludf.DUMMYFUNCTION("""COMPUTED_VALUE"""),"生理周期が長いタイプの生理不順とはどんな状態ですか？/生理周期がながいです/生理が来ない/生理が遅れている")</f>
        <v>生理周期が長いタイプの生理不順とはどんな状態ですか？/生理周期がながいです/生理が来ない/生理が遅れている</v>
      </c>
      <c r="B128" s="31" t="str">
        <f>IFERROR(__xludf.DUMMYFUNCTION("""COMPUTED_VALUE"""),"生理周期が39日以上と長く、なかなか次の生理が来ない稀発月経（きはつげっけい）という状態の可能性があります。排卵までに時間がかかっている可能性があり、無排卵になっているケースもあります。
また、妊娠していないのに3ヶ月以上生理が来ていない状態は、生理不順の中でも注意が必要です。ホルモン分泌に深刻な異常が起きている可能性があり、早期の受診が必要となります。まずは専門医に相談することが大切ですので、お気軽に当院にご相談ください。")</f>
        <v>生理周期が39日以上と長く、なかなか次の生理が来ない稀発月経（きはつげっけい）という状態の可能性があります。排卵までに時間がかかっている可能性があり、無排卵になっているケースもあります。
また、妊娠していないのに3ヶ月以上生理が来ていない状態は、生理不順の中でも注意が必要です。ホルモン分泌に深刻な異常が起きている可能性があり、早期の受診が必要となります。まずは専門医に相談することが大切ですので、お気軽に当院にご相談ください。</v>
      </c>
      <c r="C128" s="31" t="str">
        <f>IFERROR(__xludf.DUMMYFUNCTION("""COMPUTED_VALUE"""),"生理不順・種類")</f>
        <v>生理不順・種類</v>
      </c>
      <c r="D128" s="31" t="str">
        <f>IFERROR(__xludf.DUMMYFUNCTION("""COMPUTED_VALUE"""),"生理不順,稀発月経,生理が遅れる")</f>
        <v>生理不順,稀発月経,生理が遅れる</v>
      </c>
      <c r="E128" s="32" t="str">
        <f>IFERROR(__xludf.DUMMYFUNCTION("""COMPUTED_VALUE"""),"https://luna-dr.com/")</f>
        <v>https://luna-dr.com/</v>
      </c>
    </row>
    <row r="129">
      <c r="A129" s="31" t="str">
        <f>IFERROR(__xludf.DUMMYFUNCTION("""COMPUTED_VALUE"""),"出血が長い・量が多い生理不順とはどんな状態ですか？/生理の血が多い/生理の血の量が多い")</f>
        <v>出血が長い・量が多い生理不順とはどんな状態ですか？/生理の血が多い/生理の血の量が多い</v>
      </c>
      <c r="B129" s="31" t="str">
        <f>IFERROR(__xludf.DUMMYFUNCTION("""COMPUTED_VALUE"""),"出血が8日以上と長く続いたり、経血量が極端に多かったりする過長月経、過多月経という状態の可能性があります。子宮の病気などが隠れている可能性も考えられます。まずは専門医に相談することが大切ですので、お気軽に当院にご相談ください。")</f>
        <v>出血が8日以上と長く続いたり、経血量が極端に多かったりする過長月経、過多月経という状態の可能性があります。子宮の病気などが隠れている可能性も考えられます。まずは専門医に相談することが大切ですので、お気軽に当院にご相談ください。</v>
      </c>
      <c r="C129" s="31" t="str">
        <f>IFERROR(__xludf.DUMMYFUNCTION("""COMPUTED_VALUE"""),"生理不順・種類")</f>
        <v>生理不順・種類</v>
      </c>
      <c r="D129" s="31" t="str">
        <f>IFERROR(__xludf.DUMMYFUNCTION("""COMPUTED_VALUE"""),"生理不順,過多月経,出血が多い")</f>
        <v>生理不順,過多月経,出血が多い</v>
      </c>
      <c r="E129" s="32" t="str">
        <f>IFERROR(__xludf.DUMMYFUNCTION("""COMPUTED_VALUE"""),"https://luna-dr.com/")</f>
        <v>https://luna-dr.com/</v>
      </c>
    </row>
    <row r="130">
      <c r="A130" s="31" t="str">
        <f>IFERROR(__xludf.DUMMYFUNCTION("""COMPUTED_VALUE"""),"出血が少ない・期間が短い生理不順とはどんな状態ですか？/生理の血が少ない/生理の血の量が少ない")</f>
        <v>出血が少ない・期間が短い生理不順とはどんな状態ですか？/生理の血が少ない/生理の血の量が少ない</v>
      </c>
      <c r="B130" s="31" t="str">
        <f>IFERROR(__xludf.DUMMYFUNCTION("""COMPUTED_VALUE"""),"出血が2日以内で終わってしまったり、経血量が極端に少なかったりする過短月経、過少月経という状態の可能性があります。女性ホルモンの分泌不足や、子宮の発育に問題がある可能性も考えられます。まずは専門医に相談することが大切ですので、お気軽に当院にご相談ください。")</f>
        <v>出血が2日以内で終わってしまったり、経血量が極端に少なかったりする過短月経、過少月経という状態の可能性があります。女性ホルモンの分泌不足や、子宮の発育に問題がある可能性も考えられます。まずは専門医に相談することが大切ですので、お気軽に当院にご相談ください。</v>
      </c>
      <c r="C130" s="31" t="str">
        <f>IFERROR(__xludf.DUMMYFUNCTION("""COMPUTED_VALUE"""),"生理不順・種類")</f>
        <v>生理不順・種類</v>
      </c>
      <c r="D130" s="31" t="str">
        <f>IFERROR(__xludf.DUMMYFUNCTION("""COMPUTED_VALUE"""),"生理不順,過少月経,生理が少ない")</f>
        <v>生理不順,過少月経,生理が少ない</v>
      </c>
      <c r="E130" s="32" t="str">
        <f>IFERROR(__xludf.DUMMYFUNCTION("""COMPUTED_VALUE"""),"https://luna-dr.com/")</f>
        <v>https://luna-dr.com/</v>
      </c>
    </row>
    <row r="131">
      <c r="A131" s="31" t="str">
        <f>IFERROR(__xludf.DUMMYFUNCTION("""COMPUTED_VALUE"""),"3ヶ月以上生理が来ない場合は生理不順ですか？/生理周期がながいです/生理が来ない/生理が遅れている")</f>
        <v>3ヶ月以上生理が来ない場合は生理不順ですか？/生理周期がながいです/生理が来ない/生理が遅れている</v>
      </c>
      <c r="B131" s="31" t="str">
        <f>IFERROR(__xludf.DUMMYFUNCTION("""COMPUTED_VALUE"""),"妊娠していないのに3ヶ月以上生理が来ていない状態は、生理不順の中でも注意が必要です。ホルモン分泌に深刻な異常が起きている可能性があり、早期の受診が必要です。まずは専門医に相談することが大切ですので、お気軽に当院にご相談ください。")</f>
        <v>妊娠していないのに3ヶ月以上生理が来ていない状態は、生理不順の中でも注意が必要です。ホルモン分泌に深刻な異常が起きている可能性があり、早期の受診が必要です。まずは専門医に相談することが大切ですので、お気軽に当院にご相談ください。</v>
      </c>
      <c r="C131" s="31" t="str">
        <f>IFERROR(__xludf.DUMMYFUNCTION("""COMPUTED_VALUE"""),"生理不順・種類")</f>
        <v>生理不順・種類</v>
      </c>
      <c r="D131" s="31" t="str">
        <f>IFERROR(__xludf.DUMMYFUNCTION("""COMPUTED_VALUE"""),"生理不順,無月経,生理が来ない")</f>
        <v>生理不順,無月経,生理が来ない</v>
      </c>
      <c r="E131" s="32" t="str">
        <f>IFERROR(__xludf.DUMMYFUNCTION("""COMPUTED_VALUE"""),"https://luna-dr.com/")</f>
        <v>https://luna-dr.com/</v>
      </c>
    </row>
    <row r="132">
      <c r="A132" s="31" t="str">
        <f>IFERROR(__xludf.DUMMYFUNCTION("""COMPUTED_VALUE"""),"生理不順はどんな症状がありますか？")</f>
        <v>生理不順はどんな症状がありますか？</v>
      </c>
      <c r="B132" s="31" t="str">
        <f>IFERROR(__xludf.DUMMYFUNCTION("""COMPUTED_VALUE"""),"生理不順には、生理周期が短い、長い、出血が長く続く、経血量が多い・少ない、生理が数ヶ月来ないなど、さまざまな症状があります。")</f>
        <v>生理不順には、生理周期が短い、長い、出血が長く続く、経血量が多い・少ない、生理が数ヶ月来ないなど、さまざまな症状があります。</v>
      </c>
      <c r="C132" s="31" t="str">
        <f>IFERROR(__xludf.DUMMYFUNCTION("""COMPUTED_VALUE"""),"生理不順")</f>
        <v>生理不順</v>
      </c>
      <c r="D132" s="31" t="str">
        <f>IFERROR(__xludf.DUMMYFUNCTION("""COMPUTED_VALUE"""),"症状,タイプ,生理不順")</f>
        <v>症状,タイプ,生理不順</v>
      </c>
      <c r="E132" s="32" t="str">
        <f>IFERROR(__xludf.DUMMYFUNCTION("""COMPUTED_VALUE"""),"https://luna-dr.com/subjects/menstrual-irregularity/")</f>
        <v>https://luna-dr.com/subjects/menstrual-irregularity/</v>
      </c>
    </row>
    <row r="133">
      <c r="A133" s="31" t="str">
        <f>IFERROR(__xludf.DUMMYFUNCTION("""COMPUTED_VALUE"""),"生理周期が短いのも生理不順ですか？")</f>
        <v>生理周期が短いのも生理不順ですか？</v>
      </c>
      <c r="B133" s="31" t="str">
        <f>IFERROR(__xludf.DUMMYFUNCTION("""COMPUTED_VALUE"""),"生理周期が24日以内と短く、月に2回以上生理が来る場合は、生理不順に該当することがあります。ホルモンバランスの乱れや卵巣機能の低下が関係している場合があります。")</f>
        <v>生理周期が24日以内と短く、月に2回以上生理が来る場合は、生理不順に該当することがあります。ホルモンバランスの乱れや卵巣機能の低下が関係している場合があります。</v>
      </c>
      <c r="C133" s="31" t="str">
        <f>IFERROR(__xludf.DUMMYFUNCTION("""COMPUTED_VALUE"""),"生理不順")</f>
        <v>生理不順</v>
      </c>
      <c r="D133" s="31" t="str">
        <f>IFERROR(__xludf.DUMMYFUNCTION("""COMPUTED_VALUE"""),"頻発月経,周期が短い,生理不順")</f>
        <v>頻発月経,周期が短い,生理不順</v>
      </c>
      <c r="E133" s="32" t="str">
        <f>IFERROR(__xludf.DUMMYFUNCTION("""COMPUTED_VALUE"""),"https://luna-dr.com/subjects/menstrual-irregularity/")</f>
        <v>https://luna-dr.com/subjects/menstrual-irregularity/</v>
      </c>
    </row>
    <row r="134">
      <c r="A134" s="31" t="str">
        <f>IFERROR(__xludf.DUMMYFUNCTION("""COMPUTED_VALUE"""),"生理周期が長いのも生理不順ですか？")</f>
        <v>生理周期が長いのも生理不順ですか？</v>
      </c>
      <c r="B134" s="31" t="str">
        <f>IFERROR(__xludf.DUMMYFUNCTION("""COMPUTED_VALUE"""),"生理周期が39日以上と長く、次の生理がなかなか来ない状態は、生理不順に該当します。排卵までに時間がかかっている可能性があり、無排卵になっているケースもあります。")</f>
        <v>生理周期が39日以上と長く、次の生理がなかなか来ない状態は、生理不順に該当します。排卵までに時間がかかっている可能性があり、無排卵になっているケースもあります。</v>
      </c>
      <c r="C134" s="31" t="str">
        <f>IFERROR(__xludf.DUMMYFUNCTION("""COMPUTED_VALUE"""),"生理不順")</f>
        <v>生理不順</v>
      </c>
      <c r="D134" s="31" t="str">
        <f>IFERROR(__xludf.DUMMYFUNCTION("""COMPUTED_VALUE"""),"希発月経,周期が長い,生理不順")</f>
        <v>希発月経,周期が長い,生理不順</v>
      </c>
      <c r="E134" s="32" t="str">
        <f>IFERROR(__xludf.DUMMYFUNCTION("""COMPUTED_VALUE"""),"https://luna-dr.com/subjects/menstrual-irregularity/")</f>
        <v>https://luna-dr.com/subjects/menstrual-irregularity/</v>
      </c>
    </row>
    <row r="135">
      <c r="A135" s="31" t="str">
        <f>IFERROR(__xludf.DUMMYFUNCTION("""COMPUTED_VALUE"""),"生理の出血が長かったり多かったりするのも生理不順ですか？")</f>
        <v>生理の出血が長かったり多かったりするのも生理不順ですか？</v>
      </c>
      <c r="B135" s="31" t="str">
        <f>IFERROR(__xludf.DUMMYFUNCTION("""COMPUTED_VALUE"""),"出血が8日以上続いたり、経血量が極端に多い状態も生理不順の一つです。子宮の病気が隠れている可能性もあるため、早めの相談が大切です。")</f>
        <v>出血が8日以上続いたり、経血量が極端に多い状態も生理不順の一つです。子宮の病気が隠れている可能性もあるため、早めの相談が大切です。</v>
      </c>
      <c r="C135" s="31" t="str">
        <f>IFERROR(__xludf.DUMMYFUNCTION("""COMPUTED_VALUE"""),"生理不順")</f>
        <v>生理不順</v>
      </c>
      <c r="D135" s="31" t="str">
        <f>IFERROR(__xludf.DUMMYFUNCTION("""COMPUTED_VALUE"""),"過多月経,出血が多い,生理不順")</f>
        <v>過多月経,出血が多い,生理不順</v>
      </c>
      <c r="E135" s="32" t="str">
        <f>IFERROR(__xludf.DUMMYFUNCTION("""COMPUTED_VALUE"""),"https://luna-dr.com/subjects/menstrual-irregularity/")</f>
        <v>https://luna-dr.com/subjects/menstrual-irregularity/</v>
      </c>
    </row>
    <row r="136">
      <c r="A136" s="31" t="str">
        <f>IFERROR(__xludf.DUMMYFUNCTION("""COMPUTED_VALUE"""),"生理の量が少なかったり期間が短いのも問題ですか？")</f>
        <v>生理の量が少なかったり期間が短いのも問題ですか？</v>
      </c>
      <c r="B136" s="31" t="str">
        <f>IFERROR(__xludf.DUMMYFUNCTION("""COMPUTED_VALUE"""),"出血が2日以内で終わったり、経血量が極端に少ない状態も生理不順に含まれます。女性ホルモンの分泌不足などが関係している場合があります。")</f>
        <v>出血が2日以内で終わったり、経血量が極端に少ない状態も生理不順に含まれます。女性ホルモンの分泌不足などが関係している場合があります。</v>
      </c>
      <c r="C136" s="31" t="str">
        <f>IFERROR(__xludf.DUMMYFUNCTION("""COMPUTED_VALUE"""),"生理不順")</f>
        <v>生理不順</v>
      </c>
      <c r="D136" s="31" t="str">
        <f>IFERROR(__xludf.DUMMYFUNCTION("""COMPUTED_VALUE"""),"過少月経,出血が少ない,生理不順")</f>
        <v>過少月経,出血が少ない,生理不順</v>
      </c>
      <c r="E136" s="32" t="str">
        <f>IFERROR(__xludf.DUMMYFUNCTION("""COMPUTED_VALUE"""),"https://luna-dr.com/subjects/menstrual-irregularity/")</f>
        <v>https://luna-dr.com/subjects/menstrual-irregularity/</v>
      </c>
    </row>
    <row r="137">
      <c r="A137" s="31" t="str">
        <f>IFERROR(__xludf.DUMMYFUNCTION("""COMPUTED_VALUE"""),"どのくらい生理が来なかったら受診すべきですか？")</f>
        <v>どのくらい生理が来なかったら受診すべきですか？</v>
      </c>
      <c r="B137" s="31" t="str">
        <f>IFERROR(__xludf.DUMMYFUNCTION("""COMPUTED_VALUE"""),"3ヶ月以上生理が来ていない場合は、年齢にかかわらず早めの受診が必要です。また、これまで周期的だった生理が急に不順になった場合も相談をおすすめします。")</f>
        <v>3ヶ月以上生理が来ていない場合は、年齢にかかわらず早めの受診が必要です。また、これまで周期的だった生理が急に不順になった場合も相談をおすすめします。</v>
      </c>
      <c r="C137" s="31" t="str">
        <f>IFERROR(__xludf.DUMMYFUNCTION("""COMPUTED_VALUE"""),"生理不順")</f>
        <v>生理不順</v>
      </c>
      <c r="D137" s="31" t="str">
        <f>IFERROR(__xludf.DUMMYFUNCTION("""COMPUTED_VALUE"""),"無月経,受診目安,生理不順")</f>
        <v>無月経,受診目安,生理不順</v>
      </c>
      <c r="E137" s="32" t="str">
        <f>IFERROR(__xludf.DUMMYFUNCTION("""COMPUTED_VALUE"""),"https://luna-dr.com/subjects/menstrual-irregularity/")</f>
        <v>https://luna-dr.com/subjects/menstrual-irregularity/</v>
      </c>
    </row>
    <row r="138">
      <c r="A138" s="31" t="str">
        <f>IFERROR(__xludf.DUMMYFUNCTION("""COMPUTED_VALUE"""),"生理不順はなぜ起こるのですか？/生理不順の原因にはどんなものがありますか？")</f>
        <v>生理不順はなぜ起こるのですか？/生理不順の原因にはどんなものがありますか？</v>
      </c>
      <c r="B138" s="31" t="str">
        <f>IFERROR(__xludf.DUMMYFUNCTION("""COMPUTED_VALUE"""),"生理不順は、脳からのホルモン分泌の指令と卵巣の働きがうまく連携していないときに起こります。その背景には、生活習慣や体のホルモンバランスの乱れなど、さまざまな要因があります。")</f>
        <v>生理不順は、脳からのホルモン分泌の指令と卵巣の働きがうまく連携していないときに起こります。その背景には、生活習慣や体のホルモンバランスの乱れなど、さまざまな要因があります。</v>
      </c>
      <c r="C138" s="31" t="str">
        <f>IFERROR(__xludf.DUMMYFUNCTION("""COMPUTED_VALUE"""),"生理不順・原因")</f>
        <v>生理不順・原因</v>
      </c>
      <c r="D138" s="31" t="str">
        <f>IFERROR(__xludf.DUMMYFUNCTION("""COMPUTED_VALUE"""),"生理不順,原因,ホルモンバランス,婦人科")</f>
        <v>生理不順,原因,ホルモンバランス,婦人科</v>
      </c>
      <c r="E138" s="32" t="str">
        <f>IFERROR(__xludf.DUMMYFUNCTION("""COMPUTED_VALUE"""),"https://luna-dr.com/subjects/menstrual-irregularity/")</f>
        <v>https://luna-dr.com/subjects/menstrual-irregularity/</v>
      </c>
    </row>
    <row r="139">
      <c r="A139" s="31" t="str">
        <f>IFERROR(__xludf.DUMMYFUNCTION("""COMPUTED_VALUE"""),"生活習慣の乱れは生理不順の原因になりますか？")</f>
        <v>生活習慣の乱れは生理不順の原因になりますか？</v>
      </c>
      <c r="B139" s="31" t="str">
        <f>IFERROR(__xludf.DUMMYFUNCTION("""COMPUTED_VALUE"""),"なります。過度なストレス、睡眠不足、急激なダイエットなどの生活習慣の乱れは、ホルモン分泌に影響し、生理不順の引き金になることがあります。")</f>
        <v>なります。過度なストレス、睡眠不足、急激なダイエットなどの生活習慣の乱れは、ホルモン分泌に影響し、生理不順の引き金になることがあります。</v>
      </c>
      <c r="C139" s="31" t="str">
        <f>IFERROR(__xludf.DUMMYFUNCTION("""COMPUTED_VALUE"""),"生理不順・原因")</f>
        <v>生理不順・原因</v>
      </c>
      <c r="D139" s="31" t="str">
        <f>IFERROR(__xludf.DUMMYFUNCTION("""COMPUTED_VALUE"""),"生理不順,生活習慣,ストレス,睡眠不足,ダイエット")</f>
        <v>生理不順,生活習慣,ストレス,睡眠不足,ダイエット</v>
      </c>
      <c r="E139" s="32" t="str">
        <f>IFERROR(__xludf.DUMMYFUNCTION("""COMPUTED_VALUE"""),"https://luna-dr.com/subjects/menstrual-irregularity/")</f>
        <v>https://luna-dr.com/subjects/menstrual-irregularity/</v>
      </c>
    </row>
    <row r="140">
      <c r="A140" s="31" t="str">
        <f>IFERROR(__xludf.DUMMYFUNCTION("""COMPUTED_VALUE"""),"多嚢胞性卵巣症候群（PCOS）とは何ですか？")</f>
        <v>多嚢胞性卵巣症候群（PCOS）とは何ですか？</v>
      </c>
      <c r="B140" s="31" t="str">
        <f>IFERROR(__xludf.DUMMYFUNCTION("""COMPUTED_VALUE"""),"多嚢胞性卵巣症候群（PCOS）は、排卵が起こりにくくなる体質で、生理不順の患者様に多く見られる原因の一つです。")</f>
        <v>多嚢胞性卵巣症候群（PCOS）は、排卵が起こりにくくなる体質で、生理不順の患者様に多く見られる原因の一つです。</v>
      </c>
      <c r="C140" s="31" t="str">
        <f>IFERROR(__xludf.DUMMYFUNCTION("""COMPUTED_VALUE"""),"生理不順・原因")</f>
        <v>生理不順・原因</v>
      </c>
      <c r="D140" s="31" t="str">
        <f>IFERROR(__xludf.DUMMYFUNCTION("""COMPUTED_VALUE"""),"生理不順,多嚢胞性卵巣症候群,PCOS,排卵障害")</f>
        <v>生理不順,多嚢胞性卵巣症候群,PCOS,排卵障害</v>
      </c>
      <c r="E140" s="32" t="str">
        <f>IFERROR(__xludf.DUMMYFUNCTION("""COMPUTED_VALUE"""),"https://luna-dr.com/subjects/menstrual-irregularity/")</f>
        <v>https://luna-dr.com/subjects/menstrual-irregularity/</v>
      </c>
    </row>
    <row r="141">
      <c r="A141" s="31" t="str">
        <f>IFERROR(__xludf.DUMMYFUNCTION("""COMPUTED_VALUE"""),"甲状腺の病気は生理不順に関係しますか？")</f>
        <v>甲状腺の病気は生理不順に関係しますか？</v>
      </c>
      <c r="B141" s="31" t="str">
        <f>IFERROR(__xludf.DUMMYFUNCTION("""COMPUTED_VALUE"""),"関係します。甲状腺ホルモンのバランスが崩れると、体全体の代謝やホルモン調整に影響し、生理周期が乱れることがあります。")</f>
        <v>関係します。甲状腺ホルモンのバランスが崩れると、体全体の代謝やホルモン調整に影響し、生理周期が乱れることがあります。</v>
      </c>
      <c r="C141" s="31" t="str">
        <f>IFERROR(__xludf.DUMMYFUNCTION("""COMPUTED_VALUE"""),"生理不順・原因")</f>
        <v>生理不順・原因</v>
      </c>
      <c r="D141" s="31" t="str">
        <f>IFERROR(__xludf.DUMMYFUNCTION("""COMPUTED_VALUE"""),"生理不順,甲状腺機能異常,ホルモン異常")</f>
        <v>生理不順,甲状腺機能異常,ホルモン異常</v>
      </c>
      <c r="E141" s="32" t="str">
        <f>IFERROR(__xludf.DUMMYFUNCTION("""COMPUTED_VALUE"""),"https://luna-dr.com/subjects/menstrual-irregularity/")</f>
        <v>https://luna-dr.com/subjects/menstrual-irregularity/</v>
      </c>
    </row>
    <row r="142">
      <c r="A142" s="31" t="str">
        <f>IFERROR(__xludf.DUMMYFUNCTION("""COMPUTED_VALUE"""),"高プロラクチン血症とはどんな状態ですか？")</f>
        <v>高プロラクチン血症とはどんな状態ですか？</v>
      </c>
      <c r="B142" s="31" t="str">
        <f>IFERROR(__xludf.DUMMYFUNCTION("""COMPUTED_VALUE"""),"高プロラクチン血症とは、授乳中でないにもかかわらず母乳を出すホルモン（プロラクチン）の値が高くなり、排卵が抑制されてしまう状態です。生理不順の原因になることがあります。")</f>
        <v>高プロラクチン血症とは、授乳中でないにもかかわらず母乳を出すホルモン（プロラクチン）の値が高くなり、排卵が抑制されてしまう状態です。生理不順の原因になることがあります。</v>
      </c>
      <c r="C142" s="31" t="str">
        <f>IFERROR(__xludf.DUMMYFUNCTION("""COMPUTED_VALUE"""),"生理不順・原因")</f>
        <v>生理不順・原因</v>
      </c>
      <c r="D142" s="31" t="str">
        <f>IFERROR(__xludf.DUMMYFUNCTION("""COMPUTED_VALUE"""),"生理不順,高プロラクチン血症,排卵抑制")</f>
        <v>生理不順,高プロラクチン血症,排卵抑制</v>
      </c>
      <c r="E142" s="32" t="str">
        <f>IFERROR(__xludf.DUMMYFUNCTION("""COMPUTED_VALUE"""),"https://luna-dr.com/subjects/menstrual-irregularity/")</f>
        <v>https://luna-dr.com/subjects/menstrual-irregularity/</v>
      </c>
    </row>
    <row r="143">
      <c r="A143" s="31" t="str">
        <f>IFERROR(__xludf.DUMMYFUNCTION("""COMPUTED_VALUE"""),"生理不順を放置するとどんなリスクがありますか？")</f>
        <v>生理不順を放置するとどんなリスクがありますか？</v>
      </c>
      <c r="B143" s="31" t="str">
        <f>IFERROR(__xludf.DUMMYFUNCTION("""COMPUTED_VALUE"""),"生理不順を放置すると、将来の不妊につながる可能性があります。また、長期間排卵がない状態が続くことで、子宮体がんのリスクを高める可能性も指摘されています。")</f>
        <v>生理不順を放置すると、将来の不妊につながる可能性があります。また、長期間排卵がない状態が続くことで、子宮体がんのリスクを高める可能性も指摘されています。</v>
      </c>
      <c r="C143" s="31" t="str">
        <f>IFERROR(__xludf.DUMMYFUNCTION("""COMPUTED_VALUE"""),"生理不順・リスク")</f>
        <v>生理不順・リスク</v>
      </c>
      <c r="D143" s="31" t="str">
        <f>IFERROR(__xludf.DUMMYFUNCTION("""COMPUTED_VALUE"""),"生理不順,不妊,子宮体がん,リスク")</f>
        <v>生理不順,不妊,子宮体がん,リスク</v>
      </c>
      <c r="E143" s="32" t="str">
        <f>IFERROR(__xludf.DUMMYFUNCTION("""COMPUTED_VALUE"""),"https://luna-dr.com/subjects/menstrual-irregularity/")</f>
        <v>https://luna-dr.com/subjects/menstrual-irregularity/</v>
      </c>
    </row>
    <row r="144">
      <c r="A144" s="31" t="str">
        <f>IFERROR(__xludf.DUMMYFUNCTION("""COMPUTED_VALUE"""),"生理不順の診察ではどんな検査をしますか？")</f>
        <v>生理不順の診察ではどんな検査をしますか？</v>
      </c>
      <c r="B144" s="31" t="str">
        <f>IFERROR(__xludf.DUMMYFUNCTION("""COMPUTED_VALUE"""),"ルナレディースクリニックでは、生理不順の診察で、必要に応じて超音波（エコー）検査や血液検査を行います。")</f>
        <v>ルナレディースクリニックでは、生理不順の診察で、必要に応じて超音波（エコー）検査や血液検査を行います。</v>
      </c>
      <c r="C144" s="31" t="str">
        <f>IFERROR(__xludf.DUMMYFUNCTION("""COMPUTED_VALUE"""),"生理不順")</f>
        <v>生理不順</v>
      </c>
      <c r="D144" s="31" t="str">
        <f>IFERROR(__xludf.DUMMYFUNCTION("""COMPUTED_VALUE"""),"検査,エコー,血液検査,生理不順")</f>
        <v>検査,エコー,血液検査,生理不順</v>
      </c>
      <c r="E144" s="32" t="str">
        <f>IFERROR(__xludf.DUMMYFUNCTION("""COMPUTED_VALUE"""),"https://luna-dr.com/subjects/menstrual-irregularity/")</f>
        <v>https://luna-dr.com/subjects/menstrual-irregularity/</v>
      </c>
    </row>
    <row r="145">
      <c r="A145" s="31" t="str">
        <f>IFERROR(__xludf.DUMMYFUNCTION("""COMPUTED_VALUE"""),"生理不順の診察・検査の流れを教えてください")</f>
        <v>生理不順の診察・検査の流れを教えてください</v>
      </c>
      <c r="B145" s="31" t="str">
        <f>IFERROR(__xludf.DUMMYFUNCTION("""COMPUTED_VALUE"""),"ルナレディースクリニックでは、予約後に問診を行い、医師が生活習慣や生理の状況を確認します。その後、必要に応じて検査を行い、結果をもとに治療方針をご提案します。")</f>
        <v>ルナレディースクリニックでは、予約後に問診を行い、医師が生活習慣や生理の状況を確認します。その後、必要に応じて検査を行い、結果をもとに治療方針をご提案します。</v>
      </c>
      <c r="C145" s="31" t="str">
        <f>IFERROR(__xludf.DUMMYFUNCTION("""COMPUTED_VALUE"""),"生理不順")</f>
        <v>生理不順</v>
      </c>
      <c r="D145" s="31" t="str">
        <f>IFERROR(__xludf.DUMMYFUNCTION("""COMPUTED_VALUE"""),"診察の流れ,検査,生理不順")</f>
        <v>診察の流れ,検査,生理不順</v>
      </c>
      <c r="E145" s="32" t="str">
        <f>IFERROR(__xludf.DUMMYFUNCTION("""COMPUTED_VALUE"""),"https://luna-dr.com/subjects/menstrual-irregularity/")</f>
        <v>https://luna-dr.com/subjects/menstrual-irregularity/</v>
      </c>
    </row>
    <row r="146">
      <c r="A146" s="31" t="str">
        <f>IFERROR(__xludf.DUMMYFUNCTION("""COMPUTED_VALUE"""),"生理不順の治療にはどんな方法がありますか？")</f>
        <v>生理不順の治療にはどんな方法がありますか？</v>
      </c>
      <c r="B146" s="31" t="str">
        <f>IFERROR(__xludf.DUMMYFUNCTION("""COMPUTED_VALUE"""),"ルナレディースクリニックでは、生理不順の原因に応じて、低用量ピルによるホルモン治療、漢方薬、生活習慣の改善指導などをご提案します。")</f>
        <v>ルナレディースクリニックでは、生理不順の原因に応じて、低用量ピルによるホルモン治療、漢方薬、生活習慣の改善指導などをご提案します。</v>
      </c>
      <c r="C146" s="31" t="str">
        <f>IFERROR(__xludf.DUMMYFUNCTION("""COMPUTED_VALUE"""),"生理不順")</f>
        <v>生理不順</v>
      </c>
      <c r="D146" s="31" t="str">
        <f>IFERROR(__xludf.DUMMYFUNCTION("""COMPUTED_VALUE"""),"治療方法,ピル,漢方,生理不順")</f>
        <v>治療方法,ピル,漢方,生理不順</v>
      </c>
      <c r="E146" s="32" t="str">
        <f>IFERROR(__xludf.DUMMYFUNCTION("""COMPUTED_VALUE"""),"https://luna-dr.com/subjects/menstrual-irregularity/")</f>
        <v>https://luna-dr.com/subjects/menstrual-irregularity/</v>
      </c>
    </row>
    <row r="147">
      <c r="A147" s="31" t="str">
        <f>IFERROR(__xludf.DUMMYFUNCTION("""COMPUTED_VALUE"""),"生理不順の診察は保険適用ですか？")</f>
        <v>生理不順の診察は保険適用ですか？</v>
      </c>
      <c r="B147" s="31" t="str">
        <f>IFERROR(__xludf.DUMMYFUNCTION("""COMPUTED_VALUE"""),"ルナレディースクリニックでは、生理不順の診察や検査は保険診療を基本としています。")</f>
        <v>ルナレディースクリニックでは、生理不順の診察や検査は保険診療を基本としています。</v>
      </c>
      <c r="C147" s="31" t="str">
        <f>IFERROR(__xludf.DUMMYFUNCTION("""COMPUTED_VALUE"""),"生理不順")</f>
        <v>生理不順</v>
      </c>
      <c r="D147" s="31" t="str">
        <f>IFERROR(__xludf.DUMMYFUNCTION("""COMPUTED_VALUE"""),"保険診療,費用,生理不順")</f>
        <v>保険診療,費用,生理不順</v>
      </c>
      <c r="E147" s="32" t="str">
        <f>IFERROR(__xludf.DUMMYFUNCTION("""COMPUTED_VALUE"""),"https://luna-dr.com/subjects/menstrual-irregularity/")</f>
        <v>https://luna-dr.com/subjects/menstrual-irregularity/</v>
      </c>
    </row>
    <row r="148">
      <c r="A148" s="31" t="str">
        <f>IFERROR(__xludf.DUMMYFUNCTION("""COMPUTED_VALUE"""),"生理不順の診察や検査の費用はいくらくらいですか？")</f>
        <v>生理不順の診察や検査の費用はいくらくらいですか？</v>
      </c>
      <c r="B148" s="31" t="str">
        <f>IFERROR(__xludf.DUMMYFUNCTION("""COMPUTED_VALUE"""),"ルナレディースクリニックでは、生理を起こす薬の処方が約400円、ホルモン検査が約2,400円、超音波検査が約1,600円、保険適用ピル処方が約2,700円です。別途初診料・再診料がかかります。")</f>
        <v>ルナレディースクリニックでは、生理を起こす薬の処方が約400円、ホルモン検査が約2,400円、超音波検査が約1,600円、保険適用ピル処方が約2,700円です。別途初診料・再診料がかかります。</v>
      </c>
      <c r="C148" s="31" t="str">
        <f>IFERROR(__xludf.DUMMYFUNCTION("""COMPUTED_VALUE"""),"生理不順")</f>
        <v>生理不順</v>
      </c>
      <c r="D148" s="31" t="str">
        <f>IFERROR(__xludf.DUMMYFUNCTION("""COMPUTED_VALUE"""),"料金,費用目安,生理不順")</f>
        <v>料金,費用目安,生理不順</v>
      </c>
      <c r="E148" s="32" t="str">
        <f>IFERROR(__xludf.DUMMYFUNCTION("""COMPUTED_VALUE"""),"https://luna-dr.com/subjects/menstrual-irregularity/")</f>
        <v>https://luna-dr.com/subjects/menstrual-irregularity/</v>
      </c>
    </row>
    <row r="149">
      <c r="A149" s="31" t="str">
        <f>IFERROR(__xludf.DUMMYFUNCTION("""COMPUTED_VALUE"""),"生理不順の場合、基礎体温は測った方がいいですか？")</f>
        <v>生理不順の場合、基礎体温は測った方がいいですか？</v>
      </c>
      <c r="B149" s="31" t="str">
        <f>IFERROR(__xludf.DUMMYFUNCTION("""COMPUTED_VALUE"""),"基礎体温を記録すると排卵の有無を推測できるため、可能であれば測定をおすすめします。記録があると診察がスムーズに進みます。")</f>
        <v>基礎体温を記録すると排卵の有無を推測できるため、可能であれば測定をおすすめします。記録があると診察がスムーズに進みます。</v>
      </c>
      <c r="C149" s="31" t="str">
        <f>IFERROR(__xludf.DUMMYFUNCTION("""COMPUTED_VALUE"""),"生理不順")</f>
        <v>生理不順</v>
      </c>
      <c r="D149" s="31" t="str">
        <f>IFERROR(__xludf.DUMMYFUNCTION("""COMPUTED_VALUE"""),"基礎体温,排卵,生理不順")</f>
        <v>基礎体温,排卵,生理不順</v>
      </c>
      <c r="E149" s="32" t="str">
        <f>IFERROR(__xludf.DUMMYFUNCTION("""COMPUTED_VALUE"""),"https://luna-dr.com/subjects/menstrual-irregularity/")</f>
        <v>https://luna-dr.com/subjects/menstrual-irregularity/</v>
      </c>
    </row>
    <row r="150">
      <c r="A150" s="31" t="str">
        <f>IFERROR(__xludf.DUMMYFUNCTION("""COMPUTED_VALUE"""),"生理不順は治りますか？")</f>
        <v>生理不順は治りますか？</v>
      </c>
      <c r="B150" s="31" t="str">
        <f>IFERROR(__xludf.DUMMYFUNCTION("""COMPUTED_VALUE"""),"生理不順は原因によって治療法や期間は異なりますが、多くの場合、適切な治療で改善が見込めます。まずは原因を確認することが大切です。")</f>
        <v>生理不順は原因によって治療法や期間は異なりますが、多くの場合、適切な治療で改善が見込めます。まずは原因を確認することが大切です。</v>
      </c>
      <c r="C150" s="31" t="str">
        <f>IFERROR(__xludf.DUMMYFUNCTION("""COMPUTED_VALUE"""),"生理不順")</f>
        <v>生理不順</v>
      </c>
      <c r="D150" s="31" t="str">
        <f>IFERROR(__xludf.DUMMYFUNCTION("""COMPUTED_VALUE"""),"改善,治療,生理不順")</f>
        <v>改善,治療,生理不順</v>
      </c>
      <c r="E150" s="32" t="str">
        <f>IFERROR(__xludf.DUMMYFUNCTION("""COMPUTED_VALUE"""),"https://luna-dr.com/subjects/menstrual-irregularity/")</f>
        <v>https://luna-dr.com/subjects/menstrual-irregularity/</v>
      </c>
    </row>
    <row r="151">
      <c r="A151" s="31" t="str">
        <f>IFERROR(__xludf.DUMMYFUNCTION("""COMPUTED_VALUE"""),"生理不順でも生理日をずらすことはできますか？")</f>
        <v>生理不順でも生理日をずらすことはできますか？</v>
      </c>
      <c r="B151" s="31" t="str">
        <f>IFERROR(__xludf.DUMMYFUNCTION("""COMPUTED_VALUE"""),"生理不順の方でも、ピルを使って生理日を調整する月経移動という方法があります。大切なご予定がある場合はご相談ください。")</f>
        <v>生理不順の方でも、ピルを使って生理日を調整する月経移動という方法があります。大切なご予定がある場合はご相談ください。</v>
      </c>
      <c r="C151" s="31" t="str">
        <f>IFERROR(__xludf.DUMMYFUNCTION("""COMPUTED_VALUE"""),"生理不順")</f>
        <v>生理不順</v>
      </c>
      <c r="D151" s="31" t="str">
        <f>IFERROR(__xludf.DUMMYFUNCTION("""COMPUTED_VALUE"""),"月経移動,相談,生理不順")</f>
        <v>月経移動,相談,生理不順</v>
      </c>
      <c r="E151" s="32" t="str">
        <f>IFERROR(__xludf.DUMMYFUNCTION("""COMPUTED_VALUE"""),"https://luna-dr.com/subjects/menstrual-irregularity/")</f>
        <v>https://luna-dr.com/subjects/menstrual-irregularity/</v>
      </c>
    </row>
    <row r="152">
      <c r="A152" s="31" t="str">
        <f>IFERROR(__xludf.DUMMYFUNCTION("""COMPUTED_VALUE"""),"生理不順の相談はどうやって予約すればいいですか？ /生理不順の場合はどの項目を選べばいい？/生理不順のメニュー/生理不順の予約メニュー
")</f>
        <v>生理不順の相談はどうやって予約すればいいですか？ /生理不順の場合はどの項目を選べばいい？/生理不順のメニュー/生理不順の予約メニュー
</v>
      </c>
      <c r="B152" s="31" t="str">
        <f>IFERROR(__xludf.DUMMYFUNCTION("""COMPUTED_VALUE"""),"ルナレディースクリニックでは、公式LINEから生理不順の診察予約が可能です。24時間いつでもご自身のタイミングで予約できます。
来院診療の場合は「一般婦人科診療」のメニューでご予約ください。WEB問診票に症状をご入力いただくとスムーズです。→https://cline-app.com/qr-codes/98ad6f149bfa20f4f2a9a2e91aac4187/preview
オンライン診療のご予約はこちら→https://liff-gateway.lineml.jp/landing?follow="&amp;"%40590gpxrd&amp;lp=fX73yx&amp;liff_id=1657094566-LmjNPPbV")</f>
        <v>ルナレディースクリニックでは、公式LINEから生理不順の診察予約が可能です。24時間いつでもご自身のタイミングで予約できます。
来院診療の場合は「一般婦人科診療」のメニューでご予約ください。WEB問診票に症状をご入力いただくとスムーズです。→https://cline-app.com/qr-codes/98ad6f149bfa20f4f2a9a2e91aac4187/preview
オンライン診療のご予約はこちら→https://liff-gateway.lineml.jp/landing?follow=%40590gpxrd&amp;lp=fX73yx&amp;liff_id=1657094566-LmjNPPbV</v>
      </c>
      <c r="C152" s="31" t="str">
        <f>IFERROR(__xludf.DUMMYFUNCTION("""COMPUTED_VALUE"""),"生理不順")</f>
        <v>生理不順</v>
      </c>
      <c r="D152" s="31" t="str">
        <f>IFERROR(__xludf.DUMMYFUNCTION("""COMPUTED_VALUE"""),"予約方法,LINE予約,電話予約,生理不順")</f>
        <v>予約方法,LINE予約,電話予約,生理不順</v>
      </c>
      <c r="E152" s="32" t="str">
        <f>IFERROR(__xludf.DUMMYFUNCTION("""COMPUTED_VALUE"""),"https://luna-dr.com/subjects/menstrual-irregularity/")</f>
        <v>https://luna-dr.com/subjects/menstrual-irregularity/</v>
      </c>
    </row>
    <row r="153">
      <c r="A153" s="31" t="str">
        <f>IFERROR(__xludf.DUMMYFUNCTION("""COMPUTED_VALUE"""),"生理不順はLINEから予約できますか？")</f>
        <v>生理不順はLINEから予約できますか？</v>
      </c>
      <c r="B153" s="31" t="str">
        <f>IFERROR(__xludf.DUMMYFUNCTION("""COMPUTED_VALUE"""),"ルナレディースクリニックでは、公式LINEから生理不順の診察予約が可能です。24時間いつでもご自身のタイミングで予約できます。
来院診療の場合は「一般婦人科診療」のメニューでご予約ください。WEB問診票に症状をご入力いただくとスムーズです。→https://cline-app.com/qr-codes/98ad6f149bfa20f4f2a9a2e91aac4187/preview
オンライン診療のご予約はこちら→https://liff-gateway.lineml.jp/landing?follow="&amp;"%40590gpxrd&amp;lp=fX73yx&amp;liff_id=1657094566-LmjNPPbV")</f>
        <v>ルナレディースクリニックでは、公式LINEから生理不順の診察予約が可能です。24時間いつでもご自身のタイミングで予約できます。
来院診療の場合は「一般婦人科診療」のメニューでご予約ください。WEB問診票に症状をご入力いただくとスムーズです。→https://cline-app.com/qr-codes/98ad6f149bfa20f4f2a9a2e91aac4187/preview
オンライン診療のご予約はこちら→https://liff-gateway.lineml.jp/landing?follow=%40590gpxrd&amp;lp=fX73yx&amp;liff_id=1657094566-LmjNPPbV</v>
      </c>
      <c r="C153" s="31" t="str">
        <f>IFERROR(__xludf.DUMMYFUNCTION("""COMPUTED_VALUE"""),"生理不順")</f>
        <v>生理不順</v>
      </c>
      <c r="D153" s="31" t="str">
        <f>IFERROR(__xludf.DUMMYFUNCTION("""COMPUTED_VALUE"""),"LINE予約,婦人科予約,生理不順")</f>
        <v>LINE予約,婦人科予約,生理不順</v>
      </c>
      <c r="E153" s="32" t="str">
        <f>IFERROR(__xludf.DUMMYFUNCTION("""COMPUTED_VALUE"""),"https://luna-dr.com/subjects/menstrual-irregularity/")</f>
        <v>https://luna-dr.com/subjects/menstrual-irregularity/</v>
      </c>
    </row>
    <row r="154">
      <c r="A154" s="31" t="str">
        <f>IFERROR(__xludf.DUMMYFUNCTION("""COMPUTED_VALUE"""),"生理不順は電話でも予約できますか？")</f>
        <v>生理不順は電話でも予約できますか？</v>
      </c>
      <c r="B154" s="31" t="str">
        <f>IFERROR(__xludf.DUMMYFUNCTION("""COMPUTED_VALUE"""),"LINEでの予約後、事前問診等もLINEから行うことができ、スムーズに受診ができるため、当院ではLINEでのご予約を推奨しております。
来院診療の場合は「一般婦人科診療」のメニューでご予約ください→https://cline-app.com/qr-codes/98ad6f149bfa20f4f2a9a2e91aac4187/preview
オンライン診療のご予約はこちら→https://liff-gateway.lineml.jp/landing?follow=%40590gpxrd&amp;lp=fX73yx&amp;"&amp;"liff_id=1657094566-LmjNPPbV")</f>
        <v>LINEでの予約後、事前問診等もLINEから行うことができ、スムーズに受診ができるため、当院ではLINEでのご予約を推奨しております。
来院診療の場合は「一般婦人科診療」のメニューでご予約ください→https://cline-app.com/qr-codes/98ad6f149bfa20f4f2a9a2e91aac4187/preview
オンライン診療のご予約はこちら→https://liff-gateway.lineml.jp/landing?follow=%40590gpxrd&amp;lp=fX73yx&amp;liff_id=1657094566-LmjNPPbV</v>
      </c>
      <c r="C154" s="31" t="str">
        <f>IFERROR(__xludf.DUMMYFUNCTION("""COMPUTED_VALUE"""),"生理不順")</f>
        <v>生理不順</v>
      </c>
      <c r="D154" s="31" t="str">
        <f>IFERROR(__xludf.DUMMYFUNCTION("""COMPUTED_VALUE"""),"電話予約,問い合わせ,生理不順")</f>
        <v>電話予約,問い合わせ,生理不順</v>
      </c>
      <c r="E154" s="32" t="str">
        <f>IFERROR(__xludf.DUMMYFUNCTION("""COMPUTED_VALUE"""),"https://luna-dr.com/subjects/menstrual-irregularity/")</f>
        <v>https://luna-dr.com/subjects/menstrual-irregularity/</v>
      </c>
    </row>
    <row r="155">
      <c r="A155" s="31" t="str">
        <f>IFERROR(__xludf.DUMMYFUNCTION("""COMPUTED_VALUE"""),"生理不順は予約なしでも相談できますか？")</f>
        <v>生理不順は予約なしでも相談できますか？</v>
      </c>
      <c r="B155" s="31" t="str">
        <f>IFERROR(__xludf.DUMMYFUNCTION("""COMPUTED_VALUE"""),"来院治療の場合、予約外来院も可能です。スムーズなご案内のため、事前予約をおすすめしています。")</f>
        <v>来院治療の場合、予約外来院も可能です。スムーズなご案内のため、事前予約をおすすめしています。</v>
      </c>
      <c r="C155" s="31" t="str">
        <f>IFERROR(__xludf.DUMMYFUNCTION("""COMPUTED_VALUE"""),"生理不順")</f>
        <v>生理不順</v>
      </c>
      <c r="D155" s="31" t="str">
        <f>IFERROR(__xludf.DUMMYFUNCTION("""COMPUTED_VALUE"""),"予約なし,受診,生理不順")</f>
        <v>予約なし,受診,生理不順</v>
      </c>
      <c r="E155" s="32" t="str">
        <f>IFERROR(__xludf.DUMMYFUNCTION("""COMPUTED_VALUE"""),"https://luna-dr.com/subjects/menstrual-irregularity/")</f>
        <v>https://luna-dr.com/subjects/menstrual-irregularity/</v>
      </c>
    </row>
    <row r="156">
      <c r="A156" s="31" t="str">
        <f>IFERROR(__xludf.DUMMYFUNCTION("""COMPUTED_VALUE"""),"生理不順の予約前に準備しておくことはありますか？")</f>
        <v>生理不順の予約前に準備しておくことはありますか？</v>
      </c>
      <c r="B156" s="31" t="str">
        <f>IFERROR(__xludf.DUMMYFUNCTION("""COMPUTED_VALUE"""),"ルナレディースクリニックでは、生理不順の診察前に、最終生理日やご予定日などをWEB問診にご入力いただくと、診察がスムーズに進みます。")</f>
        <v>ルナレディースクリニックでは、生理不順の診察前に、最終生理日やご予定日などをWEB問診にご入力いただくと、診察がスムーズに進みます。</v>
      </c>
      <c r="C156" s="31" t="str">
        <f>IFERROR(__xludf.DUMMYFUNCTION("""COMPUTED_VALUE"""),"生理不順")</f>
        <v>生理不順</v>
      </c>
      <c r="D156" s="31" t="str">
        <f>IFERROR(__xludf.DUMMYFUNCTION("""COMPUTED_VALUE"""),"WEB問診,事前準備,生理不順")</f>
        <v>WEB問診,事前準備,生理不順</v>
      </c>
      <c r="E156" s="32" t="str">
        <f>IFERROR(__xludf.DUMMYFUNCTION("""COMPUTED_VALUE"""),"https://luna-dr.com/subjects/menstrual-irregularity/")</f>
        <v>https://luna-dr.com/subjects/menstrual-irregularity/</v>
      </c>
    </row>
    <row r="157">
      <c r="A157" s="31" t="str">
        <f>IFERROR(__xludf.DUMMYFUNCTION("""COMPUTED_VALUE"""),"生理不順は初診でも予約できますか？")</f>
        <v>生理不順は初診でも予約できますか？</v>
      </c>
      <c r="B157" s="31" t="str">
        <f>IFERROR(__xludf.DUMMYFUNCTION("""COMPUTED_VALUE"""),"生理不順は初診の方もご予約いただけます。ご予約は公式LINEから受け付けておりますので、友だち追加の上ご利用ください。
来院診療の場合は「一般婦人科診療」のメニューでご予約ください。WEB問診票に症状をご入力いただくとスムーズです。→https://cline-app.com/qr-codes/98ad6f149bfa20f4f2a9a2e91aac4187/preview
オンライン診療のご予約はこちら→https://liff-gateway.lineml.jp/landing?follow=%405"&amp;"90gpxrd&amp;lp=fX73yx&amp;liff_id=1657094566-LmjNPPbV")</f>
        <v>生理不順は初診の方もご予約いただけます。ご予約は公式LINEから受け付けておりますので、友だち追加の上ご利用ください。
来院診療の場合は「一般婦人科診療」のメニューでご予約ください。WEB問診票に症状をご入力いただくとスムーズです。→https://cline-app.com/qr-codes/98ad6f149bfa20f4f2a9a2e91aac4187/preview
オンライン診療のご予約はこちら→https://liff-gateway.lineml.jp/landing?follow=%40590gpxrd&amp;lp=fX73yx&amp;liff_id=1657094566-LmjNPPbV</v>
      </c>
      <c r="C157" s="31" t="str">
        <f>IFERROR(__xludf.DUMMYFUNCTION("""COMPUTED_VALUE"""),"生理不順")</f>
        <v>生理不順</v>
      </c>
      <c r="D157" s="31" t="str">
        <f>IFERROR(__xludf.DUMMYFUNCTION("""COMPUTED_VALUE"""),"初診,予約,生理不順")</f>
        <v>初診,予約,生理不順</v>
      </c>
      <c r="E157" s="32" t="str">
        <f>IFERROR(__xludf.DUMMYFUNCTION("""COMPUTED_VALUE"""),"https://luna-dr.com/subjects/menstrual-irregularity/")</f>
        <v>https://luna-dr.com/subjects/menstrual-irregularity/</v>
      </c>
    </row>
    <row r="158">
      <c r="A158" s="31" t="str">
        <f>IFERROR(__xludf.DUMMYFUNCTION("""COMPUTED_VALUE"""),"生理不順は来院とオンライン、どちらで予約できますか？")</f>
        <v>生理不順は来院とオンライン、どちらで予約できますか？</v>
      </c>
      <c r="B158" s="31" t="str">
        <f>IFERROR(__xludf.DUMMYFUNCTION("""COMPUTED_VALUE"""),"ルナレディースクリニックでは、生理不順のご相談は来院診療とオンライン診療のどちらでも予約が可能です。ご自身のライフスタイルに合わせて選べます。
来院診療の場合は「一般婦人科診療」のメニューでご予約ください。WEB問診票に症状をご入力いただくとスムーズです。→https://cline-app.com/qr-codes/98ad6f149bfa20f4f2a9a2e91aac4187/preview
オンライン診療のご予約はこちら→https://liff-gateway.lineml.jp/landing"&amp;"?follow=%40590gpxrd&amp;lp=fX73yx&amp;liff_id=1657094566-LmjNPPbV")</f>
        <v>ルナレディースクリニックでは、生理不順のご相談は来院診療とオンライン診療のどちらでも予約が可能です。ご自身のライフスタイルに合わせて選べます。
来院診療の場合は「一般婦人科診療」のメニューでご予約ください。WEB問診票に症状をご入力いただくとスムーズです。→https://cline-app.com/qr-codes/98ad6f149bfa20f4f2a9a2e91aac4187/preview
オンライン診療のご予約はこちら→https://liff-gateway.lineml.jp/landing?follow=%40590gpxrd&amp;lp=fX73yx&amp;liff_id=1657094566-LmjNPPbV</v>
      </c>
      <c r="C158" s="31" t="str">
        <f>IFERROR(__xludf.DUMMYFUNCTION("""COMPUTED_VALUE"""),"生理不順")</f>
        <v>生理不順</v>
      </c>
      <c r="D158" s="31" t="str">
        <f>IFERROR(__xludf.DUMMYFUNCTION("""COMPUTED_VALUE"""),"来院診療,オンライン診療,生理不順")</f>
        <v>来院診療,オンライン診療,生理不順</v>
      </c>
      <c r="E158" s="32" t="str">
        <f>IFERROR(__xludf.DUMMYFUNCTION("""COMPUTED_VALUE"""),"https://luna-dr.com/subjects/menstrual-irregularity/")</f>
        <v>https://luna-dr.com/subjects/menstrual-irregularity/</v>
      </c>
    </row>
    <row r="159">
      <c r="A159" s="31" t="str">
        <f>IFERROR(__xludf.DUMMYFUNCTION("""COMPUTED_VALUE"""),"生理痛とは何ですか？")</f>
        <v>生理痛とは何ですか？</v>
      </c>
      <c r="B159" s="31" t="str">
        <f>IFERROR(__xludf.DUMMYFUNCTION("""COMPUTED_VALUE"""),"生理痛とは、生理の前後や生理中に下腹部や腰に痛みを感じる症状のことです。軽い不快感から、日常生活に支障をきたす強い痛みまで程度には個人差があります。大切なのは、痛みを我慢しないこと。ルナレディースクリニックでは、痛みの原因を的確に診断し、患者さまのライフスタイルに合わせた最適な治療法を一緒に考えていきます。")</f>
        <v>生理痛とは、生理の前後や生理中に下腹部や腰に痛みを感じる症状のことです。軽い不快感から、日常生活に支障をきたす強い痛みまで程度には個人差があります。大切なのは、痛みを我慢しないこと。ルナレディースクリニックでは、痛みの原因を的確に診断し、患者さまのライフスタイルに合わせた最適な治療法を一緒に考えていきます。</v>
      </c>
      <c r="C159" s="31" t="str">
        <f>IFERROR(__xludf.DUMMYFUNCTION("""COMPUTED_VALUE"""),"生理痛")</f>
        <v>生理痛</v>
      </c>
      <c r="D159" s="31" t="str">
        <f>IFERROR(__xludf.DUMMYFUNCTION("""COMPUTED_VALUE"""),"生理痛,月経痛,生理痛")</f>
        <v>生理痛,月経痛,生理痛</v>
      </c>
      <c r="E159" s="32" t="str">
        <f>IFERROR(__xludf.DUMMYFUNCTION("""COMPUTED_VALUE"""),"https://luna-dr.com/subjects/menstrual-pain/")</f>
        <v>https://luna-dr.com/subjects/menstrual-pain/</v>
      </c>
    </row>
    <row r="160">
      <c r="A160" s="31" t="str">
        <f>IFERROR(__xludf.DUMMYFUNCTION("""COMPUTED_VALUE"""),"つらい生理痛は病気ですか？")</f>
        <v>つらい生理痛は病気ですか？</v>
      </c>
      <c r="B160" s="31" t="str">
        <f>IFERROR(__xludf.DUMMYFUNCTION("""COMPUTED_VALUE"""),"日常生活に支障をきたすほどの強い生理痛は、「月経困難症」と呼ばれ、体質だけでなく病気が隠れている場合もあります。生理痛は誰にでもあるもの、と思いがちですが、放置すると悪化したり、病気の発見が遅れたりすることもあります。以下の項目に一つでも当てはまる方は、我慢せずにご相談ください。
1. 毎月、市販の痛み止めを飲まないと過ごせない
2. 痛みで仕事や学校を休んでしまうことがある
3. 年々、生理痛がひどくなっている気がする
4. 経血の量が増えてきた（レバーのような塊が出る）
5. 生理期間以外にも下腹部"&amp;"痛や腰痛がある")</f>
        <v>日常生活に支障をきたすほどの強い生理痛は、「月経困難症」と呼ばれ、体質だけでなく病気が隠れている場合もあります。生理痛は誰にでもあるもの、と思いがちですが、放置すると悪化したり、病気の発見が遅れたりすることもあります。以下の項目に一つでも当てはまる方は、我慢せずにご相談ください。
1. 毎月、市販の痛み止めを飲まないと過ごせない
2. 痛みで仕事や学校を休んでしまうことがある
3. 年々、生理痛がひどくなっている気がする
4. 経血の量が増えてきた（レバーのような塊が出る）
5. 生理期間以外にも下腹部痛や腰痛がある</v>
      </c>
      <c r="C160" s="31" t="str">
        <f>IFERROR(__xludf.DUMMYFUNCTION("""COMPUTED_VALUE"""),"生理痛")</f>
        <v>生理痛</v>
      </c>
      <c r="D160" s="31" t="str">
        <f>IFERROR(__xludf.DUMMYFUNCTION("""COMPUTED_VALUE"""),"月経困難症,病気,生理痛")</f>
        <v>月経困難症,病気,生理痛</v>
      </c>
      <c r="E160" s="32" t="str">
        <f>IFERROR(__xludf.DUMMYFUNCTION("""COMPUTED_VALUE"""),"https://luna-dr.com/subjects/menstrual-pain/")</f>
        <v>https://luna-dr.com/subjects/menstrual-pain/</v>
      </c>
    </row>
    <row r="161">
      <c r="A161" s="31" t="str">
        <f>IFERROR(__xludf.DUMMYFUNCTION("""COMPUTED_VALUE"""),"生理痛は我慢するものですか？")</f>
        <v>生理痛は我慢するものですか？</v>
      </c>
      <c r="B161" s="31" t="str">
        <f>IFERROR(__xludf.DUMMYFUNCTION("""COMPUTED_VALUE"""),"生理痛は我慢する必要はありません。痛みが強い場合は、適切な治療によって症状が軽くなる可能性があります。生理痛は誰にでもあるもの、と思いがちですが、放置すると悪化したり、病気の発見が遅れたりすることもあります。以下の項目に一つでも当てはまる方は、我慢せずにご相談ください。
1. 毎月、市販の痛み止めを飲まないと過ごせない
2. 痛みで仕事や学校を休んでしまうことがある
3. 年々、生理痛がひどくなっている気がする
4. 経血の量が増えてきた（レバーのような塊が出る）
5. 生理期間以外にも下腹部痛や腰痛が"&amp;"ある")</f>
        <v>生理痛は我慢する必要はありません。痛みが強い場合は、適切な治療によって症状が軽くなる可能性があります。生理痛は誰にでもあるもの、と思いがちですが、放置すると悪化したり、病気の発見が遅れたりすることもあります。以下の項目に一つでも当てはまる方は、我慢せずにご相談ください。
1. 毎月、市販の痛み止めを飲まないと過ごせない
2. 痛みで仕事や学校を休んでしまうことがある
3. 年々、生理痛がひどくなっている気がする
4. 経血の量が増えてきた（レバーのような塊が出る）
5. 生理期間以外にも下腹部痛や腰痛がある</v>
      </c>
      <c r="C161" s="31" t="str">
        <f>IFERROR(__xludf.DUMMYFUNCTION("""COMPUTED_VALUE"""),"生理痛")</f>
        <v>生理痛</v>
      </c>
      <c r="D161" s="31" t="str">
        <f>IFERROR(__xludf.DUMMYFUNCTION("""COMPUTED_VALUE"""),"我慢,相談,生理痛")</f>
        <v>我慢,相談,生理痛</v>
      </c>
      <c r="E161" s="32" t="str">
        <f>IFERROR(__xludf.DUMMYFUNCTION("""COMPUTED_VALUE"""),"https://luna-dr.com/subjects/menstrual-pain/")</f>
        <v>https://luna-dr.com/subjects/menstrual-pain/</v>
      </c>
    </row>
    <row r="162">
      <c r="A162" s="31" t="str">
        <f>IFERROR(__xludf.DUMMYFUNCTION("""COMPUTED_VALUE"""),"どんな生理痛が受診の目安ですか？")</f>
        <v>どんな生理痛が受診の目安ですか？</v>
      </c>
      <c r="B162" s="31" t="str">
        <f>IFERROR(__xludf.DUMMYFUNCTION("""COMPUTED_VALUE"""),"以下の項目に一つでも当てはまる方は、我慢せずにご相談ください。
1. 毎月、市販の痛み止めを飲まないと過ごせない
2. 痛みで仕事や学校を休んでしまうことがある
3. 年々、生理痛がひどくなっている気がする
4. 経血の量が増えてきた（レバーのような塊が出る）
5. 生理期間以外にも下腹部痛や腰痛がある")</f>
        <v>以下の項目に一つでも当てはまる方は、我慢せずにご相談ください。
1. 毎月、市販の痛み止めを飲まないと過ごせない
2. 痛みで仕事や学校を休んでしまうことがある
3. 年々、生理痛がひどくなっている気がする
4. 経血の量が増えてきた（レバーのような塊が出る）
5. 生理期間以外にも下腹部痛や腰痛がある</v>
      </c>
      <c r="C162" s="31" t="str">
        <f>IFERROR(__xludf.DUMMYFUNCTION("""COMPUTED_VALUE"""),"生理痛")</f>
        <v>生理痛</v>
      </c>
      <c r="D162" s="31" t="str">
        <f>IFERROR(__xludf.DUMMYFUNCTION("""COMPUTED_VALUE"""),"受診目安,チェック,生理痛")</f>
        <v>受診目安,チェック,生理痛</v>
      </c>
      <c r="E162" s="32" t="str">
        <f>IFERROR(__xludf.DUMMYFUNCTION("""COMPUTED_VALUE"""),"https://luna-dr.com/subjects/menstrual-pain/")</f>
        <v>https://luna-dr.com/subjects/menstrual-pain/</v>
      </c>
    </row>
    <row r="163">
      <c r="A163" s="31" t="str">
        <f>IFERROR(__xludf.DUMMYFUNCTION("""COMPUTED_VALUE"""),"生理痛が年々ひどくなるのは問題ですか？")</f>
        <v>生理痛が年々ひどくなるのは問題ですか？</v>
      </c>
      <c r="B163" s="31" t="str">
        <f>IFERROR(__xludf.DUMMYFUNCTION("""COMPUTED_VALUE"""),"生理痛が徐々に強くなる場合、子宮内膜症や子宮筋腫などの病気が関係している可能性があります。早めの相談が大切です。")</f>
        <v>生理痛が徐々に強くなる場合、子宮内膜症や子宮筋腫などの病気が関係している可能性があります。早めの相談が大切です。</v>
      </c>
      <c r="C163" s="31" t="str">
        <f>IFERROR(__xludf.DUMMYFUNCTION("""COMPUTED_VALUE"""),"生理痛")</f>
        <v>生理痛</v>
      </c>
      <c r="D163" s="31" t="str">
        <f>IFERROR(__xludf.DUMMYFUNCTION("""COMPUTED_VALUE"""),"悪化,原因,生理痛")</f>
        <v>悪化,原因,生理痛</v>
      </c>
      <c r="E163" s="32" t="str">
        <f>IFERROR(__xludf.DUMMYFUNCTION("""COMPUTED_VALUE"""),"https://luna-dr.com/subjects/menstrual-pain/")</f>
        <v>https://luna-dr.com/subjects/menstrual-pain/</v>
      </c>
    </row>
    <row r="164">
      <c r="A164" s="31" t="str">
        <f>IFERROR(__xludf.DUMMYFUNCTION("""COMPUTED_VALUE"""),"経血量が多いと生理痛も重くなりますか？")</f>
        <v>経血量が多いと生理痛も重くなりますか？</v>
      </c>
      <c r="B164" s="31" t="str">
        <f>IFERROR(__xludf.DUMMYFUNCTION("""COMPUTED_VALUE"""),"経血量が多い場合、生理痛が強くなることがあります。子宮の病気が隠れている可能性もあるため、相談をおすすめします。")</f>
        <v>経血量が多い場合、生理痛が強くなることがあります。子宮の病気が隠れている可能性もあるため、相談をおすすめします。</v>
      </c>
      <c r="C164" s="31" t="str">
        <f>IFERROR(__xludf.DUMMYFUNCTION("""COMPUTED_VALUE"""),"生理痛")</f>
        <v>生理痛</v>
      </c>
      <c r="D164" s="31" t="str">
        <f>IFERROR(__xludf.DUMMYFUNCTION("""COMPUTED_VALUE"""),"経血量,過多月経,生理痛")</f>
        <v>経血量,過多月経,生理痛</v>
      </c>
      <c r="E164" s="32" t="str">
        <f>IFERROR(__xludf.DUMMYFUNCTION("""COMPUTED_VALUE"""),"https://luna-dr.com/subjects/menstrual-pain/")</f>
        <v>https://luna-dr.com/subjects/menstrual-pain/</v>
      </c>
    </row>
    <row r="165">
      <c r="A165" s="31" t="str">
        <f>IFERROR(__xludf.DUMMYFUNCTION("""COMPUTED_VALUE"""),"生理痛の原因にはどんなものがありますか？")</f>
        <v>生理痛の原因にはどんなものがありますか？</v>
      </c>
      <c r="B165" s="31" t="str">
        <f>IFERROR(__xludf.DUMMYFUNCTION("""COMPUTED_VALUE"""),"生理痛は、子宮を収縮させる物質の分泌が多いことや、子宮・卵巣の病気が原因となることがあります。")</f>
        <v>生理痛は、子宮を収縮させる物質の分泌が多いことや、子宮・卵巣の病気が原因となることがあります。</v>
      </c>
      <c r="C165" s="31" t="str">
        <f>IFERROR(__xludf.DUMMYFUNCTION("""COMPUTED_VALUE"""),"生理痛")</f>
        <v>生理痛</v>
      </c>
      <c r="D165" s="31" t="str">
        <f>IFERROR(__xludf.DUMMYFUNCTION("""COMPUTED_VALUE"""),"原因,ホルモン,生理痛")</f>
        <v>原因,ホルモン,生理痛</v>
      </c>
      <c r="E165" s="32" t="str">
        <f>IFERROR(__xludf.DUMMYFUNCTION("""COMPUTED_VALUE"""),"https://luna-dr.com/subjects/menstrual-pain/")</f>
        <v>https://luna-dr.com/subjects/menstrual-pain/</v>
      </c>
    </row>
    <row r="166">
      <c r="A166" s="31" t="str">
        <f>IFERROR(__xludf.DUMMYFUNCTION("""COMPUTED_VALUE"""),"月経困難症とは何ですか？")</f>
        <v>月経困難症とは何ですか？</v>
      </c>
      <c r="B166" s="31" t="str">
        <f>IFERROR(__xludf.DUMMYFUNCTION("""COMPUTED_VALUE"""),"月経困難症とは、生理期間中に起こる強い下腹部痛や腰痛、吐き気などにより、日常生活に支障をきたす状態を指します。")</f>
        <v>月経困難症とは、生理期間中に起こる強い下腹部痛や腰痛、吐き気などにより、日常生活に支障をきたす状態を指します。</v>
      </c>
      <c r="C166" s="31" t="str">
        <f>IFERROR(__xludf.DUMMYFUNCTION("""COMPUTED_VALUE"""),"生理痛")</f>
        <v>生理痛</v>
      </c>
      <c r="D166" s="31" t="str">
        <f>IFERROR(__xludf.DUMMYFUNCTION("""COMPUTED_VALUE"""),"月経困難症,定義,生理痛")</f>
        <v>月経困難症,定義,生理痛</v>
      </c>
      <c r="E166" s="32" t="str">
        <f>IFERROR(__xludf.DUMMYFUNCTION("""COMPUTED_VALUE"""),"https://luna-dr.com/subjects/menstrual-pain/")</f>
        <v>https://luna-dr.com/subjects/menstrual-pain/</v>
      </c>
    </row>
    <row r="167">
      <c r="A167" s="31" t="str">
        <f>IFERROR(__xludf.DUMMYFUNCTION("""COMPUTED_VALUE"""),"月経困難症には種類がありますか？")</f>
        <v>月経困難症には種類がありますか？</v>
      </c>
      <c r="B167" s="31" t="str">
        <f>IFERROR(__xludf.DUMMYFUNCTION("""COMPUTED_VALUE"""),"月経困難症には、病気が原因ではない「機能性月経困難症」と、子宮内膜症や子宮筋腫などが原因の「器質性月経困難症」があります。当院では、患者様一人ひとりの症状や原因、ライフプランに合わせて、様々な治療法をご提案しています。")</f>
        <v>月経困難症には、病気が原因ではない「機能性月経困難症」と、子宮内膜症や子宮筋腫などが原因の「器質性月経困難症」があります。当院では、患者様一人ひとりの症状や原因、ライフプランに合わせて、様々な治療法をご提案しています。</v>
      </c>
      <c r="C167" s="31" t="str">
        <f>IFERROR(__xludf.DUMMYFUNCTION("""COMPUTED_VALUE"""),"生理痛")</f>
        <v>生理痛</v>
      </c>
      <c r="D167" s="31" t="str">
        <f>IFERROR(__xludf.DUMMYFUNCTION("""COMPUTED_VALUE"""),"種類,機能性,器質性,生理痛")</f>
        <v>種類,機能性,器質性,生理痛</v>
      </c>
      <c r="E167" s="32" t="str">
        <f>IFERROR(__xludf.DUMMYFUNCTION("""COMPUTED_VALUE"""),"https://luna-dr.com/subjects/menstrual-pain/")</f>
        <v>https://luna-dr.com/subjects/menstrual-pain/</v>
      </c>
    </row>
    <row r="168">
      <c r="A168" s="31" t="str">
        <f>IFERROR(__xludf.DUMMYFUNCTION("""COMPUTED_VALUE"""),"子宮内膜症は生理痛の原因になりますか？")</f>
        <v>子宮内膜症は生理痛の原因になりますか？</v>
      </c>
      <c r="B168" s="31" t="str">
        <f>IFERROR(__xludf.DUMMYFUNCTION("""COMPUTED_VALUE"""),"子宮内膜症は強い生理痛や慢性的な下腹部痛の原因となることがあります。")</f>
        <v>子宮内膜症は強い生理痛や慢性的な下腹部痛の原因となることがあります。</v>
      </c>
      <c r="C168" s="31" t="str">
        <f>IFERROR(__xludf.DUMMYFUNCTION("""COMPUTED_VALUE"""),"生理痛")</f>
        <v>生理痛</v>
      </c>
      <c r="D168" s="31" t="str">
        <f>IFERROR(__xludf.DUMMYFUNCTION("""COMPUTED_VALUE"""),"子宮内膜症,原因,生理痛")</f>
        <v>子宮内膜症,原因,生理痛</v>
      </c>
      <c r="E168" s="32" t="str">
        <f>IFERROR(__xludf.DUMMYFUNCTION("""COMPUTED_VALUE"""),"https://luna-dr.com/subjects/menstrual-pain/")</f>
        <v>https://luna-dr.com/subjects/menstrual-pain/</v>
      </c>
    </row>
    <row r="169">
      <c r="A169" s="31" t="str">
        <f>IFERROR(__xludf.DUMMYFUNCTION("""COMPUTED_VALUE"""),"生理痛の診察ではどんな検査をしますか？")</f>
        <v>生理痛の診察ではどんな検査をしますか？</v>
      </c>
      <c r="B169" s="31" t="str">
        <f>IFERROR(__xludf.DUMMYFUNCTION("""COMPUTED_VALUE"""),"ルナレディースクリニックでは、生理痛の診察で必要に応じて超音波（エコー）検査を行い、子宮や卵巣の状態を確認します。")</f>
        <v>ルナレディースクリニックでは、生理痛の診察で必要に応じて超音波（エコー）検査を行い、子宮や卵巣の状態を確認します。</v>
      </c>
      <c r="C169" s="31" t="str">
        <f>IFERROR(__xludf.DUMMYFUNCTION("""COMPUTED_VALUE"""),"生理痛")</f>
        <v>生理痛</v>
      </c>
      <c r="D169" s="31" t="str">
        <f>IFERROR(__xludf.DUMMYFUNCTION("""COMPUTED_VALUE"""),"検査,エコー,生理痛")</f>
        <v>検査,エコー,生理痛</v>
      </c>
      <c r="E169" s="32" t="str">
        <f>IFERROR(__xludf.DUMMYFUNCTION("""COMPUTED_VALUE"""),"https://luna-dr.com/subjects/menstrual-pain/")</f>
        <v>https://luna-dr.com/subjects/menstrual-pain/</v>
      </c>
    </row>
    <row r="170">
      <c r="A170" s="31" t="str">
        <f>IFERROR(__xludf.DUMMYFUNCTION("""COMPUTED_VALUE"""),"生理痛の治療にはどんな方法がありますか？")</f>
        <v>生理痛の治療にはどんな方法がありますか？</v>
      </c>
      <c r="B170" s="31" t="str">
        <f>IFERROR(__xludf.DUMMYFUNCTION("""COMPUTED_VALUE"""),"生理痛の治療には、鎮痛剤、低用量ピル、漢方薬などがあります。ルナレディースクリニックでは、痛みの原因を的確に診断し、患者さまのライフスタイルに合わせた最適な治療法を一緒に考えていきます。")</f>
        <v>生理痛の治療には、鎮痛剤、低用量ピル、漢方薬などがあります。ルナレディースクリニックでは、痛みの原因を的確に診断し、患者さまのライフスタイルに合わせた最適な治療法を一緒に考えていきます。</v>
      </c>
      <c r="C170" s="31" t="str">
        <f>IFERROR(__xludf.DUMMYFUNCTION("""COMPUTED_VALUE"""),"生理痛")</f>
        <v>生理痛</v>
      </c>
      <c r="D170" s="31" t="str">
        <f>IFERROR(__xludf.DUMMYFUNCTION("""COMPUTED_VALUE"""),"治療方法,ピル,漢方,生理痛")</f>
        <v>治療方法,ピル,漢方,生理痛</v>
      </c>
      <c r="E170" s="32" t="str">
        <f>IFERROR(__xludf.DUMMYFUNCTION("""COMPUTED_VALUE"""),"https://luna-dr.com/subjects/menstrual-pain/")</f>
        <v>https://luna-dr.com/subjects/menstrual-pain/</v>
      </c>
    </row>
    <row r="171">
      <c r="A171" s="31" t="str">
        <f>IFERROR(__xludf.DUMMYFUNCTION("""COMPUTED_VALUE"""),"鎮痛剤とは？/NSAIDsとは？")</f>
        <v>鎮痛剤とは？/NSAIDsとは？</v>
      </c>
      <c r="B171" s="31" t="str">
        <f>IFERROR(__xludf.DUMMYFUNCTION("""COMPUTED_VALUE"""),"痛みの原因物質「プロスタグランジン」が作られるのを抑えるお薬です。ルナレディースクリニックでは、市販薬よりも効果の高いものを処方できます。")</f>
        <v>痛みの原因物質「プロスタグランジン」が作られるのを抑えるお薬です。ルナレディースクリニックでは、市販薬よりも効果の高いものを処方できます。</v>
      </c>
      <c r="C171" s="31" t="str">
        <f>IFERROR(__xludf.DUMMYFUNCTION("""COMPUTED_VALUE"""),"生理痛")</f>
        <v>生理痛</v>
      </c>
      <c r="D171" s="31" t="str">
        <f>IFERROR(__xludf.DUMMYFUNCTION("""COMPUTED_VALUE"""),"生理痛,鎮痛剤,NSAIDs,処方,生理痛")</f>
        <v>生理痛,鎮痛剤,NSAIDs,処方,生理痛</v>
      </c>
      <c r="E171" s="32" t="str">
        <f>IFERROR(__xludf.DUMMYFUNCTION("""COMPUTED_VALUE"""),"https://luna-dr.com/subjects/menstrual-pain/")</f>
        <v>https://luna-dr.com/subjects/menstrual-pain/</v>
      </c>
    </row>
    <row r="172">
      <c r="A172" s="31" t="str">
        <f>IFERROR(__xludf.DUMMYFUNCTION("""COMPUTED_VALUE"""),"鎮痛剤はいつ飲むのが効果的ですか？")</f>
        <v>鎮痛剤はいつ飲むのが効果的ですか？</v>
      </c>
      <c r="B172" s="31" t="str">
        <f>IFERROR(__xludf.DUMMYFUNCTION("""COMPUTED_VALUE"""),"鎮痛剤は、痛みが強くなる前や「痛くなりそう」と感じた初期の段階で服用すると効果的です。")</f>
        <v>鎮痛剤は、痛みが強くなる前や「痛くなりそう」と感じた初期の段階で服用すると効果的です。</v>
      </c>
      <c r="C172" s="31" t="str">
        <f>IFERROR(__xludf.DUMMYFUNCTION("""COMPUTED_VALUE"""),"生理痛")</f>
        <v>生理痛</v>
      </c>
      <c r="D172" s="31" t="str">
        <f>IFERROR(__xludf.DUMMYFUNCTION("""COMPUTED_VALUE"""),"鎮痛剤,飲むタイミング,生理痛")</f>
        <v>鎮痛剤,飲むタイミング,生理痛</v>
      </c>
      <c r="E172" s="32" t="str">
        <f>IFERROR(__xludf.DUMMYFUNCTION("""COMPUTED_VALUE"""),"https://luna-dr.com/subjects/menstrual-pain/")</f>
        <v>https://luna-dr.com/subjects/menstrual-pain/</v>
      </c>
    </row>
    <row r="173">
      <c r="A173" s="31" t="str">
        <f>IFERROR(__xludf.DUMMYFUNCTION("""COMPUTED_VALUE"""),"低用量ピルとは？/超低用量ピルとは？LEPとは？")</f>
        <v>低用量ピルとは？/超低用量ピルとは？LEPとは？</v>
      </c>
      <c r="B173" s="31" t="str">
        <f>IFERROR(__xludf.DUMMYFUNCTION("""COMPUTED_VALUE"""),"低用量ピルとは、毎日1錠ずつ服用して生理周期を安定させるお薬です。
排卵を抑え、子宮内膜が厚くなるのを根本から抑えることで、プロスタグランジンの産生を減らし、生理痛を劇的に改善します。経血量が減る、月経不順やPMS（月経前症候群）も改善するといった多くの良い副効用があります。
大きく2種類に分けることができます。
OC（自費ピル）：主に避妊に効果があり、個人差はありますが、ニキビ、生理痛、PMSにも効果が期待できます。
LEP（保険適用もあり）：月経困難症・子宮内膜症の治療")</f>
        <v>低用量ピルとは、毎日1錠ずつ服用して生理周期を安定させるお薬です。
排卵を抑え、子宮内膜が厚くなるのを根本から抑えることで、プロスタグランジンの産生を減らし、生理痛を劇的に改善します。経血量が減る、月経不順やPMS（月経前症候群）も改善するといった多くの良い副効用があります。
大きく2種類に分けることができます。
OC（自費ピル）：主に避妊に効果があり、個人差はありますが、ニキビ、生理痛、PMSにも効果が期待できます。
LEP（保険適用もあり）：月経困難症・子宮内膜症の治療</v>
      </c>
      <c r="C173" s="31" t="str">
        <f>IFERROR(__xludf.DUMMYFUNCTION("""COMPUTED_VALUE"""),"生理痛")</f>
        <v>生理痛</v>
      </c>
      <c r="D173" s="31" t="str">
        <f>IFERROR(__xludf.DUMMYFUNCTION("""COMPUTED_VALUE"""),"低用量,超低用量ピル,LEP,生理痛")</f>
        <v>低用量,超低用量ピル,LEP,生理痛</v>
      </c>
      <c r="E173" s="32" t="str">
        <f>IFERROR(__xludf.DUMMYFUNCTION("""COMPUTED_VALUE"""),"https://luna-dr.com/subjects/menstrual-pain/")</f>
        <v>https://luna-dr.com/subjects/menstrual-pain/</v>
      </c>
    </row>
    <row r="174">
      <c r="A174" s="31" t="str">
        <f>IFERROR(__xludf.DUMMYFUNCTION("""COMPUTED_VALUE"""),"ピルは生理痛に効果がありますか？")</f>
        <v>ピルは生理痛に効果がありますか？</v>
      </c>
      <c r="B174" s="31" t="str">
        <f>IFERROR(__xludf.DUMMYFUNCTION("""COMPUTED_VALUE"""),"低用量ピルは排卵を抑え、子宮内膜が厚くなるのを根本から抑えることで、プロスタグランジンの産生を減らし、生理痛を劇的に改善します。経血量が減る、月経不順やPMS（月経前症候群）も改善するといった多くの良い副効用があります。
保険適用で治療でき、中には生理の回数を年4回まで減らせるタイプのピルもあります。")</f>
        <v>低用量ピルは排卵を抑え、子宮内膜が厚くなるのを根本から抑えることで、プロスタグランジンの産生を減らし、生理痛を劇的に改善します。経血量が減る、月経不順やPMS（月経前症候群）も改善するといった多くの良い副効用があります。
保険適用で治療でき、中には生理の回数を年4回まで減らせるタイプのピルもあります。</v>
      </c>
      <c r="C174" s="31" t="str">
        <f>IFERROR(__xludf.DUMMYFUNCTION("""COMPUTED_VALUE"""),"生理痛")</f>
        <v>生理痛</v>
      </c>
      <c r="D174" s="31" t="str">
        <f>IFERROR(__xludf.DUMMYFUNCTION("""COMPUTED_VALUE"""),"低用量ピル,効果,生理痛")</f>
        <v>低用量ピル,効果,生理痛</v>
      </c>
      <c r="E174" s="32" t="str">
        <f>IFERROR(__xludf.DUMMYFUNCTION("""COMPUTED_VALUE"""),"https://luna-dr.com/subjects/menstrual-pain/")</f>
        <v>https://luna-dr.com/subjects/menstrual-pain/</v>
      </c>
    </row>
    <row r="175">
      <c r="A175" s="31" t="str">
        <f>IFERROR(__xludf.DUMMYFUNCTION("""COMPUTED_VALUE"""),"漢方薬で生理痛は改善しますか？")</f>
        <v>漢方薬で生理痛は改善しますか？</v>
      </c>
      <c r="B175" s="31" t="str">
        <f>IFERROR(__xludf.DUMMYFUNCTION("""COMPUTED_VALUE"""),"漢方薬は体質改善を目的とした治療で、生理痛の緩和につながる場合があります。ピルに抵抗がある方にも選択肢となります。")</f>
        <v>漢方薬は体質改善を目的とした治療で、生理痛の緩和につながる場合があります。ピルに抵抗がある方にも選択肢となります。</v>
      </c>
      <c r="C175" s="31" t="str">
        <f>IFERROR(__xludf.DUMMYFUNCTION("""COMPUTED_VALUE"""),"生理痛")</f>
        <v>生理痛</v>
      </c>
      <c r="D175" s="31" t="str">
        <f>IFERROR(__xludf.DUMMYFUNCTION("""COMPUTED_VALUE"""),"漢方薬,体質改善,生理痛")</f>
        <v>漢方薬,体質改善,生理痛</v>
      </c>
      <c r="E175" s="32" t="str">
        <f>IFERROR(__xludf.DUMMYFUNCTION("""COMPUTED_VALUE"""),"https://luna-dr.com/subjects/menstrual-pain/")</f>
        <v>https://luna-dr.com/subjects/menstrual-pain/</v>
      </c>
    </row>
    <row r="176">
      <c r="A176" s="31" t="str">
        <f>IFERROR(__xludf.DUMMYFUNCTION("""COMPUTED_VALUE"""),"生理痛の診察・検査の流れを教えてください")</f>
        <v>生理痛の診察・検査の流れを教えてください</v>
      </c>
      <c r="B176" s="31" t="str">
        <f>IFERROR(__xludf.DUMMYFUNCTION("""COMPUTED_VALUE"""),"ルナレディースクリニックでは、生理痛の診察は以下の流れで行っています。まず、公式LINEからご予約いただき、来院前にWEB問診で痛みの程度や始まった時期、月経周期などをご入力いただきます。次に、診察では医師が問診内容をもとに痛みの特徴や妊娠のご希望の有無などを確認し、必要な検査についてご説明します。病気が隠れている可能性がある場合は、超音波（エコー）検査で子宮や卵巣の状態を確認します。その後、診察・検査結果をもとに、症状やライフスタイルに合わせた治療方針をご提案し、ご納得いただいたうえで治療を開始します。")</f>
        <v>ルナレディースクリニックでは、生理痛の診察は以下の流れで行っています。まず、公式LINEからご予約いただき、来院前にWEB問診で痛みの程度や始まった時期、月経周期などをご入力いただきます。次に、診察では医師が問診内容をもとに痛みの特徴や妊娠のご希望の有無などを確認し、必要な検査についてご説明します。病気が隠れている可能性がある場合は、超音波（エコー）検査で子宮や卵巣の状態を確認します。その後、診察・検査結果をもとに、症状やライフスタイルに合わせた治療方針をご提案し、ご納得いただいたうえで治療を開始します。</v>
      </c>
      <c r="C176" s="31" t="str">
        <f>IFERROR(__xludf.DUMMYFUNCTION("""COMPUTED_VALUE"""),"生理痛")</f>
        <v>生理痛</v>
      </c>
      <c r="D176" s="31" t="str">
        <f>IFERROR(__xludf.DUMMYFUNCTION("""COMPUTED_VALUE"""),"診察の流れ,検査,エコー,治療,生理痛")</f>
        <v>診察の流れ,検査,エコー,治療,生理痛</v>
      </c>
      <c r="E176" s="32" t="str">
        <f>IFERROR(__xludf.DUMMYFUNCTION("""COMPUTED_VALUE"""),"https://luna-dr.com/subjects/menstrual-pain/")</f>
        <v>https://luna-dr.com/subjects/menstrual-pain/</v>
      </c>
    </row>
    <row r="177">
      <c r="A177" s="31" t="str">
        <f>IFERROR(__xludf.DUMMYFUNCTION("""COMPUTED_VALUE"""),"低用量ピルは初診からオンライン診療で処方できますか？")</f>
        <v>低用量ピルは初診からオンライン診療で処方できますか？</v>
      </c>
      <c r="B177" s="31" t="str">
        <f>IFERROR(__xludf.DUMMYFUNCTION("""COMPUTED_VALUE"""),"治療目的での初回処方は症状の診察や検査が必要なため、必ず【来院】での診療予約をお願いいたします。
※避妊目的の低用量ピル（OC）の場合は来院診療・オンライン診療のどちらも選択可能です。")</f>
        <v>治療目的での初回処方は症状の診察や検査が必要なため、必ず【来院】での診療予約をお願いいたします。
※避妊目的の低用量ピル（OC）の場合は来院診療・オンライン診療のどちらも選択可能です。</v>
      </c>
      <c r="C177" s="31" t="str">
        <f>IFERROR(__xludf.DUMMYFUNCTION("""COMPUTED_VALUE"""),"低用量ピル")</f>
        <v>低用量ピル</v>
      </c>
      <c r="D177" s="31" t="str">
        <f>IFERROR(__xludf.DUMMYFUNCTION("""COMPUTED_VALUE"""),"初診,来院診療,検査,生理痛")</f>
        <v>初診,来院診療,検査,生理痛</v>
      </c>
      <c r="E177" s="32" t="str">
        <f>IFERROR(__xludf.DUMMYFUNCTION("""COMPUTED_VALUE"""),"https://luna-dr.com/subjects/low-dose-pill/")</f>
        <v>https://luna-dr.com/subjects/low-dose-pill/</v>
      </c>
    </row>
    <row r="178">
      <c r="A178" s="31" t="str">
        <f>IFERROR(__xludf.DUMMYFUNCTION("""COMPUTED_VALUE"""),"アフターピルは初診でもオンライン診療を利用できますか？")</f>
        <v>アフターピルは初診でもオンライン診療を利用できますか？</v>
      </c>
      <c r="B178" s="31" t="str">
        <f>IFERROR(__xludf.DUMMYFUNCTION("""COMPUTED_VALUE"""),"アフターピルは初診の方でもオンライン診療をご利用いただけます。来院せずにご相談・処方が可能です。")</f>
        <v>アフターピルは初診の方でもオンライン診療をご利用いただけます。来院せずにご相談・処方が可能です。</v>
      </c>
      <c r="C178" s="31" t="str">
        <f>IFERROR(__xludf.DUMMYFUNCTION("""COMPUTED_VALUE"""),"アフターピル")</f>
        <v>アフターピル</v>
      </c>
      <c r="D178" s="31" t="str">
        <f>IFERROR(__xludf.DUMMYFUNCTION("""COMPUTED_VALUE"""),"初診,オンライン診療,緊急避妊")</f>
        <v>初診,オンライン診療,緊急避妊</v>
      </c>
      <c r="E178" s="32" t="str">
        <f>IFERROR(__xludf.DUMMYFUNCTION("""COMPUTED_VALUE"""),"https://luna-dr.com/subjects/after-pill/")</f>
        <v>https://luna-dr.com/subjects/after-pill/</v>
      </c>
    </row>
    <row r="179">
      <c r="A179" s="31" t="str">
        <f>IFERROR(__xludf.DUMMYFUNCTION("""COMPUTED_VALUE"""),"低用量ピルとアフターピルで診療方法が違うのはなぜですか？")</f>
        <v>低用量ピルとアフターピルで診療方法が違うのはなぜですか？</v>
      </c>
      <c r="B179" s="31" t="str">
        <f>IFERROR(__xludf.DUMMYFUNCTION("""COMPUTED_VALUE"""),"ルナレディースクリニックでは、安全に治療を行うため、薬の目的や性質に応じて診療方法を分けています。アフターピルは緊急性を考慮し初診からオンライン診療に対応していますが、低用量ピルの治療目的での初回処方は検査が必要なため来院診療をご案内しています。")</f>
        <v>ルナレディースクリニックでは、安全に治療を行うため、薬の目的や性質に応じて診療方法を分けています。アフターピルは緊急性を考慮し初診からオンライン診療に対応していますが、低用量ピルの治療目的での初回処方は検査が必要なため来院診療をご案内しています。</v>
      </c>
      <c r="C179" s="31" t="str">
        <f>IFERROR(__xludf.DUMMYFUNCTION("""COMPUTED_VALUE"""),"ピル共通")</f>
        <v>ピル共通</v>
      </c>
      <c r="D179" s="31" t="str">
        <f>IFERROR(__xludf.DUMMYFUNCTION("""COMPUTED_VALUE"""),"診療方法,オンライン,来院")</f>
        <v>診療方法,オンライン,来院</v>
      </c>
      <c r="E179" s="32" t="str">
        <f>IFERROR(__xludf.DUMMYFUNCTION("""COMPUTED_VALUE"""),"https://luna-dr.com/")</f>
        <v>https://luna-dr.com/</v>
      </c>
    </row>
    <row r="180">
      <c r="A180" s="31" t="str">
        <f>IFERROR(__xludf.DUMMYFUNCTION("""COMPUTED_VALUE"""),"生理痛の診察や検査はオンラインでも受けられますか？")</f>
        <v>生理痛の診察や検査はオンラインでも受けられますか？</v>
      </c>
      <c r="B180" s="31" t="str">
        <f>IFERROR(__xludf.DUMMYFUNCTION("""COMPUTED_VALUE"""),"治療目的での初回処方は検査が必要なため【来院診療】となります。2回目以降はオンライン診療でピルの処方が可能です。")</f>
        <v>治療目的での初回処方は検査が必要なため【来院診療】となります。2回目以降はオンライン診療でピルの処方が可能です。</v>
      </c>
      <c r="C180" s="31" t="str">
        <f>IFERROR(__xludf.DUMMYFUNCTION("""COMPUTED_VALUE"""),"生理痛")</f>
        <v>生理痛</v>
      </c>
      <c r="D180" s="31" t="str">
        <f>IFERROR(__xludf.DUMMYFUNCTION("""COMPUTED_VALUE"""),"オンライン診療,検査,来院診療")</f>
        <v>オンライン診療,検査,来院診療</v>
      </c>
      <c r="E180" s="32" t="str">
        <f>IFERROR(__xludf.DUMMYFUNCTION("""COMPUTED_VALUE"""),"https://luna-dr.com/subjects/menstrual-pain/")</f>
        <v>https://luna-dr.com/subjects/menstrual-pain/</v>
      </c>
    </row>
    <row r="181">
      <c r="A181" s="31" t="str">
        <f>IFERROR(__xludf.DUMMYFUNCTION("""COMPUTED_VALUE"""),"生理痛の診察は保険適用ですか？")</f>
        <v>生理痛の診察は保険適用ですか？</v>
      </c>
      <c r="B181" s="31" t="str">
        <f>IFERROR(__xludf.DUMMYFUNCTION("""COMPUTED_VALUE"""),"ルナレディースクリニックでは、生理痛の診察や治療は保険診療を基本としています。")</f>
        <v>ルナレディースクリニックでは、生理痛の診察や治療は保険診療を基本としています。</v>
      </c>
      <c r="C181" s="31" t="str">
        <f>IFERROR(__xludf.DUMMYFUNCTION("""COMPUTED_VALUE"""),"生理痛")</f>
        <v>生理痛</v>
      </c>
      <c r="D181" s="31" t="str">
        <f>IFERROR(__xludf.DUMMYFUNCTION("""COMPUTED_VALUE"""),"保険診療,費用,生理痛")</f>
        <v>保険診療,費用,生理痛</v>
      </c>
      <c r="E181" s="32" t="str">
        <f>IFERROR(__xludf.DUMMYFUNCTION("""COMPUTED_VALUE"""),"https://luna-dr.com/subjects/menstrual-pain/")</f>
        <v>https://luna-dr.com/subjects/menstrual-pain/</v>
      </c>
    </row>
    <row r="182">
      <c r="A182" s="31" t="str">
        <f>IFERROR(__xludf.DUMMYFUNCTION("""COMPUTED_VALUE"""),"生理痛の検査や治療の費用はいくらくらいですか？")</f>
        <v>生理痛の検査や治療の費用はいくらくらいですか？</v>
      </c>
      <c r="B182" s="31" t="str">
        <f>IFERROR(__xludf.DUMMYFUNCTION("""COMPUTED_VALUE"""),"子宮の超音波検査は約1,600円、鎮痛剤処方は約400円、保険適用ピル処方は約2,700円が目安です。別途初診料・再診料がかかります。")</f>
        <v>子宮の超音波検査は約1,600円、鎮痛剤処方は約400円、保険適用ピル処方は約2,700円が目安です。別途初診料・再診料がかかります。</v>
      </c>
      <c r="C182" s="31" t="str">
        <f>IFERROR(__xludf.DUMMYFUNCTION("""COMPUTED_VALUE"""),"生理痛")</f>
        <v>生理痛</v>
      </c>
      <c r="D182" s="31" t="str">
        <f>IFERROR(__xludf.DUMMYFUNCTION("""COMPUTED_VALUE"""),"料金,費用目安,生理痛")</f>
        <v>料金,費用目安,生理痛</v>
      </c>
      <c r="E182" s="32" t="str">
        <f>IFERROR(__xludf.DUMMYFUNCTION("""COMPUTED_VALUE"""),"https://luna-dr.com/subjects/menstrual-pain/")</f>
        <v>https://luna-dr.com/subjects/menstrual-pain/</v>
      </c>
    </row>
    <row r="183">
      <c r="A183" s="31" t="str">
        <f>IFERROR(__xludf.DUMMYFUNCTION("""COMPUTED_VALUE"""),"生理痛と生理不順は関係がありますか？")</f>
        <v>生理痛と生理不順は関係がありますか？</v>
      </c>
      <c r="B183" s="31" t="str">
        <f>IFERROR(__xludf.DUMMYFUNCTION("""COMPUTED_VALUE"""),"ホルモンバランスの乱れにより、生理不順と生理痛が同時に起こることがあります。気になる場合は相談をおすすめします。")</f>
        <v>ホルモンバランスの乱れにより、生理不順と生理痛が同時に起こることがあります。気になる場合は相談をおすすめします。</v>
      </c>
      <c r="C183" s="31" t="str">
        <f>IFERROR(__xludf.DUMMYFUNCTION("""COMPUTED_VALUE"""),"生理痛")</f>
        <v>生理痛</v>
      </c>
      <c r="D183" s="31" t="str">
        <f>IFERROR(__xludf.DUMMYFUNCTION("""COMPUTED_VALUE"""),"生理不順,ホルモン,生理痛")</f>
        <v>生理不順,ホルモン,生理痛</v>
      </c>
      <c r="E183" s="32" t="str">
        <f>IFERROR(__xludf.DUMMYFUNCTION("""COMPUTED_VALUE"""),"https://luna-dr.com/subjects/menstrual-pain/")</f>
        <v>https://luna-dr.com/subjects/menstrual-pain/</v>
      </c>
    </row>
    <row r="184">
      <c r="A184" s="31" t="str">
        <f>IFERROR(__xludf.DUMMYFUNCTION("""COMPUTED_VALUE"""),"生理痛がある場合、生理日をずらすことはできますか？")</f>
        <v>生理痛がある場合、生理日をずらすことはできますか？</v>
      </c>
      <c r="B184" s="31" t="str">
        <f>IFERROR(__xludf.DUMMYFUNCTION("""COMPUTED_VALUE"""),"生理痛がつらい場合、ピルを使って生理日を調整する月経移動という方法があります。ご予定がある場合はご相談ください。")</f>
        <v>生理痛がつらい場合、ピルを使って生理日を調整する月経移動という方法があります。ご予定がある場合はご相談ください。</v>
      </c>
      <c r="C184" s="31" t="str">
        <f>IFERROR(__xludf.DUMMYFUNCTION("""COMPUTED_VALUE"""),"生理痛")</f>
        <v>生理痛</v>
      </c>
      <c r="D184" s="31" t="str">
        <f>IFERROR(__xludf.DUMMYFUNCTION("""COMPUTED_VALUE"""),"月経移動,相談,生理痛")</f>
        <v>月経移動,相談,生理痛</v>
      </c>
      <c r="E184" s="32" t="str">
        <f>IFERROR(__xludf.DUMMYFUNCTION("""COMPUTED_VALUE"""),"https://luna-dr.com/subjects/menstrual-pain/")</f>
        <v>https://luna-dr.com/subjects/menstrual-pain/</v>
      </c>
    </row>
    <row r="185">
      <c r="A185" s="31" t="str">
        <f>IFERROR(__xludf.DUMMYFUNCTION("""COMPUTED_VALUE"""),"生理痛の相談はどうやって予約すればいいですか？")</f>
        <v>生理痛の相談はどうやって予約すればいいですか？</v>
      </c>
      <c r="B185" s="31" t="str">
        <f>IFERROR(__xludf.DUMMYFUNCTION("""COMPUTED_VALUE"""),"ルナレディースクリニックでは、公式LINEから生理痛の診察予約が可能です。24時間いつでもご自身のタイミングで予約できます。
来院診療の場合は「一般婦人科診療」のメニューでご予約ください。WEB問診票に症状をご入力いただくとスムーズです。→https://cline-app.com/qr-codes/98ad6f149bfa20f4f2a9a2e91aac4187/preview
オンライン診療のご予約はこちら→https://liff-gateway.lineml.jp/landing?follow=%"&amp;"40590gpxrd&amp;lp=fX73yx&amp;liff_id=1657094566-LmjNPPbV")</f>
        <v>ルナレディースクリニックでは、公式LINEから生理痛の診察予約が可能です。24時間いつでもご自身のタイミングで予約できます。
来院診療の場合は「一般婦人科診療」のメニューでご予約ください。WEB問診票に症状をご入力いただくとスムーズです。→https://cline-app.com/qr-codes/98ad6f149bfa20f4f2a9a2e91aac4187/preview
オンライン診療のご予約はこちら→https://liff-gateway.lineml.jp/landing?follow=%40590gpxrd&amp;lp=fX73yx&amp;liff_id=1657094566-LmjNPPbV</v>
      </c>
      <c r="C185" s="31" t="str">
        <f>IFERROR(__xludf.DUMMYFUNCTION("""COMPUTED_VALUE"""),"生理痛")</f>
        <v>生理痛</v>
      </c>
      <c r="D185" s="31" t="str">
        <f>IFERROR(__xludf.DUMMYFUNCTION("""COMPUTED_VALUE"""),"予約方法,LINE予約,電話予約,生理痛")</f>
        <v>予約方法,LINE予約,電話予約,生理痛</v>
      </c>
      <c r="E185" s="32" t="str">
        <f>IFERROR(__xludf.DUMMYFUNCTION("""COMPUTED_VALUE"""),"https://luna-dr.com/subjects/menstrual-pain/")</f>
        <v>https://luna-dr.com/subjects/menstrual-pain/</v>
      </c>
    </row>
    <row r="186">
      <c r="A186" s="31" t="str">
        <f>IFERROR(__xludf.DUMMYFUNCTION("""COMPUTED_VALUE"""),"生理痛はLINEから予約できますか？")</f>
        <v>生理痛はLINEから予約できますか？</v>
      </c>
      <c r="B186" s="31" t="str">
        <f>IFERROR(__xludf.DUMMYFUNCTION("""COMPUTED_VALUE"""),"ルナレディースクリニックでは、公式LINEから生理痛の診察予約が可能です。24時間いつでもご自身のタイミングで予約できます。
来院診療の場合は「一般婦人科診療」のメニューでご予約ください。WEB問診票に症状をご入力いただくとスムーズです。→https://cline-app.com/qr-codes/98ad6f149bfa20f4f2a9a2e91aac4187/preview
オンライン診療のご予約はこちら→https://liff-gateway.lineml.jp/landing?follow=%"&amp;"40590gpxrd&amp;lp=fX73yx&amp;liff_id=1657094566-LmjNPPbV")</f>
        <v>ルナレディースクリニックでは、公式LINEから生理痛の診察予約が可能です。24時間いつでもご自身のタイミングで予約できます。
来院診療の場合は「一般婦人科診療」のメニューでご予約ください。WEB問診票に症状をご入力いただくとスムーズです。→https://cline-app.com/qr-codes/98ad6f149bfa20f4f2a9a2e91aac4187/preview
オンライン診療のご予約はこちら→https://liff-gateway.lineml.jp/landing?follow=%40590gpxrd&amp;lp=fX73yx&amp;liff_id=1657094566-LmjNPPbV</v>
      </c>
      <c r="C186" s="31" t="str">
        <f>IFERROR(__xludf.DUMMYFUNCTION("""COMPUTED_VALUE"""),"生理痛")</f>
        <v>生理痛</v>
      </c>
      <c r="D186" s="31" t="str">
        <f>IFERROR(__xludf.DUMMYFUNCTION("""COMPUTED_VALUE"""),"LINE予約,婦人科予約,生理痛")</f>
        <v>LINE予約,婦人科予約,生理痛</v>
      </c>
      <c r="E186" s="32" t="str">
        <f>IFERROR(__xludf.DUMMYFUNCTION("""COMPUTED_VALUE"""),"https://luna-dr.com/subjects/menstrual-pain/")</f>
        <v>https://luna-dr.com/subjects/menstrual-pain/</v>
      </c>
    </row>
    <row r="187">
      <c r="A187" s="31" t="str">
        <f>IFERROR(__xludf.DUMMYFUNCTION("""COMPUTED_VALUE"""),"生理痛は電話でも予約できますか？")</f>
        <v>生理痛は電話でも予約できますか？</v>
      </c>
      <c r="B187" s="31" t="str">
        <f>IFERROR(__xludf.DUMMYFUNCTION("""COMPUTED_VALUE"""),"LINEでの予約後、事前問診等もLINEから行うことができ、スムーズに受診ができるため、当院ではLINEでのご予約を推奨しております。
来院診療の場合は「一般婦人科診療」のメニューでご予約ください→https://cline-app.com/qr-codes/98ad6f149bfa20f4f2a9a2e91aac4187/preview
オンライン診療のご予約はこちら→https://liff-gateway.lineml.jp/landing?follow=%40590gpxrd&amp;lp=fX73yx"&amp;"&amp;liff_id=1657094566-LmjNPPbV")</f>
        <v>LINEでの予約後、事前問診等もLINEから行うことができ、スムーズに受診ができるため、当院ではLINEでのご予約を推奨しております。
来院診療の場合は「一般婦人科診療」のメニューでご予約ください→https://cline-app.com/qr-codes/98ad6f149bfa20f4f2a9a2e91aac4187/preview
オンライン診療のご予約はこちら→https://liff-gateway.lineml.jp/landing?follow=%40590gpxrd&amp;lp=fX73yx&amp;liff_id=1657094566-LmjNPPbV</v>
      </c>
      <c r="C187" s="31" t="str">
        <f>IFERROR(__xludf.DUMMYFUNCTION("""COMPUTED_VALUE"""),"生理痛")</f>
        <v>生理痛</v>
      </c>
      <c r="D187" s="31" t="str">
        <f>IFERROR(__xludf.DUMMYFUNCTION("""COMPUTED_VALUE"""),"電話予約,問い合わせ,生理痛")</f>
        <v>電話予約,問い合わせ,生理痛</v>
      </c>
      <c r="E187" s="32" t="str">
        <f>IFERROR(__xludf.DUMMYFUNCTION("""COMPUTED_VALUE"""),"https://luna-dr.com/subjects/menstrual-pain/")</f>
        <v>https://luna-dr.com/subjects/menstrual-pain/</v>
      </c>
    </row>
    <row r="188">
      <c r="A188" s="31" t="str">
        <f>IFERROR(__xludf.DUMMYFUNCTION("""COMPUTED_VALUE"""),"生理痛は予約なしでも相談できますか？")</f>
        <v>生理痛は予約なしでも相談できますか？</v>
      </c>
      <c r="B188" s="31" t="str">
        <f>IFERROR(__xludf.DUMMYFUNCTION("""COMPUTED_VALUE"""),"来院治療の場合、予約外来院も可能です。スムーズなご案内のため、事前予約をおすすめしています。")</f>
        <v>来院治療の場合、予約外来院も可能です。スムーズなご案内のため、事前予約をおすすめしています。</v>
      </c>
      <c r="C188" s="31" t="str">
        <f>IFERROR(__xludf.DUMMYFUNCTION("""COMPUTED_VALUE"""),"生理痛")</f>
        <v>生理痛</v>
      </c>
      <c r="D188" s="31" t="str">
        <f>IFERROR(__xludf.DUMMYFUNCTION("""COMPUTED_VALUE"""),"予約なし,受診,生理痛")</f>
        <v>予約なし,受診,生理痛</v>
      </c>
      <c r="E188" s="32" t="str">
        <f>IFERROR(__xludf.DUMMYFUNCTION("""COMPUTED_VALUE"""),"https://luna-dr.com/subjects/menstrual-pain/")</f>
        <v>https://luna-dr.com/subjects/menstrual-pain/</v>
      </c>
    </row>
    <row r="189">
      <c r="A189" s="31" t="str">
        <f>IFERROR(__xludf.DUMMYFUNCTION("""COMPUTED_VALUE"""),"生理痛の予約前に準備しておくことはありますか？")</f>
        <v>生理痛の予約前に準備しておくことはありますか？</v>
      </c>
      <c r="B189" s="31" t="str">
        <f>IFERROR(__xludf.DUMMYFUNCTION("""COMPUTED_VALUE"""),"ルナレディースクリニックでは、診察前に、痛みの程度や月経周期などをWEB問診にご入力いただくと、診察がスムーズに進みます。")</f>
        <v>ルナレディースクリニックでは、診察前に、痛みの程度や月経周期などをWEB問診にご入力いただくと、診察がスムーズに進みます。</v>
      </c>
      <c r="C189" s="31" t="str">
        <f>IFERROR(__xludf.DUMMYFUNCTION("""COMPUTED_VALUE"""),"生理痛")</f>
        <v>生理痛</v>
      </c>
      <c r="D189" s="31" t="str">
        <f>IFERROR(__xludf.DUMMYFUNCTION("""COMPUTED_VALUE"""),"WEB問診,事前準備,生理痛")</f>
        <v>WEB問診,事前準備,生理痛</v>
      </c>
      <c r="E189" s="32" t="str">
        <f>IFERROR(__xludf.DUMMYFUNCTION("""COMPUTED_VALUE"""),"https://luna-dr.com/subjects/menstrual-pain/")</f>
        <v>https://luna-dr.com/subjects/menstrual-pain/</v>
      </c>
    </row>
    <row r="190">
      <c r="A190" s="31" t="str">
        <f>IFERROR(__xludf.DUMMYFUNCTION("""COMPUTED_VALUE"""),"生理痛は初診でも予約できますか？")</f>
        <v>生理痛は初診でも予約できますか？</v>
      </c>
      <c r="B190" s="31" t="str">
        <f>IFERROR(__xludf.DUMMYFUNCTION("""COMPUTED_VALUE"""),"生理痛は初診の方もご予約いただけます。ご予約は公式LINEから受け付けておりますので、友だち追加の上ご利用ください。
来院診療の場合は「一般婦人科診療」のメニューでご予約ください。WEB問診票に症状をご入力いただくとスムーズです。→https://cline-app.com/qr-codes/98ad6f149bfa20f4f2a9a2e91aac4187/preview
オンライン診療のご予約はこちら→https://liff-gateway.lineml.jp/landing?follow=%405"&amp;"90gpxrd&amp;lp=fX73yx&amp;liff_id=1657094566-LmjNPPbV")</f>
        <v>生理痛は初診の方もご予約いただけます。ご予約は公式LINEから受け付けておりますので、友だち追加の上ご利用ください。
来院診療の場合は「一般婦人科診療」のメニューでご予約ください。WEB問診票に症状をご入力いただくとスムーズです。→https://cline-app.com/qr-codes/98ad6f149bfa20f4f2a9a2e91aac4187/preview
オンライン診療のご予約はこちら→https://liff-gateway.lineml.jp/landing?follow=%40590gpxrd&amp;lp=fX73yx&amp;liff_id=1657094566-LmjNPPbV</v>
      </c>
      <c r="C190" s="31" t="str">
        <f>IFERROR(__xludf.DUMMYFUNCTION("""COMPUTED_VALUE"""),"生理痛")</f>
        <v>生理痛</v>
      </c>
      <c r="D190" s="31" t="str">
        <f>IFERROR(__xludf.DUMMYFUNCTION("""COMPUTED_VALUE"""),"初診,予約,生理痛")</f>
        <v>初診,予約,生理痛</v>
      </c>
      <c r="E190" s="32" t="str">
        <f>IFERROR(__xludf.DUMMYFUNCTION("""COMPUTED_VALUE"""),"https://luna-dr.com/subjects/menstrual-pain/")</f>
        <v>https://luna-dr.com/subjects/menstrual-pain/</v>
      </c>
    </row>
    <row r="191">
      <c r="A191" s="31" t="str">
        <f>IFERROR(__xludf.DUMMYFUNCTION("""COMPUTED_VALUE"""),"生理痛は来院とオンライン、どちらで予約できますか？")</f>
        <v>生理痛は来院とオンライン、どちらで予約できますか？</v>
      </c>
      <c r="B191" s="31" t="str">
        <f>IFERROR(__xludf.DUMMYFUNCTION("""COMPUTED_VALUE"""),"ルナレディースクリニックでは、生理痛のご相談は来院診療とオンライン診療のどちらでも予約が可能です。ご自身のライフスタイルに合わせて選べます。
来院診療の場合は「一般婦人科診療」のメニューでご予約ください。WEB問診票に症状をご入力いただくとスムーズです。→https://cline-app.com/qr-codes/98ad6f149bfa20f4f2a9a2e91aac4187/preview
オンライン診療のご予約はこちら→https://liff-gateway.lineml.jp/landing"&amp;"?follow=%40590gpxrd&amp;lp=fX73yx&amp;liff_id=1657094566-LmjNPPbV")</f>
        <v>ルナレディースクリニックでは、生理痛のご相談は来院診療とオンライン診療のどちらでも予約が可能です。ご自身のライフスタイルに合わせて選べます。
来院診療の場合は「一般婦人科診療」のメニューでご予約ください。WEB問診票に症状をご入力いただくとスムーズです。→https://cline-app.com/qr-codes/98ad6f149bfa20f4f2a9a2e91aac4187/preview
オンライン診療のご予約はこちら→https://liff-gateway.lineml.jp/landing?follow=%40590gpxrd&amp;lp=fX73yx&amp;liff_id=1657094566-LmjNPPbV</v>
      </c>
      <c r="C191" s="31" t="str">
        <f>IFERROR(__xludf.DUMMYFUNCTION("""COMPUTED_VALUE"""),"生理痛")</f>
        <v>生理痛</v>
      </c>
      <c r="D191" s="31" t="str">
        <f>IFERROR(__xludf.DUMMYFUNCTION("""COMPUTED_VALUE"""),"来院診療,オンライン診療,生理痛")</f>
        <v>来院診療,オンライン診療,生理痛</v>
      </c>
      <c r="E191" s="32" t="str">
        <f>IFERROR(__xludf.DUMMYFUNCTION("""COMPUTED_VALUE"""),"https://luna-dr.com/subjects/menstrual-pain/")</f>
        <v>https://luna-dr.com/subjects/menstrual-pain/</v>
      </c>
    </row>
    <row r="192">
      <c r="A192" s="31" t="str">
        <f>IFERROR(__xludf.DUMMYFUNCTION("""COMPUTED_VALUE"""),"ピルとは何ですか？")</f>
        <v>ピルとは何ですか？</v>
      </c>
      <c r="B192" s="31" t="str">
        <f>IFERROR(__xludf.DUMMYFUNCTION("""COMPUTED_VALUE"""),"ピルとは、女性ホルモンを含むお薬で、排卵を抑えるなどの作用により、避妊や生理に関するトラブルの改善を目的として使用されます。ルナレディースクリニックでは、目的に応じて低用量ピルやアフターピルの処方を行っています。また患者さまのライフスタイルに合わせて、ご自宅から受診できる「オンライン診療」と、直接相談できる「来院診療」をお選びいただけます。")</f>
        <v>ピルとは、女性ホルモンを含むお薬で、排卵を抑えるなどの作用により、避妊や生理に関するトラブルの改善を目的として使用されます。ルナレディースクリニックでは、目的に応じて低用量ピルやアフターピルの処方を行っています。また患者さまのライフスタイルに合わせて、ご自宅から受診できる「オンライン診療」と、直接相談できる「来院診療」をお選びいただけます。</v>
      </c>
      <c r="C192" s="31" t="str">
        <f>IFERROR(__xludf.DUMMYFUNCTION("""COMPUTED_VALUE"""),"ピル処方")</f>
        <v>ピル処方</v>
      </c>
      <c r="D192" s="31" t="str">
        <f>IFERROR(__xludf.DUMMYFUNCTION("""COMPUTED_VALUE"""),"ピル,定義")</f>
        <v>ピル,定義</v>
      </c>
      <c r="E192" s="32" t="str">
        <f>IFERROR(__xludf.DUMMYFUNCTION("""COMPUTED_VALUE"""),"https://luna-dr.com/subjects/pill-prescription/")</f>
        <v>https://luna-dr.com/subjects/pill-prescription/</v>
      </c>
    </row>
    <row r="193">
      <c r="A193" s="31" t="str">
        <f>IFERROR(__xludf.DUMMYFUNCTION("""COMPUTED_VALUE"""),"低用量ピルとは何ですか？")</f>
        <v>低用量ピルとは何ですか？</v>
      </c>
      <c r="B193" s="31" t="str">
        <f>IFERROR(__xludf.DUMMYFUNCTION("""COMPUTED_VALUE"""),"低用量ピルとは、毎日1錠を継続して服用することで、排卵を抑え、避妊や生理痛・生理不順・PMSの改善を目的としたお薬です。")</f>
        <v>低用量ピルとは、毎日1錠を継続して服用することで、排卵を抑え、避妊や生理痛・生理不順・PMSの改善を目的としたお薬です。</v>
      </c>
      <c r="C193" s="31" t="str">
        <f>IFERROR(__xludf.DUMMYFUNCTION("""COMPUTED_VALUE"""),"低用量ピル")</f>
        <v>低用量ピル</v>
      </c>
      <c r="D193" s="31" t="str">
        <f>IFERROR(__xludf.DUMMYFUNCTION("""COMPUTED_VALUE"""),"低用量ピル,定義")</f>
        <v>低用量ピル,定義</v>
      </c>
      <c r="E193" s="32" t="str">
        <f>IFERROR(__xludf.DUMMYFUNCTION("""COMPUTED_VALUE"""),"https://luna-dr.com/subjects/pill-prescription/")</f>
        <v>https://luna-dr.com/subjects/pill-prescription/</v>
      </c>
    </row>
    <row r="194">
      <c r="A194" s="31" t="str">
        <f>IFERROR(__xludf.DUMMYFUNCTION("""COMPUTED_VALUE"""),"アフターピルとは何ですか？")</f>
        <v>アフターピルとは何ですか？</v>
      </c>
      <c r="B194" s="31" t="str">
        <f>IFERROR(__xludf.DUMMYFUNCTION("""COMPUTED_VALUE"""),"アフターピルとは、避妊に失敗した場合などに、性行為後できるだけ早く服用することで、緊急的に妊娠を防ぐためのお薬です。")</f>
        <v>アフターピルとは、避妊に失敗した場合などに、性行為後できるだけ早く服用することで、緊急的に妊娠を防ぐためのお薬です。</v>
      </c>
      <c r="C194" s="31" t="str">
        <f>IFERROR(__xludf.DUMMYFUNCTION("""COMPUTED_VALUE"""),"アフターピル")</f>
        <v>アフターピル</v>
      </c>
      <c r="D194" s="31" t="str">
        <f>IFERROR(__xludf.DUMMYFUNCTION("""COMPUTED_VALUE"""),"アフターピル,定義,緊急避妊")</f>
        <v>アフターピル,定義,緊急避妊</v>
      </c>
      <c r="E194" s="32" t="str">
        <f>IFERROR(__xludf.DUMMYFUNCTION("""COMPUTED_VALUE"""),"https://luna-dr.com/subjects/pill-prescription/")</f>
        <v>https://luna-dr.com/subjects/pill-prescription/</v>
      </c>
    </row>
    <row r="195">
      <c r="A195" s="31" t="str">
        <f>IFERROR(__xludf.DUMMYFUNCTION("""COMPUTED_VALUE"""),"ピルにはどんな種類がありますか？")</f>
        <v>ピルにはどんな種類がありますか？</v>
      </c>
      <c r="B195" s="31" t="str">
        <f>IFERROR(__xludf.DUMMYFUNCTION("""COMPUTED_VALUE"""),"ピルには、毎日服用して避妊や生理トラブルの改善を行う低用量ピルと、緊急時に1回だけ服用するアフターピルがあります。目的によって使い分けます。")</f>
        <v>ピルには、毎日服用して避妊や生理トラブルの改善を行う低用量ピルと、緊急時に1回だけ服用するアフターピルがあります。目的によって使い分けます。</v>
      </c>
      <c r="C195" s="31" t="str">
        <f>IFERROR(__xludf.DUMMYFUNCTION("""COMPUTED_VALUE"""),"ピル処方")</f>
        <v>ピル処方</v>
      </c>
      <c r="D195" s="31" t="str">
        <f>IFERROR(__xludf.DUMMYFUNCTION("""COMPUTED_VALUE"""),"種類,低用量ピル,アフターピル")</f>
        <v>種類,低用量ピル,アフターピル</v>
      </c>
      <c r="E195" s="32" t="str">
        <f>IFERROR(__xludf.DUMMYFUNCTION("""COMPUTED_VALUE"""),"https://luna-dr.com/subjects/pill-prescription/")</f>
        <v>https://luna-dr.com/subjects/pill-prescription/</v>
      </c>
    </row>
    <row r="196">
      <c r="A196" s="31" t="str">
        <f>IFERROR(__xludf.DUMMYFUNCTION("""COMPUTED_VALUE"""),"自分には低用量ピルとアフターピル、どちらが合っていますか？")</f>
        <v>自分には低用量ピルとアフターピル、どちらが合っていますか？</v>
      </c>
      <c r="B196" s="31" t="str">
        <f>IFERROR(__xludf.DUMMYFUNCTION("""COMPUTED_VALUE"""),"継続的な避妊や生理痛・PMSの改善を目的とする場合は低用量ピル、避妊に失敗した場合の緊急対応にはアフターピルが適しています。診察時に医師が目的に合わせてご案内します。")</f>
        <v>継続的な避妊や生理痛・PMSの改善を目的とする場合は低用量ピル、避妊に失敗した場合の緊急対応にはアフターピルが適しています。診察時に医師が目的に合わせてご案内します。</v>
      </c>
      <c r="C196" s="31" t="str">
        <f>IFERROR(__xludf.DUMMYFUNCTION("""COMPUTED_VALUE"""),"ピル処方")</f>
        <v>ピル処方</v>
      </c>
      <c r="D196" s="31" t="str">
        <f>IFERROR(__xludf.DUMMYFUNCTION("""COMPUTED_VALUE"""),"選び方,相談,ピル")</f>
        <v>選び方,相談,ピル</v>
      </c>
      <c r="E196" s="32" t="str">
        <f>IFERROR(__xludf.DUMMYFUNCTION("""COMPUTED_VALUE"""),"https://luna-dr.com/subjects/pill-prescription/")</f>
        <v>https://luna-dr.com/subjects/pill-prescription/</v>
      </c>
    </row>
    <row r="197">
      <c r="A197" s="31" t="str">
        <f>IFERROR(__xludf.DUMMYFUNCTION("""COMPUTED_VALUE"""),"ピルは避妊以外にも使えますか？")</f>
        <v>ピルは避妊以外にも使えますか？</v>
      </c>
      <c r="B197" s="31" t="str">
        <f>IFERROR(__xludf.DUMMYFUNCTION("""COMPUTED_VALUE"""),"低用量ピルは、避妊だけでなく、生理痛や生理不順、PMSの改善、経血量の軽減などを目的として使用されることがあります。")</f>
        <v>低用量ピルは、避妊だけでなく、生理痛や生理不順、PMSの改善、経血量の軽減などを目的として使用されることがあります。</v>
      </c>
      <c r="C197" s="31" t="str">
        <f>IFERROR(__xludf.DUMMYFUNCTION("""COMPUTED_VALUE"""),"低用量ピル")</f>
        <v>低用量ピル</v>
      </c>
      <c r="D197" s="31" t="str">
        <f>IFERROR(__xludf.DUMMYFUNCTION("""COMPUTED_VALUE"""),"避妊以外,効果,ピル")</f>
        <v>避妊以外,効果,ピル</v>
      </c>
      <c r="E197" s="32" t="str">
        <f>IFERROR(__xludf.DUMMYFUNCTION("""COMPUTED_VALUE"""),"https://luna-dr.com/subjects/pill-prescription/")</f>
        <v>https://luna-dr.com/subjects/pill-prescription/</v>
      </c>
    </row>
    <row r="198">
      <c r="A198" s="31" t="str">
        <f>IFERROR(__xludf.DUMMYFUNCTION("""COMPUTED_VALUE"""),"生理痛や生理不順の改善にピルは使えますか？")</f>
        <v>生理痛や生理不順の改善にピルは使えますか？</v>
      </c>
      <c r="B198" s="31" t="str">
        <f>IFERROR(__xludf.DUMMYFUNCTION("""COMPUTED_VALUE"""),"低用量ピルは排卵を抑え、子宮内膜の増殖を抑えることで、生理痛や生理不順の改善が期待できます。")</f>
        <v>低用量ピルは排卵を抑え、子宮内膜の増殖を抑えることで、生理痛や生理不順の改善が期待できます。</v>
      </c>
      <c r="C198" s="31" t="str">
        <f>IFERROR(__xludf.DUMMYFUNCTION("""COMPUTED_VALUE"""),"低用量ピル")</f>
        <v>低用量ピル</v>
      </c>
      <c r="D198" s="31" t="str">
        <f>IFERROR(__xludf.DUMMYFUNCTION("""COMPUTED_VALUE"""),"生理痛,生理不順,ピル")</f>
        <v>生理痛,生理不順,ピル</v>
      </c>
      <c r="E198" s="32" t="str">
        <f>IFERROR(__xludf.DUMMYFUNCTION("""COMPUTED_VALUE"""),"https://luna-dr.com/subjects/pill-prescription/")</f>
        <v>https://luna-dr.com/subjects/pill-prescription/</v>
      </c>
    </row>
    <row r="199">
      <c r="A199" s="31" t="str">
        <f>IFERROR(__xludf.DUMMYFUNCTION("""COMPUTED_VALUE"""),"ピルはPMS（月経前症候群）にも効果がありますか？")</f>
        <v>ピルはPMS（月経前症候群）にも効果がありますか？</v>
      </c>
      <c r="B199" s="31" t="str">
        <f>IFERROR(__xludf.DUMMYFUNCTION("""COMPUTED_VALUE"""),"低用量ピルはホルモンの変動を抑えることで、PMSの症状が軽減する場合があります。")</f>
        <v>低用量ピルはホルモンの変動を抑えることで、PMSの症状が軽減する場合があります。</v>
      </c>
      <c r="C199" s="31" t="str">
        <f>IFERROR(__xludf.DUMMYFUNCTION("""COMPUTED_VALUE"""),"低用量ピル")</f>
        <v>低用量ピル</v>
      </c>
      <c r="D199" s="31" t="str">
        <f>IFERROR(__xludf.DUMMYFUNCTION("""COMPUTED_VALUE"""),"PMS,効果,ピル")</f>
        <v>PMS,効果,ピル</v>
      </c>
      <c r="E199" s="32" t="str">
        <f>IFERROR(__xludf.DUMMYFUNCTION("""COMPUTED_VALUE"""),"https://luna-dr.com/subjects/pill-prescription/")</f>
        <v>https://luna-dr.com/subjects/pill-prescription/</v>
      </c>
    </row>
    <row r="200">
      <c r="A200" s="31" t="str">
        <f>IFERROR(__xludf.DUMMYFUNCTION("""COMPUTED_VALUE"""),"ニキビや肌荒れにピルは効果がありますか？")</f>
        <v>ニキビや肌荒れにピルは効果がありますか？</v>
      </c>
      <c r="B200" s="31" t="str">
        <f>IFERROR(__xludf.DUMMYFUNCTION("""COMPUTED_VALUE"""),"低用量ピルは、ホルモンバランスを整えることで、ニキビや肌荒れの改善につながる場合があります。")</f>
        <v>低用量ピルは、ホルモンバランスを整えることで、ニキビや肌荒れの改善につながる場合があります。</v>
      </c>
      <c r="C200" s="31" t="str">
        <f>IFERROR(__xludf.DUMMYFUNCTION("""COMPUTED_VALUE"""),"低用量ピル")</f>
        <v>低用量ピル</v>
      </c>
      <c r="D200" s="31" t="str">
        <f>IFERROR(__xludf.DUMMYFUNCTION("""COMPUTED_VALUE"""),"ニキビ,肌荒れ,ピル")</f>
        <v>ニキビ,肌荒れ,ピル</v>
      </c>
      <c r="E200" s="32" t="str">
        <f>IFERROR(__xludf.DUMMYFUNCTION("""COMPUTED_VALUE"""),"https://luna-dr.com/subjects/pill-prescription/")</f>
        <v>https://luna-dr.com/subjects/pill-prescription/</v>
      </c>
    </row>
    <row r="201">
      <c r="A201" s="31" t="str">
        <f>IFERROR(__xludf.DUMMYFUNCTION("""COMPUTED_VALUE"""),"将来妊娠したい場合でもピルは飲めますか？")</f>
        <v>将来妊娠したい場合でもピルは飲めますか？</v>
      </c>
      <c r="B201" s="31" t="str">
        <f>IFERROR(__xludf.DUMMYFUNCTION("""COMPUTED_VALUE"""),"低用量ピルやアフターピルを服用しても、服用を中止すれば排卵は再開し、将来の妊娠に影響を与えることはありません。ご自身の身体の状態を知りたい方には、ブライダルチェックもおすすめです。")</f>
        <v>低用量ピルやアフターピルを服用しても、服用を中止すれば排卵は再開し、将来の妊娠に影響を与えることはありません。ご自身の身体の状態を知りたい方には、ブライダルチェックもおすすめです。</v>
      </c>
      <c r="C201" s="31" t="str">
        <f>IFERROR(__xludf.DUMMYFUNCTION("""COMPUTED_VALUE"""),"ピル共通")</f>
        <v>ピル共通</v>
      </c>
      <c r="D201" s="31" t="str">
        <f>IFERROR(__xludf.DUMMYFUNCTION("""COMPUTED_VALUE"""),"妊娠,将来,ピル")</f>
        <v>妊娠,将来,ピル</v>
      </c>
      <c r="E201" s="32" t="str">
        <f>IFERROR(__xludf.DUMMYFUNCTION("""COMPUTED_VALUE"""),"https://luna-dr.com/subjects/pill-prescription/")</f>
        <v>https://luna-dr.com/subjects/pill-prescription/</v>
      </c>
    </row>
    <row r="202">
      <c r="A202" s="31" t="str">
        <f>IFERROR(__xludf.DUMMYFUNCTION("""COMPUTED_VALUE"""),"ピルを飲むと将来、妊娠しにくくなりますか？")</f>
        <v>ピルを飲むと将来、妊娠しにくくなりますか？</v>
      </c>
      <c r="B202" s="31" t="str">
        <f>IFERROR(__xludf.DUMMYFUNCTION("""COMPUTED_VALUE"""),"低用量ピルもアフターピルも、服用をやめれば身体は元の状態に戻り、排卵が再開します。将来の妊娠能力に影響を与えることはありませんのでご安心ください。ご自身の身体の状態を知りたい方には、ブライダルチェックもおすすめです。")</f>
        <v>低用量ピルもアフターピルも、服用をやめれば身体は元の状態に戻り、排卵が再開します。将来の妊娠能力に影響を与えることはありませんのでご安心ください。ご自身の身体の状態を知りたい方には、ブライダルチェックもおすすめです。</v>
      </c>
      <c r="C202" s="31" t="str">
        <f>IFERROR(__xludf.DUMMYFUNCTION("""COMPUTED_VALUE"""),"ピル処方")</f>
        <v>ピル処方</v>
      </c>
      <c r="D202" s="31" t="str">
        <f>IFERROR(__xludf.DUMMYFUNCTION("""COMPUTED_VALUE"""),"妊娠,将来,不妊の不安,ピル")</f>
        <v>妊娠,将来,不妊の不安,ピル</v>
      </c>
      <c r="E202" s="32" t="str">
        <f>IFERROR(__xludf.DUMMYFUNCTION("""COMPUTED_VALUE"""),"https://luna-dr.com/subjects/pill-prescription/")</f>
        <v>https://luna-dr.com/subjects/pill-prescription/</v>
      </c>
    </row>
    <row r="203">
      <c r="A203" s="31" t="str">
        <f>IFERROR(__xludf.DUMMYFUNCTION("""COMPUTED_VALUE"""),"ピルを飲むと副作用はありますか？")</f>
        <v>ピルを飲むと副作用はありますか？</v>
      </c>
      <c r="B203" s="31" t="str">
        <f>IFERROR(__xludf.DUMMYFUNCTION("""COMPUTED_VALUE"""),"飲み始めに吐き気や頭痛、不正出血、むくみなどが起こることがありますが、3～6ヶ月ほど内服すると徐々に副作用は落ち着いてくるとされています。アフターピルの場合も同様の症状がみられますが、通常は24時間以内におさまります。ルナレディースクリニックでは、副作用についても丁寧に説明し、必要に応じて吐き気止めなども処方しますのでご安心ください。")</f>
        <v>飲み始めに吐き気や頭痛、不正出血、むくみなどが起こることがありますが、3～6ヶ月ほど内服すると徐々に副作用は落ち着いてくるとされています。アフターピルの場合も同様の症状がみられますが、通常は24時間以内におさまります。ルナレディースクリニックでは、副作用についても丁寧に説明し、必要に応じて吐き気止めなども処方しますのでご安心ください。</v>
      </c>
      <c r="C203" s="31" t="str">
        <f>IFERROR(__xludf.DUMMYFUNCTION("""COMPUTED_VALUE"""),"ピル処方")</f>
        <v>ピル処方</v>
      </c>
      <c r="D203" s="31" t="str">
        <f>IFERROR(__xludf.DUMMYFUNCTION("""COMPUTED_VALUE"""),"副作用,吐き気,頭痛,不正出血,ピル")</f>
        <v>副作用,吐き気,頭痛,不正出血,ピル</v>
      </c>
      <c r="E203" s="32" t="str">
        <f>IFERROR(__xludf.DUMMYFUNCTION("""COMPUTED_VALUE"""),"https://luna-dr.com/subjects/pill-prescription/")</f>
        <v>https://luna-dr.com/subjects/pill-prescription/</v>
      </c>
    </row>
    <row r="204">
      <c r="A204" s="31" t="str">
        <f>IFERROR(__xludf.DUMMYFUNCTION("""COMPUTED_VALUE"""),"ピルを飲むと太りますか？")</f>
        <v>ピルを飲むと太りますか？</v>
      </c>
      <c r="B204" s="31" t="str">
        <f>IFERROR(__xludf.DUMMYFUNCTION("""COMPUTED_VALUE"""),"ピルによって一時的にむくみを感じることはありますが、体脂肪が増えるわけではありません。")</f>
        <v>ピルによって一時的にむくみを感じることはありますが、体脂肪が増えるわけではありません。</v>
      </c>
      <c r="C204" s="31" t="str">
        <f>IFERROR(__xludf.DUMMYFUNCTION("""COMPUTED_VALUE"""),"低用量ピル")</f>
        <v>低用量ピル</v>
      </c>
      <c r="D204" s="31" t="str">
        <f>IFERROR(__xludf.DUMMYFUNCTION("""COMPUTED_VALUE"""),"体重増加,不安,ピル")</f>
        <v>体重増加,不安,ピル</v>
      </c>
      <c r="E204" s="32" t="str">
        <f>IFERROR(__xludf.DUMMYFUNCTION("""COMPUTED_VALUE"""),"https://luna-dr.com/subjects/pill-prescription/")</f>
        <v>https://luna-dr.com/subjects/pill-prescription/</v>
      </c>
    </row>
    <row r="205">
      <c r="A205" s="31" t="str">
        <f>IFERROR(__xludf.DUMMYFUNCTION("""COMPUTED_VALUE"""),"血栓症が心配なのですが、ピルを飲んでも大丈夫ですか？")</f>
        <v>血栓症が心配なのですが、ピルを飲んでも大丈夫ですか？</v>
      </c>
      <c r="B205" s="31" t="str">
        <f>IFERROR(__xludf.DUMMYFUNCTION("""COMPUTED_VALUE"""),"低用量ピルには血栓症のリスクがありますが、医師が体質や既往歴を確認した上で処方します。気になる場合は必ずご相談ください。")</f>
        <v>低用量ピルには血栓症のリスクがありますが、医師が体質や既往歴を確認した上で処方します。気になる場合は必ずご相談ください。</v>
      </c>
      <c r="C205" s="31" t="str">
        <f>IFERROR(__xludf.DUMMYFUNCTION("""COMPUTED_VALUE"""),"低用量ピル")</f>
        <v>低用量ピル</v>
      </c>
      <c r="D205" s="31" t="str">
        <f>IFERROR(__xludf.DUMMYFUNCTION("""COMPUTED_VALUE"""),"血栓症,安全性,ピル")</f>
        <v>血栓症,安全性,ピル</v>
      </c>
      <c r="E205" s="32" t="str">
        <f>IFERROR(__xludf.DUMMYFUNCTION("""COMPUTED_VALUE"""),"https://luna-dr.com/subjects/pill-prescription/")</f>
        <v>https://luna-dr.com/subjects/pill-prescription/</v>
      </c>
    </row>
    <row r="206">
      <c r="A206" s="31" t="str">
        <f>IFERROR(__xludf.DUMMYFUNCTION("""COMPUTED_VALUE"""),"ピルは長期間飲み続けても問題ありませんか？")</f>
        <v>ピルは長期間飲み続けても問題ありませんか？</v>
      </c>
      <c r="B206" s="31" t="str">
        <f>IFERROR(__xludf.DUMMYFUNCTION("""COMPUTED_VALUE"""),"医師の管理のもとであれば、低用量ピルを長期間服用することは可能です。定期的な診察をおすすめしています。")</f>
        <v>医師の管理のもとであれば、低用量ピルを長期間服用することは可能です。定期的な診察をおすすめしています。</v>
      </c>
      <c r="C206" s="31" t="str">
        <f>IFERROR(__xludf.DUMMYFUNCTION("""COMPUTED_VALUE"""),"低用量ピル")</f>
        <v>低用量ピル</v>
      </c>
      <c r="D206" s="31" t="str">
        <f>IFERROR(__xludf.DUMMYFUNCTION("""COMPUTED_VALUE"""),"長期服用,安全性,ピル")</f>
        <v>長期服用,安全性,ピル</v>
      </c>
      <c r="E206" s="32" t="str">
        <f>IFERROR(__xludf.DUMMYFUNCTION("""COMPUTED_VALUE"""),"https://luna-dr.com/subjects/pill-prescription/")</f>
        <v>https://luna-dr.com/subjects/pill-prescription/</v>
      </c>
    </row>
    <row r="207">
      <c r="A207" s="31" t="str">
        <f>IFERROR(__xludf.DUMMYFUNCTION("""COMPUTED_VALUE"""),"ピルをやめたら体は元に戻りますか？")</f>
        <v>ピルをやめたら体は元に戻りますか？</v>
      </c>
      <c r="B207" s="31" t="str">
        <f>IFERROR(__xludf.DUMMYFUNCTION("""COMPUTED_VALUE"""),"服用を中止すればホルモンバランスは元に戻り、排卵も再開します。")</f>
        <v>服用を中止すればホルモンバランスは元に戻り、排卵も再開します。</v>
      </c>
      <c r="C207" s="31" t="str">
        <f>IFERROR(__xludf.DUMMYFUNCTION("""COMPUTED_VALUE"""),"ピル共通")</f>
        <v>ピル共通</v>
      </c>
      <c r="D207" s="31" t="str">
        <f>IFERROR(__xludf.DUMMYFUNCTION("""COMPUTED_VALUE"""),"中止,影響,ピル")</f>
        <v>中止,影響,ピル</v>
      </c>
      <c r="E207" s="32" t="str">
        <f>IFERROR(__xludf.DUMMYFUNCTION("""COMPUTED_VALUE"""),"https://luna-dr.com/subjects/pill-prescription/")</f>
        <v>https://luna-dr.com/subjects/pill-prescription/</v>
      </c>
    </row>
    <row r="208">
      <c r="A208" s="31" t="str">
        <f>IFERROR(__xludf.DUMMYFUNCTION("""COMPUTED_VALUE"""),"低用量ピルはどのように飲みますか？")</f>
        <v>低用量ピルはどのように飲みますか？</v>
      </c>
      <c r="B208" s="31" t="str">
        <f>IFERROR(__xludf.DUMMYFUNCTION("""COMPUTED_VALUE"""),"低用量ピルは、毎日決まった時間に1錠ずつ服用します。21日または28日を1周期として継続します。")</f>
        <v>低用量ピルは、毎日決まった時間に1錠ずつ服用します。21日または28日を1周期として継続します。</v>
      </c>
      <c r="C208" s="31" t="str">
        <f>IFERROR(__xludf.DUMMYFUNCTION("""COMPUTED_VALUE"""),"低用量ピル")</f>
        <v>低用量ピル</v>
      </c>
      <c r="D208" s="31" t="str">
        <f>IFERROR(__xludf.DUMMYFUNCTION("""COMPUTED_VALUE"""),"飲み方,ピル")</f>
        <v>飲み方,ピル</v>
      </c>
      <c r="E208" s="32" t="str">
        <f>IFERROR(__xludf.DUMMYFUNCTION("""COMPUTED_VALUE"""),"https://luna-dr.com/subjects/pill-prescription/")</f>
        <v>https://luna-dr.com/subjects/pill-prescription/</v>
      </c>
    </row>
    <row r="209">
      <c r="A209" s="31" t="str">
        <f>IFERROR(__xludf.DUMMYFUNCTION("""COMPUTED_VALUE"""),"いつから避妊効果が出ますか？")</f>
        <v>いつから避妊効果が出ますか？</v>
      </c>
      <c r="B209" s="31" t="str">
        <f>IFERROR(__xludf.DUMMYFUNCTION("""COMPUTED_VALUE"""),"低用量ピルは、服用開始から約7〜8日で安定した避妊効果が得られるとされています。アフターピルは性行為から72時間（または120時間）以内の服用で、緊急的な妊娠を回避する高い効果が得られます。（服用が早ければ早いほど効果は高まります）")</f>
        <v>低用量ピルは、服用開始から約7〜8日で安定した避妊効果が得られるとされています。アフターピルは性行為から72時間（または120時間）以内の服用で、緊急的な妊娠を回避する高い効果が得られます。（服用が早ければ早いほど効果は高まります）</v>
      </c>
      <c r="C209" s="31" t="str">
        <f>IFERROR(__xludf.DUMMYFUNCTION("""COMPUTED_VALUE"""),"ピル共通")</f>
        <v>ピル共通</v>
      </c>
      <c r="D209" s="31" t="str">
        <f>IFERROR(__xludf.DUMMYFUNCTION("""COMPUTED_VALUE"""),"避妊効果,いつから,ピル")</f>
        <v>避妊効果,いつから,ピル</v>
      </c>
      <c r="E209" s="32" t="str">
        <f>IFERROR(__xludf.DUMMYFUNCTION("""COMPUTED_VALUE"""),"https://luna-dr.com/subjects/pill-prescription/")</f>
        <v>https://luna-dr.com/subjects/pill-prescription/</v>
      </c>
    </row>
    <row r="210">
      <c r="A210" s="31" t="str">
        <f>IFERROR(__xludf.DUMMYFUNCTION("""COMPUTED_VALUE"""),"生理はいつ来ますか？")</f>
        <v>生理はいつ来ますか？</v>
      </c>
      <c r="B210" s="31" t="str">
        <f>IFERROR(__xludf.DUMMYFUNCTION("""COMPUTED_VALUE"""),"低用量ピルでは、休薬期間中または偽薬期間中に生理のような出血が起こります。")</f>
        <v>低用量ピルでは、休薬期間中または偽薬期間中に生理のような出血が起こります。</v>
      </c>
      <c r="C210" s="31" t="str">
        <f>IFERROR(__xludf.DUMMYFUNCTION("""COMPUTED_VALUE"""),"低用量ピル")</f>
        <v>低用量ピル</v>
      </c>
      <c r="D210" s="31" t="str">
        <f>IFERROR(__xludf.DUMMYFUNCTION("""COMPUTED_VALUE"""),"生理,出血,ピル")</f>
        <v>生理,出血,ピル</v>
      </c>
      <c r="E210" s="32" t="str">
        <f>IFERROR(__xludf.DUMMYFUNCTION("""COMPUTED_VALUE"""),"https://luna-dr.com/subjects/pill-prescription/")</f>
        <v>https://luna-dr.com/subjects/pill-prescription/</v>
      </c>
    </row>
    <row r="211">
      <c r="A211" s="31" t="str">
        <f>IFERROR(__xludf.DUMMYFUNCTION("""COMPUTED_VALUE"""),"他の薬と一緒に飲んでも大丈夫ですか？")</f>
        <v>他の薬と一緒に飲んでも大丈夫ですか？</v>
      </c>
      <c r="B211" s="31" t="str">
        <f>IFERROR(__xludf.DUMMYFUNCTION("""COMPUTED_VALUE"""),"薬の飲み合わせに関しましては、お電話にてお問い合わせください。お電話は 050-1730-2768 となります。")</f>
        <v>薬の飲み合わせに関しましては、お電話にてお問い合わせください。お電話は 050-1730-2768 となります。</v>
      </c>
      <c r="C211" s="31" t="str">
        <f>IFERROR(__xludf.DUMMYFUNCTION("""COMPUTED_VALUE"""),"ピル共通")</f>
        <v>ピル共通</v>
      </c>
      <c r="D211" s="31" t="str">
        <f>IFERROR(__xludf.DUMMYFUNCTION("""COMPUTED_VALUE"""),"併用薬,注意,ピル")</f>
        <v>併用薬,注意,ピル</v>
      </c>
      <c r="E211" s="32" t="str">
        <f>IFERROR(__xludf.DUMMYFUNCTION("""COMPUTED_VALUE"""),"https://luna-dr.com/subjects/pill-prescription/")</f>
        <v>https://luna-dr.com/subjects/pill-prescription/</v>
      </c>
    </row>
    <row r="212">
      <c r="A212" s="31" t="str">
        <f>IFERROR(__xludf.DUMMYFUNCTION("""COMPUTED_VALUE"""),"低用量ピルとアフターピルの違いは何ですか？")</f>
        <v>低用量ピルとアフターピルの違いは何ですか？</v>
      </c>
      <c r="B212" s="31" t="str">
        <f>IFERROR(__xludf.DUMMYFUNCTION("""COMPUTED_VALUE"""),"低用量ピルは、毎日1錠ずつ計画的に服用することで排卵を抑制し、継続的な避妊や生理痛・PMSの改善を目指すお薬です。一方、アフターピルは、避妊に失敗した際などに、性行為後できるだけ早く1回だけ服用することで、緊急的に妊娠を防ぐためのお薬です。目的と飲み方が全く異なります。")</f>
        <v>低用量ピルは、毎日1錠ずつ計画的に服用することで排卵を抑制し、継続的な避妊や生理痛・PMSの改善を目指すお薬です。一方、アフターピルは、避妊に失敗した際などに、性行為後できるだけ早く1回だけ服用することで、緊急的に妊娠を防ぐためのお薬です。目的と飲み方が全く異なります。</v>
      </c>
      <c r="C212" s="31" t="str">
        <f>IFERROR(__xludf.DUMMYFUNCTION("""COMPUTED_VALUE"""),"ピル処方")</f>
        <v>ピル処方</v>
      </c>
      <c r="D212" s="31" t="str">
        <f>IFERROR(__xludf.DUMMYFUNCTION("""COMPUTED_VALUE"""),"低用量ピル,アフターピル,違い,比較,ピル")</f>
        <v>低用量ピル,アフターピル,違い,比較,ピル</v>
      </c>
      <c r="E212" s="32" t="str">
        <f>IFERROR(__xludf.DUMMYFUNCTION("""COMPUTED_VALUE"""),"https://luna-dr.com/subjects/pill-prescription/")</f>
        <v>https://luna-dr.com/subjects/pill-prescription/</v>
      </c>
    </row>
    <row r="213">
      <c r="A213" s="31" t="str">
        <f>IFERROR(__xludf.DUMMYFUNCTION("""COMPUTED_VALUE"""),"アフターピルはいつまでに飲めばいいですか？")</f>
        <v>アフターピルはいつまでに飲めばいいですか？</v>
      </c>
      <c r="B213" s="31" t="str">
        <f>IFERROR(__xludf.DUMMYFUNCTION("""COMPUTED_VALUE"""),"アフターピルは性行為から72時間（または120時間）以内の服用で、緊急的な妊娠を回避する高い効果が得られます。（服用が早ければ早いほど効果は高まります）")</f>
        <v>アフターピルは性行為から72時間（または120時間）以内の服用で、緊急的な妊娠を回避する高い効果が得られます。（服用が早ければ早いほど効果は高まります）</v>
      </c>
      <c r="C213" s="31" t="str">
        <f>IFERROR(__xludf.DUMMYFUNCTION("""COMPUTED_VALUE"""),"アフターピル")</f>
        <v>アフターピル</v>
      </c>
      <c r="D213" s="31" t="str">
        <f>IFERROR(__xludf.DUMMYFUNCTION("""COMPUTED_VALUE"""),"服用期限,ピル")</f>
        <v>服用期限,ピル</v>
      </c>
      <c r="E213" s="32" t="str">
        <f>IFERROR(__xludf.DUMMYFUNCTION("""COMPUTED_VALUE"""),"https://luna-dr.com/subjects/pill-prescription/")</f>
        <v>https://luna-dr.com/subjects/pill-prescription/</v>
      </c>
    </row>
    <row r="214">
      <c r="A214" s="31" t="str">
        <f>IFERROR(__xludf.DUMMYFUNCTION("""COMPUTED_VALUE"""),"アフターピルを飲んだ後、生理はどうなりますか？")</f>
        <v>アフターピルを飲んだ後、生理はどうなりますか？</v>
      </c>
      <c r="B214" s="31" t="str">
        <f>IFERROR(__xludf.DUMMYFUNCTION("""COMPUTED_VALUE"""),"服用後、数日から数週間で生理が来ることがあります。個人差があります。")</f>
        <v>服用後、数日から数週間で生理が来ることがあります。個人差があります。</v>
      </c>
      <c r="C214" s="31" t="str">
        <f>IFERROR(__xludf.DUMMYFUNCTION("""COMPUTED_VALUE"""),"アフターピル")</f>
        <v>アフターピル</v>
      </c>
      <c r="D214" s="31" t="str">
        <f>IFERROR(__xludf.DUMMYFUNCTION("""COMPUTED_VALUE"""),"生理,服用後,ピル")</f>
        <v>生理,服用後,ピル</v>
      </c>
      <c r="E214" s="32" t="str">
        <f>IFERROR(__xludf.DUMMYFUNCTION("""COMPUTED_VALUE"""),"https://luna-dr.com/subjects/pill-prescription/")</f>
        <v>https://luna-dr.com/subjects/pill-prescription/</v>
      </c>
    </row>
    <row r="215">
      <c r="A215" s="31" t="str">
        <f>IFERROR(__xludf.DUMMYFUNCTION("""COMPUTED_VALUE"""),"アフターピルを何度も使っても大丈夫ですか？")</f>
        <v>アフターピルを何度も使っても大丈夫ですか？</v>
      </c>
      <c r="B215" s="31" t="str">
        <f>IFERROR(__xludf.DUMMYFUNCTION("""COMPUTED_VALUE"""),"使用は可能ですが、継続的な避妊には低用量ピルをおすすめしています。")</f>
        <v>使用は可能ですが、継続的な避妊には低用量ピルをおすすめしています。</v>
      </c>
      <c r="C215" s="31" t="str">
        <f>IFERROR(__xludf.DUMMYFUNCTION("""COMPUTED_VALUE"""),"アフターピル")</f>
        <v>アフターピル</v>
      </c>
      <c r="D215" s="31" t="str">
        <f>IFERROR(__xludf.DUMMYFUNCTION("""COMPUTED_VALUE"""),"繰り返し使用,ピル")</f>
        <v>繰り返し使用,ピル</v>
      </c>
      <c r="E215" s="32" t="str">
        <f>IFERROR(__xludf.DUMMYFUNCTION("""COMPUTED_VALUE"""),"https://luna-dr.com/subjects/pill-prescription/")</f>
        <v>https://luna-dr.com/subjects/pill-prescription/</v>
      </c>
    </row>
    <row r="216">
      <c r="A216" s="31" t="str">
        <f>IFERROR(__xludf.DUMMYFUNCTION("""COMPUTED_VALUE"""),"ピル処方は来院とオンライン、どちらで受けられますか？")</f>
        <v>ピル処方は来院とオンライン、どちらで受けられますか？</v>
      </c>
      <c r="B216" s="31" t="str">
        <f>IFERROR(__xludf.DUMMYFUNCTION("""COMPUTED_VALUE"""),"ルナレディースクリニックでは、来院診療とオンライン診療の両方でピル処方を行っています。ただし、生理痛などの治療を目的とする低用量ピルは、初回は検査が必要なため来院診療をご案内しています。")</f>
        <v>ルナレディースクリニックでは、来院診療とオンライン診療の両方でピル処方を行っています。ただし、生理痛などの治療を目的とする低用量ピルは、初回は検査が必要なため来院診療をご案内しています。</v>
      </c>
      <c r="C216" s="31" t="str">
        <f>IFERROR(__xludf.DUMMYFUNCTION("""COMPUTED_VALUE"""),"ピル処方")</f>
        <v>ピル処方</v>
      </c>
      <c r="D216" s="31" t="str">
        <f>IFERROR(__xludf.DUMMYFUNCTION("""COMPUTED_VALUE"""),"来院,オンライン診療,ピル")</f>
        <v>来院,オンライン診療,ピル</v>
      </c>
      <c r="E216" s="32" t="str">
        <f>IFERROR(__xludf.DUMMYFUNCTION("""COMPUTED_VALUE"""),"https://luna-dr.com/subjects/pill-prescription/")</f>
        <v>https://luna-dr.com/subjects/pill-prescription/</v>
      </c>
    </row>
    <row r="217">
      <c r="A217" s="31" t="str">
        <f>IFERROR(__xludf.DUMMYFUNCTION("""COMPUTED_VALUE"""),"オンラインでもピルは処方してもらえますか？")</f>
        <v>オンラインでもピルは処方してもらえますか？</v>
      </c>
      <c r="B217" s="31" t="str">
        <f>IFERROR(__xludf.DUMMYFUNCTION("""COMPUTED_VALUE"""),"アフターピルは初診からオンライン診療で処方できます。ご自宅にいながら専門医の診察を受け、お薬を郵送でお受け取りいただけます。ただし、生理痛などの治療を目的とする低用量ピルは、初回は検査が必要なため来院診療をご案内しています。")</f>
        <v>アフターピルは初診からオンライン診療で処方できます。ご自宅にいながら専門医の診察を受け、お薬を郵送でお受け取りいただけます。ただし、生理痛などの治療を目的とする低用量ピルは、初回は検査が必要なため来院診療をご案内しています。</v>
      </c>
      <c r="C217" s="31" t="str">
        <f>IFERROR(__xludf.DUMMYFUNCTION("""COMPUTED_VALUE"""),"ピル処方")</f>
        <v>ピル処方</v>
      </c>
      <c r="D217" s="31" t="str">
        <f>IFERROR(__xludf.DUMMYFUNCTION("""COMPUTED_VALUE"""),"オンライン診療,初診,来院診療,ピル")</f>
        <v>オンライン診療,初診,来院診療,ピル</v>
      </c>
      <c r="E217" s="32" t="str">
        <f>IFERROR(__xludf.DUMMYFUNCTION("""COMPUTED_VALUE"""),"https://luna-dr.com/subjects/pill-prescription/")</f>
        <v>https://luna-dr.com/subjects/pill-prescription/</v>
      </c>
    </row>
    <row r="218">
      <c r="A218" s="31" t="str">
        <f>IFERROR(__xludf.DUMMYFUNCTION("""COMPUTED_VALUE"""),"アフターピルは初診でもオンライン診療できますか？")</f>
        <v>アフターピルは初診でもオンライン診療できますか？</v>
      </c>
      <c r="B218" s="31" t="str">
        <f>IFERROR(__xludf.DUMMYFUNCTION("""COMPUTED_VALUE"""),"アフターピルは初診の方でもオンライン診療をご利用いただけます。")</f>
        <v>アフターピルは初診の方でもオンライン診療をご利用いただけます。</v>
      </c>
      <c r="C218" s="31" t="str">
        <f>IFERROR(__xludf.DUMMYFUNCTION("""COMPUTED_VALUE"""),"アフターピル")</f>
        <v>アフターピル</v>
      </c>
      <c r="D218" s="31" t="str">
        <f>IFERROR(__xludf.DUMMYFUNCTION("""COMPUTED_VALUE"""),"初診,オンライン,ピル")</f>
        <v>初診,オンライン,ピル</v>
      </c>
      <c r="E218" s="32" t="str">
        <f>IFERROR(__xludf.DUMMYFUNCTION("""COMPUTED_VALUE"""),"https://luna-dr.com/subjects/pill-prescription/")</f>
        <v>https://luna-dr.com/subjects/pill-prescription/</v>
      </c>
    </row>
    <row r="219">
      <c r="A219" s="31" t="str">
        <f>IFERROR(__xludf.DUMMYFUNCTION("""COMPUTED_VALUE"""),"低用量ピルは初診からオンライン診療できますか？")</f>
        <v>低用量ピルは初診からオンライン診療できますか？</v>
      </c>
      <c r="B219" s="31" t="str">
        <f>IFERROR(__xludf.DUMMYFUNCTION("""COMPUTED_VALUE"""),"治療目的での初回処方は検査が必要なため、来院診療となります。")</f>
        <v>治療目的での初回処方は検査が必要なため、来院診療となります。</v>
      </c>
      <c r="C219" s="31" t="str">
        <f>IFERROR(__xludf.DUMMYFUNCTION("""COMPUTED_VALUE"""),"低用量ピル")</f>
        <v>低用量ピル</v>
      </c>
      <c r="D219" s="31" t="str">
        <f>IFERROR(__xludf.DUMMYFUNCTION("""COMPUTED_VALUE"""),"初診,来院診療,ピル")</f>
        <v>初診,来院診療,ピル</v>
      </c>
      <c r="E219" s="32" t="str">
        <f>IFERROR(__xludf.DUMMYFUNCTION("""COMPUTED_VALUE"""),"https://luna-dr.com/subjects/pill-prescription/")</f>
        <v>https://luna-dr.com/subjects/pill-prescription/</v>
      </c>
    </row>
    <row r="220">
      <c r="A220" s="31" t="str">
        <f>IFERROR(__xludf.DUMMYFUNCTION("""COMPUTED_VALUE"""),"なぜ低用量ピルは初回に来院が必要な場合があるのですか？")</f>
        <v>なぜ低用量ピルは初回に来院が必要な場合があるのですか？</v>
      </c>
      <c r="B220" s="31" t="str">
        <f>IFERROR(__xludf.DUMMYFUNCTION("""COMPUTED_VALUE"""),"安全に治療を行うため、治療目的の場合は検査が必要となるためです。")</f>
        <v>安全に治療を行うため、治療目的の場合は検査が必要となるためです。</v>
      </c>
      <c r="C220" s="31" t="str">
        <f>IFERROR(__xludf.DUMMYFUNCTION("""COMPUTED_VALUE"""),"低用量ピル")</f>
        <v>低用量ピル</v>
      </c>
      <c r="D220" s="31" t="str">
        <f>IFERROR(__xludf.DUMMYFUNCTION("""COMPUTED_VALUE"""),"検査,安全性,ピル")</f>
        <v>検査,安全性,ピル</v>
      </c>
      <c r="E220" s="32" t="str">
        <f>IFERROR(__xludf.DUMMYFUNCTION("""COMPUTED_VALUE"""),"https://luna-dr.com/subjects/pill-prescription/")</f>
        <v>https://luna-dr.com/subjects/pill-prescription/</v>
      </c>
    </row>
    <row r="221">
      <c r="A221" s="31" t="str">
        <f>IFERROR(__xludf.DUMMYFUNCTION("""COMPUTED_VALUE"""),"ピル処方は保険適用ですか？")</f>
        <v>ピル処方は保険適用ですか？</v>
      </c>
      <c r="B221" s="31" t="str">
        <f>IFERROR(__xludf.DUMMYFUNCTION("""COMPUTED_VALUE"""),"低用量ピルは治療目的の場合、保険適用となることがあります。アフターピルは自由診療です。")</f>
        <v>低用量ピルは治療目的の場合、保険適用となることがあります。アフターピルは自由診療です。</v>
      </c>
      <c r="C221" s="31" t="str">
        <f>IFERROR(__xludf.DUMMYFUNCTION("""COMPUTED_VALUE"""),"ピル処方")</f>
        <v>ピル処方</v>
      </c>
      <c r="D221" s="31" t="str">
        <f>IFERROR(__xludf.DUMMYFUNCTION("""COMPUTED_VALUE"""),"保険適用,費用,ピル")</f>
        <v>保険適用,費用,ピル</v>
      </c>
      <c r="E221" s="32" t="str">
        <f>IFERROR(__xludf.DUMMYFUNCTION("""COMPUTED_VALUE"""),"https://luna-dr.com/subjects/pill-prescription/")</f>
        <v>https://luna-dr.com/subjects/pill-prescription/</v>
      </c>
    </row>
    <row r="222">
      <c r="A222" s="31" t="str">
        <f>IFERROR(__xludf.DUMMYFUNCTION("""COMPUTED_VALUE"""),"ピル処方はどうやって予約すればいいですか？")</f>
        <v>ピル処方はどうやって予約すればいいですか？</v>
      </c>
      <c r="B222" s="31" t="str">
        <f>IFERROR(__xludf.DUMMYFUNCTION("""COMPUTED_VALUE"""),"ルナレディースクリニックでは、公式LINEからピル処方の診察予約が可能です。24時間いつでもご自身のタイミングで予約できます。
※アフターピルは初診からオンライン診療で処方できますが、生理痛などの治療を目的とする低用量ピルは、初回は検査が必要なため来院診療となりますので、ご注意ください。
来院診療の場合は「ピル処方」のメニューでご予約ください→https://cline-app.com/qr-codes/98ad6f149bfa20f4f2a9a2e91aac4187/preview
オンライン診療のご"&amp;"予約はこちら→https://liff-gateway.lineml.jp/landing?follow=%40590gpxrd&amp;lp=fX73yx&amp;liff_id=1657094566-LmjNPPbV")</f>
        <v>ルナレディースクリニックでは、公式LINEからピル処方の診察予約が可能です。24時間いつでもご自身のタイミングで予約できます。
※アフターピルは初診からオンライン診療で処方できますが、生理痛などの治療を目的とする低用量ピルは、初回は検査が必要なため来院診療となりますので、ご注意ください。
来院診療の場合は「ピル処方」のメニューでご予約ください→https://cline-app.com/qr-codes/98ad6f149bfa20f4f2a9a2e91aac4187/preview
オンライン診療のご予約はこちら→https://liff-gateway.lineml.jp/landing?follow=%40590gpxrd&amp;lp=fX73yx&amp;liff_id=1657094566-LmjNPPbV</v>
      </c>
      <c r="C222" s="31" t="str">
        <f>IFERROR(__xludf.DUMMYFUNCTION("""COMPUTED_VALUE"""),"ピル処方")</f>
        <v>ピル処方</v>
      </c>
      <c r="D222" s="31" t="str">
        <f>IFERROR(__xludf.DUMMYFUNCTION("""COMPUTED_VALUE"""),"予約方法,LINE,電話,ピル")</f>
        <v>予約方法,LINE,電話,ピル</v>
      </c>
      <c r="E222" s="32" t="str">
        <f>IFERROR(__xludf.DUMMYFUNCTION("""COMPUTED_VALUE"""),"https://luna-dr.com/subjects/pill-prescription/")</f>
        <v>https://luna-dr.com/subjects/pill-prescription/</v>
      </c>
    </row>
    <row r="223">
      <c r="A223" s="31" t="str">
        <f>IFERROR(__xludf.DUMMYFUNCTION("""COMPUTED_VALUE"""),"ピル処方はLINEから予約できますか？")</f>
        <v>ピル処方はLINEから予約できますか？</v>
      </c>
      <c r="B223" s="31" t="str">
        <f>IFERROR(__xludf.DUMMYFUNCTION("""COMPUTED_VALUE"""),"ルナレディースクリニックでは、公式LINEからピル処方の診察予約が可能です。24時間いつでもご自身のタイミングで予約できます。
※アフターピルは初診からオンライン診療で処方できますが、生理痛などの治療を目的とする低用量ピルは、初回は検査が必要なため来院診療となりますので、ご注意ください。
来院診療の場合は「ピル処方」のメニューでご予約ください→https://cline-app.com/qr-codes/98ad6f149bfa20f4f2a9a2e91aac4187/preview
オンライン診療のご"&amp;"予約はこちら→https://liff-gateway.lineml.jp/landing?follow=%40590gpxrd&amp;lp=fX73yx&amp;liff_id=1657094566-LmjNPPbV")</f>
        <v>ルナレディースクリニックでは、公式LINEからピル処方の診察予約が可能です。24時間いつでもご自身のタイミングで予約できます。
※アフターピルは初診からオンライン診療で処方できますが、生理痛などの治療を目的とする低用量ピルは、初回は検査が必要なため来院診療となりますので、ご注意ください。
来院診療の場合は「ピル処方」のメニューでご予約ください→https://cline-app.com/qr-codes/98ad6f149bfa20f4f2a9a2e91aac4187/preview
オンライン診療のご予約はこちら→https://liff-gateway.lineml.jp/landing?follow=%40590gpxrd&amp;lp=fX73yx&amp;liff_id=1657094566-LmjNPPbV</v>
      </c>
      <c r="C223" s="31" t="str">
        <f>IFERROR(__xludf.DUMMYFUNCTION("""COMPUTED_VALUE"""),"ピル処方")</f>
        <v>ピル処方</v>
      </c>
      <c r="D223" s="31" t="str">
        <f>IFERROR(__xludf.DUMMYFUNCTION("""COMPUTED_VALUE"""),"LINE予約,婦人科予約,ピル処方")</f>
        <v>LINE予約,婦人科予約,ピル処方</v>
      </c>
      <c r="E223" s="32" t="str">
        <f>IFERROR(__xludf.DUMMYFUNCTION("""COMPUTED_VALUE"""),"https://luna-dr.com/subjects/pill-prescription/")</f>
        <v>https://luna-dr.com/subjects/pill-prescription/</v>
      </c>
    </row>
    <row r="224">
      <c r="A224" s="31" t="str">
        <f>IFERROR(__xludf.DUMMYFUNCTION("""COMPUTED_VALUE"""),"ピル処方は電話でも予約できますか？")</f>
        <v>ピル処方は電話でも予約できますか？</v>
      </c>
      <c r="B224" s="31" t="str">
        <f>IFERROR(__xludf.DUMMYFUNCTION("""COMPUTED_VALUE"""),"LINEでの予約後、事前問診等もLINEから行うことができ、スムーズに受診ができるため、当院ではLINEでのご予約を推奨しております。
来院診療の場合は「ピル処方」のメニューでご予約ください→https://cline-app.com/qr-codes/98ad6f149bfa20f4f2a9a2e91aac4187/preview
オンライン診療のご予約はこちら→https://liff-gateway.lineml.jp/landing?follow=%40590gpxrd&amp;lp=fX73yx&amp;li"&amp;"ff_id=1657094566-LmjNPPbV")</f>
        <v>LINEでの予約後、事前問診等もLINEから行うことができ、スムーズに受診ができるため、当院ではLINEでのご予約を推奨しております。
来院診療の場合は「ピル処方」のメニューでご予約ください→https://cline-app.com/qr-codes/98ad6f149bfa20f4f2a9a2e91aac4187/preview
オンライン診療のご予約はこちら→https://liff-gateway.lineml.jp/landing?follow=%40590gpxrd&amp;lp=fX73yx&amp;liff_id=1657094566-LmjNPPbV</v>
      </c>
      <c r="C224" s="31" t="str">
        <f>IFERROR(__xludf.DUMMYFUNCTION("""COMPUTED_VALUE"""),"ピル処方")</f>
        <v>ピル処方</v>
      </c>
      <c r="D224" s="31" t="str">
        <f>IFERROR(__xludf.DUMMYFUNCTION("""COMPUTED_VALUE"""),"電話予約,問い合わせ,ピル処方")</f>
        <v>電話予約,問い合わせ,ピル処方</v>
      </c>
      <c r="E224" s="32" t="str">
        <f>IFERROR(__xludf.DUMMYFUNCTION("""COMPUTED_VALUE"""),"https://luna-dr.com/subjects/pill-prescription/")</f>
        <v>https://luna-dr.com/subjects/pill-prescription/</v>
      </c>
    </row>
    <row r="225">
      <c r="A225" s="31" t="str">
        <f>IFERROR(__xludf.DUMMYFUNCTION("""COMPUTED_VALUE"""),"ピル処方は予約なしでも相談できますか？")</f>
        <v>ピル処方は予約なしでも相談できますか？</v>
      </c>
      <c r="B225" s="31" t="str">
        <f>IFERROR(__xludf.DUMMYFUNCTION("""COMPUTED_VALUE"""),"来院治療の場合、予約外来院も可能です。スムーズなご案内のため、事前予約をおすすめしています。")</f>
        <v>来院治療の場合、予約外来院も可能です。スムーズなご案内のため、事前予約をおすすめしています。</v>
      </c>
      <c r="C225" s="31" t="str">
        <f>IFERROR(__xludf.DUMMYFUNCTION("""COMPUTED_VALUE"""),"ピル処方")</f>
        <v>ピル処方</v>
      </c>
      <c r="D225" s="31" t="str">
        <f>IFERROR(__xludf.DUMMYFUNCTION("""COMPUTED_VALUE"""),"予約なし,受診,ピル処方")</f>
        <v>予約なし,受診,ピル処方</v>
      </c>
      <c r="E225" s="32" t="str">
        <f>IFERROR(__xludf.DUMMYFUNCTION("""COMPUTED_VALUE"""),"https://luna-dr.com/subjects/pill-prescription/")</f>
        <v>https://luna-dr.com/subjects/pill-prescription/</v>
      </c>
    </row>
    <row r="226">
      <c r="A226" s="31" t="str">
        <f>IFERROR(__xludf.DUMMYFUNCTION("""COMPUTED_VALUE"""),"ピル処方の予約前に準備しておくことはありますか？")</f>
        <v>ピル処方の予約前に準備しておくことはありますか？</v>
      </c>
      <c r="B226" s="31" t="str">
        <f>IFERROR(__xludf.DUMMYFUNCTION("""COMPUTED_VALUE"""),"ルナレディースクリニックでは、ピル処方の診察前に、最終生理日やご予定日などをWEB問診にご入力いただくと、診察がスムーズに進みます。")</f>
        <v>ルナレディースクリニックでは、ピル処方の診察前に、最終生理日やご予定日などをWEB問診にご入力いただくと、診察がスムーズに進みます。</v>
      </c>
      <c r="C226" s="31" t="str">
        <f>IFERROR(__xludf.DUMMYFUNCTION("""COMPUTED_VALUE"""),"ピル処方")</f>
        <v>ピル処方</v>
      </c>
      <c r="D226" s="31" t="str">
        <f>IFERROR(__xludf.DUMMYFUNCTION("""COMPUTED_VALUE"""),"WEB問診,事前準備,ピル処方")</f>
        <v>WEB問診,事前準備,ピル処方</v>
      </c>
      <c r="E226" s="32" t="str">
        <f>IFERROR(__xludf.DUMMYFUNCTION("""COMPUTED_VALUE"""),"https://luna-dr.com/subjects/pill-prescription/")</f>
        <v>https://luna-dr.com/subjects/pill-prescription/</v>
      </c>
    </row>
    <row r="227">
      <c r="A227" s="31" t="str">
        <f>IFERROR(__xludf.DUMMYFUNCTION("""COMPUTED_VALUE"""),"ピル処方は初診でも予約できますか？")</f>
        <v>ピル処方は初診でも予約できますか？</v>
      </c>
      <c r="B227" s="31" t="str">
        <f>IFERROR(__xludf.DUMMYFUNCTION("""COMPUTED_VALUE"""),"ピル処方は初診の方もご予約いただけます。ご予約は公式LINEから受け付けておりますので、友だち追加の上ご利用ください。
※アフターピルは初診からオンライン診療で処方できますが、生理痛などの治療を目的とする低用量ピルは、初回は検査が必要なため来院診療となりますので、ご注意ください。
来院診療の場合は「ピル処方」のメニューでご予約ください→https://cline-app.com/qr-codes/98ad6f149bfa20f4f2a9a2e91aac4187/preview
オンライン診療のご予約はこ"&amp;"ちら→https://liff-gateway.lineml.jp/landing?follow=%40590gpxrd&amp;lp=fX73yx&amp;liff_id=1657094566-LmjNPPbV")</f>
        <v>ピル処方は初診の方もご予約いただけます。ご予約は公式LINEから受け付けておりますので、友だち追加の上ご利用ください。
※アフターピルは初診からオンライン診療で処方できますが、生理痛などの治療を目的とする低用量ピルは、初回は検査が必要なため来院診療となりますので、ご注意ください。
来院診療の場合は「ピル処方」のメニューでご予約ください→https://cline-app.com/qr-codes/98ad6f149bfa20f4f2a9a2e91aac4187/preview
オンライン診療のご予約はこちら→https://liff-gateway.lineml.jp/landing?follow=%40590gpxrd&amp;lp=fX73yx&amp;liff_id=1657094566-LmjNPPbV</v>
      </c>
      <c r="C227" s="31" t="str">
        <f>IFERROR(__xludf.DUMMYFUNCTION("""COMPUTED_VALUE"""),"ピル処方")</f>
        <v>ピル処方</v>
      </c>
      <c r="D227" s="31" t="str">
        <f>IFERROR(__xludf.DUMMYFUNCTION("""COMPUTED_VALUE"""),"初診,予約,ピル処方")</f>
        <v>初診,予約,ピル処方</v>
      </c>
      <c r="E227" s="32" t="str">
        <f>IFERROR(__xludf.DUMMYFUNCTION("""COMPUTED_VALUE"""),"https://luna-dr.com/subjects/pill-prescription/")</f>
        <v>https://luna-dr.com/subjects/pill-prescription/</v>
      </c>
    </row>
    <row r="228">
      <c r="A228" s="31" t="str">
        <f>IFERROR(__xludf.DUMMYFUNCTION("""COMPUTED_VALUE"""),"ピル処方は来院とオンライン、どちらで予約できますか？")</f>
        <v>ピル処方は来院とオンライン、どちらで予約できますか？</v>
      </c>
      <c r="B228" s="31" t="str">
        <f>IFERROR(__xludf.DUMMYFUNCTION("""COMPUTED_VALUE"""),"ルナレディースクリニックでは、ピル処方のご相談は来院診療とオンライン診療のどちらでも予約が可能です。ご自身のライフスタイルに合わせて選べます。初診の場合、アフターピルは初診からオンライン診療で処方できますが、生理痛などの治療を目的とする低用量ピルは、初回は検査が必要なため来院診療となりますので、ご注意ください。
来院診療の場合は「ピル処方」のメニューでご予約ください→https://cline-app.com/qr-codes/98ad6f149bfa20f4f2a9a2e91aac4187/previ"&amp;"ew
オンライン診療のご予約はこちら→https://liff-gateway.lineml.jp/landing?follow=%40590gpxrd&amp;lp=fX73yx&amp;liff_id=1657094566-LmjNPPbV")</f>
        <v>ルナレディースクリニックでは、ピル処方のご相談は来院診療とオンライン診療のどちらでも予約が可能です。ご自身のライフスタイルに合わせて選べます。初診の場合、アフターピルは初診からオンライン診療で処方できますが、生理痛などの治療を目的とする低用量ピルは、初回は検査が必要なため来院診療となりますので、ご注意ください。
来院診療の場合は「ピル処方」のメニューでご予約ください→https://cline-app.com/qr-codes/98ad6f149bfa20f4f2a9a2e91aac4187/preview
オンライン診療のご予約はこちら→https://liff-gateway.lineml.jp/landing?follow=%40590gpxrd&amp;lp=fX73yx&amp;liff_id=1657094566-LmjNPPbV</v>
      </c>
      <c r="C228" s="31" t="str">
        <f>IFERROR(__xludf.DUMMYFUNCTION("""COMPUTED_VALUE"""),"ピル処方")</f>
        <v>ピル処方</v>
      </c>
      <c r="D228" s="31" t="str">
        <f>IFERROR(__xludf.DUMMYFUNCTION("""COMPUTED_VALUE"""),"来院診療,オンライン診療,ピル処方")</f>
        <v>来院診療,オンライン診療,ピル処方</v>
      </c>
      <c r="E228" s="32" t="str">
        <f>IFERROR(__xludf.DUMMYFUNCTION("""COMPUTED_VALUE"""),"https://luna-dr.com/subjects/pill-prescription/")</f>
        <v>https://luna-dr.com/subjects/pill-prescription/</v>
      </c>
    </row>
    <row r="229">
      <c r="A229" s="31" t="str">
        <f>IFERROR(__xludf.DUMMYFUNCTION("""COMPUTED_VALUE"""),"低用量ピルはどんな悩みに使われますか？")</f>
        <v>低用量ピルはどんな悩みに使われますか？</v>
      </c>
      <c r="B229" s="31" t="str">
        <f>IFERROR(__xludf.DUMMYFUNCTION("""COMPUTED_VALUE"""),"低用量ピル（ピル）は、避妊、生理痛の軽減、生理不順の改善、PMS（月経前症候群）の緩和、ニキビ改善など幅広い目的で使用されます。")</f>
        <v>低用量ピル（ピル）は、避妊、生理痛の軽減、生理不順の改善、PMS（月経前症候群）の緩和、ニキビ改善など幅広い目的で使用されます。</v>
      </c>
      <c r="C229" s="31" t="str">
        <f>IFERROR(__xludf.DUMMYFUNCTION("""COMPUTED_VALUE"""),"低用量ピル（ピル）")</f>
        <v>低用量ピル（ピル）</v>
      </c>
      <c r="D229" s="31" t="str">
        <f>IFERROR(__xludf.DUMMYFUNCTION("""COMPUTED_VALUE"""),"低用量ピル,悩み,改善")</f>
        <v>低用量ピル,悩み,改善</v>
      </c>
      <c r="E229" s="32" t="str">
        <f>IFERROR(__xludf.DUMMYFUNCTION("""COMPUTED_VALUE"""),"https://luna-dr.com/subjects/low-dose-contraceptive/")</f>
        <v>https://luna-dr.com/subjects/low-dose-contraceptive/</v>
      </c>
    </row>
    <row r="230">
      <c r="A230" s="31" t="str">
        <f>IFERROR(__xludf.DUMMYFUNCTION("""COMPUTED_VALUE"""),"OCピルとLEPピルの違いは何ですか？")</f>
        <v>OCピルとLEPピルの違いは何ですか？</v>
      </c>
      <c r="B230" s="31" t="str">
        <f>IFERROR(__xludf.DUMMYFUNCTION("""COMPUTED_VALUE"""),"OC（経口避妊薬）は避妊目的で使用される低用量ピルで自由診療です。LEP（低用量エストロゲン・プロゲスチン製剤）は生理痛や子宮内膜症など治療目的で使用され、保険適用となります。")</f>
        <v>OC（経口避妊薬）は避妊目的で使用される低用量ピルで自由診療です。LEP（低用量エストロゲン・プロゲスチン製剤）は生理痛や子宮内膜症など治療目的で使用され、保険適用となります。</v>
      </c>
      <c r="C230" s="31" t="str">
        <f>IFERROR(__xludf.DUMMYFUNCTION("""COMPUTED_VALUE"""),"低用量ピル（OC／LEP）")</f>
        <v>低用量ピル（OC／LEP）</v>
      </c>
      <c r="D230" s="31" t="str">
        <f>IFERROR(__xludf.DUMMYFUNCTION("""COMPUTED_VALUE"""),"OC,LEP,違い,治療")</f>
        <v>OC,LEP,違い,治療</v>
      </c>
      <c r="E230" s="32" t="str">
        <f>IFERROR(__xludf.DUMMYFUNCTION("""COMPUTED_VALUE"""),"https://luna-dr.com/subjects/low-dose-contraceptive/")</f>
        <v>https://luna-dr.com/subjects/low-dose-contraceptive/</v>
      </c>
    </row>
    <row r="231">
      <c r="A231" s="31" t="str">
        <f>IFERROR(__xludf.DUMMYFUNCTION("""COMPUTED_VALUE"""),"低用量ピルは避妊以外にも効果がありますか？")</f>
        <v>低用量ピルは避妊以外にも効果がありますか？</v>
      </c>
      <c r="B231" s="31" t="str">
        <f>IFERROR(__xludf.DUMMYFUNCTION("""COMPUTED_VALUE"""),"低用量ピル（ピル）は、生理痛の軽減、PMS改善、経血量の減少、月経周期の安定、ニキビ改善などの副効用も期待できます。")</f>
        <v>低用量ピル（ピル）は、生理痛の軽減、PMS改善、経血量の減少、月経周期の安定、ニキビ改善などの副効用も期待できます。</v>
      </c>
      <c r="C231" s="31" t="str">
        <f>IFERROR(__xludf.DUMMYFUNCTION("""COMPUTED_VALUE"""),"低用量ピル（ピル）")</f>
        <v>低用量ピル（ピル）</v>
      </c>
      <c r="D231" s="31" t="str">
        <f>IFERROR(__xludf.DUMMYFUNCTION("""COMPUTED_VALUE"""),"低用量ピル,効果,生理痛")</f>
        <v>低用量ピル,効果,生理痛</v>
      </c>
      <c r="E231" s="32" t="str">
        <f>IFERROR(__xludf.DUMMYFUNCTION("""COMPUTED_VALUE"""),"https://luna-dr.com/subjects/low-dose-contraceptive/")</f>
        <v>https://luna-dr.com/subjects/low-dose-contraceptive/</v>
      </c>
    </row>
    <row r="232">
      <c r="A232" s="31" t="str">
        <f>IFERROR(__xludf.DUMMYFUNCTION("""COMPUTED_VALUE"""),"ピルを飲み始めてすぐに避妊効果はありますか？")</f>
        <v>ピルを飲み始めてすぐに避妊効果はありますか？</v>
      </c>
      <c r="B232" s="31" t="str">
        <f>IFERROR(__xludf.DUMMYFUNCTION("""COMPUTED_VALUE"""),"低用量ピル（ピル）は、最初の1シート目では避妊効果が安定しません。2シート目以降から避妊効果が期待できるため、最初の1シート目は他の避妊法を併用してください。飲み忘れなく服用を続け、2シート目からは避妊効果が期待できます。")</f>
        <v>低用量ピル（ピル）は、最初の1シート目では避妊効果が安定しません。2シート目以降から避妊効果が期待できるため、最初の1シート目は他の避妊法を併用してください。飲み忘れなく服用を続け、2シート目からは避妊効果が期待できます。</v>
      </c>
      <c r="C232" s="31" t="str">
        <f>IFERROR(__xludf.DUMMYFUNCTION("""COMPUTED_VALUE"""),"低用量ピル（ピル）")</f>
        <v>低用量ピル（ピル）</v>
      </c>
      <c r="D232" s="31" t="str">
        <f>IFERROR(__xludf.DUMMYFUNCTION("""COMPUTED_VALUE"""),"ピル,避妊効果,いつから")</f>
        <v>ピル,避妊効果,いつから</v>
      </c>
      <c r="E232" s="32" t="str">
        <f>IFERROR(__xludf.DUMMYFUNCTION("""COMPUTED_VALUE"""),"https://luna-dr.com/subjects/low-dose-contraceptive/")</f>
        <v>https://luna-dr.com/subjects/low-dose-contraceptive/</v>
      </c>
    </row>
    <row r="233">
      <c r="A233" s="31" t="str">
        <f>IFERROR(__xludf.DUMMYFUNCTION("""COMPUTED_VALUE"""),"ピルを飲み忘れたらどうなりますか？")</f>
        <v>ピルを飲み忘れたらどうなりますか？</v>
      </c>
      <c r="B233" s="31" t="str">
        <f>IFERROR(__xludf.DUMMYFUNCTION("""COMPUTED_VALUE"""),"ピルの飲み忘れが続くと避妊効果が低下するため、ご注意ください。低用量ピルを飲み忘れた場合は、飲み忘れた日数によって対応が異なります。異変を感じた場合はすぐにご相談ください。
・1日飲み忘れた場合
気づいた時点ですぐ1錠服用し、その後は通常通り同じ時間に服用してください。
1日の飲み忘れであれば、避妊効果への影響はほとんどありません。
・2日飲み忘れた場合
気づいた時点で飲み忘れた2錠を服用し、その後は通常通り続けてください。
ホルモン低下により不正出血が起こることがありますが、軽度であれば継続可能です"&amp;"。
強い腹痛や鮮血の出血がある場合は服用を中止し、ご相談ください。
・3日以上飲み忘れた場合
服用を中止し、生理が来たら5日以内に新しいシートを開始してください。
新しいシートを7日間連続で服用するまでは、必ず別の避妊方法を併用してください。
※休薬期間前後の飲み忘れは妊娠リスクが高まるため、特に注意が必要です。
""回答が遅れ申し訳ございません。
低用量ピルのなかでも、保険診療のものと自費診療のもので飲み忘れた際の服用方法や注意事項が異なるため、下記にて反映いただけますと幸いです。
こちらの件は当"&amp;"院勤務の看護師確認内容となります。
●自費診療の低用量ピル（ラベルフィーユやファボワールなど）
《1日飲み忘れの場合》
低用量ピルの服用を中止する必要はありません。
飲み忘れに気づいた時点で前日の分を服用し、本日分はいつも服用している時間に服用します。
本日分を服用する時に前日の飲み忘れに気づいた場合は、その時に前日分と合わせて2錠内服してください。
飲み忘れが1日なら避妊効果に影響はないと言われています。
《2日以上飲み忘れの場合》
2日以上内服を忘れた場合は一度内服を中止していただき、次回の自然"&amp;"な月経が来るのを待ってから内服再開していただきます。月経開始5日以内に内服再開するようにしてください。避妊効果は7日以上連続で内服をしてから出ますので内服再開したシートの最初の1列目は別の方法で避妊を兼ねるようにしてください。
ただし、4列目の偽薬で忘れた場合は元々ホルモン剤が入っていない錠剤のため、追加で服用は不要です。
●保険診療の低用量ピル（ヤーズフレックスなど）
《1日飲み忘れの場合》
低用量ピルの服用を中止する必要はありません。
飲み忘れに気づいた時点で前日の分を服用し、本日分はいつも服用"&amp;"している時間に服用します。
本日分を服用する時に前日の飲み忘れに気づいた場合は、その時に前日分と合わせて2錠内服してください。
《2日以上飲み忘れの場合》
気付いた時点で飲み忘れた分の直近の錠剤を内服、本日分はいつもの時間に内服して下さい。
本日分を服用する時に飲み忘れに気づいた場合は、その時に前日分と合わせて2錠内服して下さい。
その後は今までのスケジュール通り内服を続けて下さい。
※個人差はありますが、ホルモンの低下により不正出血が起こる可能性があります。
茶褐色の不正出血なら、ほとんどの場合ピル"&amp;"の服用を続けるとホルモンの量が正常に戻り収まります。
しかし、鮮血の出血や量が多い場合はピルの服用を続けても不正出血が続く可能性があります。
もし鮮血の出血が起きてしまった場合は現在のシートを中断していただき、次回月経が開始して5日以内に新しいシートの1錠目から内服再開してください。
《4日以上飲み忘れた場合》
医師への確認が必要です。
処方された医療機関を受診してご相談ください。""")</f>
        <v>ピルの飲み忘れが続くと避妊効果が低下するため、ご注意ください。低用量ピルを飲み忘れた場合は、飲み忘れた日数によって対応が異なります。異変を感じた場合はすぐにご相談ください。
・1日飲み忘れた場合
気づいた時点ですぐ1錠服用し、その後は通常通り同じ時間に服用してください。
1日の飲み忘れであれば、避妊効果への影響はほとんどありません。
・2日飲み忘れた場合
気づいた時点で飲み忘れた2錠を服用し、その後は通常通り続けてください。
ホルモン低下により不正出血が起こることがありますが、軽度であれば継続可能です。
強い腹痛や鮮血の出血がある場合は服用を中止し、ご相談ください。
・3日以上飲み忘れた場合
服用を中止し、生理が来たら5日以内に新しいシートを開始してください。
新しいシートを7日間連続で服用するまでは、必ず別の避妊方法を併用してください。
※休薬期間前後の飲み忘れは妊娠リスクが高まるため、特に注意が必要です。
"回答が遅れ申し訳ございません。
低用量ピルのなかでも、保険診療のものと自費診療のもので飲み忘れた際の服用方法や注意事項が異なるため、下記にて反映いただけますと幸いです。
こちらの件は当院勤務の看護師確認内容となります。
●自費診療の低用量ピル（ラベルフィーユやファボワールなど）
《1日飲み忘れの場合》
低用量ピルの服用を中止する必要はありません。
飲み忘れに気づいた時点で前日の分を服用し、本日分はいつも服用している時間に服用します。
本日分を服用する時に前日の飲み忘れに気づいた場合は、その時に前日分と合わせて2錠内服してください。
飲み忘れが1日なら避妊効果に影響はないと言われています。
《2日以上飲み忘れの場合》
2日以上内服を忘れた場合は一度内服を中止していただき、次回の自然な月経が来るのを待ってから内服再開していただきます。月経開始5日以内に内服再開するようにしてください。避妊効果は7日以上連続で内服をしてから出ますので内服再開したシートの最初の1列目は別の方法で避妊を兼ねるようにしてください。
ただし、4列目の偽薬で忘れた場合は元々ホルモン剤が入っていない錠剤のため、追加で服用は不要です。
●保険診療の低用量ピル（ヤーズフレックスなど）
《1日飲み忘れの場合》
低用量ピルの服用を中止する必要はありません。
飲み忘れに気づいた時点で前日の分を服用し、本日分はいつも服用している時間に服用します。
本日分を服用する時に前日の飲み忘れに気づいた場合は、その時に前日分と合わせて2錠内服してください。
《2日以上飲み忘れの場合》
気付いた時点で飲み忘れた分の直近の錠剤を内服、本日分はいつもの時間に内服して下さい。
本日分を服用する時に飲み忘れに気づいた場合は、その時に前日分と合わせて2錠内服して下さい。
その後は今までのスケジュール通り内服を続けて下さい。
※個人差はありますが、ホルモンの低下により不正出血が起こる可能性があります。
茶褐色の不正出血なら、ほとんどの場合ピルの服用を続けるとホルモンの量が正常に戻り収まります。
しかし、鮮血の出血や量が多い場合はピルの服用を続けても不正出血が続く可能性があります。
もし鮮血の出血が起きてしまった場合は現在のシートを中断していただき、次回月経が開始して5日以内に新しいシートの1錠目から内服再開してください。
《4日以上飲み忘れた場合》
医師への確認が必要です。
処方された医療機関を受診してご相談ください。"</v>
      </c>
      <c r="C233" s="31" t="str">
        <f>IFERROR(__xludf.DUMMYFUNCTION("""COMPUTED_VALUE"""),"低用量ピル（ピル）")</f>
        <v>低用量ピル（ピル）</v>
      </c>
      <c r="D233" s="31" t="str">
        <f>IFERROR(__xludf.DUMMYFUNCTION("""COMPUTED_VALUE"""),"ピル,飲み忘れ,対処")</f>
        <v>ピル,飲み忘れ,対処</v>
      </c>
      <c r="E233" s="32" t="str">
        <f>IFERROR(__xludf.DUMMYFUNCTION("""COMPUTED_VALUE"""),"https://luna-dr.com/subjects/low-dose-contraceptive/")</f>
        <v>https://luna-dr.com/subjects/low-dose-contraceptive/</v>
      </c>
    </row>
    <row r="234">
      <c r="A234" s="31" t="str">
        <f>IFERROR(__xludf.DUMMYFUNCTION("""COMPUTED_VALUE"""),"ピルを飲むと太りますか？")</f>
        <v>ピルを飲むと太りますか？</v>
      </c>
      <c r="B234" s="31" t="str">
        <f>IFERROR(__xludf.DUMMYFUNCTION("""COMPUTED_VALUE"""),"個人差はありますが、飲み始めにピルのホルモンの影響で食欲が増したり、むくみやすくなったりする方がいらっしゃいます。しかし、多くの場合、体が慣れてホルモンの状態が整ってくると、むくみや食欲も落ち着いてきます。まずは3ヶ月ほど、様子を見ながら服用を続けることをお勧めしています。")</f>
        <v>個人差はありますが、飲み始めにピルのホルモンの影響で食欲が増したり、むくみやすくなったりする方がいらっしゃいます。しかし、多くの場合、体が慣れてホルモンの状態が整ってくると、むくみや食欲も落ち着いてきます。まずは3ヶ月ほど、様子を見ながら服用を続けることをお勧めしています。</v>
      </c>
      <c r="C234" s="31" t="str">
        <f>IFERROR(__xludf.DUMMYFUNCTION("""COMPUTED_VALUE"""),"低用量ピル（ピル）")</f>
        <v>低用量ピル（ピル）</v>
      </c>
      <c r="D234" s="31" t="str">
        <f>IFERROR(__xludf.DUMMYFUNCTION("""COMPUTED_VALUE"""),"ピル,太る,副作用")</f>
        <v>ピル,太る,副作用</v>
      </c>
      <c r="E234" s="32" t="str">
        <f>IFERROR(__xludf.DUMMYFUNCTION("""COMPUTED_VALUE"""),"https://luna-dr.com/subjects/low-dose-contraceptive/")</f>
        <v>https://luna-dr.com/subjects/low-dose-contraceptive/</v>
      </c>
    </row>
    <row r="235">
      <c r="A235" s="31" t="str">
        <f>IFERROR(__xludf.DUMMYFUNCTION("""COMPUTED_VALUE"""),"ピルを飲むと将来妊娠しにくくなりますか？")</f>
        <v>ピルを飲むと将来妊娠しにくくなりますか？</v>
      </c>
      <c r="B235" s="31" t="str">
        <f>IFERROR(__xludf.DUMMYFUNCTION("""COMPUTED_VALUE"""),"低用量ピル（ピル）やアフターピル（緊急避妊薬）は、服用をやめれば排卵が再開し、将来の妊娠能力に影響することはありません。")</f>
        <v>低用量ピル（ピル）やアフターピル（緊急避妊薬）は、服用をやめれば排卵が再開し、将来の妊娠能力に影響することはありません。</v>
      </c>
      <c r="C235" s="31" t="str">
        <f>IFERROR(__xludf.DUMMYFUNCTION("""COMPUTED_VALUE"""),"低用量ピル（ピル）")</f>
        <v>低用量ピル（ピル）</v>
      </c>
      <c r="D235" s="31" t="str">
        <f>IFERROR(__xludf.DUMMYFUNCTION("""COMPUTED_VALUE"""),"ピル,妊娠,将来")</f>
        <v>ピル,妊娠,将来</v>
      </c>
      <c r="E235" s="32" t="str">
        <f>IFERROR(__xludf.DUMMYFUNCTION("""COMPUTED_VALUE"""),"https://luna-dr.com/subjects/low-dose-contraceptive/")</f>
        <v>https://luna-dr.com/subjects/low-dose-contraceptive/</v>
      </c>
    </row>
    <row r="236">
      <c r="A236" s="31" t="str">
        <f>IFERROR(__xludf.DUMMYFUNCTION("""COMPUTED_VALUE"""),"ピルの副作用にはどんなものがありますか？")</f>
        <v>ピルの副作用にはどんなものがありますか？</v>
      </c>
      <c r="B236" s="31" t="str">
        <f>IFERROR(__xludf.DUMMYFUNCTION("""COMPUTED_VALUE"""),"低用量ピル（ピル）の副作用として、吐き気、頭痛、不正出血、むくみなどが起こることがありますが、多くは3〜6ヶ月で軽快します。")</f>
        <v>低用量ピル（ピル）の副作用として、吐き気、頭痛、不正出血、むくみなどが起こることがありますが、多くは3〜6ヶ月で軽快します。</v>
      </c>
      <c r="C236" s="31" t="str">
        <f>IFERROR(__xludf.DUMMYFUNCTION("""COMPUTED_VALUE"""),"低用量ピル（ピル）")</f>
        <v>低用量ピル（ピル）</v>
      </c>
      <c r="D236" s="31" t="str">
        <f>IFERROR(__xludf.DUMMYFUNCTION("""COMPUTED_VALUE"""),"ピル,副作用,吐き気")</f>
        <v>ピル,副作用,吐き気</v>
      </c>
      <c r="E236" s="32" t="str">
        <f>IFERROR(__xludf.DUMMYFUNCTION("""COMPUTED_VALUE"""),"https://luna-dr.com/subjects/low-dose-contraceptive/")</f>
        <v>https://luna-dr.com/subjects/low-dose-contraceptive/</v>
      </c>
    </row>
    <row r="237">
      <c r="A237" s="31" t="str">
        <f>IFERROR(__xludf.DUMMYFUNCTION("""COMPUTED_VALUE"""),"ピルで血栓症になることはありますか？")</f>
        <v>ピルで血栓症になることはありますか？</v>
      </c>
      <c r="B237" s="31" t="str">
        <f>IFERROR(__xludf.DUMMYFUNCTION("""COMPUTED_VALUE"""),"ピルを服用していない人と比べると、血栓症（血管の中に血の塊が詰まる病気）のリスクは高まります。しかし、その頻度は「自動車を運転する人が事故に遭うリスク」とよく比較されます。私たちは、車の運転が危険だからといって、その利便性を手放したりはしませんよね。それと同じで、ピルにも避妊やQOL向上といった、リスクを上回る大きなメリットがあります。当院では、このリスクとメリットを丁寧にご説明し、ご理解いただいた上で処方しています。")</f>
        <v>ピルを服用していない人と比べると、血栓症（血管の中に血の塊が詰まる病気）のリスクは高まります。しかし、その頻度は「自動車を運転する人が事故に遭うリスク」とよく比較されます。私たちは、車の運転が危険だからといって、その利便性を手放したりはしませんよね。それと同じで、ピルにも避妊やQOL向上といった、リスクを上回る大きなメリットがあります。当院では、このリスクとメリットを丁寧にご説明し、ご理解いただいた上で処方しています。</v>
      </c>
      <c r="C237" s="31" t="str">
        <f>IFERROR(__xludf.DUMMYFUNCTION("""COMPUTED_VALUE"""),"低用量ピル（ピル）")</f>
        <v>低用量ピル（ピル）</v>
      </c>
      <c r="D237" s="31" t="str">
        <f>IFERROR(__xludf.DUMMYFUNCTION("""COMPUTED_VALUE"""),"ピル,血栓症,リスク")</f>
        <v>ピル,血栓症,リスク</v>
      </c>
      <c r="E237" s="32" t="str">
        <f>IFERROR(__xludf.DUMMYFUNCTION("""COMPUTED_VALUE"""),"https://luna-dr.com/subjects/low-dose-contraceptive/")</f>
        <v>https://luna-dr.com/subjects/low-dose-contraceptive/</v>
      </c>
    </row>
    <row r="238">
      <c r="A238" s="31" t="str">
        <f>IFERROR(__xludf.DUMMYFUNCTION("""COMPUTED_VALUE"""),"低用量ピルは誰でも飲めますか？")</f>
        <v>低用量ピルは誰でも飲めますか？</v>
      </c>
      <c r="B238" s="31" t="str">
        <f>IFERROR(__xludf.DUMMYFUNCTION("""COMPUTED_VALUE"""),"以下に該当する方は原則としてピルを服用できません。
・50歳以上の方、または初経前の方
・BMIが30以上の方
・35歳以上で1日に15本以上タバコを吸う方
・その他、重い持病をお持ちの方 など
当院では、国のガイドラインに加え、より安全にピルを服用いただくために以下の基準を設けております。
・40歳以上で初めてピルの服用を開始される方
・40歳以上で、喫煙されている方、BMIが25以上の方、高血圧のいずれかに該当する方
上記に当てはまる場合、ピルを処方できない可能性がございます。安全な処方のため"&amp;"、診察時に医師が詳しくお話を伺い、丁寧に判断させていただきます。")</f>
        <v>以下に該当する方は原則としてピルを服用できません。
・50歳以上の方、または初経前の方
・BMIが30以上の方
・35歳以上で1日に15本以上タバコを吸う方
・その他、重い持病をお持ちの方 など
当院では、国のガイドラインに加え、より安全にピルを服用いただくために以下の基準を設けております。
・40歳以上で初めてピルの服用を開始される方
・40歳以上で、喫煙されている方、BMIが25以上の方、高血圧のいずれかに該当する方
上記に当てはまる場合、ピルを処方できない可能性がございます。安全な処方のため、診察時に医師が詳しくお話を伺い、丁寧に判断させていただきます。</v>
      </c>
      <c r="C238" s="31" t="str">
        <f>IFERROR(__xludf.DUMMYFUNCTION("""COMPUTED_VALUE"""),"低用量ピル（ピル）")</f>
        <v>低用量ピル（ピル）</v>
      </c>
      <c r="D238" s="31" t="str">
        <f>IFERROR(__xludf.DUMMYFUNCTION("""COMPUTED_VALUE"""),"ピル,飲めない,人")</f>
        <v>ピル,飲めない,人</v>
      </c>
      <c r="E238" s="32" t="str">
        <f>IFERROR(__xludf.DUMMYFUNCTION("""COMPUTED_VALUE"""),"https://luna-dr.com/subjects/low-dose-contraceptive/")</f>
        <v>https://luna-dr.com/subjects/low-dose-contraceptive/</v>
      </c>
    </row>
    <row r="239">
      <c r="A239" s="31" t="str">
        <f>IFERROR(__xludf.DUMMYFUNCTION("""COMPUTED_VALUE"""),"生理の回数を減らしても体に影響はありませんか？")</f>
        <v>生理の回数を減らしても体に影響はありませんか？</v>
      </c>
      <c r="B239" s="31" t="str">
        <f>IFERROR(__xludf.DUMMYFUNCTION("""COMPUTED_VALUE"""),"大きな害はありませんのでご安心ください。むしろ、生理の回数が減ることで、排卵や月経に伴う身体的・精神的な負担が軽減されます。また、子宮筋腫や子宮内膜症といった、生理がある間は進行しやすい病気の進行を遅らせる効果も期待できます。")</f>
        <v>大きな害はありませんのでご安心ください。むしろ、生理の回数が減ることで、排卵や月経に伴う身体的・精神的な負担が軽減されます。また、子宮筋腫や子宮内膜症といった、生理がある間は進行しやすい病気の進行を遅らせる効果も期待できます。</v>
      </c>
      <c r="C239" s="31" t="str">
        <f>IFERROR(__xludf.DUMMYFUNCTION("""COMPUTED_VALUE"""),"低用量ピル（ピル）")</f>
        <v>低用量ピル（ピル）</v>
      </c>
      <c r="D239" s="31" t="str">
        <f>IFERROR(__xludf.DUMMYFUNCTION("""COMPUTED_VALUE"""),"ピル,生理の回数,影響")</f>
        <v>ピル,生理の回数,影響</v>
      </c>
      <c r="E239" s="32" t="str">
        <f>IFERROR(__xludf.DUMMYFUNCTION("""COMPUTED_VALUE"""),"https://luna-dr.com/subjects/low-dose-contraceptive/")</f>
        <v>https://luna-dr.com/subjects/low-dose-contraceptive/</v>
      </c>
    </row>
    <row r="240">
      <c r="A240" s="31" t="str">
        <f>IFERROR(__xludf.DUMMYFUNCTION("""COMPUTED_VALUE"""),"低用量ピルは初診からオンライン診療で処方できますか？")</f>
        <v>低用量ピルは初診からオンライン診療で処方できますか？</v>
      </c>
      <c r="B240" s="31" t="str">
        <f>IFERROR(__xludf.DUMMYFUNCTION("""COMPUTED_VALUE"""),"避妊目的の低用量ピル（OC）は初診からオンライン診療が可能です。治療目的の低用量ピル（LEP）は初回は検査が必要なため来院診療となります。")</f>
        <v>避妊目的の低用量ピル（OC）は初診からオンライン診療が可能です。治療目的の低用量ピル（LEP）は初回は検査が必要なため来院診療となります。</v>
      </c>
      <c r="C240" s="31" t="str">
        <f>IFERROR(__xludf.DUMMYFUNCTION("""COMPUTED_VALUE"""),"低用量ピル（ピル）")</f>
        <v>低用量ピル（ピル）</v>
      </c>
      <c r="D240" s="31" t="str">
        <f>IFERROR(__xludf.DUMMYFUNCTION("""COMPUTED_VALUE"""),"ピル,初診,オンライン")</f>
        <v>ピル,初診,オンライン</v>
      </c>
      <c r="E240" s="32" t="str">
        <f>IFERROR(__xludf.DUMMYFUNCTION("""COMPUTED_VALUE"""),"https://luna-dr.com/subjects/low-dose-contraceptive/")</f>
        <v>https://luna-dr.com/subjects/low-dose-contraceptive/</v>
      </c>
    </row>
    <row r="241">
      <c r="A241" s="31" t="str">
        <f>IFERROR(__xludf.DUMMYFUNCTION("""COMPUTED_VALUE"""),"アフターピルは初診でもオンライン診療できますか？")</f>
        <v>アフターピルは初診でもオンライン診療できますか？</v>
      </c>
      <c r="B241" s="31" t="str">
        <f>IFERROR(__xludf.DUMMYFUNCTION("""COMPUTED_VALUE"""),"アフターピル（緊急避妊薬）は初診の方でもオンライン診療で相談・処方が可能です。")</f>
        <v>アフターピル（緊急避妊薬）は初診の方でもオンライン診療で相談・処方が可能です。</v>
      </c>
      <c r="C241" s="31" t="str">
        <f>IFERROR(__xludf.DUMMYFUNCTION("""COMPUTED_VALUE"""),"アフターピル（緊急避妊薬）")</f>
        <v>アフターピル（緊急避妊薬）</v>
      </c>
      <c r="D241" s="31" t="str">
        <f>IFERROR(__xludf.DUMMYFUNCTION("""COMPUTED_VALUE"""),"アフターピル,初診,オンライン")</f>
        <v>アフターピル,初診,オンライン</v>
      </c>
      <c r="E241" s="32" t="str">
        <f>IFERROR(__xludf.DUMMYFUNCTION("""COMPUTED_VALUE"""),"https://luna-dr.com/subjects/low-dose-contraceptive/")</f>
        <v>https://luna-dr.com/subjects/low-dose-contraceptive/</v>
      </c>
    </row>
    <row r="242">
      <c r="A242" s="31" t="str">
        <f>IFERROR(__xludf.DUMMYFUNCTION("""COMPUTED_VALUE"""),"ピルの処方には内診がありますか？")</f>
        <v>ピルの処方には内診がありますか？</v>
      </c>
      <c r="B242" s="31" t="str">
        <f>IFERROR(__xludf.DUMMYFUNCTION("""COMPUTED_VALUE"""),"避妊目的の低用量ピル（OC）は問診が中心で、基本的に内診はありません。治療目的（LEP）の場合は検査が必要です。")</f>
        <v>避妊目的の低用量ピル（OC）は問診が中心で、基本的に内診はありません。治療目的（LEP）の場合は検査が必要です。</v>
      </c>
      <c r="C242" s="31" t="str">
        <f>IFERROR(__xludf.DUMMYFUNCTION("""COMPUTED_VALUE"""),"低用量ピル（ピル）")</f>
        <v>低用量ピル（ピル）</v>
      </c>
      <c r="D242" s="31" t="str">
        <f>IFERROR(__xludf.DUMMYFUNCTION("""COMPUTED_VALUE"""),"ピル,内診,不安")</f>
        <v>ピル,内診,不安</v>
      </c>
      <c r="E242" s="32" t="str">
        <f>IFERROR(__xludf.DUMMYFUNCTION("""COMPUTED_VALUE"""),"https://luna-dr.com/subjects/low-dose-contraceptive/")</f>
        <v>https://luna-dr.com/subjects/low-dose-contraceptive/</v>
      </c>
    </row>
    <row r="243">
      <c r="A243" s="31" t="str">
        <f>IFERROR(__xludf.DUMMYFUNCTION("""COMPUTED_VALUE"""),"ピルは保険適用されますか？")</f>
        <v>ピルは保険適用されますか？</v>
      </c>
      <c r="B243" s="31" t="str">
        <f>IFERROR(__xludf.DUMMYFUNCTION("""COMPUTED_VALUE"""),"治療目的の低用量ピル（LEP）は保険適用です。避妊目的の低用量ピル（OC）とアフターピルは自由診療となります。")</f>
        <v>治療目的の低用量ピル（LEP）は保険適用です。避妊目的の低用量ピル（OC）とアフターピルは自由診療となります。</v>
      </c>
      <c r="C243" s="31" t="str">
        <f>IFERROR(__xludf.DUMMYFUNCTION("""COMPUTED_VALUE"""),"低用量ピル（ピル）")</f>
        <v>低用量ピル（ピル）</v>
      </c>
      <c r="D243" s="31" t="str">
        <f>IFERROR(__xludf.DUMMYFUNCTION("""COMPUTED_VALUE"""),"ピル,保険,適用")</f>
        <v>ピル,保険,適用</v>
      </c>
      <c r="E243" s="32" t="str">
        <f>IFERROR(__xludf.DUMMYFUNCTION("""COMPUTED_VALUE"""),"https://luna-dr.com/subjects/low-dose-contraceptive/")</f>
        <v>https://luna-dr.com/subjects/low-dose-contraceptive/</v>
      </c>
    </row>
    <row r="244">
      <c r="A244" s="31" t="str">
        <f>IFERROR(__xludf.DUMMYFUNCTION("""COMPUTED_VALUE"""),"ピルの費用はいくらくらいですか？")</f>
        <v>ピルの費用はいくらくらいですか？</v>
      </c>
      <c r="B244" s="31" t="str">
        <f>IFERROR(__xludf.DUMMYFUNCTION("""COMPUTED_VALUE"""),"低用量ピル（ピル）は1シート3,000円前後から、定期配送プランもあります。診察料が別途かかります。")</f>
        <v>低用量ピル（ピル）は1シート3,000円前後から、定期配送プランもあります。診察料が別途かかります。</v>
      </c>
      <c r="C244" s="31" t="str">
        <f>IFERROR(__xludf.DUMMYFUNCTION("""COMPUTED_VALUE"""),"低用量ピル（ピル）")</f>
        <v>低用量ピル（ピル）</v>
      </c>
      <c r="D244" s="31" t="str">
        <f>IFERROR(__xludf.DUMMYFUNCTION("""COMPUTED_VALUE"""),"ピル,費用,料金")</f>
        <v>ピル,費用,料金</v>
      </c>
      <c r="E244" s="32" t="str">
        <f>IFERROR(__xludf.DUMMYFUNCTION("""COMPUTED_VALUE"""),"https://luna-dr.com/subjects/low-dose-contraceptive/")</f>
        <v>https://luna-dr.com/subjects/low-dose-contraceptive/</v>
      </c>
    </row>
    <row r="245">
      <c r="A245" s="31" t="str">
        <f>IFERROR(__xludf.DUMMYFUNCTION("""COMPUTED_VALUE"""),"ピルの処方はどれくらいまとめてもらえますか？/低用量ピルは何ヶ月分まとめて処方してもらえますか？")</f>
        <v>ピルの処方はどれくらいまとめてもらえますか？/低用量ピルは何ヶ月分まとめて処方してもらえますか？</v>
      </c>
      <c r="B245" s="31" t="str">
        <f>IFERROR(__xludf.DUMMYFUNCTION("""COMPUTED_VALUE"""),"低用量ピル（OC）は最大6ヶ月分、治療目的のLEPは最大3ヶ月分まで処方可能です。")</f>
        <v>低用量ピル（OC）は最大6ヶ月分、治療目的のLEPは最大3ヶ月分まで処方可能です。</v>
      </c>
      <c r="C245" s="31" t="str">
        <f>IFERROR(__xludf.DUMMYFUNCTION("""COMPUTED_VALUE"""),"低用量ピル（ピル）")</f>
        <v>低用量ピル（ピル）</v>
      </c>
      <c r="D245" s="31" t="str">
        <f>IFERROR(__xludf.DUMMYFUNCTION("""COMPUTED_VALUE"""),"ピル,処方,何ヶ月")</f>
        <v>ピル,処方,何ヶ月</v>
      </c>
      <c r="E245" s="32" t="str">
        <f>IFERROR(__xludf.DUMMYFUNCTION("""COMPUTED_VALUE"""),"https://luna-dr.com/subjects/low-dose-contraceptive/")</f>
        <v>https://luna-dr.com/subjects/low-dose-contraceptive/</v>
      </c>
    </row>
    <row r="246">
      <c r="A246" s="31" t="str">
        <f>IFERROR(__xludf.DUMMYFUNCTION("""COMPUTED_VALUE"""),"低用量ピルの処方の流れを教えてください")</f>
        <v>低用量ピルの処方の流れを教えてください</v>
      </c>
      <c r="B246" s="31" t="str">
        <f>IFERROR(__xludf.DUMMYFUNCTION("""COMPUTED_VALUE"""),"ルナレディースクリニックでは、低用量ピルの処方は「来院診療」または「オンライン診療」から選べます。まずは公式LINEからご予約いただき、WEB問診にご回答ください。来院診療の場合は、医師が目的に応じた診察を行い、避妊目的（OCピル）の場合は主に問診のみ、治療目的（LEPピル）の場合は超音波（エコー）検査を行うことがあります。診察後にお薬を処方し、お会計となります。初診時は1シートのみの処方となり、2回目以降はOCピルは最大6ヶ月分、LEPピルは最大3ヶ月分まで処方可能です。オンライン診療は避妊目的の低用量"&amp;"ピル（OC・自費診療）のみ対象で、LINE予約後にWEB問診、電話またはチャットでの診察、決済確認後にお薬を発送します。服用中に不安がある場合は、LINEでいつでもご相談いただけます。")</f>
        <v>ルナレディースクリニックでは、低用量ピルの処方は「来院診療」または「オンライン診療」から選べます。まずは公式LINEからご予約いただき、WEB問診にご回答ください。来院診療の場合は、医師が目的に応じた診察を行い、避妊目的（OCピル）の場合は主に問診のみ、治療目的（LEPピル）の場合は超音波（エコー）検査を行うことがあります。診察後にお薬を処方し、お会計となります。初診時は1シートのみの処方となり、2回目以降はOCピルは最大6ヶ月分、LEPピルは最大3ヶ月分まで処方可能です。オンライン診療は避妊目的の低用量ピル（OC・自費診療）のみ対象で、LINE予約後にWEB問診、電話またはチャットでの診察、決済確認後にお薬を発送します。服用中に不安がある場合は、LINEでいつでもご相談いただけます。</v>
      </c>
      <c r="C246" s="31" t="str">
        <f>IFERROR(__xludf.DUMMYFUNCTION("""COMPUTED_VALUE"""),"低用量ピル（OC,LEP）")</f>
        <v>低用量ピル（OC,LEP）</v>
      </c>
      <c r="D246" s="31" t="str">
        <f>IFERROR(__xludf.DUMMYFUNCTION("""COMPUTED_VALUE"""),"低用量ピル,ピル処方,診察の流れ,来院診療,オンライン診療,避妊,生理痛")</f>
        <v>低用量ピル,ピル処方,診察の流れ,来院診療,オンライン診療,避妊,生理痛</v>
      </c>
      <c r="E246" s="32" t="str">
        <f>IFERROR(__xludf.DUMMYFUNCTION("""COMPUTED_VALUE"""),"https://luna-dr.com/subjects/low-dose-contraceptive/")</f>
        <v>https://luna-dr.com/subjects/low-dose-contraceptive/</v>
      </c>
    </row>
    <row r="247">
      <c r="A247" s="31" t="str">
        <f>IFERROR(__xludf.DUMMYFUNCTION("""COMPUTED_VALUE"""),"ピルの相談はどうやって予約しますか？")</f>
        <v>ピルの相談はどうやって予約しますか？</v>
      </c>
      <c r="B247" s="31" t="str">
        <f>IFERROR(__xludf.DUMMYFUNCTION("""COMPUTED_VALUE"""),"ルナレディースクリニックでは、低用量ピルの診察は公式LINEまたはお電話からご予約いただけます。避妊目的の低用量ピル（OC）の場合は来院診療・オンライン診療のどちらも選択可能です。治療目的の低用量ピル（LEP）の場合は、症状の診察や検査が必要なため、初診・再診にかかわらず必ず【来院】での診療予約をお願いいたします。
来院診療の場合は「ピル処方」のメニューでご予約ください→https://cline-app.com/qr-codes/98ad6f149bfa20f4f2a9a2e91aac4187/pre"&amp;"view
オンライン診療のご予約はこちら→https://liff-gateway.lineml.jp/landing?follow=%40590gpxrd&amp;lp=fX73yx&amp;liff_id=1657094566-LmjNPPbV")</f>
        <v>ルナレディースクリニックでは、低用量ピルの診察は公式LINEまたはお電話からご予約いただけます。避妊目的の低用量ピル（OC）の場合は来院診療・オンライン診療のどちらも選択可能です。治療目的の低用量ピル（LEP）の場合は、症状の診察や検査が必要なため、初診・再診にかかわらず必ず【来院】での診療予約をお願いいたします。
来院診療の場合は「ピル処方」のメニューでご予約ください→https://cline-app.com/qr-codes/98ad6f149bfa20f4f2a9a2e91aac4187/preview
オンライン診療のご予約はこちら→https://liff-gateway.lineml.jp/landing?follow=%40590gpxrd&amp;lp=fX73yx&amp;liff_id=1657094566-LmjNPPbV</v>
      </c>
      <c r="C247" s="31" t="str">
        <f>IFERROR(__xludf.DUMMYFUNCTION("""COMPUTED_VALUE"""),"低用量ピル（ピル）")</f>
        <v>低用量ピル（ピル）</v>
      </c>
      <c r="D247" s="31" t="str">
        <f>IFERROR(__xludf.DUMMYFUNCTION("""COMPUTED_VALUE"""),"ピル,予約,方法")</f>
        <v>ピル,予約,方法</v>
      </c>
      <c r="E247" s="32" t="str">
        <f>IFERROR(__xludf.DUMMYFUNCTION("""COMPUTED_VALUE"""),"https://luna-dr.com/subjects/low-dose-contraceptive/")</f>
        <v>https://luna-dr.com/subjects/low-dose-contraceptive/</v>
      </c>
    </row>
    <row r="248">
      <c r="A248" s="31" t="str">
        <f>IFERROR(__xludf.DUMMYFUNCTION("""COMPUTED_VALUE"""),"低用量ピルはどうやって予約すればいいですか？")</f>
        <v>低用量ピルはどうやって予約すればいいですか？</v>
      </c>
      <c r="B248" s="31" t="str">
        <f>IFERROR(__xludf.DUMMYFUNCTION("""COMPUTED_VALUE"""),"ルナレディースクリニックでは、低用量ピルの診察は公式LINEまたはお電話からご予約いただけます。避妊目的の低用量ピル（OC）の場合は来院診療・オンライン診療のどちらも選択可能です。治療目的の低用量ピル（LEP）の場合は、症状の診察や検査が必要なため、初診・再診にかかわらず必ず【来院】での診療予約をお願いいたします。
来院診療の場合は「ピル処方」のメニューでご予約ください→https://cline-app.com/qr-codes/98ad6f149bfa20f4f2a9a2e91aac4187/pre"&amp;"view
オンライン診療のご予約はこちら→https://liff-gateway.lineml.jp/landing?follow=%40590gpxrd&amp;lp=fX73yx&amp;liff_id=1657094566-LmjNPPbV")</f>
        <v>ルナレディースクリニックでは、低用量ピルの診察は公式LINEまたはお電話からご予約いただけます。避妊目的の低用量ピル（OC）の場合は来院診療・オンライン診療のどちらも選択可能です。治療目的の低用量ピル（LEP）の場合は、症状の診察や検査が必要なため、初診・再診にかかわらず必ず【来院】での診療予約をお願いいたします。
来院診療の場合は「ピル処方」のメニューでご予約ください→https://cline-app.com/qr-codes/98ad6f149bfa20f4f2a9a2e91aac4187/preview
オンライン診療のご予約はこちら→https://liff-gateway.lineml.jp/landing?follow=%40590gpxrd&amp;lp=fX73yx&amp;liff_id=1657094566-LmjNPPbV</v>
      </c>
      <c r="C248" s="31" t="str">
        <f>IFERROR(__xludf.DUMMYFUNCTION("""COMPUTED_VALUE"""),"低用量ピル（OC,LEP）")</f>
        <v>低用量ピル（OC,LEP）</v>
      </c>
      <c r="D248" s="31" t="str">
        <f>IFERROR(__xludf.DUMMYFUNCTION("""COMPUTED_VALUE"""),"予約方法,LINE,電話,ピル")</f>
        <v>予約方法,LINE,電話,ピル</v>
      </c>
      <c r="E248" s="32" t="str">
        <f>IFERROR(__xludf.DUMMYFUNCTION("""COMPUTED_VALUE"""),"https://luna-dr.com/subjects/low-dose-contraceptive/")</f>
        <v>https://luna-dr.com/subjects/low-dose-contraceptive/</v>
      </c>
    </row>
    <row r="249">
      <c r="A249" s="31" t="str">
        <f>IFERROR(__xludf.DUMMYFUNCTION("""COMPUTED_VALUE"""),"低用量ピルはLINEから予約できますか？")</f>
        <v>低用量ピルはLINEから予約できますか？</v>
      </c>
      <c r="B249" s="31" t="str">
        <f>IFERROR(__xludf.DUMMYFUNCTION("""COMPUTED_VALUE"""),"ルナレディースクリニックでは、低用量ピルの診察は公式LINEまたはお電話からご予約いただけます。避妊目的の低用量ピル（OC）の場合は来院診療・オンライン診療のどちらも選択可能です。治療目的の低用量ピル（LEP）の場合は、症状の診察や検査が必要なため、初診・再診にかかわらず必ず【来院】での診療予約をお願いいたします。
来院診療の場合は「ピル処方」のメニューでご予約ください→https://cline-app.com/qr-codes/98ad6f149bfa20f4f2a9a2e91aac4187/pre"&amp;"view
オンライン診療のご予約はこちら→https://liff-gateway.lineml.jp/landing?follow=%40590gpxrd&amp;lp=fX73yx&amp;liff_id=1657094566-LmjNPPbV")</f>
        <v>ルナレディースクリニックでは、低用量ピルの診察は公式LINEまたはお電話からご予約いただけます。避妊目的の低用量ピル（OC）の場合は来院診療・オンライン診療のどちらも選択可能です。治療目的の低用量ピル（LEP）の場合は、症状の診察や検査が必要なため、初診・再診にかかわらず必ず【来院】での診療予約をお願いいたします。
来院診療の場合は「ピル処方」のメニューでご予約ください→https://cline-app.com/qr-codes/98ad6f149bfa20f4f2a9a2e91aac4187/preview
オンライン診療のご予約はこちら→https://liff-gateway.lineml.jp/landing?follow=%40590gpxrd&amp;lp=fX73yx&amp;liff_id=1657094566-LmjNPPbV</v>
      </c>
      <c r="C249" s="31" t="str">
        <f>IFERROR(__xludf.DUMMYFUNCTION("""COMPUTED_VALUE"""),"低用量ピル（OC,LEP）")</f>
        <v>低用量ピル（OC,LEP）</v>
      </c>
      <c r="D249" s="31" t="str">
        <f>IFERROR(__xludf.DUMMYFUNCTION("""COMPUTED_VALUE"""),"LINE予約,婦人科予約,低用量ピル")</f>
        <v>LINE予約,婦人科予約,低用量ピル</v>
      </c>
      <c r="E249" s="32" t="str">
        <f>IFERROR(__xludf.DUMMYFUNCTION("""COMPUTED_VALUE"""),"https://luna-dr.com/subjects/low-dose-contraceptive/")</f>
        <v>https://luna-dr.com/subjects/low-dose-contraceptive/</v>
      </c>
    </row>
    <row r="250">
      <c r="A250" s="31" t="str">
        <f>IFERROR(__xludf.DUMMYFUNCTION("""COMPUTED_VALUE"""),"低用量ピルは電話でも予約できますか？")</f>
        <v>低用量ピルは電話でも予約できますか？</v>
      </c>
      <c r="B250" s="31" t="str">
        <f>IFERROR(__xludf.DUMMYFUNCTION("""COMPUTED_VALUE"""),"LINEでの予約後、事前問診等もLINEから行うことができ、スムーズに受診ができるため、当院ではLINEでのご予約を推奨しております。
来院診療の場合は「ピル処方」のメニューでご予約ください→https://cline-app.com/qr-codes/98ad6f149bfa20f4f2a9a2e91aac4187/preview
オンライン診療のご予約はこちら→https://liff-gateway.lineml.jp/landing?follow=%40590gpxrd&amp;lp=fX73yx&amp;li"&amp;"ff_id=1657094566-LmjNPPbV")</f>
        <v>LINEでの予約後、事前問診等もLINEから行うことができ、スムーズに受診ができるため、当院ではLINEでのご予約を推奨しております。
来院診療の場合は「ピル処方」のメニューでご予約ください→https://cline-app.com/qr-codes/98ad6f149bfa20f4f2a9a2e91aac4187/preview
オンライン診療のご予約はこちら→https://liff-gateway.lineml.jp/landing?follow=%40590gpxrd&amp;lp=fX73yx&amp;liff_id=1657094566-LmjNPPbV</v>
      </c>
      <c r="C250" s="31" t="str">
        <f>IFERROR(__xludf.DUMMYFUNCTION("""COMPUTED_VALUE"""),"低用量ピル（OC,LEP）")</f>
        <v>低用量ピル（OC,LEP）</v>
      </c>
      <c r="D250" s="31" t="str">
        <f>IFERROR(__xludf.DUMMYFUNCTION("""COMPUTED_VALUE"""),"電話予約,問い合わせ,低用量ピル")</f>
        <v>電話予約,問い合わせ,低用量ピル</v>
      </c>
      <c r="E250" s="32" t="str">
        <f>IFERROR(__xludf.DUMMYFUNCTION("""COMPUTED_VALUE"""),"https://luna-dr.com/subjects/low-dose-contraceptive/")</f>
        <v>https://luna-dr.com/subjects/low-dose-contraceptive/</v>
      </c>
    </row>
    <row r="251">
      <c r="A251" s="31" t="str">
        <f>IFERROR(__xludf.DUMMYFUNCTION("""COMPUTED_VALUE"""),"低用量ピルは予約なしでも相談できますか？")</f>
        <v>低用量ピルは予約なしでも相談できますか？</v>
      </c>
      <c r="B251" s="31" t="str">
        <f>IFERROR(__xludf.DUMMYFUNCTION("""COMPUTED_VALUE"""),"来院治療の場合、予約外来院も可能です。スムーズなご案内のため、事前予約をおすすめしています。")</f>
        <v>来院治療の場合、予約外来院も可能です。スムーズなご案内のため、事前予約をおすすめしています。</v>
      </c>
      <c r="C251" s="31" t="str">
        <f>IFERROR(__xludf.DUMMYFUNCTION("""COMPUTED_VALUE"""),"低用量ピル（OC,LEP）")</f>
        <v>低用量ピル（OC,LEP）</v>
      </c>
      <c r="D251" s="31" t="str">
        <f>IFERROR(__xludf.DUMMYFUNCTION("""COMPUTED_VALUE"""),"予約なし,受診,低用量ピル")</f>
        <v>予約なし,受診,低用量ピル</v>
      </c>
      <c r="E251" s="32" t="str">
        <f>IFERROR(__xludf.DUMMYFUNCTION("""COMPUTED_VALUE"""),"https://luna-dr.com/subjects/low-dose-contraceptive/")</f>
        <v>https://luna-dr.com/subjects/low-dose-contraceptive/</v>
      </c>
    </row>
    <row r="252">
      <c r="A252" s="31" t="str">
        <f>IFERROR(__xludf.DUMMYFUNCTION("""COMPUTED_VALUE"""),"低用量ピルの予約前に準備しておくことはありますか？")</f>
        <v>低用量ピルの予約前に準備しておくことはありますか？</v>
      </c>
      <c r="B252" s="31" t="str">
        <f>IFERROR(__xludf.DUMMYFUNCTION("""COMPUTED_VALUE"""),"低用量ピルの診察前にはWEB問診へのご回答をお願いしています。避妊目的（OC）の場合は主に服用目的や体調について、治療目的（LEP）の場合は生理痛や月経状況などについてご入力いただきます。事前に回答いただくことで診察がスムーズに進みます。")</f>
        <v>低用量ピルの診察前にはWEB問診へのご回答をお願いしています。避妊目的（OC）の場合は主に服用目的や体調について、治療目的（LEP）の場合は生理痛や月経状況などについてご入力いただきます。事前に回答いただくことで診察がスムーズに進みます。</v>
      </c>
      <c r="C252" s="31" t="str">
        <f>IFERROR(__xludf.DUMMYFUNCTION("""COMPUTED_VALUE"""),"低用量ピル（OC,LEP）")</f>
        <v>低用量ピル（OC,LEP）</v>
      </c>
      <c r="D252" s="31" t="str">
        <f>IFERROR(__xludf.DUMMYFUNCTION("""COMPUTED_VALUE"""),"WEB問診,事前準備,低用量ピル")</f>
        <v>WEB問診,事前準備,低用量ピル</v>
      </c>
      <c r="E252" s="32" t="str">
        <f>IFERROR(__xludf.DUMMYFUNCTION("""COMPUTED_VALUE"""),"https://luna-dr.com/subjects/low-dose-contraceptive/")</f>
        <v>https://luna-dr.com/subjects/low-dose-contraceptive/</v>
      </c>
    </row>
    <row r="253">
      <c r="A253" s="31" t="str">
        <f>IFERROR(__xludf.DUMMYFUNCTION("""COMPUTED_VALUE"""),"低用量ピルは初診でも予約できますか？")</f>
        <v>低用量ピルは初診でも予約できますか？</v>
      </c>
      <c r="B253" s="31" t="str">
        <f>IFERROR(__xludf.DUMMYFUNCTION("""COMPUTED_VALUE"""),"低用量ピルは初診の方もご予約いただけます。ご予約は公式LINEから受け付けておりますので、友だち追加の上ご利用ください。
※避妊目的の低用量ピル（OC）の場合は来院診療・オンライン診療のどちらも選択可能です。治療目的の低用量ピル（LEP）の場合は、検査が必要なため来院診療での予約をお願いします。
来院診療の場合は「ピル処方」のメニューでご予約ください→https://cline-app.com/qr-codes/98ad6f149bfa20f4f2a9a2e91aac4187/preview
オンライン"&amp;"診療のご予約はこちら→https://liff-gateway.lineml.jp/landing?follow=%40590gpxrd&amp;lp=fX73yx&amp;liff_id=1657094566-LmjNPPbV")</f>
        <v>低用量ピルは初診の方もご予約いただけます。ご予約は公式LINEから受け付けておりますので、友だち追加の上ご利用ください。
※避妊目的の低用量ピル（OC）の場合は来院診療・オンライン診療のどちらも選択可能です。治療目的の低用量ピル（LEP）の場合は、検査が必要なため来院診療での予約をお願いします。
来院診療の場合は「ピル処方」のメニューでご予約ください→https://cline-app.com/qr-codes/98ad6f149bfa20f4f2a9a2e91aac4187/preview
オンライン診療のご予約はこちら→https://liff-gateway.lineml.jp/landing?follow=%40590gpxrd&amp;lp=fX73yx&amp;liff_id=1657094566-LmjNPPbV</v>
      </c>
      <c r="C253" s="31" t="str">
        <f>IFERROR(__xludf.DUMMYFUNCTION("""COMPUTED_VALUE"""),"低用量ピル（OC,LEP）")</f>
        <v>低用量ピル（OC,LEP）</v>
      </c>
      <c r="D253" s="31" t="str">
        <f>IFERROR(__xludf.DUMMYFUNCTION("""COMPUTED_VALUE"""),"初診,予約,低用量ピル")</f>
        <v>初診,予約,低用量ピル</v>
      </c>
      <c r="E253" s="32" t="str">
        <f>IFERROR(__xludf.DUMMYFUNCTION("""COMPUTED_VALUE"""),"https://luna-dr.com/subjects/low-dose-contraceptive/")</f>
        <v>https://luna-dr.com/subjects/low-dose-contraceptive/</v>
      </c>
    </row>
    <row r="254">
      <c r="A254" s="31" t="str">
        <f>IFERROR(__xludf.DUMMYFUNCTION("""COMPUTED_VALUE"""),"低用量ピルは来院とオンライン、どちらで予約できますか？")</f>
        <v>低用量ピルは来院とオンライン、どちらで予約できますか？</v>
      </c>
      <c r="B254" s="31" t="str">
        <f>IFERROR(__xludf.DUMMYFUNCTION("""COMPUTED_VALUE"""),"ルナレディースクリニックでは、低用量ピルのご相談は来院診療とオンライン診療のどちらでも予約が可能です。ご自身のライフスタイルに合わせて選べます。避妊目的の低用量ピル（OC）の場合は来院診療・オンライン診療のどちらも選択可能です。保険適用のピル（LEP）をご希望の場合は、症状の診察や検査が必要なため、初診・再診にかかわらず必ず【来院】での診療予約をお願いいたします。
来院診療の場合は「ピル処方」のメニューでご予約ください→https://cline-app.com/qr-codes/98ad6f149bf"&amp;"a20f4f2a9a2e91aac4187/preview
オンライン診療のご予約はこちら→https://liff-gateway.lineml.jp/landing?follow=%40590gpxrd&amp;lp=fX73yx&amp;liff_id=1657094566-LmjNPPbV")</f>
        <v>ルナレディースクリニックでは、低用量ピルのご相談は来院診療とオンライン診療のどちらでも予約が可能です。ご自身のライフスタイルに合わせて選べます。避妊目的の低用量ピル（OC）の場合は来院診療・オンライン診療のどちらも選択可能です。保険適用のピル（LEP）をご希望の場合は、症状の診察や検査が必要なため、初診・再診にかかわらず必ず【来院】での診療予約をお願いいたします。
来院診療の場合は「ピル処方」のメニューでご予約ください→https://cline-app.com/qr-codes/98ad6f149bfa20f4f2a9a2e91aac4187/preview
オンライン診療のご予約はこちら→https://liff-gateway.lineml.jp/landing?follow=%40590gpxrd&amp;lp=fX73yx&amp;liff_id=1657094566-LmjNPPbV</v>
      </c>
      <c r="C254" s="31" t="str">
        <f>IFERROR(__xludf.DUMMYFUNCTION("""COMPUTED_VALUE"""),"低用量ピル（OC,LEP）")</f>
        <v>低用量ピル（OC,LEP）</v>
      </c>
      <c r="D254" s="31" t="str">
        <f>IFERROR(__xludf.DUMMYFUNCTION("""COMPUTED_VALUE"""),"来院診療,オンライン診療,低用量ピル")</f>
        <v>来院診療,オンライン診療,低用量ピル</v>
      </c>
      <c r="E254" s="32" t="str">
        <f>IFERROR(__xludf.DUMMYFUNCTION("""COMPUTED_VALUE"""),"https://luna-dr.com/subjects/low-dose-contraceptive/")</f>
        <v>https://luna-dr.com/subjects/low-dose-contraceptive/</v>
      </c>
    </row>
    <row r="255">
      <c r="A255" s="31" t="str">
        <f>IFERROR(__xludf.DUMMYFUNCTION("""COMPUTED_VALUE"""),"低用量ピルの診察前にWEB問診は必要ですか？")</f>
        <v>低用量ピルの診察前にWEB問診は必要ですか？</v>
      </c>
      <c r="B255" s="31" t="str">
        <f>IFERROR(__xludf.DUMMYFUNCTION("""COMPUTED_VALUE"""),"低用量ピルの診察前にはWEB問診へのご回答をお願いしています。避妊目的（OC）の場合は主に服用目的や体調について、治療目的（LEP）の場合は生理痛や月経状況などについてご入力いただきます。事前に回答いただくことで診察がスムーズに進みます。")</f>
        <v>低用量ピルの診察前にはWEB問診へのご回答をお願いしています。避妊目的（OC）の場合は主に服用目的や体調について、治療目的（LEP）の場合は生理痛や月経状況などについてご入力いただきます。事前に回答いただくことで診察がスムーズに進みます。</v>
      </c>
      <c r="C255" s="31" t="str">
        <f>IFERROR(__xludf.DUMMYFUNCTION("""COMPUTED_VALUE"""),"低用量ピル（OC,LEP）")</f>
        <v>低用量ピル（OC,LEP）</v>
      </c>
      <c r="D255" s="31" t="str">
        <f>IFERROR(__xludf.DUMMYFUNCTION("""COMPUTED_VALUE"""),"低用量ピル,WEB問診,診察準備,避妊,生理痛")</f>
        <v>低用量ピル,WEB問診,診察準備,避妊,生理痛</v>
      </c>
      <c r="E255" s="32" t="str">
        <f>IFERROR(__xludf.DUMMYFUNCTION("""COMPUTED_VALUE"""),"https://luna-dr.com/subjects/low-dose-contraceptive/")</f>
        <v>https://luna-dr.com/subjects/low-dose-contraceptive/</v>
      </c>
    </row>
    <row r="256">
      <c r="A256" s="31" t="str">
        <f>IFERROR(__xludf.DUMMYFUNCTION("""COMPUTED_VALUE"""),"低用量ピルの診察では何を聞かれますか？")</f>
        <v>低用量ピルの診察では何を聞かれますか？</v>
      </c>
      <c r="B256" s="31" t="str">
        <f>IFERROR(__xludf.DUMMYFUNCTION("""COMPUTED_VALUE"""),"低用量ピルの診察では、服用の目的（避妊か治療か）、これまでの月経状況、体調、既往歴などを確認します。避妊目的（OC）の場合は問診が中心となり、治療目的（LEP）の場合は生理痛や症状の経過について詳しくお伺いします。")</f>
        <v>低用量ピルの診察では、服用の目的（避妊か治療か）、これまでの月経状況、体調、既往歴などを確認します。避妊目的（OC）の場合は問診が中心となり、治療目的（LEP）の場合は生理痛や症状の経過について詳しくお伺いします。</v>
      </c>
      <c r="C256" s="31" t="str">
        <f>IFERROR(__xludf.DUMMYFUNCTION("""COMPUTED_VALUE"""),"低用量ピル（OC,LEP）")</f>
        <v>低用量ピル（OC,LEP）</v>
      </c>
      <c r="D256" s="31" t="str">
        <f>IFERROR(__xludf.DUMMYFUNCTION("""COMPUTED_VALUE"""),"低用量ピル,診察内容,避妊,生理痛")</f>
        <v>低用量ピル,診察内容,避妊,生理痛</v>
      </c>
      <c r="E256" s="32" t="str">
        <f>IFERROR(__xludf.DUMMYFUNCTION("""COMPUTED_VALUE"""),"https://luna-dr.com/subjects/low-dose-contraceptive/")</f>
        <v>https://luna-dr.com/subjects/low-dose-contraceptive/</v>
      </c>
    </row>
    <row r="257">
      <c r="A257" s="31" t="str">
        <f>IFERROR(__xludf.DUMMYFUNCTION("""COMPUTED_VALUE"""),"避妊目的の低用量ピルの診察の流れを教えてください/OCの診察の流れを教えてください")</f>
        <v>避妊目的の低用量ピルの診察の流れを教えてください/OCの診察の流れを教えてください</v>
      </c>
      <c r="B257" s="31" t="str">
        <f>IFERROR(__xludf.DUMMYFUNCTION("""COMPUTED_VALUE"""),"避妊目的の低用量ピル（OC）は、公式LINEまたは電話で予約後、WEB問診に回答し、医師が問診を中心に診察を行います。基本的に内診はありません。ピルの効果や正しい飲み方について説明を受けた後、お薬を処方し、お会計となります。来院診療・オンライン診療のどちらも選択可能です。")</f>
        <v>避妊目的の低用量ピル（OC）は、公式LINEまたは電話で予約後、WEB問診に回答し、医師が問診を中心に診察を行います。基本的に内診はありません。ピルの効果や正しい飲み方について説明を受けた後、お薬を処方し、お会計となります。来院診療・オンライン診療のどちらも選択可能です。</v>
      </c>
      <c r="C257" s="31" t="str">
        <f>IFERROR(__xludf.DUMMYFUNCTION("""COMPUTED_VALUE"""),"低用量ピル（OC）")</f>
        <v>低用量ピル（OC）</v>
      </c>
      <c r="D257" s="31" t="str">
        <f>IFERROR(__xludf.DUMMYFUNCTION("""COMPUTED_VALUE"""),"低用量ピル,OC,避妊,診察の流れ")</f>
        <v>低用量ピル,OC,避妊,診察の流れ</v>
      </c>
      <c r="E257" s="32" t="str">
        <f>IFERROR(__xludf.DUMMYFUNCTION("""COMPUTED_VALUE"""),"https://luna-dr.com/subjects/low-dose-contraceptive/")</f>
        <v>https://luna-dr.com/subjects/low-dose-contraceptive/</v>
      </c>
    </row>
    <row r="258">
      <c r="A258" s="31" t="str">
        <f>IFERROR(__xludf.DUMMYFUNCTION("""COMPUTED_VALUE"""),"治療目的の低用量ピルの診察の流れを教えてください/LEPの診察の流れを教えてください")</f>
        <v>治療目的の低用量ピルの診察の流れを教えてください/LEPの診察の流れを教えてください</v>
      </c>
      <c r="B258" s="31" t="str">
        <f>IFERROR(__xludf.DUMMYFUNCTION("""COMPUTED_VALUE"""),"治療目的の低用量ピル（LEP）は、公式LINEで来院予約後、WEB問診に回答し、医師が診察を行います。生理痛などの原因を確認するため、必要に応じて超音波（エコー）検査を行います。検査結果をもとに症状に合ったピルを提案し、処方・お会計となります。")</f>
        <v>治療目的の低用量ピル（LEP）は、公式LINEで来院予約後、WEB問診に回答し、医師が診察を行います。生理痛などの原因を確認するため、必要に応じて超音波（エコー）検査を行います。検査結果をもとに症状に合ったピルを提案し、処方・お会計となります。</v>
      </c>
      <c r="C258" s="31" t="str">
        <f>IFERROR(__xludf.DUMMYFUNCTION("""COMPUTED_VALUE"""),"低用量ピル（LEP）")</f>
        <v>低用量ピル（LEP）</v>
      </c>
      <c r="D258" s="31" t="str">
        <f>IFERROR(__xludf.DUMMYFUNCTION("""COMPUTED_VALUE"""),"低用量ピル,LEP,生理痛,治療,診察の流れ")</f>
        <v>低用量ピル,LEP,生理痛,治療,診察の流れ</v>
      </c>
      <c r="E258" s="32" t="str">
        <f>IFERROR(__xludf.DUMMYFUNCTION("""COMPUTED_VALUE"""),"https://luna-dr.com/subjects/low-dose-contraceptive/")</f>
        <v>https://luna-dr.com/subjects/low-dose-contraceptive/</v>
      </c>
    </row>
    <row r="259">
      <c r="A259" s="31" t="str">
        <f>IFERROR(__xludf.DUMMYFUNCTION("""COMPUTED_VALUE"""),"低用量ピルの初診当日はどこまで進みますか？")</f>
        <v>低用量ピルの初診当日はどこまで進みますか？</v>
      </c>
      <c r="B259" s="31" t="str">
        <f>IFERROR(__xludf.DUMMYFUNCTION("""COMPUTED_VALUE"""),"低用量ピルの初診当日は、問診・診察（治療目的の場合は検査）まで行い、その日のうちにお薬を処方します。初診時はお薬が体に合うか確認するため、1シートのみの処方となります。")</f>
        <v>低用量ピルの初診当日は、問診・診察（治療目的の場合は検査）まで行い、その日のうちにお薬を処方します。初診時はお薬が体に合うか確認するため、1シートのみの処方となります。</v>
      </c>
      <c r="C259" s="31" t="str">
        <f>IFERROR(__xludf.DUMMYFUNCTION("""COMPUTED_VALUE"""),"低用量ピル（OC,LEP）")</f>
        <v>低用量ピル（OC,LEP）</v>
      </c>
      <c r="D259" s="31" t="str">
        <f>IFERROR(__xludf.DUMMYFUNCTION("""COMPUTED_VALUE"""),"低用量ピル,初診,当日の流れ")</f>
        <v>低用量ピル,初診,当日の流れ</v>
      </c>
      <c r="E259" s="32" t="str">
        <f>IFERROR(__xludf.DUMMYFUNCTION("""COMPUTED_VALUE"""),"https://luna-dr.com/subjects/low-dose-contraceptive/")</f>
        <v>https://luna-dr.com/subjects/low-dose-contraceptive/</v>
      </c>
    </row>
    <row r="260">
      <c r="A260" s="31" t="str">
        <f>IFERROR(__xludf.DUMMYFUNCTION("""COMPUTED_VALUE"""),"低用量ピルは何ヶ月分まとめて処方してもらえますか？")</f>
        <v>低用量ピルは何ヶ月分まとめて処方してもらえますか？</v>
      </c>
      <c r="B260" s="31" t="str">
        <f>IFERROR(__xludf.DUMMYFUNCTION("""COMPUTED_VALUE"""),"2回目以降は、避妊目的の低用量ピル（OC）は最大6ヶ月分、治療目的の低用量ピル（LEP）は最大3ヶ月分までまとめて処方することが可能です。")</f>
        <v>2回目以降は、避妊目的の低用量ピル（OC）は最大6ヶ月分、治療目的の低用量ピル（LEP）は最大3ヶ月分までまとめて処方することが可能です。</v>
      </c>
      <c r="C260" s="31" t="str">
        <f>IFERROR(__xludf.DUMMYFUNCTION("""COMPUTED_VALUE"""),"低用量ピル（OC,LEP）")</f>
        <v>低用量ピル（OC,LEP）</v>
      </c>
      <c r="D260" s="31" t="str">
        <f>IFERROR(__xludf.DUMMYFUNCTION("""COMPUTED_VALUE"""),"低用量ピル,処方日数,継続")</f>
        <v>低用量ピル,処方日数,継続</v>
      </c>
      <c r="E260" s="32" t="str">
        <f>IFERROR(__xludf.DUMMYFUNCTION("""COMPUTED_VALUE"""),"https://luna-dr.com/subjects/low-dose-contraceptive/")</f>
        <v>https://luna-dr.com/subjects/low-dose-contraceptive/</v>
      </c>
    </row>
    <row r="261">
      <c r="A261" s="31" t="str">
        <f>IFERROR(__xludf.DUMMYFUNCTION("""COMPUTED_VALUE"""),"低用量ピルの診察後の支払いはいつ行いますか？")</f>
        <v>低用量ピルの診察後の支払いはいつ行いますか？</v>
      </c>
      <c r="B261" s="31" t="str">
        <f>IFERROR(__xludf.DUMMYFUNCTION("""COMPUTED_VALUE"""),"低用量ピルの診察後、処方内容が決まった時点でお会計となります。オンライン診療の場合は、診察後に送付される決済リンクからお支払いください。")</f>
        <v>低用量ピルの診察後、処方内容が決まった時点でお会計となります。オンライン診療の場合は、診察後に送付される決済リンクからお支払いください。</v>
      </c>
      <c r="C261" s="31" t="str">
        <f>IFERROR(__xludf.DUMMYFUNCTION("""COMPUTED_VALUE"""),"低用量ピル（OC,LEP）")</f>
        <v>低用量ピル（OC,LEP）</v>
      </c>
      <c r="D261" s="31" t="str">
        <f>IFERROR(__xludf.DUMMYFUNCTION("""COMPUTED_VALUE"""),"低用量ピル,支払い,会計")</f>
        <v>低用量ピル,支払い,会計</v>
      </c>
      <c r="E261" s="32" t="str">
        <f>IFERROR(__xludf.DUMMYFUNCTION("""COMPUTED_VALUE"""),"https://luna-dr.com/subjects/low-dose-contraceptive/")</f>
        <v>https://luna-dr.com/subjects/low-dose-contraceptive/</v>
      </c>
    </row>
    <row r="262">
      <c r="A262" s="31" t="str">
        <f>IFERROR(__xludf.DUMMYFUNCTION("""COMPUTED_VALUE"""),"低用量ピルはオンライン診療でも処方できますか？")</f>
        <v>低用量ピルはオンライン診療でも処方できますか？</v>
      </c>
      <c r="B262" s="31" t="str">
        <f>IFERROR(__xludf.DUMMYFUNCTION("""COMPUTED_VALUE"""),"避妊目的の低用量ピル（OC）は初診からオンライン診療で処方可能です。一方、治療目的の低用量ピル（LEP）は検査が必要なため、初診・再診にかかわらず来院診療となります。")</f>
        <v>避妊目的の低用量ピル（OC）は初診からオンライン診療で処方可能です。一方、治療目的の低用量ピル（LEP）は検査が必要なため、初診・再診にかかわらず来院診療となります。</v>
      </c>
      <c r="C262" s="31" t="str">
        <f>IFERROR(__xludf.DUMMYFUNCTION("""COMPUTED_VALUE"""),"低用量ピル（OC,LEP）")</f>
        <v>低用量ピル（OC,LEP）</v>
      </c>
      <c r="D262" s="31" t="str">
        <f>IFERROR(__xludf.DUMMYFUNCTION("""COMPUTED_VALUE"""),"低用量ピル,オンライン診療,避妊,生理痛")</f>
        <v>低用量ピル,オンライン診療,避妊,生理痛</v>
      </c>
      <c r="E262" s="32" t="str">
        <f>IFERROR(__xludf.DUMMYFUNCTION("""COMPUTED_VALUE"""),"https://luna-dr.com/subjects/low-dose-contraceptive/")</f>
        <v>https://luna-dr.com/subjects/low-dose-contraceptive/</v>
      </c>
    </row>
    <row r="263">
      <c r="A263" s="31" t="str">
        <f>IFERROR(__xludf.DUMMYFUNCTION("""COMPUTED_VALUE"""),"オンライン診療で低用量ピルを処方してもらう流れを教えてください")</f>
        <v>オンライン診療で低用量ピルを処方してもらう流れを教えてください</v>
      </c>
      <c r="B263" s="31" t="str">
        <f>IFERROR(__xludf.DUMMYFUNCTION("""COMPUTED_VALUE"""),"オンライン診療は避妊目的の低用量ピル（OC）のみ対象です。公式LINEからオンライン診療を予約し、WEB問診に回答後、予約時間に医師が電話またはチャットで診察を行います。診察後に決済を行い、確認後にお薬を発送します。")</f>
        <v>オンライン診療は避妊目的の低用量ピル（OC）のみ対象です。公式LINEからオンライン診療を予約し、WEB問診に回答後、予約時間に医師が電話またはチャットで診察を行います。診察後に決済を行い、確認後にお薬を発送します。</v>
      </c>
      <c r="C263" s="31" t="str">
        <f>IFERROR(__xludf.DUMMYFUNCTION("""COMPUTED_VALUE"""),"低用量ピル（OC）")</f>
        <v>低用量ピル（OC）</v>
      </c>
      <c r="D263" s="31" t="str">
        <f>IFERROR(__xludf.DUMMYFUNCTION("""COMPUTED_VALUE"""),"低用量ピル,オンライン診療,OC,処方の流れ")</f>
        <v>低用量ピル,オンライン診療,OC,処方の流れ</v>
      </c>
      <c r="E263" s="32" t="str">
        <f>IFERROR(__xludf.DUMMYFUNCTION("""COMPUTED_VALUE"""),"https://luna-dr.com/subjects/low-dose-contraceptive/")</f>
        <v>https://luna-dr.com/subjects/low-dose-contraceptive/</v>
      </c>
    </row>
    <row r="264">
      <c r="A264" s="31" t="str">
        <f>IFERROR(__xludf.DUMMYFUNCTION("""COMPUTED_VALUE"""),"低用量ピルの処方後、相談はできますか？")</f>
        <v>低用量ピルの処方後、相談はできますか？</v>
      </c>
      <c r="B264" s="31" t="str">
        <f>IFERROR(__xludf.DUMMYFUNCTION("""COMPUTED_VALUE"""),"低用量ピルの服用中に不安なことや副作用について気になる点があれば、LINEでいつでもご相談いただけます。")</f>
        <v>低用量ピルの服用中に不安なことや副作用について気になる点があれば、LINEでいつでもご相談いただけます。</v>
      </c>
      <c r="C264" s="31" t="str">
        <f>IFERROR(__xludf.DUMMYFUNCTION("""COMPUTED_VALUE"""),"低用量ピル（OC,LEP）")</f>
        <v>低用量ピル（OC,LEP）</v>
      </c>
      <c r="D264" s="31" t="str">
        <f>IFERROR(__xludf.DUMMYFUNCTION("""COMPUTED_VALUE"""),"低用量ピル,アフターフォロー,相談")</f>
        <v>低用量ピル,アフターフォロー,相談</v>
      </c>
      <c r="E264" s="32" t="str">
        <f>IFERROR(__xludf.DUMMYFUNCTION("""COMPUTED_VALUE"""),"https://luna-dr.com/subjects/low-dose-contraceptive/")</f>
        <v>https://luna-dr.com/subjects/low-dose-contraceptive/</v>
      </c>
    </row>
    <row r="265">
      <c r="A265" s="31" t="str">
        <f>IFERROR(__xludf.DUMMYFUNCTION("""COMPUTED_VALUE"""),"低用量ピルの診察では何を聞かれますか？")</f>
        <v>低用量ピルの診察では何を聞かれますか？</v>
      </c>
      <c r="B265" s="31" t="str">
        <f>IFERROR(__xludf.DUMMYFUNCTION("""COMPUTED_VALUE"""),"低用量ピルの診察では、服用目的（避妊・生理痛・PMSなど）、月経周期、体調、既往歴、喫煙の有無などについて確認します。目的に応じて診察内容が異なります。")</f>
        <v>低用量ピルの診察では、服用目的（避妊・生理痛・PMSなど）、月経周期、体調、既往歴、喫煙の有無などについて確認します。目的に応じて診察内容が異なります。</v>
      </c>
      <c r="C265" s="31" t="str">
        <f>IFERROR(__xludf.DUMMYFUNCTION("""COMPUTED_VALUE"""),"低用量ピル（OC,LEP）")</f>
        <v>低用量ピル（OC,LEP）</v>
      </c>
      <c r="D265" s="31" t="str">
        <f>IFERROR(__xludf.DUMMYFUNCTION("""COMPUTED_VALUE"""),"低用量ピル,診察内容,問診,ピル相談")</f>
        <v>低用量ピル,診察内容,問診,ピル相談</v>
      </c>
      <c r="E265" s="32" t="str">
        <f>IFERROR(__xludf.DUMMYFUNCTION("""COMPUTED_VALUE"""),"https://luna-dr.com/subjects/low-dose-contraceptive/")</f>
        <v>https://luna-dr.com/subjects/low-dose-contraceptive/</v>
      </c>
    </row>
    <row r="266">
      <c r="A266" s="31" t="str">
        <f>IFERROR(__xludf.DUMMYFUNCTION("""COMPUTED_VALUE"""),"避妊目的の低用量ピル（OC）の診察の流れを教えてください")</f>
        <v>避妊目的の低用量ピル（OC）の診察の流れを教えてください</v>
      </c>
      <c r="B266" s="31" t="str">
        <f>IFERROR(__xludf.DUMMYFUNCTION("""COMPUTED_VALUE"""),"避妊目的の低用量ピル（OC）は、主に問診を中心とした診察で処方します。基本的に内診や検査は行わず、医師がピルの効果や飲み方、副作用について説明したうえで処方します。")</f>
        <v>避妊目的の低用量ピル（OC）は、主に問診を中心とした診察で処方します。基本的に内診や検査は行わず、医師がピルの効果や飲み方、副作用について説明したうえで処方します。</v>
      </c>
      <c r="C266" s="31" t="str">
        <f>IFERROR(__xludf.DUMMYFUNCTION("""COMPUTED_VALUE"""),"低用量ピル（OC）")</f>
        <v>低用量ピル（OC）</v>
      </c>
      <c r="D266" s="31" t="str">
        <f>IFERROR(__xludf.DUMMYFUNCTION("""COMPUTED_VALUE"""),"低用量ピル,OC,避妊,診察の流れ")</f>
        <v>低用量ピル,OC,避妊,診察の流れ</v>
      </c>
      <c r="E266" s="32" t="str">
        <f>IFERROR(__xludf.DUMMYFUNCTION("""COMPUTED_VALUE"""),"https://luna-dr.com/subjects/low-dose-contraceptive/")</f>
        <v>https://luna-dr.com/subjects/low-dose-contraceptive/</v>
      </c>
    </row>
    <row r="267">
      <c r="A267" s="31" t="str">
        <f>IFERROR(__xludf.DUMMYFUNCTION("""COMPUTED_VALUE"""),"治療目的の低用量ピル（LEP）の診察の流れを教えてください")</f>
        <v>治療目的の低用量ピル（LEP）の診察の流れを教えてください</v>
      </c>
      <c r="B267" s="31" t="str">
        <f>IFERROR(__xludf.DUMMYFUNCTION("""COMPUTED_VALUE"""),"生理痛やPMSなど治療目的の低用量ピル（LEP）の場合、問診に加えて超音波（エコー）検査などを行い、症状の原因を確認したうえで処方します。")</f>
        <v>生理痛やPMSなど治療目的の低用量ピル（LEP）の場合、問診に加えて超音波（エコー）検査などを行い、症状の原因を確認したうえで処方します。</v>
      </c>
      <c r="C267" s="31" t="str">
        <f>IFERROR(__xludf.DUMMYFUNCTION("""COMPUTED_VALUE"""),"低用量ピル（LEP）")</f>
        <v>低用量ピル（LEP）</v>
      </c>
      <c r="D267" s="31" t="str">
        <f>IFERROR(__xludf.DUMMYFUNCTION("""COMPUTED_VALUE"""),"低用量ピル,LEP,生理痛,診察の流れ")</f>
        <v>低用量ピル,LEP,生理痛,診察の流れ</v>
      </c>
      <c r="E267" s="32" t="str">
        <f>IFERROR(__xludf.DUMMYFUNCTION("""COMPUTED_VALUE"""),"https://luna-dr.com/subjects/low-dose-contraceptive/")</f>
        <v>https://luna-dr.com/subjects/low-dose-contraceptive/</v>
      </c>
    </row>
    <row r="268">
      <c r="A268" s="31" t="str">
        <f>IFERROR(__xludf.DUMMYFUNCTION("""COMPUTED_VALUE"""),"低用量ピルの診察後の支払いはいつ行いますか？")</f>
        <v>低用量ピルの診察後の支払いはいつ行いますか？</v>
      </c>
      <c r="B268" s="31" t="str">
        <f>IFERROR(__xludf.DUMMYFUNCTION("""COMPUTED_VALUE"""),"低用量ピルの診察後に、お会計となります。来院診療の場合はその場で、オンライン診療の場合は決済リンクからお支払いを行います。")</f>
        <v>低用量ピルの診察後に、お会計となります。来院診療の場合はその場で、オンライン診療の場合は決済リンクからお支払いを行います。</v>
      </c>
      <c r="C268" s="31" t="str">
        <f>IFERROR(__xludf.DUMMYFUNCTION("""COMPUTED_VALUE"""),"低用量ピル（OC,LEP）")</f>
        <v>低用量ピル（OC,LEP）</v>
      </c>
      <c r="D268" s="31" t="str">
        <f>IFERROR(__xludf.DUMMYFUNCTION("""COMPUTED_VALUE"""),"低用量ピル,支払い,会計,ピル処方")</f>
        <v>低用量ピル,支払い,会計,ピル処方</v>
      </c>
      <c r="E268" s="32" t="str">
        <f>IFERROR(__xludf.DUMMYFUNCTION("""COMPUTED_VALUE"""),"https://luna-dr.com/subjects/low-dose-contraceptive/")</f>
        <v>https://luna-dr.com/subjects/low-dose-contraceptive/</v>
      </c>
    </row>
    <row r="269">
      <c r="A269" s="31" t="str">
        <f>IFERROR(__xludf.DUMMYFUNCTION("""COMPUTED_VALUE"""),"低用量ピルはオンライン診療でも処方できますか？")</f>
        <v>低用量ピルはオンライン診療でも処方できますか？</v>
      </c>
      <c r="B269" s="31" t="str">
        <f>IFERROR(__xludf.DUMMYFUNCTION("""COMPUTED_VALUE"""),"避妊目的の低用量ピル（OC）は、初診からオンライン診療で処方が可能です。一方、治療目的の低用量ピル（LEP）は検査が必要なため、来院診療となります。")</f>
        <v>避妊目的の低用量ピル（OC）は、初診からオンライン診療で処方が可能です。一方、治療目的の低用量ピル（LEP）は検査が必要なため、来院診療となります。</v>
      </c>
      <c r="C269" s="31" t="str">
        <f>IFERROR(__xludf.DUMMYFUNCTION("""COMPUTED_VALUE"""),"低用量ピル（OC,LEP）")</f>
        <v>低用量ピル（OC,LEP）</v>
      </c>
      <c r="D269" s="31" t="str">
        <f>IFERROR(__xludf.DUMMYFUNCTION("""COMPUTED_VALUE"""),"低用量ピル,オンライン診療,来院診療,ピル処方")</f>
        <v>低用量ピル,オンライン診療,来院診療,ピル処方</v>
      </c>
      <c r="E269" s="32" t="str">
        <f>IFERROR(__xludf.DUMMYFUNCTION("""COMPUTED_VALUE"""),"https://luna-dr.com/subjects/low-dose-contraceptive/")</f>
        <v>https://luna-dr.com/subjects/low-dose-contraceptive/</v>
      </c>
    </row>
    <row r="270">
      <c r="A270" s="31" t="str">
        <f>IFERROR(__xludf.DUMMYFUNCTION("""COMPUTED_VALUE"""),"オンライン診療で低用量ピルを処方してもらう流れを教えてください")</f>
        <v>オンライン診療で低用量ピルを処方してもらう流れを教えてください</v>
      </c>
      <c r="B270" s="31" t="str">
        <f>IFERROR(__xludf.DUMMYFUNCTION("""COMPUTED_VALUE"""),"公式LINEからオンライン診療を予約し、WEB問診に回答後、医師が電話またはチャットで診察を行います。診察後は決済確認後にお薬を発送します。避妊目的の低用量ピル（OC）は、初診からオンライン診療で処方が可能ですが、治療目的の低用量ピル（LEP）は検査が必要なため、来院診療となりますのでご注意ください。")</f>
        <v>公式LINEからオンライン診療を予約し、WEB問診に回答後、医師が電話またはチャットで診察を行います。診察後は決済確認後にお薬を発送します。避妊目的の低用量ピル（OC）は、初診からオンライン診療で処方が可能ですが、治療目的の低用量ピル（LEP）は検査が必要なため、来院診療となりますのでご注意ください。</v>
      </c>
      <c r="C270" s="31" t="str">
        <f>IFERROR(__xludf.DUMMYFUNCTION("""COMPUTED_VALUE"""),"低用量ピル（OC）")</f>
        <v>低用量ピル（OC）</v>
      </c>
      <c r="D270" s="31" t="str">
        <f>IFERROR(__xludf.DUMMYFUNCTION("""COMPUTED_VALUE"""),"低用量ピル,オンライン診療,診察の流れ,ピル郵送")</f>
        <v>低用量ピル,オンライン診療,診察の流れ,ピル郵送</v>
      </c>
      <c r="E270" s="32" t="str">
        <f>IFERROR(__xludf.DUMMYFUNCTION("""COMPUTED_VALUE"""),"https://luna-dr.com/subjects/low-dose-contraceptive/")</f>
        <v>https://luna-dr.com/subjects/low-dose-contraceptive/</v>
      </c>
    </row>
    <row r="271">
      <c r="A271" s="31" t="str">
        <f>IFERROR(__xludf.DUMMYFUNCTION("""COMPUTED_VALUE"""),"低用量ピルの処方後、相談はできますか？")</f>
        <v>低用量ピルの処方後、相談はできますか？</v>
      </c>
      <c r="B271" s="31" t="str">
        <f>IFERROR(__xludf.DUMMYFUNCTION("""COMPUTED_VALUE"""),"低用量ピルの服用中に不安なことがある場合は、LINEからいつでもご相談いただけます。")</f>
        <v>低用量ピルの服用中に不安なことがある場合は、LINEからいつでもご相談いただけます。</v>
      </c>
      <c r="C271" s="31" t="str">
        <f>IFERROR(__xludf.DUMMYFUNCTION("""COMPUTED_VALUE"""),"低用量ピル（OC,LEP）")</f>
        <v>低用量ピル（OC,LEP）</v>
      </c>
      <c r="D271" s="31" t="str">
        <f>IFERROR(__xludf.DUMMYFUNCTION("""COMPUTED_VALUE"""),"低用量ピル,アフターフォロー,LINE相談,ピル不安")</f>
        <v>低用量ピル,アフターフォロー,LINE相談,ピル不安</v>
      </c>
      <c r="E271" s="32" t="str">
        <f>IFERROR(__xludf.DUMMYFUNCTION("""COMPUTED_VALUE"""),"https://luna-dr.com/subjects/low-dose-contraceptive/")</f>
        <v>https://luna-dr.com/subjects/low-dose-contraceptive/</v>
      </c>
    </row>
    <row r="272">
      <c r="A272" s="31" t="str">
        <f>IFERROR(__xludf.DUMMYFUNCTION("""COMPUTED_VALUE"""),"アフターピルとは何ですか？")</f>
        <v>アフターピルとは何ですか？</v>
      </c>
      <c r="B272" s="31" t="str">
        <f>IFERROR(__xludf.DUMMYFUNCTION("""COMPUTED_VALUE"""),"アフターピル（緊急避妊薬）とは、避妊に失敗した、または避妊をせずに性行為をしてしまった後に、妊娠を防ぐために服用するお薬です。性行為後できるだけ早く服用することで、高い避妊効果が期待できます。")</f>
        <v>アフターピル（緊急避妊薬）とは、避妊に失敗した、または避妊をせずに性行為をしてしまった後に、妊娠を防ぐために服用するお薬です。性行為後できるだけ早く服用することで、高い避妊効果が期待できます。</v>
      </c>
      <c r="C272" s="31" t="str">
        <f>IFERROR(__xludf.DUMMYFUNCTION("""COMPUTED_VALUE"""),"アフターピル（緊急避妊薬）")</f>
        <v>アフターピル（緊急避妊薬）</v>
      </c>
      <c r="D272" s="31" t="str">
        <f>IFERROR(__xludf.DUMMYFUNCTION("""COMPUTED_VALUE"""),"アフターピル,緊急避妊薬,妊娠防止")</f>
        <v>アフターピル,緊急避妊薬,妊娠防止</v>
      </c>
      <c r="E272" s="32" t="str">
        <f>IFERROR(__xludf.DUMMYFUNCTION("""COMPUTED_VALUE"""),"https://luna-dr.com/subjects/after-pill_page/")</f>
        <v>https://luna-dr.com/subjects/after-pill_page/</v>
      </c>
    </row>
    <row r="273">
      <c r="A273" s="31" t="str">
        <f>IFERROR(__xludf.DUMMYFUNCTION("""COMPUTED_VALUE"""),"緊急避妊とは何ですか？")</f>
        <v>緊急避妊とは何ですか？</v>
      </c>
      <c r="B273" s="31" t="str">
        <f>IFERROR(__xludf.DUMMYFUNCTION("""COMPUTED_VALUE"""),"緊急避妊とは、性行為後に妊娠を防ぐために行う避妊方法のことです。主にアフターピル（緊急避妊薬）を服用する方法があります。")</f>
        <v>緊急避妊とは、性行為後に妊娠を防ぐために行う避妊方法のことです。主にアフターピル（緊急避妊薬）を服用する方法があります。</v>
      </c>
      <c r="C273" s="31" t="str">
        <f>IFERROR(__xludf.DUMMYFUNCTION("""COMPUTED_VALUE"""),"アフターピル（緊急避妊薬）")</f>
        <v>アフターピル（緊急避妊薬）</v>
      </c>
      <c r="D273" s="31" t="str">
        <f>IFERROR(__xludf.DUMMYFUNCTION("""COMPUTED_VALUE"""),"緊急避妊,アフターピル,妊娠回避")</f>
        <v>緊急避妊,アフターピル,妊娠回避</v>
      </c>
      <c r="E273" s="32" t="str">
        <f>IFERROR(__xludf.DUMMYFUNCTION("""COMPUTED_VALUE"""),"https://luna-dr.com/subjects/after-pill_page/")</f>
        <v>https://luna-dr.com/subjects/after-pill_page/</v>
      </c>
    </row>
    <row r="274">
      <c r="A274" s="31" t="str">
        <f>IFERROR(__xludf.DUMMYFUNCTION("""COMPUTED_VALUE"""),"どんなときにアフターピルを使いますか？")</f>
        <v>どんなときにアフターピルを使いますか？</v>
      </c>
      <c r="B274" s="31" t="str">
        <f>IFERROR(__xludf.DUMMYFUNCTION("""COMPUTED_VALUE"""),"避妊をしなかった場合や、コンドームが破れた・外れたなど、妊娠の可能性がある性行為があった場合に使用します。")</f>
        <v>避妊をしなかった場合や、コンドームが破れた・外れたなど、妊娠の可能性がある性行為があった場合に使用します。</v>
      </c>
      <c r="C274" s="31" t="str">
        <f>IFERROR(__xludf.DUMMYFUNCTION("""COMPUTED_VALUE"""),"アフターピル（緊急避妊薬）")</f>
        <v>アフターピル（緊急避妊薬）</v>
      </c>
      <c r="D274" s="31" t="str">
        <f>IFERROR(__xludf.DUMMYFUNCTION("""COMPUTED_VALUE"""),"アフターピル,避妊失敗,妊娠不安")</f>
        <v>アフターピル,避妊失敗,妊娠不安</v>
      </c>
      <c r="E274" s="32" t="str">
        <f>IFERROR(__xludf.DUMMYFUNCTION("""COMPUTED_VALUE"""),"https://luna-dr.com/subjects/after-pill_page/")</f>
        <v>https://luna-dr.com/subjects/after-pill_page/</v>
      </c>
    </row>
    <row r="275">
      <c r="A275" s="31" t="str">
        <f>IFERROR(__xludf.DUMMYFUNCTION("""COMPUTED_VALUE"""),"低用量ピルとアフターピルの違いは何ですか？")</f>
        <v>低用量ピルとアフターピルの違いは何ですか？</v>
      </c>
      <c r="B275" s="31" t="str">
        <f>IFERROR(__xludf.DUMMYFUNCTION("""COMPUTED_VALUE"""),"低用量ピルは毎日服用して妊娠を防ぐお薬であるのに対し、アフターピルは性行為後に緊急的に服用するお薬です。目的と飲み方が異なります。")</f>
        <v>低用量ピルは毎日服用して妊娠を防ぐお薬であるのに対し、アフターピルは性行為後に緊急的に服用するお薬です。目的と飲み方が異なります。</v>
      </c>
      <c r="C275" s="31" t="str">
        <f>IFERROR(__xludf.DUMMYFUNCTION("""COMPUTED_VALUE"""),"アフターピル（緊急避妊薬）")</f>
        <v>アフターピル（緊急避妊薬）</v>
      </c>
      <c r="D275" s="31" t="str">
        <f>IFERROR(__xludf.DUMMYFUNCTION("""COMPUTED_VALUE"""),"アフターピル,低用量ピル,違い")</f>
        <v>アフターピル,低用量ピル,違い</v>
      </c>
      <c r="E275" s="32" t="str">
        <f>IFERROR(__xludf.DUMMYFUNCTION("""COMPUTED_VALUE"""),"https://luna-dr.com/subjects/after-pill_page/")</f>
        <v>https://luna-dr.com/subjects/after-pill_page/</v>
      </c>
    </row>
    <row r="276">
      <c r="A276" s="31" t="str">
        <f>IFERROR(__xludf.DUMMYFUNCTION("""COMPUTED_VALUE"""),"アフターピルは何回使っても大丈夫ですか？")</f>
        <v>アフターピルは何回使っても大丈夫ですか？</v>
      </c>
      <c r="B276" s="31" t="str">
        <f>IFERROR(__xludf.DUMMYFUNCTION("""COMPUTED_VALUE"""),"アフターピルは緊急時の避妊法として使用されるお薬で、将来の妊娠能力に影響するという報告はありません。ただし、繰り返し使用する場合は、継続的な避妊方法についての相談をおすすめします。")</f>
        <v>アフターピルは緊急時の避妊法として使用されるお薬で、将来の妊娠能力に影響するという報告はありません。ただし、繰り返し使用する場合は、継続的な避妊方法についての相談をおすすめします。</v>
      </c>
      <c r="C276" s="31" t="str">
        <f>IFERROR(__xludf.DUMMYFUNCTION("""COMPUTED_VALUE"""),"アフターピル（緊急避妊薬）")</f>
        <v>アフターピル（緊急避妊薬）</v>
      </c>
      <c r="D276" s="31" t="str">
        <f>IFERROR(__xludf.DUMMYFUNCTION("""COMPUTED_VALUE"""),"アフターピル,繰り返し使用,安全性")</f>
        <v>アフターピル,繰り返し使用,安全性</v>
      </c>
      <c r="E276" s="32" t="str">
        <f>IFERROR(__xludf.DUMMYFUNCTION("""COMPUTED_VALUE"""),"https://luna-dr.com/subjects/after-pill_page/")</f>
        <v>https://luna-dr.com/subjects/after-pill_page/</v>
      </c>
    </row>
    <row r="277">
      <c r="A277" s="31" t="str">
        <f>IFERROR(__xludf.DUMMYFUNCTION("""COMPUTED_VALUE"""),"アフターピルは性行為から何時間以内に飲めばいいですか？")</f>
        <v>アフターピルは性行為から何時間以内に飲めばいいですか？</v>
      </c>
      <c r="B277" s="31" t="str">
        <f>IFERROR(__xludf.DUMMYFUNCTION("""COMPUTED_VALUE"""),"アフターピルは、性行為後できるだけ早く服用するほど効果が高くなります。種類によって72時間以内、または120時間以内まで服用可能です。")</f>
        <v>アフターピルは、性行為後できるだけ早く服用するほど効果が高くなります。種類によって72時間以内、または120時間以内まで服用可能です。</v>
      </c>
      <c r="C277" s="31" t="str">
        <f>IFERROR(__xludf.DUMMYFUNCTION("""COMPUTED_VALUE"""),"アフターピル（緊急避妊薬）")</f>
        <v>アフターピル（緊急避妊薬）</v>
      </c>
      <c r="D277" s="31" t="str">
        <f>IFERROR(__xludf.DUMMYFUNCTION("""COMPUTED_VALUE"""),"アフターピル,何時間以内,服用タイミング")</f>
        <v>アフターピル,何時間以内,服用タイミング</v>
      </c>
      <c r="E277" s="32" t="str">
        <f>IFERROR(__xludf.DUMMYFUNCTION("""COMPUTED_VALUE"""),"https://luna-dr.com/subjects/after-pill_page/")</f>
        <v>https://luna-dr.com/subjects/after-pill_page/</v>
      </c>
    </row>
    <row r="278">
      <c r="A278" s="31" t="str">
        <f>IFERROR(__xludf.DUMMYFUNCTION("""COMPUTED_VALUE"""),"アフターピルは72時間を過ぎたらもう間に合いませんか？")</f>
        <v>アフターピルは72時間を過ぎたらもう間に合いませんか？</v>
      </c>
      <c r="B278" s="31" t="str">
        <f>IFERROR(__xludf.DUMMYFUNCTION("""COMPUTED_VALUE"""),"72時間を過ぎた場合でも、120時間以内であればエラ（エラワン）やジョセイといったアフターピルを服用できる場合があります。")</f>
        <v>72時間を過ぎた場合でも、120時間以内であればエラ（エラワン）やジョセイといったアフターピルを服用できる場合があります。</v>
      </c>
      <c r="C278" s="31" t="str">
        <f>IFERROR(__xludf.DUMMYFUNCTION("""COMPUTED_VALUE"""),"アフターピル（緊急避妊薬）")</f>
        <v>アフターピル（緊急避妊薬）</v>
      </c>
      <c r="D278" s="31" t="str">
        <f>IFERROR(__xludf.DUMMYFUNCTION("""COMPUTED_VALUE"""),"アフターピル,72時間以上,120時間")</f>
        <v>アフターピル,72時間以上,120時間</v>
      </c>
      <c r="E278" s="32" t="str">
        <f>IFERROR(__xludf.DUMMYFUNCTION("""COMPUTED_VALUE"""),"https://luna-dr.com/subjects/after-pill_page/")</f>
        <v>https://luna-dr.com/subjects/after-pill_page/</v>
      </c>
    </row>
    <row r="279">
      <c r="A279" s="31" t="str">
        <f>IFERROR(__xludf.DUMMYFUNCTION("""COMPUTED_VALUE"""),"アフターピルは120時間以内なら必ず効きますか？")</f>
        <v>アフターピルは120時間以内なら必ず効きますか？</v>
      </c>
      <c r="B279" s="31" t="str">
        <f>IFERROR(__xludf.DUMMYFUNCTION("""COMPUTED_VALUE"""),"120時間以内であっても、避妊効果は100%ではありません。早く服用するほど効果が高いため、できるだけ早い受診と服用が大切です。")</f>
        <v>120時間以内であっても、避妊効果は100%ではありません。早く服用するほど効果が高いため、できるだけ早い受診と服用が大切です。</v>
      </c>
      <c r="C279" s="31" t="str">
        <f>IFERROR(__xludf.DUMMYFUNCTION("""COMPUTED_VALUE"""),"アフターピル（緊急避妊薬）")</f>
        <v>アフターピル（緊急避妊薬）</v>
      </c>
      <c r="D279" s="31" t="str">
        <f>IFERROR(__xludf.DUMMYFUNCTION("""COMPUTED_VALUE"""),"アフターピル,120時間,避妊効果")</f>
        <v>アフターピル,120時間,避妊効果</v>
      </c>
      <c r="E279" s="32" t="str">
        <f>IFERROR(__xludf.DUMMYFUNCTION("""COMPUTED_VALUE"""),"https://luna-dr.com/subjects/after-pill_page/")</f>
        <v>https://luna-dr.com/subjects/after-pill_page/</v>
      </c>
    </row>
    <row r="280">
      <c r="A280" s="31" t="str">
        <f>IFERROR(__xludf.DUMMYFUNCTION("""COMPUTED_VALUE"""),"アフターピルは排卵後でも効果はありますか？")</f>
        <v>アフターピルは排卵後でも効果はありますか？</v>
      </c>
      <c r="B280" s="31" t="str">
        <f>IFERROR(__xludf.DUMMYFUNCTION("""COMPUTED_VALUE"""),"アフターピルは排卵を遅らせる作用が主ですが、排卵直前でも効果が期待できる種類があります。状況により医師が判断します。")</f>
        <v>アフターピルは排卵を遅らせる作用が主ですが、排卵直前でも効果が期待できる種類があります。状況により医師が判断します。</v>
      </c>
      <c r="C280" s="31" t="str">
        <f>IFERROR(__xludf.DUMMYFUNCTION("""COMPUTED_VALUE"""),"アフターピル（緊急避妊薬）")</f>
        <v>アフターピル（緊急避妊薬）</v>
      </c>
      <c r="D280" s="31" t="str">
        <f>IFERROR(__xludf.DUMMYFUNCTION("""COMPUTED_VALUE"""),"アフターピル,排卵後,効果")</f>
        <v>アフターピル,排卵後,効果</v>
      </c>
      <c r="E280" s="32" t="str">
        <f>IFERROR(__xludf.DUMMYFUNCTION("""COMPUTED_VALUE"""),"https://luna-dr.com/subjects/after-pill_page/")</f>
        <v>https://luna-dr.com/subjects/after-pill_page/</v>
      </c>
    </row>
    <row r="281">
      <c r="A281" s="31" t="str">
        <f>IFERROR(__xludf.DUMMYFUNCTION("""COMPUTED_VALUE"""),"レボノルゲストレルとは何ですか？")</f>
        <v>レボノルゲストレルとは何ですか？</v>
      </c>
      <c r="B281" s="31" t="str">
        <f>IFERROR(__xludf.DUMMYFUNCTION("""COMPUTED_VALUE"""),"レボノルゲストレルは、黄体ホルモン作用の成分が、排卵を遅らせ、子宮内膜の状態を変化させて着床を妨げます。
国内で認可されているため、処方可能な医療機関が多く、エラワンやエラ、ジョセイに比べて安いというメリットがあります。
一方で、性行為後24時間以内に服用した場合の避妊成功率は約95%、72時間以内では約85%と時間が経つほど効果は低下します。")</f>
        <v>レボノルゲストレルは、黄体ホルモン作用の成分が、排卵を遅らせ、子宮内膜の状態を変化させて着床を妨げます。
国内で認可されているため、処方可能な医療機関が多く、エラワンやエラ、ジョセイに比べて安いというメリットがあります。
一方で、性行為後24時間以内に服用した場合の避妊成功率は約95%、72時間以内では約85%と時間が経つほど効果は低下します。</v>
      </c>
      <c r="C281" s="31" t="str">
        <f>IFERROR(__xludf.DUMMYFUNCTION("""COMPUTED_VALUE"""),"アフターピル（緊急避妊薬）")</f>
        <v>アフターピル（緊急避妊薬）</v>
      </c>
      <c r="D281" s="31" t="str">
        <f>IFERROR(__xludf.DUMMYFUNCTION("""COMPUTED_VALUE"""),"レボノルゲストレル,アフターピル,72時間")</f>
        <v>レボノルゲストレル,アフターピル,72時間</v>
      </c>
      <c r="E281" s="32" t="str">
        <f>IFERROR(__xludf.DUMMYFUNCTION("""COMPUTED_VALUE"""),"https://luna-dr.com/subjects/after-pill_page/")</f>
        <v>https://luna-dr.com/subjects/after-pill_page/</v>
      </c>
    </row>
    <row r="282">
      <c r="A282" s="31" t="str">
        <f>IFERROR(__xludf.DUMMYFUNCTION("""COMPUTED_VALUE"""),"エラとは何ですか？/エラワンとは何ですか？")</f>
        <v>エラとは何ですか？/エラワンとは何ですか？</v>
      </c>
      <c r="B282" s="31" t="str">
        <f>IFERROR(__xludf.DUMMYFUNCTION("""COMPUTED_VALUE"""),"エラ（エラワン）はウリプリスタル製剤とも呼ばれ、黄体ホルモンへの感度を調節することで避妊効果を発揮します。
最大のメリットは性交後120時間以内まで98%という高い避妊効果を維持できる点で、時間が経ってしまった場合の強い味方です。
特に、排卵直前でも強い排卵抑制効果を示し、BMIが30以上の肥満女性でも効果が低下しにくいというメリットがあります。
一方で、国内では未承認薬のため、価格が高い傾向があるというデメリットがあります。
また、取り扱っている医療機関が限られ、オンライン診療による処方が主流です。")</f>
        <v>エラ（エラワン）はウリプリスタル製剤とも呼ばれ、黄体ホルモンへの感度を調節することで避妊効果を発揮します。
最大のメリットは性交後120時間以内まで98%という高い避妊効果を維持できる点で、時間が経ってしまった場合の強い味方です。
特に、排卵直前でも強い排卵抑制効果を示し、BMIが30以上の肥満女性でも効果が低下しにくいというメリットがあります。
一方で、国内では未承認薬のため、価格が高い傾向があるというデメリットがあります。
また、取り扱っている医療機関が限られ、オンライン診療による処方が主流です。</v>
      </c>
      <c r="C282" s="31" t="str">
        <f>IFERROR(__xludf.DUMMYFUNCTION("""COMPUTED_VALUE"""),"アフターピル（緊急避妊薬）")</f>
        <v>アフターピル（緊急避妊薬）</v>
      </c>
      <c r="D282" s="31" t="str">
        <f>IFERROR(__xludf.DUMMYFUNCTION("""COMPUTED_VALUE"""),"エラ,エラワン,アフターピル")</f>
        <v>エラ,エラワン,アフターピル</v>
      </c>
      <c r="E282" s="32" t="str">
        <f>IFERROR(__xludf.DUMMYFUNCTION("""COMPUTED_VALUE"""),"https://luna-dr.com/subjects/after-pill_page/")</f>
        <v>https://luna-dr.com/subjects/after-pill_page/</v>
      </c>
    </row>
    <row r="283">
      <c r="A283" s="31" t="str">
        <f>IFERROR(__xludf.DUMMYFUNCTION("""COMPUTED_VALUE"""),"ジョセイとは何ですか？")</f>
        <v>ジョセイとは何ですか？</v>
      </c>
      <c r="B283" s="31" t="str">
        <f>IFERROR(__xludf.DUMMYFUNCTION("""COMPUTED_VALUE"""),"ジョセイはエラ（エラワン）と同じウリプリスタル製剤で、ジェネリック（後発）医薬品です。
取り扱っている医療機関が限られるため、オンライン診療が主流です。
ルナレディースクリニックでは、対面診療でもエラ（エラワン）とジョセイの処方に対応しています。
時間的な余裕がなく郵送が心配な方でも、確実かつ安全にエラ（エラワン）やジョセイを服用していただくことができます。")</f>
        <v>ジョセイはエラ（エラワン）と同じウリプリスタル製剤で、ジェネリック（後発）医薬品です。
取り扱っている医療機関が限られるため、オンライン診療が主流です。
ルナレディースクリニックでは、対面診療でもエラ（エラワン）とジョセイの処方に対応しています。
時間的な余裕がなく郵送が心配な方でも、確実かつ安全にエラ（エラワン）やジョセイを服用していただくことができます。</v>
      </c>
      <c r="C283" s="31" t="str">
        <f>IFERROR(__xludf.DUMMYFUNCTION("""COMPUTED_VALUE"""),"アフターピル（緊急避妊薬）")</f>
        <v>アフターピル（緊急避妊薬）</v>
      </c>
      <c r="D283" s="31" t="str">
        <f>IFERROR(__xludf.DUMMYFUNCTION("""COMPUTED_VALUE"""),"ジョセイ,アフターピル,120時間")</f>
        <v>ジョセイ,アフターピル,120時間</v>
      </c>
      <c r="E283" s="32" t="str">
        <f>IFERROR(__xludf.DUMMYFUNCTION("""COMPUTED_VALUE"""),"https://luna-dr.com/subjects/after-pill_page/")</f>
        <v>https://luna-dr.com/subjects/after-pill_page/</v>
      </c>
    </row>
    <row r="284">
      <c r="A284" s="31" t="str">
        <f>IFERROR(__xludf.DUMMYFUNCTION("""COMPUTED_VALUE"""),"アフターピルの副作用には何がありますか？")</f>
        <v>アフターピルの副作用には何がありますか？</v>
      </c>
      <c r="B284" s="31" t="str">
        <f>IFERROR(__xludf.DUMMYFUNCTION("""COMPUTED_VALUE"""),"吐き気、頭痛、めまい、下痢、腹痛、不正出血、どがみられることがありますが、
ほとんどの副作用は、安静にしていれば数時間〜1日程度でおさまることがほとんどです。
当クリニックでは吐き気止めも処方しています。ご希望があれば、遠慮なく医師にお伝えください。")</f>
        <v>吐き気、頭痛、めまい、下痢、腹痛、不正出血、どがみられることがありますが、
ほとんどの副作用は、安静にしていれば数時間〜1日程度でおさまることがほとんどです。
当クリニックでは吐き気止めも処方しています。ご希望があれば、遠慮なく医師にお伝えください。</v>
      </c>
      <c r="C284" s="31" t="str">
        <f>IFERROR(__xludf.DUMMYFUNCTION("""COMPUTED_VALUE"""),"アフターピル（緊急避妊薬）")</f>
        <v>アフターピル（緊急避妊薬）</v>
      </c>
      <c r="D284" s="31" t="str">
        <f>IFERROR(__xludf.DUMMYFUNCTION("""COMPUTED_VALUE"""),"アフターピル,副作用,吐き気")</f>
        <v>アフターピル,副作用,吐き気</v>
      </c>
      <c r="E284" s="32" t="str">
        <f>IFERROR(__xludf.DUMMYFUNCTION("""COMPUTED_VALUE"""),"https://luna-dr.com/subjects/after-pill_page/")</f>
        <v>https://luna-dr.com/subjects/after-pill_page/</v>
      </c>
    </row>
    <row r="285">
      <c r="A285" s="31" t="str">
        <f>IFERROR(__xludf.DUMMYFUNCTION("""COMPUTED_VALUE"""),"アフターピルの飲み方は？")</f>
        <v>アフターピルの飲み方は？</v>
      </c>
      <c r="B285" s="31" t="str">
        <f>IFERROR(__xludf.DUMMYFUNCTION("""COMPUTED_VALUE"""),"当クリニックで処方しているアフターピル（レボノルゲストレル、エラ、ジョセイ）は、全て1回1錠のみで服用が完了します。
アフターピルは時間の経過とともに避妊率が低下するため、食前・食後を問わず、処方後すぐに服用してください。
万一、服用後2時間以内に吐いてしまった場合は、薬の成分が体に吸収されていない可能性があるため、もう一度服用する必要があります。
その場合は、すぐに当クリニックへご連絡ください。")</f>
        <v>当クリニックで処方しているアフターピル（レボノルゲストレル、エラ、ジョセイ）は、全て1回1錠のみで服用が完了します。
アフターピルは時間の経過とともに避妊率が低下するため、食前・食後を問わず、処方後すぐに服用してください。
万一、服用後2時間以内に吐いてしまった場合は、薬の成分が体に吸収されていない可能性があるため、もう一度服用する必要があります。
その場合は、すぐに当クリニックへご連絡ください。</v>
      </c>
      <c r="C285" s="31" t="str">
        <f>IFERROR(__xludf.DUMMYFUNCTION("""COMPUTED_VALUE"""),"アフターピル（緊急避妊薬）")</f>
        <v>アフターピル（緊急避妊薬）</v>
      </c>
      <c r="D285" s="31" t="str">
        <f>IFERROR(__xludf.DUMMYFUNCTION("""COMPUTED_VALUE"""),"アフターピル,飲み方,食前,食後,副作用,吐き気")</f>
        <v>アフターピル,飲み方,食前,食後,副作用,吐き気</v>
      </c>
      <c r="E285" s="32" t="str">
        <f>IFERROR(__xludf.DUMMYFUNCTION("""COMPUTED_VALUE"""),"https://luna-dr.com/subjects/after-pill_page/")</f>
        <v>https://luna-dr.com/subjects/after-pill_page/</v>
      </c>
    </row>
    <row r="286">
      <c r="A286" s="31" t="str">
        <f>IFERROR(__xludf.DUMMYFUNCTION("""COMPUTED_VALUE"""),"アフターピルの服用後に吐いてしまったらどうなりますか？")</f>
        <v>アフターピルの服用後に吐いてしまったらどうなりますか？</v>
      </c>
      <c r="B286" s="31" t="str">
        <f>IFERROR(__xludf.DUMMYFUNCTION("""COMPUTED_VALUE"""),"服用後2時間以内に嘔吐した場合、薬が十分に吸収されていない可能性があるため、早めにご相談ください。")</f>
        <v>服用後2時間以内に嘔吐した場合、薬が十分に吸収されていない可能性があるため、早めにご相談ください。</v>
      </c>
      <c r="C286" s="31" t="str">
        <f>IFERROR(__xludf.DUMMYFUNCTION("""COMPUTED_VALUE"""),"アフターピル（緊急避妊薬）")</f>
        <v>アフターピル（緊急避妊薬）</v>
      </c>
      <c r="D286" s="31" t="str">
        <f>IFERROR(__xludf.DUMMYFUNCTION("""COMPUTED_VALUE"""),"アフターピル,嘔吐,飲み直し")</f>
        <v>アフターピル,嘔吐,飲み直し</v>
      </c>
      <c r="E286" s="32" t="str">
        <f>IFERROR(__xludf.DUMMYFUNCTION("""COMPUTED_VALUE"""),"https://luna-dr.com/subjects/after-pill_page/")</f>
        <v>https://luna-dr.com/subjects/after-pill_page/</v>
      </c>
    </row>
    <row r="287">
      <c r="A287" s="31" t="str">
        <f>IFERROR(__xludf.DUMMYFUNCTION("""COMPUTED_VALUE"""),"アフターピルを飲むと不妊になりますか？")</f>
        <v>アフターピルを飲むと不妊になりますか？</v>
      </c>
      <c r="B287" s="31" t="str">
        <f>IFERROR(__xludf.DUMMYFUNCTION("""COMPUTED_VALUE"""),"アフターピルは一時的に作用するお薬で、将来の妊娠能力に影響するという報告はありません。")</f>
        <v>アフターピルは一時的に作用するお薬で、将来の妊娠能力に影響するという報告はありません。</v>
      </c>
      <c r="C287" s="31" t="str">
        <f>IFERROR(__xludf.DUMMYFUNCTION("""COMPUTED_VALUE"""),"アフターピル（緊急避妊薬）")</f>
        <v>アフターピル（緊急避妊薬）</v>
      </c>
      <c r="D287" s="31" t="str">
        <f>IFERROR(__xludf.DUMMYFUNCTION("""COMPUTED_VALUE"""),"アフターピル,不妊,将来妊娠")</f>
        <v>アフターピル,不妊,将来妊娠</v>
      </c>
      <c r="E287" s="32" t="str">
        <f>IFERROR(__xludf.DUMMYFUNCTION("""COMPUTED_VALUE"""),"https://luna-dr.com/subjects/after-pill_page/")</f>
        <v>https://luna-dr.com/subjects/after-pill_page/</v>
      </c>
    </row>
    <row r="288">
      <c r="A288" s="31" t="str">
        <f>IFERROR(__xludf.DUMMYFUNCTION("""COMPUTED_VALUE"""),"アフターピルを飲んだ後、生理はいつ来ますか？")</f>
        <v>アフターピルを飲んだ後、生理はいつ来ますか？</v>
      </c>
      <c r="B288" s="31" t="str">
        <f>IFERROR(__xludf.DUMMYFUNCTION("""COMPUTED_VALUE"""),"服用後1〜3週間以内に生理が来ることが多いですが、個人差があります。3週間以上来ない場合は妊娠検査薬の使用をおすすめします。")</f>
        <v>服用後1〜3週間以内に生理が来ることが多いですが、個人差があります。3週間以上来ない場合は妊娠検査薬の使用をおすすめします。</v>
      </c>
      <c r="C288" s="31" t="str">
        <f>IFERROR(__xludf.DUMMYFUNCTION("""COMPUTED_VALUE"""),"アフターピル（緊急避妊薬）")</f>
        <v>アフターピル（緊急避妊薬）</v>
      </c>
      <c r="D288" s="31" t="str">
        <f>IFERROR(__xludf.DUMMYFUNCTION("""COMPUTED_VALUE"""),"アフターピル,生理いつ,妊娠検査")</f>
        <v>アフターピル,生理いつ,妊娠検査</v>
      </c>
      <c r="E288" s="32" t="str">
        <f>IFERROR(__xludf.DUMMYFUNCTION("""COMPUTED_VALUE"""),"https://luna-dr.com/subjects/after-pill_page/")</f>
        <v>https://luna-dr.com/subjects/after-pill_page/</v>
      </c>
    </row>
    <row r="289">
      <c r="A289" s="31" t="str">
        <f>IFERROR(__xludf.DUMMYFUNCTION("""COMPUTED_VALUE"""),"アフターピル服用後、生理が来たら避妊は成功ですか？")</f>
        <v>アフターピル服用後、生理が来たら避妊は成功ですか？</v>
      </c>
      <c r="B289" s="31" t="str">
        <f>IFERROR(__xludf.DUMMYFUNCTION("""COMPUTED_VALUE"""),"生理が来た場合、多くは避妊が成功していますが、判断に迷う場合はご相談ください。")</f>
        <v>生理が来た場合、多くは避妊が成功していますが、判断に迷う場合はご相談ください。</v>
      </c>
      <c r="C289" s="31" t="str">
        <f>IFERROR(__xludf.DUMMYFUNCTION("""COMPUTED_VALUE"""),"アフターピル（緊急避妊薬）")</f>
        <v>アフターピル（緊急避妊薬）</v>
      </c>
      <c r="D289" s="31" t="str">
        <f>IFERROR(__xludf.DUMMYFUNCTION("""COMPUTED_VALUE"""),"アフターピル,生理,避妊成功")</f>
        <v>アフターピル,生理,避妊成功</v>
      </c>
      <c r="E289" s="32" t="str">
        <f>IFERROR(__xludf.DUMMYFUNCTION("""COMPUTED_VALUE"""),"https://luna-dr.com/subjects/after-pill_page/")</f>
        <v>https://luna-dr.com/subjects/after-pill_page/</v>
      </c>
    </row>
    <row r="290">
      <c r="A290" s="31" t="str">
        <f>IFERROR(__xludf.DUMMYFUNCTION("""COMPUTED_VALUE"""),"アフターピル服用後、妊娠検査薬はいつ使えばいいですか？")</f>
        <v>アフターピル服用後、妊娠検査薬はいつ使えばいいですか？</v>
      </c>
      <c r="B290" s="31" t="str">
        <f>IFERROR(__xludf.DUMMYFUNCTION("""COMPUTED_VALUE"""),"性行為から3週間以上経過してから使用することをおすすめします。")</f>
        <v>性行為から3週間以上経過してから使用することをおすすめします。</v>
      </c>
      <c r="C290" s="31" t="str">
        <f>IFERROR(__xludf.DUMMYFUNCTION("""COMPUTED_VALUE"""),"アフターピル（緊急避妊薬）")</f>
        <v>アフターピル（緊急避妊薬）</v>
      </c>
      <c r="D290" s="31" t="str">
        <f>IFERROR(__xludf.DUMMYFUNCTION("""COMPUTED_VALUE"""),"アフターピル,妊娠検査薬,いつ")</f>
        <v>アフターピル,妊娠検査薬,いつ</v>
      </c>
      <c r="E290" s="32" t="str">
        <f>IFERROR(__xludf.DUMMYFUNCTION("""COMPUTED_VALUE"""),"https://luna-dr.com/subjects/after-pill_page/")</f>
        <v>https://luna-dr.com/subjects/after-pill_page/</v>
      </c>
    </row>
    <row r="291">
      <c r="A291" s="31" t="str">
        <f>IFERROR(__xludf.DUMMYFUNCTION("""COMPUTED_VALUE"""),"アフターピルは初診でもオンライン診療で処方できますか？")</f>
        <v>アフターピルは初診でもオンライン診療で処方できますか？</v>
      </c>
      <c r="B291" s="31" t="str">
        <f>IFERROR(__xludf.DUMMYFUNCTION("""COMPUTED_VALUE"""),"アフターピルは初診の方でもオンライン診療をご利用いただけます。")</f>
        <v>アフターピルは初診の方でもオンライン診療をご利用いただけます。</v>
      </c>
      <c r="C291" s="31" t="str">
        <f>IFERROR(__xludf.DUMMYFUNCTION("""COMPUTED_VALUE"""),"アフターピル（緊急避妊薬）")</f>
        <v>アフターピル（緊急避妊薬）</v>
      </c>
      <c r="D291" s="31" t="str">
        <f>IFERROR(__xludf.DUMMYFUNCTION("""COMPUTED_VALUE"""),"アフターピル,オンライン診療,初診")</f>
        <v>アフターピル,オンライン診療,初診</v>
      </c>
      <c r="E291" s="32" t="str">
        <f>IFERROR(__xludf.DUMMYFUNCTION("""COMPUTED_VALUE"""),"https://luna-dr.com/subjects/after-pill_page/")</f>
        <v>https://luna-dr.com/subjects/after-pill_page/</v>
      </c>
    </row>
    <row r="292">
      <c r="A292" s="31" t="str">
        <f>IFERROR(__xludf.DUMMYFUNCTION("""COMPUTED_VALUE"""),"アフターピルのWEB問診では何を聞かれますか？")</f>
        <v>アフターピルのWEB問診では何を聞かれますか？</v>
      </c>
      <c r="B292" s="31" t="str">
        <f>IFERROR(__xludf.DUMMYFUNCTION("""COMPUTED_VALUE"""),"最終月経日、性行為の日時、避妊状況、服用歴などをお伺いします。")</f>
        <v>最終月経日、性行為の日時、避妊状況、服用歴などをお伺いします。</v>
      </c>
      <c r="C292" s="31" t="str">
        <f>IFERROR(__xludf.DUMMYFUNCTION("""COMPUTED_VALUE"""),"アフターピル（緊急避妊薬）")</f>
        <v>アフターピル（緊急避妊薬）</v>
      </c>
      <c r="D292" s="31" t="str">
        <f>IFERROR(__xludf.DUMMYFUNCTION("""COMPUTED_VALUE"""),"アフターピル,WEB問診,質問内容")</f>
        <v>アフターピル,WEB問診,質問内容</v>
      </c>
      <c r="E292" s="32" t="str">
        <f>IFERROR(__xludf.DUMMYFUNCTION("""COMPUTED_VALUE"""),"https://luna-dr.com/subjects/after-pill_page/")</f>
        <v>https://luna-dr.com/subjects/after-pill_page/</v>
      </c>
    </row>
    <row r="293">
      <c r="A293" s="31" t="str">
        <f>IFERROR(__xludf.DUMMYFUNCTION("""COMPUTED_VALUE"""),"アフターピルの内診はありますか？")</f>
        <v>アフターピルの内診はありますか？</v>
      </c>
      <c r="B293" s="31" t="str">
        <f>IFERROR(__xludf.DUMMYFUNCTION("""COMPUTED_VALUE"""),"多くの場合、内診なしで処方可能ですが、必要に応じて行うことがあります。")</f>
        <v>多くの場合、内診なしで処方可能ですが、必要に応じて行うことがあります。</v>
      </c>
      <c r="C293" s="31" t="str">
        <f>IFERROR(__xludf.DUMMYFUNCTION("""COMPUTED_VALUE"""),"アフターピル（緊急避妊薬）")</f>
        <v>アフターピル（緊急避妊薬）</v>
      </c>
      <c r="D293" s="31" t="str">
        <f>IFERROR(__xludf.DUMMYFUNCTION("""COMPUTED_VALUE"""),"アフターピル,内診,診察内容")</f>
        <v>アフターピル,内診,診察内容</v>
      </c>
      <c r="E293" s="32" t="str">
        <f>IFERROR(__xludf.DUMMYFUNCTION("""COMPUTED_VALUE"""),"https://luna-dr.com/subjects/after-pill_page/")</f>
        <v>https://luna-dr.com/subjects/after-pill_page/</v>
      </c>
    </row>
    <row r="294">
      <c r="A294" s="31" t="str">
        <f>IFERROR(__xludf.DUMMYFUNCTION("""COMPUTED_VALUE"""),"アフターピルの診察は当日どこまで進みますか？")</f>
        <v>アフターピルの診察は当日どこまで進みますか？</v>
      </c>
      <c r="B294" s="31" t="str">
        <f>IFERROR(__xludf.DUMMYFUNCTION("""COMPUTED_VALUE"""),"診察・説明後、適応があればその場で処方、またはオンライン診療の場合は発送手続きまで進みます。
来院治療の場合の処方の流れはこちらの動画でも説明をしておりますので、よろしければご参考ください。https://www.youtube.com/watch?v=vujdrnpks7Q&amp;t=4s")</f>
        <v>診察・説明後、適応があればその場で処方、またはオンライン診療の場合は発送手続きまで進みます。
来院治療の場合の処方の流れはこちらの動画でも説明をしておりますので、よろしければご参考ください。https://www.youtube.com/watch?v=vujdrnpks7Q&amp;t=4s</v>
      </c>
      <c r="C294" s="31" t="str">
        <f>IFERROR(__xludf.DUMMYFUNCTION("""COMPUTED_VALUE"""),"アフターピル（緊急避妊薬）")</f>
        <v>アフターピル（緊急避妊薬）</v>
      </c>
      <c r="D294" s="31" t="str">
        <f>IFERROR(__xludf.DUMMYFUNCTION("""COMPUTED_VALUE"""),"アフターピル,当日,流れ")</f>
        <v>アフターピル,当日,流れ</v>
      </c>
      <c r="E294" s="32" t="str">
        <f>IFERROR(__xludf.DUMMYFUNCTION("""COMPUTED_VALUE"""),"https://luna-dr.com/subjects/after-pill_page/")</f>
        <v>https://luna-dr.com/subjects/after-pill_page/</v>
      </c>
    </row>
    <row r="295">
      <c r="A295" s="31" t="str">
        <f>IFERROR(__xludf.DUMMYFUNCTION("""COMPUTED_VALUE"""),"アフターピル服用後に相談はできますか？")</f>
        <v>アフターピル服用後に相談はできますか？</v>
      </c>
      <c r="B295" s="31" t="str">
        <f>IFERROR(__xludf.DUMMYFUNCTION("""COMPUTED_VALUE"""),"服用後の体調変化や不安についても、LINEなどでご相談いただけます。")</f>
        <v>服用後の体調変化や不安についても、LINEなどでご相談いただけます。</v>
      </c>
      <c r="C295" s="31" t="str">
        <f>IFERROR(__xludf.DUMMYFUNCTION("""COMPUTED_VALUE"""),"アフターピル（緊急避妊薬）")</f>
        <v>アフターピル（緊急避妊薬）</v>
      </c>
      <c r="D295" s="31" t="str">
        <f>IFERROR(__xludf.DUMMYFUNCTION("""COMPUTED_VALUE"""),"アフターピル,服用後相談,副作用不安")</f>
        <v>アフターピル,服用後相談,副作用不安</v>
      </c>
      <c r="E295" s="32" t="str">
        <f>IFERROR(__xludf.DUMMYFUNCTION("""COMPUTED_VALUE"""),"https://luna-dr.com/subjects/after-pill_page/")</f>
        <v>https://luna-dr.com/subjects/after-pill_page/</v>
      </c>
    </row>
    <row r="296">
      <c r="A296" s="31" t="str">
        <f>IFERROR(__xludf.DUMMYFUNCTION("""COMPUTED_VALUE"""),"アフターピルの診察の流れを教えてください")</f>
        <v>アフターピルの診察の流れを教えてください</v>
      </c>
      <c r="B296" s="31" t="str">
        <f>IFERROR(__xludf.DUMMYFUNCTION("""COMPUTED_VALUE"""),"ルナレディースクリニックでは、アフターピルは来院診療とオンライン診療の2つの方法で処方しています。来院の場合は、公式LINEから予約・WEB問診後に受付、医師の診察を行い、その場でお薬をお渡しします。オンライン診療の場合は、LINE予約後にWEB問診、医師の電話・チャット診察、決済確認後にお薬を発送します。
来院治療の場合の処方の流れはこちらの動画でも説明をしておりますので、よろしければご参考ください。https://www.youtube.com/watch?v=vujdrnpks7Q&amp;t=4s")</f>
        <v>ルナレディースクリニックでは、アフターピルは来院診療とオンライン診療の2つの方法で処方しています。来院の場合は、公式LINEから予約・WEB問診後に受付、医師の診察を行い、その場でお薬をお渡しします。オンライン診療の場合は、LINE予約後にWEB問診、医師の電話・チャット診察、決済確認後にお薬を発送します。
来院治療の場合の処方の流れはこちらの動画でも説明をしておりますので、よろしければご参考ください。https://www.youtube.com/watch?v=vujdrnpks7Q&amp;t=4s</v>
      </c>
      <c r="C296" s="31" t="str">
        <f>IFERROR(__xludf.DUMMYFUNCTION("""COMPUTED_VALUE"""),"アフターピル")</f>
        <v>アフターピル</v>
      </c>
      <c r="D296" s="31" t="str">
        <f>IFERROR(__xludf.DUMMYFUNCTION("""COMPUTED_VALUE"""),"アフターピル,診察の流れ,来院,オンライン診療")</f>
        <v>アフターピル,診察の流れ,来院,オンライン診療</v>
      </c>
      <c r="E296" s="32" t="str">
        <f>IFERROR(__xludf.DUMMYFUNCTION("""COMPUTED_VALUE"""),"https://luna-dr.com/subjects/after-pill_page/")</f>
        <v>https://luna-dr.com/subjects/after-pill_page/</v>
      </c>
    </row>
    <row r="297">
      <c r="A297" s="31" t="str">
        <f>IFERROR(__xludf.DUMMYFUNCTION("""COMPUTED_VALUE"""),"アフターピルは来院しなくても処方してもらえますか？")</f>
        <v>アフターピルは来院しなくても処方してもらえますか？</v>
      </c>
      <c r="B297" s="31" t="str">
        <f>IFERROR(__xludf.DUMMYFUNCTION("""COMPUTED_VALUE"""),"ルナレディースクリニックでは、初診の方でもオンライン診療でアフターピルの処方が可能です。LINEから予約・WEB問診・医師の診察・決済まで完結し、ご自宅へお薬をお届けします。")</f>
        <v>ルナレディースクリニックでは、初診の方でもオンライン診療でアフターピルの処方が可能です。LINEから予約・WEB問診・医師の診察・決済まで完結し、ご自宅へお薬をお届けします。</v>
      </c>
      <c r="C297" s="31" t="str">
        <f>IFERROR(__xludf.DUMMYFUNCTION("""COMPUTED_VALUE"""),"アフターピル")</f>
        <v>アフターピル</v>
      </c>
      <c r="D297" s="31" t="str">
        <f>IFERROR(__xludf.DUMMYFUNCTION("""COMPUTED_VALUE"""),"アフターピル,オンライン診療,初診")</f>
        <v>アフターピル,オンライン診療,初診</v>
      </c>
      <c r="E297" s="32" t="str">
        <f>IFERROR(__xludf.DUMMYFUNCTION("""COMPUTED_VALUE"""),"https://luna-dr.com/subjects/after-pill_page/")</f>
        <v>https://luna-dr.com/subjects/after-pill_page/</v>
      </c>
    </row>
    <row r="298">
      <c r="A298" s="31" t="str">
        <f>IFERROR(__xludf.DUMMYFUNCTION("""COMPUTED_VALUE"""),"アフターピルの予約はどうすればいいですか？")</f>
        <v>アフターピルの予約はどうすればいいですか？</v>
      </c>
      <c r="B298" s="31" t="str">
        <f>IFERROR(__xludf.DUMMYFUNCTION("""COMPUTED_VALUE"""),"ルナレディースクリニックでは、アフターピルの予約は24時間対応の公式LINEから行えます。予約外でも待ち時間が最小限になるよう対応いたします。公式LINEからのご予約とWEB問診での来院が最もスムーズです。女性医師の診察を希望される方は、診療時間内にお電話（050-1730-2768）でご予約ください。
アフターピルは、来院診療・オンライン診療どちらも対応をしております。ご希望の診療方法をご選択ください。
来院診療のご予約：こちらのLINEをご利用ください→https://cline-app.com/q"&amp;"r-codes/98ad6f149bfa20f4f2a9a2e91aac4187/preview
オンライン診療のご予約：こちらのオンライン診療LINEページをご利用ください→https://liff-gateway.lineml.jp/landing?follow=%40590gpxrd&amp;lp=fX73yx&amp;liff_id=1657094566-LmjNPPbVr")</f>
        <v>ルナレディースクリニックでは、アフターピルの予約は24時間対応の公式LINEから行えます。予約外でも待ち時間が最小限になるよう対応いたします。公式LINEからのご予約とWEB問診での来院が最もスムーズです。女性医師の診察を希望される方は、診療時間内にお電話（050-1730-2768）でご予約ください。
アフターピルは、来院診療・オンライン診療どちらも対応をしております。ご希望の診療方法をご選択ください。
来院診療のご予約：こちらのLINEをご利用ください→https://cline-app.com/qr-codes/98ad6f149bfa20f4f2a9a2e91aac4187/preview
オンライン診療のご予約：こちらのオンライン診療LINEページをご利用ください→https://liff-gateway.lineml.jp/landing?follow=%40590gpxrd&amp;lp=fX73yx&amp;liff_id=1657094566-LmjNPPbVr</v>
      </c>
      <c r="C298" s="31" t="str">
        <f>IFERROR(__xludf.DUMMYFUNCTION("""COMPUTED_VALUE"""),"アフターピル")</f>
        <v>アフターピル</v>
      </c>
      <c r="D298" s="31" t="str">
        <f>IFERROR(__xludf.DUMMYFUNCTION("""COMPUTED_VALUE"""),"予約方法,LINE,電話,アフターピル")</f>
        <v>予約方法,LINE,電話,アフターピル</v>
      </c>
      <c r="E298" s="32" t="str">
        <f>IFERROR(__xludf.DUMMYFUNCTION("""COMPUTED_VALUE"""),"https://luna-dr.com/subjects/after-pill_page/")</f>
        <v>https://luna-dr.com/subjects/after-pill_page/</v>
      </c>
    </row>
    <row r="299">
      <c r="A299" s="31" t="str">
        <f>IFERROR(__xludf.DUMMYFUNCTION("""COMPUTED_VALUE"""),"アフターピルはLINEから予約できますか？")</f>
        <v>アフターピルはLINEから予約できますか？</v>
      </c>
      <c r="B299" s="31" t="str">
        <f>IFERROR(__xludf.DUMMYFUNCTION("""COMPUTED_VALUE"""),"ルナレディースクリニックでは、公式LINEからアフターピルの診察予約が可能です。24時間いつでもご自身のタイミングで予約できます。
来院診療のご予約：こちらのLINEをご利用ください→https://cline-app.com/qr-codes/98ad6f149bfa20f4f2a9a2e91aac4187/preview
オンライン診療のご予約：こちらのオンライン診療LINEページをご利用ください→https://liff-gateway.lineml.jp/landing?follow=%4059"&amp;"0gpxrd&amp;lp=fX73yx&amp;liff_id=1657094566-LmjNPPbV")</f>
        <v>ルナレディースクリニックでは、公式LINEからアフターピルの診察予約が可能です。24時間いつでもご自身のタイミングで予約できます。
来院診療のご予約：こちらのLINEをご利用ください→https://cline-app.com/qr-codes/98ad6f149bfa20f4f2a9a2e91aac4187/preview
オンライン診療のご予約：こちらのオンライン診療LINEページをご利用ください→https://liff-gateway.lineml.jp/landing?follow=%40590gpxrd&amp;lp=fX73yx&amp;liff_id=1657094566-LmjNPPbV</v>
      </c>
      <c r="C299" s="31" t="str">
        <f>IFERROR(__xludf.DUMMYFUNCTION("""COMPUTED_VALUE"""),"アフターピル")</f>
        <v>アフターピル</v>
      </c>
      <c r="D299" s="31" t="str">
        <f>IFERROR(__xludf.DUMMYFUNCTION("""COMPUTED_VALUE"""),"LINE予約,婦人科予約,アフターピル")</f>
        <v>LINE予約,婦人科予約,アフターピル</v>
      </c>
      <c r="E299" s="32" t="str">
        <f>IFERROR(__xludf.DUMMYFUNCTION("""COMPUTED_VALUE"""),"https://luna-dr.com/subjects/after-pill_page/")</f>
        <v>https://luna-dr.com/subjects/after-pill_page/</v>
      </c>
    </row>
    <row r="300">
      <c r="A300" s="31" t="str">
        <f>IFERROR(__xludf.DUMMYFUNCTION("""COMPUTED_VALUE"""),"アフターピルは電話でも予約できますか？")</f>
        <v>アフターピルは電話でも予約できますか？</v>
      </c>
      <c r="B300" s="31" t="str">
        <f>IFERROR(__xludf.DUMMYFUNCTION("""COMPUTED_VALUE"""),"LINEでの予約後、事前問診等もLINEから行うことができ、スムーズに受診ができるため、当院ではLINEでのご予約を推奨しております。
来院診療のご予約：こちらのLINEをご利用ください→https://cline-app.com/qr-codes/98ad6f149bfa20f4f2a9a2e91aac4187/preview
オンライン診療のご予約：こちらのオンライン診療LINEページをご利用ください→https://liff-gateway.lineml.jp/landing?follow=%40"&amp;"590gpxrd&amp;lp=fX73yx&amp;liff_id=1657094566-LmjNPPbV")</f>
        <v>LINEでの予約後、事前問診等もLINEから行うことができ、スムーズに受診ができるため、当院ではLINEでのご予約を推奨しております。
来院診療のご予約：こちらのLINEをご利用ください→https://cline-app.com/qr-codes/98ad6f149bfa20f4f2a9a2e91aac4187/preview
オンライン診療のご予約：こちらのオンライン診療LINEページをご利用ください→https://liff-gateway.lineml.jp/landing?follow=%40590gpxrd&amp;lp=fX73yx&amp;liff_id=1657094566-LmjNPPbV</v>
      </c>
      <c r="C300" s="31" t="str">
        <f>IFERROR(__xludf.DUMMYFUNCTION("""COMPUTED_VALUE"""),"アフターピル")</f>
        <v>アフターピル</v>
      </c>
      <c r="D300" s="31" t="str">
        <f>IFERROR(__xludf.DUMMYFUNCTION("""COMPUTED_VALUE"""),"電話予約,問い合わせ,アフターピル")</f>
        <v>電話予約,問い合わせ,アフターピル</v>
      </c>
      <c r="E300" s="32" t="str">
        <f>IFERROR(__xludf.DUMMYFUNCTION("""COMPUTED_VALUE"""),"https://luna-dr.com/subjects/after-pill_page/")</f>
        <v>https://luna-dr.com/subjects/after-pill_page/</v>
      </c>
    </row>
    <row r="301">
      <c r="A301" s="31" t="str">
        <f>IFERROR(__xludf.DUMMYFUNCTION("""COMPUTED_VALUE"""),"アフターピルは予約なしでも相談できますか？")</f>
        <v>アフターピルは予約なしでも相談できますか？</v>
      </c>
      <c r="B301" s="31" t="str">
        <f>IFERROR(__xludf.DUMMYFUNCTION("""COMPUTED_VALUE"""),"来院治療の場合、予約外来院も可能です。スムーズなご案内のため、事前予約をおすすめしています。")</f>
        <v>来院治療の場合、予約外来院も可能です。スムーズなご案内のため、事前予約をおすすめしています。</v>
      </c>
      <c r="C301" s="31" t="str">
        <f>IFERROR(__xludf.DUMMYFUNCTION("""COMPUTED_VALUE"""),"アフターピル")</f>
        <v>アフターピル</v>
      </c>
      <c r="D301" s="31" t="str">
        <f>IFERROR(__xludf.DUMMYFUNCTION("""COMPUTED_VALUE"""),"予約なし,受診,アフターピル")</f>
        <v>予約なし,受診,アフターピル</v>
      </c>
      <c r="E301" s="32" t="str">
        <f>IFERROR(__xludf.DUMMYFUNCTION("""COMPUTED_VALUE"""),"https://luna-dr.com/subjects/after-pill_page/")</f>
        <v>https://luna-dr.com/subjects/after-pill_page/</v>
      </c>
    </row>
    <row r="302">
      <c r="A302" s="31" t="str">
        <f>IFERROR(__xludf.DUMMYFUNCTION("""COMPUTED_VALUE"""),"アフターピルの予約前に準備しておくことはありますか？")</f>
        <v>アフターピルの予約前に準備しておくことはありますか？</v>
      </c>
      <c r="B302" s="31" t="str">
        <f>IFERROR(__xludf.DUMMYFUNCTION("""COMPUTED_VALUE"""),"ルナレディースクリニックでは、アフターピルの診察前にWEB問診の入力をお願いしています。最終月経日や性行為の日時などを事前に入力することで、診察がスムーズになります。みます。")</f>
        <v>ルナレディースクリニックでは、アフターピルの診察前にWEB問診の入力をお願いしています。最終月経日や性行為の日時などを事前に入力することで、診察がスムーズになります。みます。</v>
      </c>
      <c r="C302" s="31" t="str">
        <f>IFERROR(__xludf.DUMMYFUNCTION("""COMPUTED_VALUE"""),"アフターピル")</f>
        <v>アフターピル</v>
      </c>
      <c r="D302" s="31" t="str">
        <f>IFERROR(__xludf.DUMMYFUNCTION("""COMPUTED_VALUE"""),"WEB問診,事前準備,アフターピル")</f>
        <v>WEB問診,事前準備,アフターピル</v>
      </c>
      <c r="E302" s="32" t="str">
        <f>IFERROR(__xludf.DUMMYFUNCTION("""COMPUTED_VALUE"""),"https://luna-dr.com/subjects/after-pill_page/")</f>
        <v>https://luna-dr.com/subjects/after-pill_page/</v>
      </c>
    </row>
    <row r="303">
      <c r="A303" s="31" t="str">
        <f>IFERROR(__xludf.DUMMYFUNCTION("""COMPUTED_VALUE"""),"アフターピルは初診でも予約できますか？")</f>
        <v>アフターピルは初診でも予約できますか？</v>
      </c>
      <c r="B303" s="31" t="str">
        <f>IFERROR(__xludf.DUMMYFUNCTION("""COMPUTED_VALUE"""),"アフターピルは初診の方もご予約いただけます。ご予約は公式LINEから受け付けておりますので、友だち追加の上ご利用ください。
来院診療のご予約：こちらのLINEをご利用ください→https://cline-app.com/qr-codes/98ad6f149bfa20f4f2a9a2e91aac4187/preview
オンライン診療のご予約：こちらのオンライン診療LINEページをご利用ください→https://liff-gateway.lineml.jp/landing?follow=%40590gpx"&amp;"rd&amp;lp=fX73yx&amp;liff_id=1657094566-LmjNPPbV")</f>
        <v>アフターピルは初診の方もご予約いただけます。ご予約は公式LINEから受け付けておりますので、友だち追加の上ご利用ください。
来院診療のご予約：こちらのLINEをご利用ください→https://cline-app.com/qr-codes/98ad6f149bfa20f4f2a9a2e91aac4187/preview
オンライン診療のご予約：こちらのオンライン診療LINEページをご利用ください→https://liff-gateway.lineml.jp/landing?follow=%40590gpxrd&amp;lp=fX73yx&amp;liff_id=1657094566-LmjNPPbV</v>
      </c>
      <c r="C303" s="31" t="str">
        <f>IFERROR(__xludf.DUMMYFUNCTION("""COMPUTED_VALUE"""),"アフターピル")</f>
        <v>アフターピル</v>
      </c>
      <c r="D303" s="31" t="str">
        <f>IFERROR(__xludf.DUMMYFUNCTION("""COMPUTED_VALUE"""),"初診,予約,アフターピル")</f>
        <v>初診,予約,アフターピル</v>
      </c>
      <c r="E303" s="32" t="str">
        <f>IFERROR(__xludf.DUMMYFUNCTION("""COMPUTED_VALUE"""),"https://luna-dr.com/subjects/after-pill_page/")</f>
        <v>https://luna-dr.com/subjects/after-pill_page/</v>
      </c>
    </row>
    <row r="304">
      <c r="A304" s="31" t="str">
        <f>IFERROR(__xludf.DUMMYFUNCTION("""COMPUTED_VALUE"""),"アフターピルは来院とオンライン、どちらで予約できますか？")</f>
        <v>アフターピルは来院とオンライン、どちらで予約できますか？</v>
      </c>
      <c r="B304" s="31" t="str">
        <f>IFERROR(__xludf.DUMMYFUNCTION("""COMPUTED_VALUE"""),"ルナレディースクリニックでは、アフターピルのご相談は来院診療とオンライン診療のどちらでも予約が可能です。ご自身のライフスタイルに合わせて選べます。
来院診療のご予約：こちらのLINEをご利用ください→https://cline-app.com/qr-codes/98ad6f149bfa20f4f2a9a2e91aac4187/preview
オンライン診療のご予約：こちらのオンライン診療LINEページをご利用ください→https://liff-gateway.lineml.jp/landing?foll"&amp;"ow=%40590gpxrd&amp;lp=fX73yx&amp;liff_id=1657094566-LmjNPPbV")</f>
        <v>ルナレディースクリニックでは、アフターピルのご相談は来院診療とオンライン診療のどちらでも予約が可能です。ご自身のライフスタイルに合わせて選べます。
来院診療のご予約：こちらのLINEをご利用ください→https://cline-app.com/qr-codes/98ad6f149bfa20f4f2a9a2e91aac4187/preview
オンライン診療のご予約：こちらのオンライン診療LINEページをご利用ください→https://liff-gateway.lineml.jp/landing?follow=%40590gpxrd&amp;lp=fX73yx&amp;liff_id=1657094566-LmjNPPbV</v>
      </c>
      <c r="C304" s="31" t="str">
        <f>IFERROR(__xludf.DUMMYFUNCTION("""COMPUTED_VALUE"""),"アフターピル")</f>
        <v>アフターピル</v>
      </c>
      <c r="D304" s="31" t="str">
        <f>IFERROR(__xludf.DUMMYFUNCTION("""COMPUTED_VALUE"""),"来院診療,オンライン診療,アフターピル")</f>
        <v>来院診療,オンライン診療,アフターピル</v>
      </c>
      <c r="E304" s="32" t="str">
        <f>IFERROR(__xludf.DUMMYFUNCTION("""COMPUTED_VALUE"""),"https://luna-dr.com/subjects/after-pill_page/")</f>
        <v>https://luna-dr.com/subjects/after-pill_page/</v>
      </c>
    </row>
    <row r="305">
      <c r="A305" s="31" t="str">
        <f>IFERROR(__xludf.DUMMYFUNCTION("""COMPUTED_VALUE"""),"アフターピルの診察前にWEB問診は必要ですか？")</f>
        <v>アフターピルの診察前にWEB問診は必要ですか？</v>
      </c>
      <c r="B305" s="31" t="str">
        <f>IFERROR(__xludf.DUMMYFUNCTION("""COMPUTED_VALUE"""),"ルナレディースクリニックでは、アフターピルの診察前にWEB問診の入力をお願いしています。最終月経日や性行為の日時などを事前に入力することで、診察がスムーズになります。")</f>
        <v>ルナレディースクリニックでは、アフターピルの診察前にWEB問診の入力をお願いしています。最終月経日や性行為の日時などを事前に入力することで、診察がスムーズになります。</v>
      </c>
      <c r="C305" s="31" t="str">
        <f>IFERROR(__xludf.DUMMYFUNCTION("""COMPUTED_VALUE"""),"アフターピル")</f>
        <v>アフターピル</v>
      </c>
      <c r="D305" s="31" t="str">
        <f>IFERROR(__xludf.DUMMYFUNCTION("""COMPUTED_VALUE"""),"アフターピル,WEB問診,事前準備")</f>
        <v>アフターピル,WEB問診,事前準備</v>
      </c>
      <c r="E305" s="32" t="str">
        <f>IFERROR(__xludf.DUMMYFUNCTION("""COMPUTED_VALUE"""),"https://luna-dr.com/subjects/after-pill_page/")</f>
        <v>https://luna-dr.com/subjects/after-pill_page/</v>
      </c>
    </row>
    <row r="306">
      <c r="A306" s="31" t="str">
        <f>IFERROR(__xludf.DUMMYFUNCTION("""COMPUTED_VALUE"""),"アフターピルの診察では何を聞かれますか？")</f>
        <v>アフターピルの診察では何を聞かれますか？</v>
      </c>
      <c r="B306" s="31" t="str">
        <f>IFERROR(__xludf.DUMMYFUNCTION("""COMPUTED_VALUE"""),"ルナレディースクリニックのアフターピル診察では、最終月経日、心配な性行為の日時、避妊状況、過去のアフターピル服用歴、アレルギーや持病などを確認します。")</f>
        <v>ルナレディースクリニックのアフターピル診察では、最終月経日、心配な性行為の日時、避妊状況、過去のアフターピル服用歴、アレルギーや持病などを確認します。</v>
      </c>
      <c r="C306" s="31" t="str">
        <f>IFERROR(__xludf.DUMMYFUNCTION("""COMPUTED_VALUE"""),"アフターピル")</f>
        <v>アフターピル</v>
      </c>
      <c r="D306" s="31" t="str">
        <f>IFERROR(__xludf.DUMMYFUNCTION("""COMPUTED_VALUE"""),"アフターピル,診察内容,問診")</f>
        <v>アフターピル,診察内容,問診</v>
      </c>
      <c r="E306" s="32" t="str">
        <f>IFERROR(__xludf.DUMMYFUNCTION("""COMPUTED_VALUE"""),"https://luna-dr.com/subjects/after-pill_page/")</f>
        <v>https://luna-dr.com/subjects/after-pill_page/</v>
      </c>
    </row>
    <row r="307">
      <c r="A307" s="31" t="str">
        <f>IFERROR(__xludf.DUMMYFUNCTION("""COMPUTED_VALUE"""),"アフターピルの診察で内診はありますか？")</f>
        <v>アフターピルの診察で内診はありますか？</v>
      </c>
      <c r="B307" s="31" t="str">
        <f>IFERROR(__xludf.DUMMYFUNCTION("""COMPUTED_VALUE"""),"アフターピルの診察は、原則として内診なしで処方可能な場合がほとんどです。ただし、医師が必要と判断した場合には内診や超音波検査を行うことがあります。")</f>
        <v>アフターピルの診察は、原則として内診なしで処方可能な場合がほとんどです。ただし、医師が必要と判断した場合には内診や超音波検査を行うことがあります。</v>
      </c>
      <c r="C307" s="31" t="str">
        <f>IFERROR(__xludf.DUMMYFUNCTION("""COMPUTED_VALUE"""),"アフターピル")</f>
        <v>アフターピル</v>
      </c>
      <c r="D307" s="31" t="str">
        <f>IFERROR(__xludf.DUMMYFUNCTION("""COMPUTED_VALUE"""),"アフターピル,内診,検査")</f>
        <v>アフターピル,内診,検査</v>
      </c>
      <c r="E307" s="32" t="str">
        <f>IFERROR(__xludf.DUMMYFUNCTION("""COMPUTED_VALUE"""),"https://luna-dr.com/subjects/after-pill_page/")</f>
        <v>https://luna-dr.com/subjects/after-pill_page/</v>
      </c>
    </row>
    <row r="308">
      <c r="A308" s="31" t="str">
        <f>IFERROR(__xludf.DUMMYFUNCTION("""COMPUTED_VALUE"""),"アフターピルは初診当日に処方されますか？")</f>
        <v>アフターピルは初診当日に処方されますか？</v>
      </c>
      <c r="B308" s="31" t="str">
        <f>IFERROR(__xludf.DUMMYFUNCTION("""COMPUTED_VALUE"""),"ルナレディースクリニックでは、診察後すぐにアフターピルを処方しています。来院診療の場合は当日お渡し、オンライン診療の場合は決済確認後に当日または翌日に発送します。")</f>
        <v>ルナレディースクリニックでは、診察後すぐにアフターピルを処方しています。来院診療の場合は当日お渡し、オンライン診療の場合は決済確認後に当日または翌日に発送します。</v>
      </c>
      <c r="C308" s="31" t="str">
        <f>IFERROR(__xludf.DUMMYFUNCTION("""COMPUTED_VALUE"""),"アフターピル")</f>
        <v>アフターピル</v>
      </c>
      <c r="D308" s="31" t="str">
        <f>IFERROR(__xludf.DUMMYFUNCTION("""COMPUTED_VALUE"""),"アフターピル,即日処方,初診")</f>
        <v>アフターピル,即日処方,初診</v>
      </c>
      <c r="E308" s="32" t="str">
        <f>IFERROR(__xludf.DUMMYFUNCTION("""COMPUTED_VALUE"""),"https://luna-dr.com/subjects/after-pill_page/")</f>
        <v>https://luna-dr.com/subjects/after-pill_page/</v>
      </c>
    </row>
    <row r="309">
      <c r="A309" s="31" t="str">
        <f>IFERROR(__xludf.DUMMYFUNCTION("""COMPUTED_VALUE"""),"アフターピルの支払いはいつ行いますか？")</f>
        <v>アフターピルの支払いはいつ行いますか？</v>
      </c>
      <c r="B309" s="31" t="str">
        <f>IFERROR(__xludf.DUMMYFUNCTION("""COMPUTED_VALUE"""),"アフターピルの支払いは、診察後に行います。来院診療では受付でのお会計、オンライン診療では決済リンクからクレジットカード決済となります。")</f>
        <v>アフターピルの支払いは、診察後に行います。来院診療では受付でのお会計、オンライン診療では決済リンクからクレジットカード決済となります。</v>
      </c>
      <c r="C309" s="31" t="str">
        <f>IFERROR(__xludf.DUMMYFUNCTION("""COMPUTED_VALUE"""),"アフターピル")</f>
        <v>アフターピル</v>
      </c>
      <c r="D309" s="31" t="str">
        <f>IFERROR(__xludf.DUMMYFUNCTION("""COMPUTED_VALUE"""),"アフターピル,支払い,決済方法")</f>
        <v>アフターピル,支払い,決済方法</v>
      </c>
      <c r="E309" s="32" t="str">
        <f>IFERROR(__xludf.DUMMYFUNCTION("""COMPUTED_VALUE"""),"https://luna-dr.com/subjects/after-pill_page/")</f>
        <v>https://luna-dr.com/subjects/after-pill_page/</v>
      </c>
    </row>
    <row r="310">
      <c r="A310" s="31" t="str">
        <f>IFERROR(__xludf.DUMMYFUNCTION("""COMPUTED_VALUE"""),"アフターピル処方後に相談はできますか？")</f>
        <v>アフターピル処方後に相談はできますか？</v>
      </c>
      <c r="B310" s="31" t="str">
        <f>IFERROR(__xludf.DUMMYFUNCTION("""COMPUTED_VALUE"""),"ルナレディースクリニックでは、アフターピル服用後の体調不安やご質問について、LINEでの相談が可能です。服用後2時間以内の嘔吐などがあった場合も早めにご相談ください。")</f>
        <v>ルナレディースクリニックでは、アフターピル服用後の体調不安やご質問について、LINEでの相談が可能です。服用後2時間以内の嘔吐などがあった場合も早めにご相談ください。</v>
      </c>
      <c r="C310" s="31" t="str">
        <f>IFERROR(__xludf.DUMMYFUNCTION("""COMPUTED_VALUE"""),"アフターピル")</f>
        <v>アフターピル</v>
      </c>
      <c r="D310" s="31" t="str">
        <f>IFERROR(__xludf.DUMMYFUNCTION("""COMPUTED_VALUE"""),"アフターピル,アフターケア,相談")</f>
        <v>アフターピル,アフターケア,相談</v>
      </c>
      <c r="E310" s="32" t="str">
        <f>IFERROR(__xludf.DUMMYFUNCTION("""COMPUTED_VALUE"""),"https://luna-dr.com/subjects/after-pill_page/")</f>
        <v>https://luna-dr.com/subjects/after-pill_page/</v>
      </c>
    </row>
    <row r="311">
      <c r="A311" s="31" t="str">
        <f>IFERROR(__xludf.DUMMYFUNCTION("""COMPUTED_VALUE"""),"アフターピル服用後は何に注意すればいいですか？")</f>
        <v>アフターピル服用後は何に注意すればいいですか？</v>
      </c>
      <c r="B311" s="31" t="str">
        <f>IFERROR(__xludf.DUMMYFUNCTION("""COMPUTED_VALUE"""),"アフターピル服用後は避妊を継続し、3週間後に妊娠検査薬を使用することをおすすめしています。体調不良がある場合は、ルナレディースクリニックへご相談ください。")</f>
        <v>アフターピル服用後は避妊を継続し、3週間後に妊娠検査薬を使用することをおすすめしています。体調不良がある場合は、ルナレディースクリニックへご相談ください。</v>
      </c>
      <c r="C311" s="31" t="str">
        <f>IFERROR(__xludf.DUMMYFUNCTION("""COMPUTED_VALUE"""),"アフターピル")</f>
        <v>アフターピル</v>
      </c>
      <c r="D311" s="31" t="str">
        <f>IFERROR(__xludf.DUMMYFUNCTION("""COMPUTED_VALUE"""),"アフターピル,服用後,注意点")</f>
        <v>アフターピル,服用後,注意点</v>
      </c>
      <c r="E311" s="32" t="str">
        <f>IFERROR(__xludf.DUMMYFUNCTION("""COMPUTED_VALUE"""),"https://luna-dr.com/subjects/after-pill_page/")</f>
        <v>https://luna-dr.com/subjects/after-pill_page/</v>
      </c>
    </row>
    <row r="312">
      <c r="A312" s="31" t="str">
        <f>IFERROR(__xludf.DUMMYFUNCTION("""COMPUTED_VALUE"""),"ミレーナとは何ですか？")</f>
        <v>ミレーナとは何ですか？</v>
      </c>
      <c r="B312" s="31" t="str">
        <f>IFERROR(__xludf.DUMMYFUNCTION("""COMPUTED_VALUE"""),"ミレーナ（Mirena／子宮内システム・IUS）は、子宮内に装着するT字型の医療器具で、黄体ホルモンを持続的に放出することで、生理痛や経血量の多さを改善したり、長期的な避妊効果を得る治療法です。")</f>
        <v>ミレーナ（Mirena／子宮内システム・IUS）は、子宮内に装着するT字型の医療器具で、黄体ホルモンを持続的に放出することで、生理痛や経血量の多さを改善したり、長期的な避妊効果を得る治療法です。</v>
      </c>
      <c r="C312" s="31" t="str">
        <f>IFERROR(__xludf.DUMMYFUNCTION("""COMPUTED_VALUE"""),"ミレーナ")</f>
        <v>ミレーナ</v>
      </c>
      <c r="D312" s="31" t="str">
        <f>IFERROR(__xludf.DUMMYFUNCTION("""COMPUTED_VALUE"""),"ミレーナ 子宮内システム,ミレーナ とは,ミレーナ 治療")</f>
        <v>ミレーナ 子宮内システム,ミレーナ とは,ミレーナ 治療</v>
      </c>
      <c r="E312" s="32" t="str">
        <f>IFERROR(__xludf.DUMMYFUNCTION("""COMPUTED_VALUE"""),"https://luna-dr.com/subjects/ius-treatment/")</f>
        <v>https://luna-dr.com/subjects/ius-treatment/</v>
      </c>
    </row>
    <row r="313">
      <c r="A313" s="31" t="str">
        <f>IFERROR(__xludf.DUMMYFUNCTION("""COMPUTED_VALUE"""),"ミレーナはどんな人が対象ですか？")</f>
        <v>ミレーナはどんな人が対象ですか？</v>
      </c>
      <c r="B313" s="31" t="str">
        <f>IFERROR(__xludf.DUMMYFUNCTION("""COMPUTED_VALUE"""),"ミレーナ（Mirena／子宮内システム・IUS）は、毎月の生理痛や経血量の多さに悩んでいる方、低用量ピルが体質に合わない方、毎日の服薬管理が負担な方などが対象です。")</f>
        <v>ミレーナ（Mirena／子宮内システム・IUS）は、毎月の生理痛や経血量の多さに悩んでいる方、低用量ピルが体質に合わない方、毎日の服薬管理が負担な方などが対象です。</v>
      </c>
      <c r="C313" s="31" t="str">
        <f>IFERROR(__xludf.DUMMYFUNCTION("""COMPUTED_VALUE"""),"ミレーナ")</f>
        <v>ミレーナ</v>
      </c>
      <c r="D313" s="31" t="str">
        <f>IFERROR(__xludf.DUMMYFUNCTION("""COMPUTED_VALUE"""),"ミレーナ 対象,ミレーナ ピル 合わない")</f>
        <v>ミレーナ 対象,ミレーナ ピル 合わない</v>
      </c>
      <c r="E313" s="32" t="str">
        <f>IFERROR(__xludf.DUMMYFUNCTION("""COMPUTED_VALUE"""),"https://luna-dr.com/subjects/ius-treatment/")</f>
        <v>https://luna-dr.com/subjects/ius-treatment/</v>
      </c>
    </row>
    <row r="314">
      <c r="A314" s="31" t="str">
        <f>IFERROR(__xludf.DUMMYFUNCTION("""COMPUTED_VALUE"""),"ミレーナはどのような仕組みで効果を発揮しますか？")</f>
        <v>ミレーナはどのような仕組みで効果を発揮しますか？</v>
      </c>
      <c r="B314" s="31" t="str">
        <f>IFERROR(__xludf.DUMMYFUNCTION("""COMPUTED_VALUE"""),"ミレーナは、子宮内に装着した器具から黄体ホルモンを持続的に放出し、月経症状の原因となる子宮内膜が厚くなるのを抑制する仕組みです。")</f>
        <v>ミレーナは、子宮内に装着した器具から黄体ホルモンを持続的に放出し、月経症状の原因となる子宮内膜が厚くなるのを抑制する仕組みです。</v>
      </c>
      <c r="C314" s="31" t="str">
        <f>IFERROR(__xludf.DUMMYFUNCTION("""COMPUTED_VALUE"""),"ミレーナ仕組み")</f>
        <v>ミレーナ仕組み</v>
      </c>
      <c r="D314" s="31" t="str">
        <f>IFERROR(__xludf.DUMMYFUNCTION("""COMPUTED_VALUE"""),"ミレーナ,仕組み,黄体ホルモン")</f>
        <v>ミレーナ,仕組み,黄体ホルモン</v>
      </c>
      <c r="E314" s="32" t="str">
        <f>IFERROR(__xludf.DUMMYFUNCTION("""COMPUTED_VALUE"""),"https://luna-dr.com/subjects/ius-treatment/")</f>
        <v>https://luna-dr.com/subjects/ius-treatment/</v>
      </c>
    </row>
    <row r="315">
      <c r="A315" s="31" t="str">
        <f>IFERROR(__xludf.DUMMYFUNCTION("""COMPUTED_VALUE"""),"ミレーナはどんな悩みに使われますか？")</f>
        <v>ミレーナはどんな悩みに使われますか？</v>
      </c>
      <c r="B315" s="31" t="str">
        <f>IFERROR(__xludf.DUMMYFUNCTION("""COMPUTED_VALUE"""),"ミレーナは、ひどい生理痛や経血量の多さといった月経に関する症状の治療や、長期的な避妊を目的として使用されます。")</f>
        <v>ミレーナは、ひどい生理痛や経血量の多さといった月経に関する症状の治療や、長期的な避妊を目的として使用されます。</v>
      </c>
      <c r="C315" s="31" t="str">
        <f>IFERROR(__xludf.DUMMYFUNCTION("""COMPUTED_VALUE"""),"ミレーナ適応")</f>
        <v>ミレーナ適応</v>
      </c>
      <c r="D315" s="31" t="str">
        <f>IFERROR(__xludf.DUMMYFUNCTION("""COMPUTED_VALUE"""),"ミレーナ,生理痛,過多月経,避妊")</f>
        <v>ミレーナ,生理痛,過多月経,避妊</v>
      </c>
      <c r="E315" s="32" t="str">
        <f>IFERROR(__xludf.DUMMYFUNCTION("""COMPUTED_VALUE"""),"https://luna-dr.com/subjects/ius-treatment/")</f>
        <v>https://luna-dr.com/subjects/ius-treatment/</v>
      </c>
    </row>
    <row r="316">
      <c r="A316" s="31" t="str">
        <f>IFERROR(__xludf.DUMMYFUNCTION("""COMPUTED_VALUE"""),"ミレーナは保険適用になりますか？")</f>
        <v>ミレーナは保険適用になりますか？</v>
      </c>
      <c r="B316" s="31" t="str">
        <f>IFERROR(__xludf.DUMMYFUNCTION("""COMPUTED_VALUE"""),"ミレーナは使用目的によって保険適用の有無が異なります。生理痛や経血量の多さなどの治療目的の場合は保険が適用されます。")</f>
        <v>ミレーナは使用目的によって保険適用の有無が異なります。生理痛や経血量の多さなどの治療目的の場合は保険が適用されます。</v>
      </c>
      <c r="C316" s="31" t="str">
        <f>IFERROR(__xludf.DUMMYFUNCTION("""COMPUTED_VALUE"""),"ミレーナ保険")</f>
        <v>ミレーナ保険</v>
      </c>
      <c r="D316" s="31" t="str">
        <f>IFERROR(__xludf.DUMMYFUNCTION("""COMPUTED_VALUE"""),"ミレーナ,保険適用,治療目的")</f>
        <v>ミレーナ,保険適用,治療目的</v>
      </c>
      <c r="E316" s="32" t="str">
        <f>IFERROR(__xludf.DUMMYFUNCTION("""COMPUTED_VALUE"""),"https://luna-dr.com/subjects/ius-treatment/")</f>
        <v>https://luna-dr.com/subjects/ius-treatment/</v>
      </c>
    </row>
    <row r="317">
      <c r="A317" s="31" t="str">
        <f>IFERROR(__xludf.DUMMYFUNCTION("""COMPUTED_VALUE"""),"治療目的でミレーナを使用する場合の特徴は何ですか？")</f>
        <v>治療目的でミレーナを使用する場合の特徴は何ですか？</v>
      </c>
      <c r="B317" s="31" t="str">
        <f>IFERROR(__xludf.DUMMYFUNCTION("""COMPUTED_VALUE"""),"治療目的でミレーナを使用する場合、保険診療となり、経血量の減少や生理痛の緩和が主な効果です。症状の原因を診断するため、超音波（エコー）検査などを行います。")</f>
        <v>治療目的でミレーナを使用する場合、保険診療となり、経血量の減少や生理痛の緩和が主な効果です。症状の原因を診断するため、超音波（エコー）検査などを行います。</v>
      </c>
      <c r="C317" s="31" t="str">
        <f>IFERROR(__xludf.DUMMYFUNCTION("""COMPUTED_VALUE"""),"ミレーナ治療目的")</f>
        <v>ミレーナ治療目的</v>
      </c>
      <c r="D317" s="31" t="str">
        <f>IFERROR(__xludf.DUMMYFUNCTION("""COMPUTED_VALUE"""),"ミレーナ,治療,生理痛,経血量")</f>
        <v>ミレーナ,治療,生理痛,経血量</v>
      </c>
      <c r="E317" s="32" t="str">
        <f>IFERROR(__xludf.DUMMYFUNCTION("""COMPUTED_VALUE"""),"https://luna-dr.com/subjects/ius-treatment/")</f>
        <v>https://luna-dr.com/subjects/ius-treatment/</v>
      </c>
    </row>
    <row r="318">
      <c r="A318" s="31" t="str">
        <f>IFERROR(__xludf.DUMMYFUNCTION("""COMPUTED_VALUE"""),"避妊目的でミレーナを使用する場合は保険適用されますか？")</f>
        <v>避妊目的でミレーナを使用する場合は保険適用されますか？</v>
      </c>
      <c r="B318" s="31" t="str">
        <f>IFERROR(__xludf.DUMMYFUNCTION("""COMPUTED_VALUE"""),"長期的な避妊を主な目的としてミレーナを使用する場合は、自費診療となり、保険は適用されません。")</f>
        <v>長期的な避妊を主な目的としてミレーナを使用する場合は、自費診療となり、保険は適用されません。</v>
      </c>
      <c r="C318" s="31" t="str">
        <f>IFERROR(__xludf.DUMMYFUNCTION("""COMPUTED_VALUE"""),"ミレーナ避妊目的")</f>
        <v>ミレーナ避妊目的</v>
      </c>
      <c r="D318" s="31" t="str">
        <f>IFERROR(__xludf.DUMMYFUNCTION("""COMPUTED_VALUE"""),"ミレーナ,避妊,自費診療")</f>
        <v>ミレーナ,避妊,自費診療</v>
      </c>
      <c r="E318" s="32" t="str">
        <f>IFERROR(__xludf.DUMMYFUNCTION("""COMPUTED_VALUE"""),"https://luna-dr.com/subjects/ius-treatment/")</f>
        <v>https://luna-dr.com/subjects/ius-treatment/</v>
      </c>
    </row>
    <row r="319">
      <c r="A319" s="31" t="str">
        <f>IFERROR(__xludf.DUMMYFUNCTION("""COMPUTED_VALUE"""),"避妊目的のミレーナにはどんな効果がありますか？")</f>
        <v>避妊目的のミレーナにはどんな効果がありますか？</v>
      </c>
      <c r="B319" s="31" t="str">
        <f>IFERROR(__xludf.DUMMYFUNCTION("""COMPUTED_VALUE"""),"避妊目的で使用するミレーナには、最長5年間の高い避妊効果（99.8%以上）が期待できます。")</f>
        <v>避妊目的で使用するミレーナには、最長5年間の高い避妊効果（99.8%以上）が期待できます。</v>
      </c>
      <c r="C319" s="31" t="str">
        <f>IFERROR(__xludf.DUMMYFUNCTION("""COMPUTED_VALUE"""),"ミレーナ避妊効果")</f>
        <v>ミレーナ避妊効果</v>
      </c>
      <c r="D319" s="31" t="str">
        <f>IFERROR(__xludf.DUMMYFUNCTION("""COMPUTED_VALUE"""),"ミレーナ,避妊効果,5年間")</f>
        <v>ミレーナ,避妊効果,5年間</v>
      </c>
      <c r="E319" s="32" t="str">
        <f>IFERROR(__xludf.DUMMYFUNCTION("""COMPUTED_VALUE"""),"https://luna-dr.com/subjects/ius-treatment/")</f>
        <v>https://luna-dr.com/subjects/ius-treatment/</v>
      </c>
    </row>
    <row r="320">
      <c r="A320" s="31" t="str">
        <f>IFERROR(__xludf.DUMMYFUNCTION("""COMPUTED_VALUE"""),"避妊目的でミレーナを使用する場合、検査は必要ですか？")</f>
        <v>避妊目的でミレーナを使用する場合、検査は必要ですか？</v>
      </c>
      <c r="B320" s="31" t="str">
        <f>IFERROR(__xludf.DUMMYFUNCTION("""COMPUTED_VALUE"""),"避妊目的でミレーナを使用する場合は、主に問診が中心となり、安全性が確認できれば内診や検査は必須ではありません。")</f>
        <v>避妊目的でミレーナを使用する場合は、主に問診が中心となり、安全性が確認できれば内診や検査は必須ではありません。</v>
      </c>
      <c r="C320" s="31" t="str">
        <f>IFERROR(__xludf.DUMMYFUNCTION("""COMPUTED_VALUE"""),"ミレーナ検査")</f>
        <v>ミレーナ検査</v>
      </c>
      <c r="D320" s="31" t="str">
        <f>IFERROR(__xludf.DUMMYFUNCTION("""COMPUTED_VALUE"""),"ミレーナ,問診,検査")</f>
        <v>ミレーナ,問診,検査</v>
      </c>
      <c r="E320" s="32" t="str">
        <f>IFERROR(__xludf.DUMMYFUNCTION("""COMPUTED_VALUE"""),"https://luna-dr.com/subjects/ius-treatment/")</f>
        <v>https://luna-dr.com/subjects/ius-treatment/</v>
      </c>
    </row>
    <row r="321">
      <c r="A321" s="31" t="str">
        <f>IFERROR(__xludf.DUMMYFUNCTION("""COMPUTED_VALUE"""),"ミレーナの効果はどれくらい続きますか？")</f>
        <v>ミレーナの効果はどれくらい続きますか？</v>
      </c>
      <c r="B321" s="31" t="str">
        <f>IFERROR(__xludf.DUMMYFUNCTION("""COMPUTED_VALUE"""),"ミレーナは、治療目的・避妊目的のいずれの場合でも、一度装着すれば最長5年間効果が持続します。")</f>
        <v>ミレーナは、治療目的・避妊目的のいずれの場合でも、一度装着すれば最長5年間効果が持続します。</v>
      </c>
      <c r="C321" s="31" t="str">
        <f>IFERROR(__xludf.DUMMYFUNCTION("""COMPUTED_VALUE"""),"ミレーナ期間")</f>
        <v>ミレーナ期間</v>
      </c>
      <c r="D321" s="31" t="str">
        <f>IFERROR(__xludf.DUMMYFUNCTION("""COMPUTED_VALUE"""),"ミレーナ,効果期間,5年")</f>
        <v>ミレーナ,効果期間,5年</v>
      </c>
      <c r="E321" s="32" t="str">
        <f>IFERROR(__xludf.DUMMYFUNCTION("""COMPUTED_VALUE"""),"https://luna-dr.com/subjects/ius-treatment/")</f>
        <v>https://luna-dr.com/subjects/ius-treatment/</v>
      </c>
    </row>
    <row r="322">
      <c r="A322" s="31" t="str">
        <f>IFERROR(__xludf.DUMMYFUNCTION("""COMPUTED_VALUE"""),"治療目的でミレーナを使っても避妊効果はありますか？")</f>
        <v>治療目的でミレーナを使っても避妊効果はありますか？</v>
      </c>
      <c r="B322" s="31" t="str">
        <f>IFERROR(__xludf.DUMMYFUNCTION("""COMPUTED_VALUE"""),"治療目的でミレーナを装着した場合でも、副次的に高い避妊効果が得られます。")</f>
        <v>治療目的でミレーナを装着した場合でも、副次的に高い避妊効果が得られます。</v>
      </c>
      <c r="C322" s="31" t="str">
        <f>IFERROR(__xludf.DUMMYFUNCTION("""COMPUTED_VALUE"""),"ミレーナ副次効果")</f>
        <v>ミレーナ副次効果</v>
      </c>
      <c r="D322" s="31" t="str">
        <f>IFERROR(__xludf.DUMMYFUNCTION("""COMPUTED_VALUE"""),"ミレーナ,治療,避妊効果")</f>
        <v>ミレーナ,治療,避妊効果</v>
      </c>
      <c r="E322" s="32" t="str">
        <f>IFERROR(__xludf.DUMMYFUNCTION("""COMPUTED_VALUE"""),"https://luna-dr.com/subjects/ius-treatment/")</f>
        <v>https://luna-dr.com/subjects/ius-treatment/</v>
      </c>
    </row>
    <row r="323">
      <c r="A323" s="31" t="str">
        <f>IFERROR(__xludf.DUMMYFUNCTION("""COMPUTED_VALUE"""),"ミレーナの効果はいつから実感できますか？")</f>
        <v>ミレーナの効果はいつから実感できますか？</v>
      </c>
      <c r="B323" s="31" t="str">
        <f>IFERROR(__xludf.DUMMYFUNCTION("""COMPUTED_VALUE"""),"ミレーナ（Mirena／子宮内システム・IUS）の効果は、装着後1〜3か月ほどで徐々に実感されることが多いです。")</f>
        <v>ミレーナ（Mirena／子宮内システム・IUS）の効果は、装着後1〜3か月ほどで徐々に実感されることが多いです。</v>
      </c>
      <c r="C323" s="31" t="str">
        <f>IFERROR(__xludf.DUMMYFUNCTION("""COMPUTED_VALUE"""),"ミレーナ")</f>
        <v>ミレーナ</v>
      </c>
      <c r="D323" s="31" t="str">
        <f>IFERROR(__xludf.DUMMYFUNCTION("""COMPUTED_VALUE"""),"ミレーナ 効果 いつ,ミレーナ 生理 改善")</f>
        <v>ミレーナ 効果 いつ,ミレーナ 生理 改善</v>
      </c>
      <c r="E323" s="32" t="str">
        <f>IFERROR(__xludf.DUMMYFUNCTION("""COMPUTED_VALUE"""),"https://luna-dr.com/subjects/ius-treatment/")</f>
        <v>https://luna-dr.com/subjects/ius-treatment/</v>
      </c>
    </row>
    <row r="324">
      <c r="A324" s="31" t="str">
        <f>IFERROR(__xludf.DUMMYFUNCTION("""COMPUTED_VALUE"""),"ミレーナの効果はどれくらい続きますか？/ミレーナは何年間使えますか？")</f>
        <v>ミレーナの効果はどれくらい続きますか？/ミレーナは何年間使えますか？</v>
      </c>
      <c r="B324" s="31" t="str">
        <f>IFERROR(__xludf.DUMMYFUNCTION("""COMPUTED_VALUE"""),"ミレーナ（Mirena／子宮内システム・IUS）は、1回の装着で最長5年間効果が持続します。")</f>
        <v>ミレーナ（Mirena／子宮内システム・IUS）は、1回の装着で最長5年間効果が持続します。</v>
      </c>
      <c r="C324" s="31" t="str">
        <f>IFERROR(__xludf.DUMMYFUNCTION("""COMPUTED_VALUE"""),"ミレーナ")</f>
        <v>ミレーナ</v>
      </c>
      <c r="D324" s="31" t="str">
        <f>IFERROR(__xludf.DUMMYFUNCTION("""COMPUTED_VALUE"""),"ミレーナ 効果 期間,ミレーナ 5年")</f>
        <v>ミレーナ 効果 期間,ミレーナ 5年</v>
      </c>
      <c r="E324" s="32" t="str">
        <f>IFERROR(__xludf.DUMMYFUNCTION("""COMPUTED_VALUE"""),"https://luna-dr.com/subjects/ius-treatment/")</f>
        <v>https://luna-dr.com/subjects/ius-treatment/</v>
      </c>
    </row>
    <row r="325">
      <c r="A325" s="31" t="str">
        <f>IFERROR(__xludf.DUMMYFUNCTION("""COMPUTED_VALUE"""),"ミレーナを継続したい場合はどうしますか？")</f>
        <v>ミレーナを継続したい場合はどうしますか？</v>
      </c>
      <c r="B325" s="31" t="str">
        <f>IFERROR(__xludf.DUMMYFUNCTION("""COMPUTED_VALUE"""),"5年経過時に抜去し、同日に新しいミレーナを再装着することも可能です。")</f>
        <v>5年経過時に抜去し、同日に新しいミレーナを再装着することも可能です。</v>
      </c>
      <c r="C325" s="31" t="str">
        <f>IFERROR(__xludf.DUMMYFUNCTION("""COMPUTED_VALUE"""),"ミレーナ")</f>
        <v>ミレーナ</v>
      </c>
      <c r="D325" s="31" t="str">
        <f>IFERROR(__xludf.DUMMYFUNCTION("""COMPUTED_VALUE"""),"ミレーナ,継続,交換")</f>
        <v>ミレーナ,継続,交換</v>
      </c>
      <c r="E325" s="32" t="str">
        <f>IFERROR(__xludf.DUMMYFUNCTION("""COMPUTED_VALUE"""),"https://luna-dr.com/subjects/ius-treatment/")</f>
        <v>https://luna-dr.com/subjects/ius-treatment/</v>
      </c>
    </row>
    <row r="326">
      <c r="A326" s="31" t="str">
        <f>IFERROR(__xludf.DUMMYFUNCTION("""COMPUTED_VALUE"""),"ミレーナ装着時の痛みはどの程度でしょうか？")</f>
        <v>ミレーナ装着時の痛みはどの程度でしょうか？</v>
      </c>
      <c r="B326" s="31" t="str">
        <f>IFERROR(__xludf.DUMMYFUNCTION("""COMPUTED_VALUE"""),"痛みを心配されるのは当然のことです。痛みの感じ方には個人差があり、特に出産経験の有無によって異なります。出産経験のない方は生理痛のような痛みを感じやすい傾向にありますが、当院では、患者様の状態を確認しながら、痛みを最小限に抑えるよう細心の注意を払って処置を行います。")</f>
        <v>痛みを心配されるのは当然のことです。痛みの感じ方には個人差があり、特に出産経験の有無によって異なります。出産経験のない方は生理痛のような痛みを感じやすい傾向にありますが、当院では、患者様の状態を確認しながら、痛みを最小限に抑えるよう細心の注意を払って処置を行います。</v>
      </c>
      <c r="C326" s="31" t="str">
        <f>IFERROR(__xludf.DUMMYFUNCTION("""COMPUTED_VALUE"""),"ミレーナ")</f>
        <v>ミレーナ</v>
      </c>
      <c r="D326" s="31" t="str">
        <f>IFERROR(__xludf.DUMMYFUNCTION("""COMPUTED_VALUE"""),"ミレーナ,痛み,装着時")</f>
        <v>ミレーナ,痛み,装着時</v>
      </c>
      <c r="E326" s="32" t="str">
        <f>IFERROR(__xludf.DUMMYFUNCTION("""COMPUTED_VALUE"""),"https://luna-dr.com/subjects/ius-treatment/")</f>
        <v>https://luna-dr.com/subjects/ius-treatment/</v>
      </c>
    </row>
    <row r="327">
      <c r="A327" s="31" t="str">
        <f>IFERROR(__xludf.DUMMYFUNCTION("""COMPUTED_VALUE"""),"ミレーナの副作用にはどんなものがありますか？")</f>
        <v>ミレーナの副作用にはどんなものがありますか？</v>
      </c>
      <c r="B327" s="31" t="str">
        <f>IFERROR(__xludf.DUMMYFUNCTION("""COMPUTED_VALUE"""),"最も多いのは、装着後数ヶ月間にわたる不正出血です。これはミレーナが子宮に馴染む過程で起こるもので、多くの場合、時間の経過とともにおさまります。その他、下腹部痛などが起こることもありますが、ご不安な症状があれば、検診を待たずにいつでもご相談ください。")</f>
        <v>最も多いのは、装着後数ヶ月間にわたる不正出血です。これはミレーナが子宮に馴染む過程で起こるもので、多くの場合、時間の経過とともにおさまります。その他、下腹部痛などが起こることもありますが、ご不安な症状があれば、検診を待たずにいつでもご相談ください。</v>
      </c>
      <c r="C327" s="31" t="str">
        <f>IFERROR(__xludf.DUMMYFUNCTION("""COMPUTED_VALUE"""),"ミレーナ")</f>
        <v>ミレーナ</v>
      </c>
      <c r="D327" s="31" t="str">
        <f>IFERROR(__xludf.DUMMYFUNCTION("""COMPUTED_VALUE"""),"ミレーナ 副作用,ミレーナ 不正出血")</f>
        <v>ミレーナ 副作用,ミレーナ 不正出血</v>
      </c>
      <c r="E327" s="32" t="str">
        <f>IFERROR(__xludf.DUMMYFUNCTION("""COMPUTED_VALUE"""),"https://luna-dr.com/subjects/ius-treatment/")</f>
        <v>https://luna-dr.com/subjects/ius-treatment/</v>
      </c>
    </row>
    <row r="328">
      <c r="A328" s="31" t="str">
        <f>IFERROR(__xludf.DUMMYFUNCTION("""COMPUTED_VALUE"""),"低用量ピルとミレーナはどちらが良いですか？")</f>
        <v>低用量ピルとミレーナはどちらが良いですか？</v>
      </c>
      <c r="B328" s="31" t="str">
        <f>IFERROR(__xludf.DUMMYFUNCTION("""COMPUTED_VALUE"""),"低用量ピルとミレーナはそれぞれに利点があり、どちらが適しているかは患者様のご希望やライフスタイルによって異なります。大きな違いは、ピルが全身に作用するのに対し、ミレーナはホルモンの作用が子宮内に限定される点です。そのため、血栓症のリスクが極めて低く、全身的な副作用も起こりにくいのが特徴です。")</f>
        <v>低用量ピルとミレーナはそれぞれに利点があり、どちらが適しているかは患者様のご希望やライフスタイルによって異なります。大きな違いは、ピルが全身に作用するのに対し、ミレーナはホルモンの作用が子宮内に限定される点です。そのため、血栓症のリスクが極めて低く、全身的な副作用も起こりにくいのが特徴です。</v>
      </c>
      <c r="C328" s="31" t="str">
        <f>IFERROR(__xludf.DUMMYFUNCTION("""COMPUTED_VALUE"""),"ミレーナ")</f>
        <v>ミレーナ</v>
      </c>
      <c r="D328" s="31" t="str">
        <f>IFERROR(__xludf.DUMMYFUNCTION("""COMPUTED_VALUE"""),"ミレーナ ピル 比較,ミレーナ 低用量ピル 違い")</f>
        <v>ミレーナ ピル 比較,ミレーナ 低用量ピル 違い</v>
      </c>
      <c r="E328" s="32" t="str">
        <f>IFERROR(__xludf.DUMMYFUNCTION("""COMPUTED_VALUE"""),"https://luna-dr.com/subjects/ius-treatment/")</f>
        <v>https://luna-dr.com/subjects/ius-treatment/</v>
      </c>
    </row>
    <row r="329">
      <c r="A329" s="31" t="str">
        <f>IFERROR(__xludf.DUMMYFUNCTION("""COMPUTED_VALUE"""),"ミレーナを使えない人はいますか？")</f>
        <v>ミレーナを使えない人はいますか？</v>
      </c>
      <c r="B329" s="31" t="str">
        <f>IFERROR(__xludf.DUMMYFUNCTION("""COMPUTED_VALUE"""),"妊娠中の方、子宮の形に大きな異常がある方、活動性の感染症がある方などは使用できません。")</f>
        <v>妊娠中の方、子宮の形に大きな異常がある方、活動性の感染症がある方などは使用できません。</v>
      </c>
      <c r="C329" s="31" t="str">
        <f>IFERROR(__xludf.DUMMYFUNCTION("""COMPUTED_VALUE"""),"ミレーナ")</f>
        <v>ミレーナ</v>
      </c>
      <c r="D329" s="31" t="str">
        <f>IFERROR(__xludf.DUMMYFUNCTION("""COMPUTED_VALUE"""),"ミレーナ 禁忌,ミレーナ 使えない人")</f>
        <v>ミレーナ 禁忌,ミレーナ 使えない人</v>
      </c>
      <c r="E329" s="32" t="str">
        <f>IFERROR(__xludf.DUMMYFUNCTION("""COMPUTED_VALUE"""),"https://luna-dr.com/subjects/ius-treatment/")</f>
        <v>https://luna-dr.com/subjects/ius-treatment/</v>
      </c>
    </row>
    <row r="330">
      <c r="A330" s="31" t="str">
        <f>IFERROR(__xludf.DUMMYFUNCTION("""COMPUTED_VALUE"""),"ミレーナの診察・装着の流れを教えてください")</f>
        <v>ミレーナの診察・装着の流れを教えてください</v>
      </c>
      <c r="B330" s="31" t="str">
        <f>IFERROR(__xludf.DUMMYFUNCTION("""COMPUTED_VALUE"""),"ルナレディースクリニックでは、ミレーナ（Mirena／子宮内システム・IUS）の診察・装着は以下の流れで行います。まず、公式LINEまたはお電話でご予約のうえご来院ください。事前にWEB問診へご入力いただくと受付がスムーズです。次に、医師が問診内容をもとに診察を行い、安全に装着できるか確認するため、内診台で超音波（エコー）検査を行います。問題がなければ、月経4〜7日目頃に装着日を予約します。装着当日は、腟鏡で子宮の入口を確認・消毒し、子宮の大きさを測定したうえで専用器具を使ってミレーナを子宮内に挿入します"&amp;"。処置は数分で終了します。装着後は、1か月後・半年後・1年後、その後は年1回の定期検診で位置確認を行います。")</f>
        <v>ルナレディースクリニックでは、ミレーナ（Mirena／子宮内システム・IUS）の診察・装着は以下の流れで行います。まず、公式LINEまたはお電話でご予約のうえご来院ください。事前にWEB問診へご入力いただくと受付がスムーズです。次に、医師が問診内容をもとに診察を行い、安全に装着できるか確認するため、内診台で超音波（エコー）検査を行います。問題がなければ、月経4〜7日目頃に装着日を予約します。装着当日は、腟鏡で子宮の入口を確認・消毒し、子宮の大きさを測定したうえで専用器具を使ってミレーナを子宮内に挿入します。処置は数分で終了します。装着後は、1か月後・半年後・1年後、その後は年1回の定期検診で位置確認を行います。</v>
      </c>
      <c r="C330" s="31" t="str">
        <f>IFERROR(__xludf.DUMMYFUNCTION("""COMPUTED_VALUE"""),"ミレーナ")</f>
        <v>ミレーナ</v>
      </c>
      <c r="D330" s="31" t="str">
        <f>IFERROR(__xludf.DUMMYFUNCTION("""COMPUTED_VALUE"""),"ミレーナ 診察 流れ,ミレーナ 装着 流れ,ミレーナ エコー検査,ミレーナ 定期検診")</f>
        <v>ミレーナ 診察 流れ,ミレーナ 装着 流れ,ミレーナ エコー検査,ミレーナ 定期検診</v>
      </c>
      <c r="E330" s="32" t="str">
        <f>IFERROR(__xludf.DUMMYFUNCTION("""COMPUTED_VALUE"""),"https://luna-dr.com/subjects/ius-treatment/")</f>
        <v>https://luna-dr.com/subjects/ius-treatment/</v>
      </c>
    </row>
    <row r="331">
      <c r="A331" s="31" t="str">
        <f>IFERROR(__xludf.DUMMYFUNCTION("""COMPUTED_VALUE"""),"ミレーナはいつ装着しますか？")</f>
        <v>ミレーナはいつ装着しますか？</v>
      </c>
      <c r="B331" s="31" t="str">
        <f>IFERROR(__xludf.DUMMYFUNCTION("""COMPUTED_VALUE"""),"ミレーナ（Mirena／子宮内システム・IUS）は、月経4〜7日目頃に装着することが一般的です。")</f>
        <v>ミレーナ（Mirena／子宮内システム・IUS）は、月経4〜7日目頃に装着することが一般的です。</v>
      </c>
      <c r="C331" s="31" t="str">
        <f>IFERROR(__xludf.DUMMYFUNCTION("""COMPUTED_VALUE"""),"ミレーナ")</f>
        <v>ミレーナ</v>
      </c>
      <c r="D331" s="31" t="str">
        <f>IFERROR(__xludf.DUMMYFUNCTION("""COMPUTED_VALUE"""),"ミレーナ 装着 時期,ミレーナ いつ")</f>
        <v>ミレーナ 装着 時期,ミレーナ いつ</v>
      </c>
      <c r="E331" s="32" t="str">
        <f>IFERROR(__xludf.DUMMYFUNCTION("""COMPUTED_VALUE"""),"https://luna-dr.com/subjects/ius-treatment/")</f>
        <v>https://luna-dr.com/subjects/ius-treatment/</v>
      </c>
    </row>
    <row r="332">
      <c r="A332" s="31" t="str">
        <f>IFERROR(__xludf.DUMMYFUNCTION("""COMPUTED_VALUE"""),"ミレーナ装着後の注意点はありますか？")</f>
        <v>ミレーナ装着後の注意点はありますか？</v>
      </c>
      <c r="B332" s="31" t="str">
        <f>IFERROR(__xludf.DUMMYFUNCTION("""COMPUTED_VALUE"""),"装着当日からシャワーは可能で、日常生活に大きな制限はありません。ただし、感染予防の観点から、装着後数日間はタンポンの使用、性交渉、湯船での入浴はお控えいただくようご案内しています。")</f>
        <v>装着当日からシャワーは可能で、日常生活に大きな制限はありません。ただし、感染予防の観点から、装着後数日間はタンポンの使用、性交渉、湯船での入浴はお控えいただくようご案内しています。</v>
      </c>
      <c r="C332" s="31" t="str">
        <f>IFERROR(__xludf.DUMMYFUNCTION("""COMPUTED_VALUE"""),"ミレーナ")</f>
        <v>ミレーナ</v>
      </c>
      <c r="D332" s="31" t="str">
        <f>IFERROR(__xludf.DUMMYFUNCTION("""COMPUTED_VALUE"""),"ミレーナ 注意点,ミレーナ 装着後")</f>
        <v>ミレーナ 注意点,ミレーナ 装着後</v>
      </c>
      <c r="E332" s="32" t="str">
        <f>IFERROR(__xludf.DUMMYFUNCTION("""COMPUTED_VALUE"""),"https://luna-dr.com/subjects/ius-treatment/")</f>
        <v>https://luna-dr.com/subjects/ius-treatment/</v>
      </c>
    </row>
    <row r="333">
      <c r="A333" s="31" t="str">
        <f>IFERROR(__xludf.DUMMYFUNCTION("""COMPUTED_VALUE"""),"ミレーナは来院で診察できますか？")</f>
        <v>ミレーナは来院で診察できますか？</v>
      </c>
      <c r="B333" s="31" t="str">
        <f>IFERROR(__xludf.DUMMYFUNCTION("""COMPUTED_VALUE"""),"ミレーナ（Mirena／子宮内システム・IUS）は来院診療で行います。")</f>
        <v>ミレーナ（Mirena／子宮内システム・IUS）は来院診療で行います。</v>
      </c>
      <c r="C333" s="31" t="str">
        <f>IFERROR(__xludf.DUMMYFUNCTION("""COMPUTED_VALUE"""),"ミレーナ")</f>
        <v>ミレーナ</v>
      </c>
      <c r="D333" s="31" t="str">
        <f>IFERROR(__xludf.DUMMYFUNCTION("""COMPUTED_VALUE"""),"ミレーナ 来院診療,ミレーナ 婦人科")</f>
        <v>ミレーナ 来院診療,ミレーナ 婦人科</v>
      </c>
      <c r="E333" s="32" t="str">
        <f>IFERROR(__xludf.DUMMYFUNCTION("""COMPUTED_VALUE"""),"https://luna-dr.com/subjects/ius-treatment/")</f>
        <v>https://luna-dr.com/subjects/ius-treatment/</v>
      </c>
    </row>
    <row r="334">
      <c r="A334" s="31" t="str">
        <f>IFERROR(__xludf.DUMMYFUNCTION("""COMPUTED_VALUE"""),"ミレーナはオンライン診療でできますか？")</f>
        <v>ミレーナはオンライン診療でできますか？</v>
      </c>
      <c r="B334" s="31" t="str">
        <f>IFERROR(__xludf.DUMMYFUNCTION("""COMPUTED_VALUE"""),"ミレーナ（Mirena／子宮内システム・IUS）の装着は医療行為のため、オンライン診療のみでは対応できません。")</f>
        <v>ミレーナ（Mirena／子宮内システム・IUS）の装着は医療行為のため、オンライン診療のみでは対応できません。</v>
      </c>
      <c r="C334" s="31" t="str">
        <f>IFERROR(__xludf.DUMMYFUNCTION("""COMPUTED_VALUE"""),"ミレーナ")</f>
        <v>ミレーナ</v>
      </c>
      <c r="D334" s="31" t="str">
        <f>IFERROR(__xludf.DUMMYFUNCTION("""COMPUTED_VALUE"""),"ミレーナ オンライン 不可,ミレーナ 診療方法")</f>
        <v>ミレーナ オンライン 不可,ミレーナ 診療方法</v>
      </c>
      <c r="E334" s="32" t="str">
        <f>IFERROR(__xludf.DUMMYFUNCTION("""COMPUTED_VALUE"""),"https://luna-dr.com/subjects/ius-treatment/")</f>
        <v>https://luna-dr.com/subjects/ius-treatment/</v>
      </c>
    </row>
    <row r="335">
      <c r="A335" s="31" t="str">
        <f>IFERROR(__xludf.DUMMYFUNCTION("""COMPUTED_VALUE"""),"初診でもミレーナの相談はできますか？")</f>
        <v>初診でもミレーナの相談はできますか？</v>
      </c>
      <c r="B335" s="31" t="str">
        <f>IFERROR(__xludf.DUMMYFUNCTION("""COMPUTED_VALUE"""),"ミレーナ（Mirena／子宮内システム・IUS）は初診の方でもご相談いただけます。")</f>
        <v>ミレーナ（Mirena／子宮内システム・IUS）は初診の方でもご相談いただけます。</v>
      </c>
      <c r="C335" s="31" t="str">
        <f>IFERROR(__xludf.DUMMYFUNCTION("""COMPUTED_VALUE"""),"ミレーナ")</f>
        <v>ミレーナ</v>
      </c>
      <c r="D335" s="31" t="str">
        <f>IFERROR(__xludf.DUMMYFUNCTION("""COMPUTED_VALUE"""),"ミレーナ 初診,ミレーナ 相談")</f>
        <v>ミレーナ 初診,ミレーナ 相談</v>
      </c>
      <c r="E335" s="32" t="str">
        <f>IFERROR(__xludf.DUMMYFUNCTION("""COMPUTED_VALUE"""),"https://luna-dr.com/subjects/ius-treatment/")</f>
        <v>https://luna-dr.com/subjects/ius-treatment/</v>
      </c>
    </row>
    <row r="336">
      <c r="A336" s="31" t="str">
        <f>IFERROR(__xludf.DUMMYFUNCTION("""COMPUTED_VALUE"""),"ミレーナの診察では内診や検査はありますか？")</f>
        <v>ミレーナの診察では内診や検査はありますか？</v>
      </c>
      <c r="B336" s="31" t="str">
        <f>IFERROR(__xludf.DUMMYFUNCTION("""COMPUTED_VALUE"""),"装着前に安全確認のため、超音波（エコー）検査などを行います。")</f>
        <v>装着前に安全確認のため、超音波（エコー）検査などを行います。</v>
      </c>
      <c r="C336" s="31" t="str">
        <f>IFERROR(__xludf.DUMMYFUNCTION("""COMPUTED_VALUE"""),"ミレーナ")</f>
        <v>ミレーナ</v>
      </c>
      <c r="D336" s="31" t="str">
        <f>IFERROR(__xludf.DUMMYFUNCTION("""COMPUTED_VALUE"""),"ミレーナ 内診,ミレーナ エコー検査")</f>
        <v>ミレーナ 内診,ミレーナ エコー検査</v>
      </c>
      <c r="E336" s="32" t="str">
        <f>IFERROR(__xludf.DUMMYFUNCTION("""COMPUTED_VALUE"""),"https://luna-dr.com/subjects/ius-treatment/")</f>
        <v>https://luna-dr.com/subjects/ius-treatment/</v>
      </c>
    </row>
    <row r="337">
      <c r="A337" s="31" t="str">
        <f>IFERROR(__xludf.DUMMYFUNCTION("""COMPUTED_VALUE"""),"ミレーナは保険適用されますか？")</f>
        <v>ミレーナは保険適用されますか？</v>
      </c>
      <c r="B337" s="31" t="str">
        <f>IFERROR(__xludf.DUMMYFUNCTION("""COMPUTED_VALUE"""),"過多月経や月経困難症の治療目的で使用する場合は保険適用となります。避妊目的の場合は、自費診療となります。")</f>
        <v>過多月経や月経困難症の治療目的で使用する場合は保険適用となります。避妊目的の場合は、自費診療となります。</v>
      </c>
      <c r="C337" s="31" t="str">
        <f>IFERROR(__xludf.DUMMYFUNCTION("""COMPUTED_VALUE"""),"ミレーナ")</f>
        <v>ミレーナ</v>
      </c>
      <c r="D337" s="31" t="str">
        <f>IFERROR(__xludf.DUMMYFUNCTION("""COMPUTED_VALUE"""),"ミレーナ 保険適用,ミレーナ 治療目的")</f>
        <v>ミレーナ 保険適用,ミレーナ 治療目的</v>
      </c>
      <c r="E337" s="32" t="str">
        <f>IFERROR(__xludf.DUMMYFUNCTION("""COMPUTED_VALUE"""),"https://luna-dr.com/subjects/ius-treatment/")</f>
        <v>https://luna-dr.com/subjects/ius-treatment/</v>
      </c>
    </row>
    <row r="338">
      <c r="A338" s="31" t="str">
        <f>IFERROR(__xludf.DUMMYFUNCTION("""COMPUTED_VALUE"""),"ミレーナの費用はいくらくらいですか？")</f>
        <v>ミレーナの費用はいくらくらいですか？</v>
      </c>
      <c r="B338" s="31" t="str">
        <f>IFERROR(__xludf.DUMMYFUNCTION("""COMPUTED_VALUE"""),"治療目的（3割負担）の場合は約10,000〜12,000円、避妊目的の自費診療では約75,500円が目安です。")</f>
        <v>治療目的（3割負担）の場合は約10,000〜12,000円、避妊目的の自費診療では約75,500円が目安です。</v>
      </c>
      <c r="C338" s="31" t="str">
        <f>IFERROR(__xludf.DUMMYFUNCTION("""COMPUTED_VALUE"""),"ミレーナ")</f>
        <v>ミレーナ</v>
      </c>
      <c r="D338" s="31" t="str">
        <f>IFERROR(__xludf.DUMMYFUNCTION("""COMPUTED_VALUE"""),"ミレーナ 費用,ミレーナ 料金")</f>
        <v>ミレーナ 費用,ミレーナ 料金</v>
      </c>
      <c r="E338" s="32" t="str">
        <f>IFERROR(__xludf.DUMMYFUNCTION("""COMPUTED_VALUE"""),"https://luna-dr.com/subjects/ius-treatment/")</f>
        <v>https://luna-dr.com/subjects/ius-treatment/</v>
      </c>
    </row>
    <row r="339">
      <c r="A339" s="31" t="str">
        <f>IFERROR(__xludf.DUMMYFUNCTION("""COMPUTED_VALUE"""),"ミレーナの支払い方法は何がありますか？")</f>
        <v>ミレーナの支払い方法は何がありますか？</v>
      </c>
      <c r="B339" s="31" t="str">
        <f>IFERROR(__xludf.DUMMYFUNCTION("""COMPUTED_VALUE"""),"現金、クレジットカード、電子マネーでのお支払いが可能です。")</f>
        <v>現金、クレジットカード、電子マネーでのお支払いが可能です。</v>
      </c>
      <c r="C339" s="31" t="str">
        <f>IFERROR(__xludf.DUMMYFUNCTION("""COMPUTED_VALUE"""),"ミレーナ")</f>
        <v>ミレーナ</v>
      </c>
      <c r="D339" s="31" t="str">
        <f>IFERROR(__xludf.DUMMYFUNCTION("""COMPUTED_VALUE"""),"ミレーナ 支払い方法,ミレーナ クレジットカード")</f>
        <v>ミレーナ 支払い方法,ミレーナ クレジットカード</v>
      </c>
      <c r="E339" s="32" t="str">
        <f>IFERROR(__xludf.DUMMYFUNCTION("""COMPUTED_VALUE"""),"https://luna-dr.com/subjects/ius-treatment/")</f>
        <v>https://luna-dr.com/subjects/ius-treatment/</v>
      </c>
    </row>
    <row r="340">
      <c r="A340" s="31" t="str">
        <f>IFERROR(__xludf.DUMMYFUNCTION("""COMPUTED_VALUE"""),"ミレーナの予約はどうすればいいですか？")</f>
        <v>ミレーナの予約はどうすればいいですか？</v>
      </c>
      <c r="B340" s="31" t="str">
        <f>IFERROR(__xludf.DUMMYFUNCTION("""COMPUTED_VALUE"""),"公式LINEからご予約いただけます。メニューは「一般婦人科診療」をご選択いただき、ご予約ください。LINEはこちら→https://cline-app.com/qr-codes/98ad6f149bfa20f4f2a9a2e91aac4187/preview")</f>
        <v>公式LINEからご予約いただけます。メニューは「一般婦人科診療」をご選択いただき、ご予約ください。LINEはこちら→https://cline-app.com/qr-codes/98ad6f149bfa20f4f2a9a2e91aac4187/preview</v>
      </c>
      <c r="C340" s="31" t="str">
        <f>IFERROR(__xludf.DUMMYFUNCTION("""COMPUTED_VALUE"""),"ミレーナ")</f>
        <v>ミレーナ</v>
      </c>
      <c r="D340" s="31" t="str">
        <f>IFERROR(__xludf.DUMMYFUNCTION("""COMPUTED_VALUE"""),"予約方法,LINE,電話,ミレーナ")</f>
        <v>予約方法,LINE,電話,ミレーナ</v>
      </c>
      <c r="E340" s="32" t="str">
        <f>IFERROR(__xludf.DUMMYFUNCTION("""COMPUTED_VALUE"""),"https://luna-dr.com/subjects/ius-treatment/")</f>
        <v>https://luna-dr.com/subjects/ius-treatment/</v>
      </c>
    </row>
    <row r="341">
      <c r="A341" s="31" t="str">
        <f>IFERROR(__xludf.DUMMYFUNCTION("""COMPUTED_VALUE"""),"ミレーナはLINEから予約できますか？")</f>
        <v>ミレーナはLINEから予約できますか？</v>
      </c>
      <c r="B341" s="31" t="str">
        <f>IFERROR(__xludf.DUMMYFUNCTION("""COMPUTED_VALUE"""),"ルナレディースクリニックでは、公式LINEからミレーナの診察予約が可能です。24時間いつでもご自身のタイミングで予約できます。メニューは「一般婦人科診療」をご選択いただき、ご予約ください。
こちらのLINEをご利用ください→https://cline-app.com/qr-codes/98ad6f149bfa20f4f2a9a2e91aac4187/preview")</f>
        <v>ルナレディースクリニックでは、公式LINEからミレーナの診察予約が可能です。24時間いつでもご自身のタイミングで予約できます。メニューは「一般婦人科診療」をご選択いただき、ご予約ください。
こちらのLINEをご利用ください→https://cline-app.com/qr-codes/98ad6f149bfa20f4f2a9a2e91aac4187/preview</v>
      </c>
      <c r="C341" s="31" t="str">
        <f>IFERROR(__xludf.DUMMYFUNCTION("""COMPUTED_VALUE"""),"ミレーナ")</f>
        <v>ミレーナ</v>
      </c>
      <c r="D341" s="31" t="str">
        <f>IFERROR(__xludf.DUMMYFUNCTION("""COMPUTED_VALUE"""),"LINE予約,婦人科予約,ミレーナ")</f>
        <v>LINE予約,婦人科予約,ミレーナ</v>
      </c>
      <c r="E341" s="32" t="str">
        <f>IFERROR(__xludf.DUMMYFUNCTION("""COMPUTED_VALUE"""),"https://luna-dr.com/subjects/ius-treatment/")</f>
        <v>https://luna-dr.com/subjects/ius-treatment/</v>
      </c>
    </row>
    <row r="342">
      <c r="A342" s="31" t="str">
        <f>IFERROR(__xludf.DUMMYFUNCTION("""COMPUTED_VALUE"""),"ミレーナは電話でも予約できますか？")</f>
        <v>ミレーナは電話でも予約できますか？</v>
      </c>
      <c r="B342" s="31" t="str">
        <f>IFERROR(__xludf.DUMMYFUNCTION("""COMPUTED_VALUE"""),"LINEでの予約後、事前問診等もLINEから行うことができ、スムーズに受診ができるため、当院ではLINEでのご予約を推奨しております。
来院診療のご予約：こちらのLINEをご利用ください→https://cline-app.com/qr-codes/98ad6f149bfa20f4f2a9a2e91aac4187/preview
オンライン診療のご予約：こちらのオンライン診療LINEページをご利用ください→https://liff-gateway.lineml.jp/landing?follow=%40"&amp;"590gpxrd&amp;lp=fX73yx&amp;liff_id=1657094566-LmjNPPbV")</f>
        <v>LINEでの予約後、事前問診等もLINEから行うことができ、スムーズに受診ができるため、当院ではLINEでのご予約を推奨しております。
来院診療のご予約：こちらのLINEをご利用ください→https://cline-app.com/qr-codes/98ad6f149bfa20f4f2a9a2e91aac4187/preview
オンライン診療のご予約：こちらのオンライン診療LINEページをご利用ください→https://liff-gateway.lineml.jp/landing?follow=%40590gpxrd&amp;lp=fX73yx&amp;liff_id=1657094566-LmjNPPbV</v>
      </c>
      <c r="C342" s="31" t="str">
        <f>IFERROR(__xludf.DUMMYFUNCTION("""COMPUTED_VALUE"""),"ミレーナ")</f>
        <v>ミレーナ</v>
      </c>
      <c r="D342" s="31" t="str">
        <f>IFERROR(__xludf.DUMMYFUNCTION("""COMPUTED_VALUE"""),"電話予約,問い合わせ,ミレーナ")</f>
        <v>電話予約,問い合わせ,ミレーナ</v>
      </c>
      <c r="E342" s="32" t="str">
        <f>IFERROR(__xludf.DUMMYFUNCTION("""COMPUTED_VALUE"""),"https://luna-dr.com/subjects/ius-treatment/")</f>
        <v>https://luna-dr.com/subjects/ius-treatment/</v>
      </c>
    </row>
    <row r="343">
      <c r="A343" s="31" t="str">
        <f>IFERROR(__xludf.DUMMYFUNCTION("""COMPUTED_VALUE"""),"ミレーナは予約なしでも相談できますか？")</f>
        <v>ミレーナは予約なしでも相談できますか？</v>
      </c>
      <c r="B343" s="31" t="str">
        <f>IFERROR(__xludf.DUMMYFUNCTION("""COMPUTED_VALUE"""),"ミレーナは検査や装着の準備が必要なため、事前予約をお願いしています。")</f>
        <v>ミレーナは検査や装着の準備が必要なため、事前予約をお願いしています。</v>
      </c>
      <c r="C343" s="31" t="str">
        <f>IFERROR(__xludf.DUMMYFUNCTION("""COMPUTED_VALUE"""),"ミレーナ")</f>
        <v>ミレーナ</v>
      </c>
      <c r="D343" s="31" t="str">
        <f>IFERROR(__xludf.DUMMYFUNCTION("""COMPUTED_VALUE"""),"予約なし,受診,ミレーナ")</f>
        <v>予約なし,受診,ミレーナ</v>
      </c>
      <c r="E343" s="32" t="str">
        <f>IFERROR(__xludf.DUMMYFUNCTION("""COMPUTED_VALUE"""),"https://luna-dr.com/subjects/ius-treatment/")</f>
        <v>https://luna-dr.com/subjects/ius-treatment/</v>
      </c>
    </row>
    <row r="344">
      <c r="A344" s="31" t="str">
        <f>IFERROR(__xludf.DUMMYFUNCTION("""COMPUTED_VALUE"""),"ミレーナの予約前に準備しておくことはありますか？")</f>
        <v>ミレーナの予約前に準備しておくことはありますか？</v>
      </c>
      <c r="B344" s="31" t="str">
        <f>IFERROR(__xludf.DUMMYFUNCTION("""COMPUTED_VALUE"""),"ルナレディースクリニックでは、ミレーナの診察前にWEB問診の入力をお願いしています。事前に入力することで、診察がスムーズになります。みます。")</f>
        <v>ルナレディースクリニックでは、ミレーナの診察前にWEB問診の入力をお願いしています。事前に入力することで、診察がスムーズになります。みます。</v>
      </c>
      <c r="C344" s="31" t="str">
        <f>IFERROR(__xludf.DUMMYFUNCTION("""COMPUTED_VALUE"""),"ミレーナ")</f>
        <v>ミレーナ</v>
      </c>
      <c r="D344" s="31" t="str">
        <f>IFERROR(__xludf.DUMMYFUNCTION("""COMPUTED_VALUE"""),"WEB問診,事前準備,ミレーナ")</f>
        <v>WEB問診,事前準備,ミレーナ</v>
      </c>
      <c r="E344" s="32" t="str">
        <f>IFERROR(__xludf.DUMMYFUNCTION("""COMPUTED_VALUE"""),"https://luna-dr.com/subjects/ius-treatment/")</f>
        <v>https://luna-dr.com/subjects/ius-treatment/</v>
      </c>
    </row>
    <row r="345">
      <c r="A345" s="31" t="str">
        <f>IFERROR(__xludf.DUMMYFUNCTION("""COMPUTED_VALUE"""),"ミレーナは初診でも予約できますか？")</f>
        <v>ミレーナは初診でも予約できますか？</v>
      </c>
      <c r="B345" s="31" t="str">
        <f>IFERROR(__xludf.DUMMYFUNCTION("""COMPUTED_VALUE"""),"ミレーナは初診の方もご予約いただけます。ご予約は公式LINEから受け付けておりますので、友だち追加の上ご利用ください。メニューは「一般婦人科診療」をご選択いただき、ご予約ください。
LINEはこちら→https://cline-app.com/qr-codes/98ad6f149bfa20f4f2a9a2e91aac4187/preview")</f>
        <v>ミレーナは初診の方もご予約いただけます。ご予約は公式LINEから受け付けておりますので、友だち追加の上ご利用ください。メニューは「一般婦人科診療」をご選択いただき、ご予約ください。
LINEはこちら→https://cline-app.com/qr-codes/98ad6f149bfa20f4f2a9a2e91aac4187/preview</v>
      </c>
      <c r="C345" s="31" t="str">
        <f>IFERROR(__xludf.DUMMYFUNCTION("""COMPUTED_VALUE"""),"ミレーナ")</f>
        <v>ミレーナ</v>
      </c>
      <c r="D345" s="31" t="str">
        <f>IFERROR(__xludf.DUMMYFUNCTION("""COMPUTED_VALUE"""),"初診,予約,ミレーナ")</f>
        <v>初診,予約,ミレーナ</v>
      </c>
      <c r="E345" s="32" t="str">
        <f>IFERROR(__xludf.DUMMYFUNCTION("""COMPUTED_VALUE"""),"https://luna-dr.com/subjects/ius-treatment/")</f>
        <v>https://luna-dr.com/subjects/ius-treatment/</v>
      </c>
    </row>
    <row r="346">
      <c r="A346" s="31" t="str">
        <f>IFERROR(__xludf.DUMMYFUNCTION("""COMPUTED_VALUE"""),"ミレーナは来院とオンライン、どちらで予約できますか？")</f>
        <v>ミレーナは来院とオンライン、どちらで予約できますか？</v>
      </c>
      <c r="B346" s="31" t="str">
        <f>IFERROR(__xludf.DUMMYFUNCTION("""COMPUTED_VALUE"""),"ルナレディースクリニックでは、ミレーナのご相談は来院診療のみで承っています。予約の際は、こちらのLINEをご利用ください→https://cline-app.com/qr-codes/98ad6f149bfa20f4f2a9a2e91aac4187/preview　メニューは「一般婦人科診療」をご選択いただき、ご予約ください。")</f>
        <v>ルナレディースクリニックでは、ミレーナのご相談は来院診療のみで承っています。予約の際は、こちらのLINEをご利用ください→https://cline-app.com/qr-codes/98ad6f149bfa20f4f2a9a2e91aac4187/preview　メニューは「一般婦人科診療」をご選択いただき、ご予約ください。</v>
      </c>
      <c r="C346" s="31" t="str">
        <f>IFERROR(__xludf.DUMMYFUNCTION("""COMPUTED_VALUE"""),"ミレーナ")</f>
        <v>ミレーナ</v>
      </c>
      <c r="D346" s="31" t="str">
        <f>IFERROR(__xludf.DUMMYFUNCTION("""COMPUTED_VALUE"""),"来院診療,オンライン診療,ミレーナ")</f>
        <v>来院診療,オンライン診療,ミレーナ</v>
      </c>
      <c r="E346" s="32" t="str">
        <f>IFERROR(__xludf.DUMMYFUNCTION("""COMPUTED_VALUE"""),"https://luna-dr.com/subjects/ius-treatment/")</f>
        <v>https://luna-dr.com/subjects/ius-treatment/</v>
      </c>
    </row>
    <row r="347">
      <c r="A347" s="31" t="str">
        <f>IFERROR(__xludf.DUMMYFUNCTION("""COMPUTED_VALUE"""),"おりものの異常とは何ですか？")</f>
        <v>おりものの異常とは何ですか？</v>
      </c>
      <c r="B347" s="31" t="str">
        <f>IFERROR(__xludf.DUMMYFUNCTION("""COMPUTED_VALUE"""),"おりものの異常とは、色・量・臭い・性状が普段と異なる状態を指します。感染症や膣内環境の乱れが原因となることがあります。")</f>
        <v>おりものの異常とは、色・量・臭い・性状が普段と異なる状態を指します。感染症や膣内環境の乱れが原因となることがあります。</v>
      </c>
      <c r="C347" s="31" t="str">
        <f>IFERROR(__xludf.DUMMYFUNCTION("""COMPUTED_VALUE"""),"おりもの検査")</f>
        <v>おりもの検査</v>
      </c>
      <c r="D347" s="31" t="str">
        <f>IFERROR(__xludf.DUMMYFUNCTION("""COMPUTED_VALUE"""),"おりもの異常,膣分泌物異常,おりもの,色,臭い")</f>
        <v>おりもの異常,膣分泌物異常,おりもの,色,臭い</v>
      </c>
      <c r="E347" s="32" t="str">
        <f>IFERROR(__xludf.DUMMYFUNCTION("""COMPUTED_VALUE"""),"https://luna-dr.com/subjects/abnormal-vaginal-discharge/")</f>
        <v>https://luna-dr.com/subjects/abnormal-vaginal-discharge/</v>
      </c>
    </row>
    <row r="348">
      <c r="A348" s="31" t="str">
        <f>IFERROR(__xludf.DUMMYFUNCTION("""COMPUTED_VALUE"""),"おりものが白くポロポロしていますが大丈夫ですか？")</f>
        <v>おりものが白くポロポロしていますが大丈夫ですか？</v>
      </c>
      <c r="B348" s="31" t="str">
        <f>IFERROR(__xludf.DUMMYFUNCTION("""COMPUTED_VALUE"""),"白くポロポロしたおりもの（カッテージチーズや酒粕のような状態）は、おりものの異常のサインの一つです。おりものの変化は多くの女性が経験する身近な悩みであり、その多くは適切な治療によって改善できます。大切なのは、そのサインを見逃さずに専門医へ相談することです。当院では患者さまの不安に寄り添い、一緒に解決策を見つけていきます。お気軽にご相談ください。")</f>
        <v>白くポロポロしたおりもの（カッテージチーズや酒粕のような状態）は、おりものの異常のサインの一つです。おりものの変化は多くの女性が経験する身近な悩みであり、その多くは適切な治療によって改善できます。大切なのは、そのサインを見逃さずに専門医へ相談することです。当院では患者さまの不安に寄り添い、一緒に解決策を見つけていきます。お気軽にご相談ください。</v>
      </c>
      <c r="C348" s="31" t="str">
        <f>IFERROR(__xludf.DUMMYFUNCTION("""COMPUTED_VALUE"""),"おりもの異常")</f>
        <v>おりもの異常</v>
      </c>
      <c r="D348" s="31" t="str">
        <f>IFERROR(__xludf.DUMMYFUNCTION("""COMPUTED_VALUE"""),"おりもの異常,白いおりもの,ポロポロ,カンジダ")</f>
        <v>おりもの異常,白いおりもの,ポロポロ,カンジダ</v>
      </c>
      <c r="E348" s="32" t="str">
        <f>IFERROR(__xludf.DUMMYFUNCTION("""COMPUTED_VALUE"""),"https://luna-dr.com/subjects/abnormal-vaginal-discharge/")</f>
        <v>https://luna-dr.com/subjects/abnormal-vaginal-discharge/</v>
      </c>
    </row>
    <row r="349">
      <c r="A349" s="31" t="str">
        <f>IFERROR(__xludf.DUMMYFUNCTION("""COMPUTED_VALUE"""),"おりものが黄色や緑色っぽいのは異常ですか？")</f>
        <v>おりものが黄色や緑色っぽいのは異常ですか？</v>
      </c>
      <c r="B349" s="31" t="str">
        <f>IFERROR(__xludf.DUMMYFUNCTION("""COMPUTED_VALUE"""),"黄色〜緑色がかったおりものは、感染症などが原因で起こることがあります。自己判断せず、専門医による診察を受けることで原因を確認し、適切な治療につなげることができます。おりものの変化は多くの女性が経験する身近な悩みであり、その多くは適切な治療によって改善できます。大切なのは、そのサインを見逃さずに専門医へ相談することです。当院では患者さまの不安に寄り添い、一緒に解決策を見つけていきます。お気軽にご相談ください。")</f>
        <v>黄色〜緑色がかったおりものは、感染症などが原因で起こることがあります。自己判断せず、専門医による診察を受けることで原因を確認し、適切な治療につなげることができます。おりものの変化は多くの女性が経験する身近な悩みであり、その多くは適切な治療によって改善できます。大切なのは、そのサインを見逃さずに専門医へ相談することです。当院では患者さまの不安に寄り添い、一緒に解決策を見つけていきます。お気軽にご相談ください。</v>
      </c>
      <c r="C349" s="31" t="str">
        <f>IFERROR(__xludf.DUMMYFUNCTION("""COMPUTED_VALUE"""),"おりもの異常")</f>
        <v>おりもの異常</v>
      </c>
      <c r="D349" s="31" t="str">
        <f>IFERROR(__xludf.DUMMYFUNCTION("""COMPUTED_VALUE"""),"おりもの異常,黄色のおりもの,緑色のおりもの")</f>
        <v>おりもの異常,黄色のおりもの,緑色のおりもの</v>
      </c>
      <c r="E349" s="32" t="str">
        <f>IFERROR(__xludf.DUMMYFUNCTION("""COMPUTED_VALUE"""),"https://luna-dr.com/subjects/abnormal-vaginal-discharge/")</f>
        <v>https://luna-dr.com/subjects/abnormal-vaginal-discharge/</v>
      </c>
    </row>
    <row r="350">
      <c r="A350" s="31" t="str">
        <f>IFERROR(__xludf.DUMMYFUNCTION("""COMPUTED_VALUE"""),"泡立つおりものが出ていますが問題ありますか？")</f>
        <v>泡立つおりものが出ていますが問題ありますか？</v>
      </c>
      <c r="B350" s="31" t="str">
        <f>IFERROR(__xludf.DUMMYFUNCTION("""COMPUTED_VALUE"""),"泡立つおりものは、おりもの異常のサインの一つとされています。原因によって治療法が異なるため、気になる場合は専門医への相談をおすすめします。おりものの変化は多くの女性が経験する身近な悩みであり、その多くは適切な治療によって改善できます。大切なのは、そのサインを見逃さずに専門医へ相談することです。当院では患者さまの不安に寄り添い、一緒に解決策を見つけていきます。お気軽にご相談ください。")</f>
        <v>泡立つおりものは、おりもの異常のサインの一つとされています。原因によって治療法が異なるため、気になる場合は専門医への相談をおすすめします。おりものの変化は多くの女性が経験する身近な悩みであり、その多くは適切な治療によって改善できます。大切なのは、そのサインを見逃さずに専門医へ相談することです。当院では患者さまの不安に寄り添い、一緒に解決策を見つけていきます。お気軽にご相談ください。</v>
      </c>
      <c r="C350" s="31" t="str">
        <f>IFERROR(__xludf.DUMMYFUNCTION("""COMPUTED_VALUE"""),"おりもの異常")</f>
        <v>おりもの異常</v>
      </c>
      <c r="D350" s="31" t="str">
        <f>IFERROR(__xludf.DUMMYFUNCTION("""COMPUTED_VALUE"""),"おりもの異常,泡立つおりもの")</f>
        <v>おりもの異常,泡立つおりもの</v>
      </c>
      <c r="E350" s="32" t="str">
        <f>IFERROR(__xludf.DUMMYFUNCTION("""COMPUTED_VALUE"""),"https://luna-dr.com/subjects/abnormal-vaginal-discharge/")</f>
        <v>https://luna-dr.com/subjects/abnormal-vaginal-discharge/</v>
      </c>
    </row>
    <row r="351">
      <c r="A351" s="31" t="str">
        <f>IFERROR(__xludf.DUMMYFUNCTION("""COMPUTED_VALUE"""),"おりものが灰色っぽいのですが受診した方がいいですか？")</f>
        <v>おりものが灰色っぽいのですが受診した方がいいですか？</v>
      </c>
      <c r="B351" s="31" t="str">
        <f>IFERROR(__xludf.DUMMYFUNCTION("""COMPUTED_VALUE"""),"灰色がかったおりものは、膣内環境の乱れなどが関係している場合があります。おりものの色の変化に気づいたら、早めに専門医へご相談ください。おりものの変化は多くの女性が経験する身近な悩みであり、その多くは適切な治療によって改善できます。大切なのは、そのサインを見逃さずに専門医へ相談することです。当院では患者さまの不安に寄り添い、一緒に解決策を見つけていきます。お気軽にご相談ください。")</f>
        <v>灰色がかったおりものは、膣内環境の乱れなどが関係している場合があります。おりものの色の変化に気づいたら、早めに専門医へご相談ください。おりものの変化は多くの女性が経験する身近な悩みであり、その多くは適切な治療によって改善できます。大切なのは、そのサインを見逃さずに専門医へ相談することです。当院では患者さまの不安に寄り添い、一緒に解決策を見つけていきます。お気軽にご相談ください。</v>
      </c>
      <c r="C351" s="31" t="str">
        <f>IFERROR(__xludf.DUMMYFUNCTION("""COMPUTED_VALUE"""),"おりもの異常")</f>
        <v>おりもの異常</v>
      </c>
      <c r="D351" s="31" t="str">
        <f>IFERROR(__xludf.DUMMYFUNCTION("""COMPUTED_VALUE"""),"おりもの異常,灰色のおりもの")</f>
        <v>おりもの異常,灰色のおりもの</v>
      </c>
      <c r="E351" s="32" t="str">
        <f>IFERROR(__xludf.DUMMYFUNCTION("""COMPUTED_VALUE"""),"https://luna-dr.com/subjects/abnormal-vaginal-discharge/")</f>
        <v>https://luna-dr.com/subjects/abnormal-vaginal-discharge/</v>
      </c>
    </row>
    <row r="352">
      <c r="A352" s="31" t="str">
        <f>IFERROR(__xludf.DUMMYFUNCTION("""COMPUTED_VALUE"""),"おりものに血が混じっていますが大丈夫ですか？")</f>
        <v>おりものに血が混じっていますが大丈夫ですか？</v>
      </c>
      <c r="B352" s="31" t="str">
        <f>IFERROR(__xludf.DUMMYFUNCTION("""COMPUTED_VALUE"""),"茶色いおりものや血液が混じる場合、体の変化や病気が隠れている可能性があります。おりものの変化は多くの女性が経験する身近な悩みであり、その多くは適切な治療によって改善できます。大切なのは、そのサインを見逃さずに専門医へ相談することです。当院では患者さまの不安に寄り添い、一緒に解決策を見つけていきます。お気軽にご相談ください。")</f>
        <v>茶色いおりものや血液が混じる場合、体の変化や病気が隠れている可能性があります。おりものの変化は多くの女性が経験する身近な悩みであり、その多くは適切な治療によって改善できます。大切なのは、そのサインを見逃さずに専門医へ相談することです。当院では患者さまの不安に寄り添い、一緒に解決策を見つけていきます。お気軽にご相談ください。</v>
      </c>
      <c r="C352" s="31" t="str">
        <f>IFERROR(__xludf.DUMMYFUNCTION("""COMPUTED_VALUE"""),"おりもの異常")</f>
        <v>おりもの異常</v>
      </c>
      <c r="D352" s="31" t="str">
        <f>IFERROR(__xludf.DUMMYFUNCTION("""COMPUTED_VALUE"""),"おりもの異常,血の混じったおりもの")</f>
        <v>おりもの異常,血の混じったおりもの</v>
      </c>
      <c r="E352" s="32" t="str">
        <f>IFERROR(__xludf.DUMMYFUNCTION("""COMPUTED_VALUE"""),"https://luna-dr.com/subjects/abnormal-vaginal-discharge/")</f>
        <v>https://luna-dr.com/subjects/abnormal-vaginal-discharge/</v>
      </c>
    </row>
    <row r="353">
      <c r="A353" s="31" t="str">
        <f>IFERROR(__xludf.DUMMYFUNCTION("""COMPUTED_VALUE"""),"おりものの量が急に増えましたが異常ですか？")</f>
        <v>おりものの量が急に増えましたが異常ですか？</v>
      </c>
      <c r="B353" s="31" t="str">
        <f>IFERROR(__xludf.DUMMYFUNCTION("""COMPUTED_VALUE"""),"明らかにおりものの量が増えた場合は、体調や膣内環境の変化が影響していることがあります。おりものの変化は多くの女性が経験する身近な悩みであり、その多くは適切な治療によって改善できます。大切なのは、そのサインを見逃さずに専門医へ相談することです。当院では患者さまの不安に寄り添い、一緒に解決策を見つけていきます。お気軽にご相談ください。")</f>
        <v>明らかにおりものの量が増えた場合は、体調や膣内環境の変化が影響していることがあります。おりものの変化は多くの女性が経験する身近な悩みであり、その多くは適切な治療によって改善できます。大切なのは、そのサインを見逃さずに専門医へ相談することです。当院では患者さまの不安に寄り添い、一緒に解決策を見つけていきます。お気軽にご相談ください。</v>
      </c>
      <c r="C353" s="31" t="str">
        <f>IFERROR(__xludf.DUMMYFUNCTION("""COMPUTED_VALUE"""),"おりもの異常")</f>
        <v>おりもの異常</v>
      </c>
      <c r="D353" s="31" t="str">
        <f>IFERROR(__xludf.DUMMYFUNCTION("""COMPUTED_VALUE"""),"おりもの異常,おりもの量が多い")</f>
        <v>おりもの異常,おりもの量が多い</v>
      </c>
      <c r="E353" s="32" t="str">
        <f>IFERROR(__xludf.DUMMYFUNCTION("""COMPUTED_VALUE"""),"https://luna-dr.com/subjects/abnormal-vaginal-discharge/")</f>
        <v>https://luna-dr.com/subjects/abnormal-vaginal-discharge/</v>
      </c>
    </row>
    <row r="354">
      <c r="A354" s="31" t="str">
        <f>IFERROR(__xludf.DUMMYFUNCTION("""COMPUTED_VALUE"""),"水のようにサラサラしたおりものは問題ありますか？")</f>
        <v>水のようにサラサラしたおりものは問題ありますか？</v>
      </c>
      <c r="B354" s="31" t="str">
        <f>IFERROR(__xludf.DUMMYFUNCTION("""COMPUTED_VALUE"""),"水のようにサラサラしたおりものも、状態によっては検査が必要な場合があります。おりものの変化は多くの女性が経験する身近な悩みであり、その多くは適切な治療によって改善できます。大切なのは、そのサインを見逃さずに専門医へ相談することです。当院では患者さまの不安に寄り添い、一緒に解決策を見つけていきます。お気軽にご相談ください。")</f>
        <v>水のようにサラサラしたおりものも、状態によっては検査が必要な場合があります。おりものの変化は多くの女性が経験する身近な悩みであり、その多くは適切な治療によって改善できます。大切なのは、そのサインを見逃さずに専門医へ相談することです。当院では患者さまの不安に寄り添い、一緒に解決策を見つけていきます。お気軽にご相談ください。</v>
      </c>
      <c r="C354" s="31" t="str">
        <f>IFERROR(__xludf.DUMMYFUNCTION("""COMPUTED_VALUE"""),"おりもの異常")</f>
        <v>おりもの異常</v>
      </c>
      <c r="D354" s="31" t="str">
        <f>IFERROR(__xludf.DUMMYFUNCTION("""COMPUTED_VALUE"""),"おりもの異常,水っぽいおりもの")</f>
        <v>おりもの異常,水っぽいおりもの</v>
      </c>
      <c r="E354" s="32" t="str">
        <f>IFERROR(__xludf.DUMMYFUNCTION("""COMPUTED_VALUE"""),"https://luna-dr.com/subjects/abnormal-vaginal-discharge/")</f>
        <v>https://luna-dr.com/subjects/abnormal-vaginal-discharge/</v>
      </c>
    </row>
    <row r="355">
      <c r="A355" s="31" t="str">
        <f>IFERROR(__xludf.DUMMYFUNCTION("""COMPUTED_VALUE"""),"おりものが魚が腐ったような臭いがします")</f>
        <v>おりものが魚が腐ったような臭いがします</v>
      </c>
      <c r="B355" s="31" t="str">
        <f>IFERROR(__xludf.DUMMYFUNCTION("""COMPUTED_VALUE"""),"魚が腐ったような生臭い臭いは、おりもの異常のサインの一つです。おりものの変化は多くの女性が経験する身近な悩みであり、その多くは適切な治療によって改善できます。大切なのは、そのサインを見逃さずに専門医へ相談することです。当院では患者さまの不安に寄り添い、一緒に解決策を見つけていきます。お気軽にご相談ください。")</f>
        <v>魚が腐ったような生臭い臭いは、おりもの異常のサインの一つです。おりものの変化は多くの女性が経験する身近な悩みであり、その多くは適切な治療によって改善できます。大切なのは、そのサインを見逃さずに専門医へ相談することです。当院では患者さまの不安に寄り添い、一緒に解決策を見つけていきます。お気軽にご相談ください。</v>
      </c>
      <c r="C355" s="31" t="str">
        <f>IFERROR(__xludf.DUMMYFUNCTION("""COMPUTED_VALUE"""),"おりもの異常")</f>
        <v>おりもの異常</v>
      </c>
      <c r="D355" s="31" t="str">
        <f>IFERROR(__xludf.DUMMYFUNCTION("""COMPUTED_VALUE"""),"おりもの異常,生臭い臭い,魚の臭い")</f>
        <v>おりもの異常,生臭い臭い,魚の臭い</v>
      </c>
      <c r="E355" s="32" t="str">
        <f>IFERROR(__xludf.DUMMYFUNCTION("""COMPUTED_VALUE"""),"https://luna-dr.com/subjects/abnormal-vaginal-discharge/")</f>
        <v>https://luna-dr.com/subjects/abnormal-vaginal-discharge/</v>
      </c>
    </row>
    <row r="356">
      <c r="A356" s="31" t="str">
        <f>IFERROR(__xludf.DUMMYFUNCTION("""COMPUTED_VALUE"""),"おりものの臭いがいつもと違いますが受診すべきですか？")</f>
        <v>おりものの臭いがいつもと違いますが受診すべきですか？</v>
      </c>
      <c r="B356" s="31" t="str">
        <f>IFERROR(__xludf.DUMMYFUNCTION("""COMPUTED_VALUE"""),"いつもと違う酸っぱい臭いや悪臭がする場合は、膣内環境の乱れや感染症が関係していることがあります。おりものの変化は多くの女性が経験する身近な悩みであり、その多くは適切な治療によって改善できます。大切なのは、そのサインを見逃さずに専門医へ相談することです。当院では患者さまの不安に寄り添い、一緒に解決策を見つけていきます。お気軽にご相談ください。")</f>
        <v>いつもと違う酸っぱい臭いや悪臭がする場合は、膣内環境の乱れや感染症が関係していることがあります。おりものの変化は多くの女性が経験する身近な悩みであり、その多くは適切な治療によって改善できます。大切なのは、そのサインを見逃さずに専門医へ相談することです。当院では患者さまの不安に寄り添い、一緒に解決策を見つけていきます。お気軽にご相談ください。</v>
      </c>
      <c r="C356" s="31" t="str">
        <f>IFERROR(__xludf.DUMMYFUNCTION("""COMPUTED_VALUE"""),"おりもの異常")</f>
        <v>おりもの異常</v>
      </c>
      <c r="D356" s="31" t="str">
        <f>IFERROR(__xludf.DUMMYFUNCTION("""COMPUTED_VALUE"""),"おりもの異常,おりものの臭い,悪臭")</f>
        <v>おりもの異常,おりものの臭い,悪臭</v>
      </c>
      <c r="E356" s="32" t="str">
        <f>IFERROR(__xludf.DUMMYFUNCTION("""COMPUTED_VALUE"""),"https://luna-dr.com/subjects/abnormal-vaginal-discharge/")</f>
        <v>https://luna-dr.com/subjects/abnormal-vaginal-discharge/</v>
      </c>
    </row>
    <row r="357">
      <c r="A357" s="31" t="str">
        <f>IFERROR(__xludf.DUMMYFUNCTION("""COMPUTED_VALUE"""),"外陰部に強いかゆみがありますが関係ありますか？")</f>
        <v>外陰部に強いかゆみがありますが関係ありますか？</v>
      </c>
      <c r="B357" s="31" t="str">
        <f>IFERROR(__xludf.DUMMYFUNCTION("""COMPUTED_VALUE"""),"外陰部（デリケートゾーン）の強いかゆみは、おりもの異常と関連して起こることがあります。自己判断せず、医師の診察を受けることをおすすめします。おりものの変化は多くの女性が経験する身近な悩みであり、その多くは適切な治療によって改善できます。大切なのは、そのサインを見逃さずに専門医へ相談することです。当院では患者さまの不安に寄り添い、一緒に解決策を見つけていきます。お気軽にご相談ください。")</f>
        <v>外陰部（デリケートゾーン）の強いかゆみは、おりもの異常と関連して起こることがあります。自己判断せず、医師の診察を受けることをおすすめします。おりものの変化は多くの女性が経験する身近な悩みであり、その多くは適切な治療によって改善できます。大切なのは、そのサインを見逃さずに専門医へ相談することです。当院では患者さまの不安に寄り添い、一緒に解決策を見つけていきます。お気軽にご相談ください。</v>
      </c>
      <c r="C357" s="31" t="str">
        <f>IFERROR(__xludf.DUMMYFUNCTION("""COMPUTED_VALUE"""),"おりもの異常")</f>
        <v>おりもの異常</v>
      </c>
      <c r="D357" s="31" t="str">
        <f>IFERROR(__xludf.DUMMYFUNCTION("""COMPUTED_VALUE"""),"おりもの異常,外陰部のかゆみ")</f>
        <v>おりもの異常,外陰部のかゆみ</v>
      </c>
      <c r="E357" s="32" t="str">
        <f>IFERROR(__xludf.DUMMYFUNCTION("""COMPUTED_VALUE"""),"https://luna-dr.com/subjects/abnormal-vaginal-discharge/")</f>
        <v>https://luna-dr.com/subjects/abnormal-vaginal-discharge/</v>
      </c>
    </row>
    <row r="358">
      <c r="A358" s="31" t="str">
        <f>IFERROR(__xludf.DUMMYFUNCTION("""COMPUTED_VALUE"""),"性交時に痛みがありますが相談できますか？")</f>
        <v>性交時に痛みがありますが相談できますか？</v>
      </c>
      <c r="B358" s="31" t="str">
        <f>IFERROR(__xludf.DUMMYFUNCTION("""COMPUTED_VALUE"""),"性交時の痛みは、おりもの異常や膣内のトラブルが関係している場合があります。不安な症状がある場合は、専門医にご相談ください。おりものの変化は多くの女性が経験する身近な悩みであり、その多くは適切な治療によって改善できます。大切なのは、そのサインを見逃さずに専門医へ相談することです。当院では患者さまの不安に寄り添い、一緒に解決策を見つけていきます。お気軽にご相談ください。")</f>
        <v>性交時の痛みは、おりもの異常や膣内のトラブルが関係している場合があります。不安な症状がある場合は、専門医にご相談ください。おりものの変化は多くの女性が経験する身近な悩みであり、その多くは適切な治療によって改善できます。大切なのは、そのサインを見逃さずに専門医へ相談することです。当院では患者さまの不安に寄り添い、一緒に解決策を見つけていきます。お気軽にご相談ください。</v>
      </c>
      <c r="C358" s="31" t="str">
        <f>IFERROR(__xludf.DUMMYFUNCTION("""COMPUTED_VALUE"""),"おりもの異常")</f>
        <v>おりもの異常</v>
      </c>
      <c r="D358" s="31" t="str">
        <f>IFERROR(__xludf.DUMMYFUNCTION("""COMPUTED_VALUE"""),"おりもの異常,性交痛")</f>
        <v>おりもの異常,性交痛</v>
      </c>
      <c r="E358" s="32" t="str">
        <f>IFERROR(__xludf.DUMMYFUNCTION("""COMPUTED_VALUE"""),"https://luna-dr.com/subjects/abnormal-vaginal-discharge/")</f>
        <v>https://luna-dr.com/subjects/abnormal-vaginal-discharge/</v>
      </c>
    </row>
    <row r="359">
      <c r="A359" s="31" t="str">
        <f>IFERROR(__xludf.DUMMYFUNCTION("""COMPUTED_VALUE"""),"下腹部に痛みがありますが受診の目安ですか？")</f>
        <v>下腹部に痛みがありますが受診の目安ですか？</v>
      </c>
      <c r="B359" s="31" t="str">
        <f>IFERROR(__xludf.DUMMYFUNCTION("""COMPUTED_VALUE"""),"下腹部の痛みや出血がある場合、症状の内容によって受診可否やご案内が異なります。
個別の確認が必要となるため、恐れ入りますがお電話にてご相談ください。お電話は 050-1730-2768 となります。")</f>
        <v>下腹部の痛みや出血がある場合、症状の内容によって受診可否やご案内が異なります。
個別の確認が必要となるため、恐れ入りますがお電話にてご相談ください。お電話は 050-1730-2768 となります。</v>
      </c>
      <c r="C359" s="31" t="str">
        <f>IFERROR(__xludf.DUMMYFUNCTION("""COMPUTED_VALUE"""),"おりもの異常")</f>
        <v>おりもの異常</v>
      </c>
      <c r="D359" s="31" t="str">
        <f>IFERROR(__xludf.DUMMYFUNCTION("""COMPUTED_VALUE"""),"おりもの異常,下腹部痛")</f>
        <v>おりもの異常,下腹部痛</v>
      </c>
      <c r="E359" s="32" t="str">
        <f>IFERROR(__xludf.DUMMYFUNCTION("""COMPUTED_VALUE"""),"https://luna-dr.com/subjects/abnormal-vaginal-discharge/")</f>
        <v>https://luna-dr.com/subjects/abnormal-vaginal-discharge/</v>
      </c>
    </row>
    <row r="360">
      <c r="A360" s="31" t="str">
        <f>IFERROR(__xludf.DUMMYFUNCTION("""COMPUTED_VALUE"""),"おりものの変化はよくあることですか？")</f>
        <v>おりものの変化はよくあることですか？</v>
      </c>
      <c r="B360" s="31" t="str">
        <f>IFERROR(__xludf.DUMMYFUNCTION("""COMPUTED_VALUE"""),"おりものの変化は多くの女性が経験する身近な悩みであり、その多くは適切な治療によって改善できます。大切なのは、そのサインを見逃さずに専門医へ相談することです。当院では患者さまの不安に寄り添い、一緒に解決策を見つけていきます。お気軽にご相談ください。")</f>
        <v>おりものの変化は多くの女性が経験する身近な悩みであり、その多くは適切な治療によって改善できます。大切なのは、そのサインを見逃さずに専門医へ相談することです。当院では患者さまの不安に寄り添い、一緒に解決策を見つけていきます。お気軽にご相談ください。</v>
      </c>
      <c r="C360" s="31" t="str">
        <f>IFERROR(__xludf.DUMMYFUNCTION("""COMPUTED_VALUE"""),"おりもの異常")</f>
        <v>おりもの異常</v>
      </c>
      <c r="D360" s="31" t="str">
        <f>IFERROR(__xludf.DUMMYFUNCTION("""COMPUTED_VALUE"""),"おりもの異常,よくある症状")</f>
        <v>おりもの異常,よくある症状</v>
      </c>
      <c r="E360" s="32" t="str">
        <f>IFERROR(__xludf.DUMMYFUNCTION("""COMPUTED_VALUE"""),"https://luna-dr.com/subjects/abnormal-vaginal-discharge/")</f>
        <v>https://luna-dr.com/subjects/abnormal-vaginal-discharge/</v>
      </c>
    </row>
    <row r="361">
      <c r="A361" s="31" t="str">
        <f>IFERROR(__xludf.DUMMYFUNCTION("""COMPUTED_VALUE"""),"おりものに異変を感じたらどうすればいいですか？")</f>
        <v>おりものに異変を感じたらどうすればいいですか？</v>
      </c>
      <c r="B361" s="31" t="str">
        <f>IFERROR(__xludf.DUMMYFUNCTION("""COMPUTED_VALUE"""),"大切なのは、そのサインを見逃さずに専門医へ相談することです。当院では患者さまの不安に寄り添い、一緒に解決策を見つけていきます。お気軽にご相談ください。")</f>
        <v>大切なのは、そのサインを見逃さずに専門医へ相談することです。当院では患者さまの不安に寄り添い、一緒に解決策を見つけていきます。お気軽にご相談ください。</v>
      </c>
      <c r="C361" s="31" t="str">
        <f>IFERROR(__xludf.DUMMYFUNCTION("""COMPUTED_VALUE"""),"おりもの異常")</f>
        <v>おりもの異常</v>
      </c>
      <c r="D361" s="31" t="str">
        <f>IFERROR(__xludf.DUMMYFUNCTION("""COMPUTED_VALUE"""),"おりもの異常,相談,婦人科")</f>
        <v>おりもの異常,相談,婦人科</v>
      </c>
      <c r="E361" s="32" t="str">
        <f>IFERROR(__xludf.DUMMYFUNCTION("""COMPUTED_VALUE"""),"https://luna-dr.com/subjects/abnormal-vaginal-discharge/")</f>
        <v>https://luna-dr.com/subjects/abnormal-vaginal-discharge/</v>
      </c>
    </row>
    <row r="362">
      <c r="A362" s="31" t="str">
        <f>IFERROR(__xludf.DUMMYFUNCTION("""COMPUTED_VALUE"""),"おりものの異常はどんな人が対象ですか？")</f>
        <v>おりものの異常はどんな人が対象ですか？</v>
      </c>
      <c r="B362" s="31" t="str">
        <f>IFERROR(__xludf.DUMMYFUNCTION("""COMPUTED_VALUE"""),"年齢に関係なく、おりものの変化や違和感に気づいた方が対象です。")</f>
        <v>年齢に関係なく、おりものの変化や違和感に気づいた方が対象です。</v>
      </c>
      <c r="C362" s="31" t="str">
        <f>IFERROR(__xludf.DUMMYFUNCTION("""COMPUTED_VALUE"""),"おりもの検査")</f>
        <v>おりもの検査</v>
      </c>
      <c r="D362" s="31" t="str">
        <f>IFERROR(__xludf.DUMMYFUNCTION("""COMPUTED_VALUE"""),"おりもの異常,対象,婦人科")</f>
        <v>おりもの異常,対象,婦人科</v>
      </c>
      <c r="E362" s="32" t="str">
        <f>IFERROR(__xludf.DUMMYFUNCTION("""COMPUTED_VALUE"""),"https://luna-dr.com/subjects/abnormal-vaginal-discharge/")</f>
        <v>https://luna-dr.com/subjects/abnormal-vaginal-discharge/</v>
      </c>
    </row>
    <row r="363">
      <c r="A363" s="31" t="str">
        <f>IFERROR(__xludf.DUMMYFUNCTION("""COMPUTED_VALUE"""),"おりものの異常はなぜ起こりますか？")</f>
        <v>おりものの異常はなぜ起こりますか？</v>
      </c>
      <c r="B363" s="31" t="str">
        <f>IFERROR(__xludf.DUMMYFUNCTION("""COMPUTED_VALUE"""),"細菌や真菌の増殖、性感染症、膣内の善玉菌バランスの乱れなどが原因で起こります。")</f>
        <v>細菌や真菌の増殖、性感染症、膣内の善玉菌バランスの乱れなどが原因で起こります。</v>
      </c>
      <c r="C363" s="31" t="str">
        <f>IFERROR(__xludf.DUMMYFUNCTION("""COMPUTED_VALUE"""),"おりもの検査")</f>
        <v>おりもの検査</v>
      </c>
      <c r="D363" s="31" t="str">
        <f>IFERROR(__xludf.DUMMYFUNCTION("""COMPUTED_VALUE"""),"おりもの異常,原因,細菌,真菌,性感染症")</f>
        <v>おりもの異常,原因,細菌,真菌,性感染症</v>
      </c>
      <c r="E363" s="32" t="str">
        <f>IFERROR(__xludf.DUMMYFUNCTION("""COMPUTED_VALUE"""),"https://luna-dr.com/subjects/abnormal-vaginal-discharge/")</f>
        <v>https://luna-dr.com/subjects/abnormal-vaginal-discharge/</v>
      </c>
    </row>
    <row r="364">
      <c r="A364" s="31" t="str">
        <f>IFERROR(__xludf.DUMMYFUNCTION("""COMPUTED_VALUE"""),"治療するとどんな効果がありますか？")</f>
        <v>治療するとどんな効果がありますか？</v>
      </c>
      <c r="B364" s="31" t="str">
        <f>IFERROR(__xludf.DUMMYFUNCTION("""COMPUTED_VALUE"""),"原因に応じた治療により、かゆみや臭い、おりものの異常は改善が期待できます。")</f>
        <v>原因に応じた治療により、かゆみや臭い、おりものの異常は改善が期待できます。</v>
      </c>
      <c r="C364" s="31" t="str">
        <f>IFERROR(__xludf.DUMMYFUNCTION("""COMPUTED_VALUE"""),"おりもの検査")</f>
        <v>おりもの検査</v>
      </c>
      <c r="D364" s="31" t="str">
        <f>IFERROR(__xludf.DUMMYFUNCTION("""COMPUTED_VALUE"""),"おりもの異常,治療効果,改善")</f>
        <v>おりもの異常,治療効果,改善</v>
      </c>
      <c r="E364" s="32" t="str">
        <f>IFERROR(__xludf.DUMMYFUNCTION("""COMPUTED_VALUE"""),"https://luna-dr.com/subjects/abnormal-vaginal-discharge/")</f>
        <v>https://luna-dr.com/subjects/abnormal-vaginal-discharge/</v>
      </c>
    </row>
    <row r="365">
      <c r="A365" s="31" t="str">
        <f>IFERROR(__xludf.DUMMYFUNCTION("""COMPUTED_VALUE"""),"おりもの異常で考えられる病気には何がありますか？")</f>
        <v>おりもの異常で考えられる病気には何がありますか？</v>
      </c>
      <c r="B365" s="31" t="str">
        <f>IFERROR(__xludf.DUMMYFUNCTION("""COMPUTED_VALUE"""),"膣カンジダ症、細菌性膣症、トリコモナス膣炎、クラミジア感染症、淋菌感染症などがあります。")</f>
        <v>膣カンジダ症、細菌性膣症、トリコモナス膣炎、クラミジア感染症、淋菌感染症などがあります。</v>
      </c>
      <c r="C365" s="31" t="str">
        <f>IFERROR(__xludf.DUMMYFUNCTION("""COMPUTED_VALUE"""),"おりもの検査")</f>
        <v>おりもの検査</v>
      </c>
      <c r="D365" s="31" t="str">
        <f>IFERROR(__xludf.DUMMYFUNCTION("""COMPUTED_VALUE"""),"おりもの異常,膣カンジダ,細菌性膣症,性感染症")</f>
        <v>おりもの異常,膣カンジダ,細菌性膣症,性感染症</v>
      </c>
      <c r="E365" s="32" t="str">
        <f>IFERROR(__xludf.DUMMYFUNCTION("""COMPUTED_VALUE"""),"https://luna-dr.com/subjects/abnormal-vaginal-discharge/")</f>
        <v>https://luna-dr.com/subjects/abnormal-vaginal-discharge/</v>
      </c>
    </row>
    <row r="366">
      <c r="A366" s="31" t="str">
        <f>IFERROR(__xludf.DUMMYFUNCTION("""COMPUTED_VALUE"""),"おりもの検査でどの病気かはどうやって判断しますか？")</f>
        <v>おりもの検査でどの病気かはどうやって判断しますか？</v>
      </c>
      <c r="B366" s="31" t="str">
        <f>IFERROR(__xludf.DUMMYFUNCTION("""COMPUTED_VALUE"""),"内診でのおりもの検査や顕微鏡検査、培養検査、遺伝子検査などで原因を特定します。")</f>
        <v>内診でのおりもの検査や顕微鏡検査、培養検査、遺伝子検査などで原因を特定します。</v>
      </c>
      <c r="C366" s="31" t="str">
        <f>IFERROR(__xludf.DUMMYFUNCTION("""COMPUTED_VALUE"""),"おりもの検査")</f>
        <v>おりもの検査</v>
      </c>
      <c r="D366" s="31" t="str">
        <f>IFERROR(__xludf.DUMMYFUNCTION("""COMPUTED_VALUE"""),"おりもの検査,原因特定,顕微鏡検査")</f>
        <v>おりもの検査,原因特定,顕微鏡検査</v>
      </c>
      <c r="E366" s="32" t="str">
        <f>IFERROR(__xludf.DUMMYFUNCTION("""COMPUTED_VALUE"""),"https://luna-dr.com/subjects/abnormal-vaginal-discharge/")</f>
        <v>https://luna-dr.com/subjects/abnormal-vaginal-discharge/</v>
      </c>
    </row>
    <row r="367">
      <c r="A367" s="31" t="str">
        <f>IFERROR(__xludf.DUMMYFUNCTION("""COMPUTED_VALUE"""),"膣カンジダ症とはどんな病気ですか？")</f>
        <v>膣カンジダ症とはどんな病気ですか？</v>
      </c>
      <c r="B367" s="31" t="str">
        <f>IFERROR(__xludf.DUMMYFUNCTION("""COMPUTED_VALUE"""),"膣カンジダ症とは、常在菌であるカンジダ真菌が増殖することで起こる病気です。白くポロポロしたカッテージチーズ状のおりものや、強いかゆみが特徴です。大切なのは、そのサインを見逃さずに専門医へ相談することです。当院では患者さまの不安に寄り添い、一緒に解決策を見つけていきます。お気軽にご相談ください。")</f>
        <v>膣カンジダ症とは、常在菌であるカンジダ真菌が増殖することで起こる病気です。白くポロポロしたカッテージチーズ状のおりものや、強いかゆみが特徴です。大切なのは、そのサインを見逃さずに専門医へ相談することです。当院では患者さまの不安に寄り添い、一緒に解決策を見つけていきます。お気軽にご相談ください。</v>
      </c>
      <c r="C367" s="31" t="str">
        <f>IFERROR(__xludf.DUMMYFUNCTION("""COMPUTED_VALUE"""),"おりもの異常")</f>
        <v>おりもの異常</v>
      </c>
      <c r="D367" s="31" t="str">
        <f>IFERROR(__xludf.DUMMYFUNCTION("""COMPUTED_VALUE"""),"膣カンジダ症,白いおりもの,かゆみ")</f>
        <v>膣カンジダ症,白いおりもの,かゆみ</v>
      </c>
      <c r="E367" s="32" t="str">
        <f>IFERROR(__xludf.DUMMYFUNCTION("""COMPUTED_VALUE"""),"https://luna-dr.com/subjects/abnormal-vaginal-discharge/")</f>
        <v>https://luna-dr.com/subjects/abnormal-vaginal-discharge/</v>
      </c>
    </row>
    <row r="368">
      <c r="A368" s="31" t="str">
        <f>IFERROR(__xludf.DUMMYFUNCTION("""COMPUTED_VALUE"""),"白くポロポロしたおりものは何の病気の可能性がありますか？")</f>
        <v>白くポロポロしたおりものは何の病気の可能性がありますか？</v>
      </c>
      <c r="B368" s="31" t="str">
        <f>IFERROR(__xludf.DUMMYFUNCTION("""COMPUTED_VALUE"""),"白くポロポロしたカッテージチーズ状のおりものが見られる場合、膣カンジダ症が考えられます。強いかゆみを伴うことが多いのが特徴です。大切なのは、そのサインを見逃さずに専門医へ相談することです。当院では患者さまの不安に寄り添い、一緒に解決策を見つけていきます。お気軽にご相談ください。")</f>
        <v>白くポロポロしたカッテージチーズ状のおりものが見られる場合、膣カンジダ症が考えられます。強いかゆみを伴うことが多いのが特徴です。大切なのは、そのサインを見逃さずに専門医へ相談することです。当院では患者さまの不安に寄り添い、一緒に解決策を見つけていきます。お気軽にご相談ください。</v>
      </c>
      <c r="C368" s="31" t="str">
        <f>IFERROR(__xludf.DUMMYFUNCTION("""COMPUTED_VALUE"""),"おりもの異常")</f>
        <v>おりもの異常</v>
      </c>
      <c r="D368" s="31" t="str">
        <f>IFERROR(__xludf.DUMMYFUNCTION("""COMPUTED_VALUE"""),"白いおりもの,ポロポロ,膣カンジダ症")</f>
        <v>白いおりもの,ポロポロ,膣カンジダ症</v>
      </c>
      <c r="E368" s="32" t="str">
        <f>IFERROR(__xludf.DUMMYFUNCTION("""COMPUTED_VALUE"""),"https://luna-dr.com/subjects/abnormal-vaginal-discharge/")</f>
        <v>https://luna-dr.com/subjects/abnormal-vaginal-discharge/</v>
      </c>
    </row>
    <row r="369">
      <c r="A369" s="31" t="str">
        <f>IFERROR(__xludf.DUMMYFUNCTION("""COMPUTED_VALUE"""),"細菌性膣症とはどんな病気ですか？")</f>
        <v>細菌性膣症とはどんな病気ですか？</v>
      </c>
      <c r="B369" s="31" t="str">
        <f>IFERROR(__xludf.DUMMYFUNCTION("""COMPUTED_VALUE"""),"細菌性膣症とは、膣内の善玉菌が減少し、悪玉菌が増えることで膣内環境が乱れる病気です。灰色っぽく水っぽいおりものや、魚の生臭い臭いが特徴です。大切なのは、そのサインを見逃さずに専門医へ相談することです。当院では患者さまの不安に寄り添い、一緒に解決策を見つけていきます。お気軽にご相談ください。")</f>
        <v>細菌性膣症とは、膣内の善玉菌が減少し、悪玉菌が増えることで膣内環境が乱れる病気です。灰色っぽく水っぽいおりものや、魚の生臭い臭いが特徴です。大切なのは、そのサインを見逃さずに専門医へ相談することです。当院では患者さまの不安に寄り添い、一緒に解決策を見つけていきます。お気軽にご相談ください。</v>
      </c>
      <c r="C369" s="31" t="str">
        <f>IFERROR(__xludf.DUMMYFUNCTION("""COMPUTED_VALUE"""),"おりもの異常")</f>
        <v>おりもの異常</v>
      </c>
      <c r="D369" s="31" t="str">
        <f>IFERROR(__xludf.DUMMYFUNCTION("""COMPUTED_VALUE"""),"細菌性膣症,灰色のおりもの,生臭い臭い")</f>
        <v>細菌性膣症,灰色のおりもの,生臭い臭い</v>
      </c>
      <c r="E369" s="32" t="str">
        <f>IFERROR(__xludf.DUMMYFUNCTION("""COMPUTED_VALUE"""),"https://luna-dr.com/subjects/abnormal-vaginal-discharge/")</f>
        <v>https://luna-dr.com/subjects/abnormal-vaginal-discharge/</v>
      </c>
    </row>
    <row r="370">
      <c r="A370" s="31" t="str">
        <f>IFERROR(__xludf.DUMMYFUNCTION("""COMPUTED_VALUE"""),"魚のような生臭い臭いのおりものは何が原因ですか？")</f>
        <v>魚のような生臭い臭いのおりものは何が原因ですか？</v>
      </c>
      <c r="B370" s="31" t="str">
        <f>IFERROR(__xludf.DUMMYFUNCTION("""COMPUTED_VALUE"""),"魚のような生臭い臭いを伴うおりものは、細菌性膣症が原因となっている場合があります。膣内環境の乱れが関係しています。大切なのは、そのサインを見逃さずに専門医へ相談することです。当院では患者さまの不安に寄り添い、一緒に解決策を見つけていきます。お気軽にご相談ください。")</f>
        <v>魚のような生臭い臭いを伴うおりものは、細菌性膣症が原因となっている場合があります。膣内環境の乱れが関係しています。大切なのは、そのサインを見逃さずに専門医へ相談することです。当院では患者さまの不安に寄り添い、一緒に解決策を見つけていきます。お気軽にご相談ください。</v>
      </c>
      <c r="C370" s="31" t="str">
        <f>IFERROR(__xludf.DUMMYFUNCTION("""COMPUTED_VALUE"""),"おりもの異常")</f>
        <v>おりもの異常</v>
      </c>
      <c r="D370" s="31" t="str">
        <f>IFERROR(__xludf.DUMMYFUNCTION("""COMPUTED_VALUE"""),"生臭い臭い,細菌性膣症")</f>
        <v>生臭い臭い,細菌性膣症</v>
      </c>
      <c r="E370" s="32" t="str">
        <f>IFERROR(__xludf.DUMMYFUNCTION("""COMPUTED_VALUE"""),"https://luna-dr.com/subjects/abnormal-vaginal-discharge/")</f>
        <v>https://luna-dr.com/subjects/abnormal-vaginal-discharge/</v>
      </c>
    </row>
    <row r="371">
      <c r="A371" s="31" t="str">
        <f>IFERROR(__xludf.DUMMYFUNCTION("""COMPUTED_VALUE"""),"トリコモナス膣炎とはどんな病気ですか？")</f>
        <v>トリコモナス膣炎とはどんな病気ですか？</v>
      </c>
      <c r="B371" s="31" t="str">
        <f>IFERROR(__xludf.DUMMYFUNCTION("""COMPUTED_VALUE"""),"トリコモナス膣炎とは、性感染症（STD）の一つで、原虫の一種が原因となる病気です。黄〜緑色で泡立つおりものや、悪臭、強いかゆみが特徴です。大切なのは、そのサインを見逃さずに専門医へ相談することです。当院では患者さまの不安に寄り添い、一緒に解決策を見つけていきます。お気軽にご相談ください。")</f>
        <v>トリコモナス膣炎とは、性感染症（STD）の一つで、原虫の一種が原因となる病気です。黄〜緑色で泡立つおりものや、悪臭、強いかゆみが特徴です。大切なのは、そのサインを見逃さずに専門医へ相談することです。当院では患者さまの不安に寄り添い、一緒に解決策を見つけていきます。お気軽にご相談ください。</v>
      </c>
      <c r="C371" s="31" t="str">
        <f>IFERROR(__xludf.DUMMYFUNCTION("""COMPUTED_VALUE"""),"おりもの異常")</f>
        <v>おりもの異常</v>
      </c>
      <c r="D371" s="31" t="str">
        <f>IFERROR(__xludf.DUMMYFUNCTION("""COMPUTED_VALUE"""),"トリコモナス膣炎,泡立つおりもの,性感染症")</f>
        <v>トリコモナス膣炎,泡立つおりもの,性感染症</v>
      </c>
      <c r="E371" s="32" t="str">
        <f>IFERROR(__xludf.DUMMYFUNCTION("""COMPUTED_VALUE"""),"https://luna-dr.com/subjects/abnormal-vaginal-discharge/")</f>
        <v>https://luna-dr.com/subjects/abnormal-vaginal-discharge/</v>
      </c>
    </row>
    <row r="372">
      <c r="A372" s="31" t="str">
        <f>IFERROR(__xludf.DUMMYFUNCTION("""COMPUTED_VALUE"""),"泡立つ黄緑色のおりものは性病ですか？")</f>
        <v>泡立つ黄緑色のおりものは性病ですか？</v>
      </c>
      <c r="B372" s="31" t="str">
        <f>IFERROR(__xludf.DUMMYFUNCTION("""COMPUTED_VALUE"""),"黄〜緑色で泡立つおりものが見られる場合、トリコモナス膣炎などの性感染症が考えられます。正確な診断のため、専門医への相談が必要です。大切なのは、そのサインを見逃さずに専門医へ相談することです。当院では患者さまの不安に寄り添い、一緒に解決策を見つけていきます。お気軽にご相談ください。")</f>
        <v>黄〜緑色で泡立つおりものが見られる場合、トリコモナス膣炎などの性感染症が考えられます。正確な診断のため、専門医への相談が必要です。大切なのは、そのサインを見逃さずに専門医へ相談することです。当院では患者さまの不安に寄り添い、一緒に解決策を見つけていきます。お気軽にご相談ください。</v>
      </c>
      <c r="C372" s="31" t="str">
        <f>IFERROR(__xludf.DUMMYFUNCTION("""COMPUTED_VALUE"""),"おりもの異常")</f>
        <v>おりもの異常</v>
      </c>
      <c r="D372" s="31" t="str">
        <f>IFERROR(__xludf.DUMMYFUNCTION("""COMPUTED_VALUE"""),"泡立つおりもの,黄緑色,トリコモナス")</f>
        <v>泡立つおりもの,黄緑色,トリコモナス</v>
      </c>
      <c r="E372" s="32" t="str">
        <f>IFERROR(__xludf.DUMMYFUNCTION("""COMPUTED_VALUE"""),"https://luna-dr.com/subjects/abnormal-vaginal-discharge/")</f>
        <v>https://luna-dr.com/subjects/abnormal-vaginal-discharge/</v>
      </c>
    </row>
    <row r="373">
      <c r="A373" s="31" t="str">
        <f>IFERROR(__xludf.DUMMYFUNCTION("""COMPUTED_VALUE"""),"クラミジア感染症とはどんな病気ですか？")</f>
        <v>クラミジア感染症とはどんな病気ですか？</v>
      </c>
      <c r="B373" s="31" t="str">
        <f>IFERROR(__xludf.DUMMYFUNCTION("""COMPUTED_VALUE"""),"クラミジア感染症とは、性感染症（STD）の一つで、日本で最も多いとされています。水っぽい、または黄色いおりものが増えることがあり、症状が出にくい場合もあります。大切なのは、そのサインを見逃さずに専門医へ相談することです。当院では患者さまの不安に寄り添い、一緒に解決策を見つけていきます。お気軽にご相談ください。")</f>
        <v>クラミジア感染症とは、性感染症（STD）の一つで、日本で最も多いとされています。水っぽい、または黄色いおりものが増えることがあり、症状が出にくい場合もあります。大切なのは、そのサインを見逃さずに専門医へ相談することです。当院では患者さまの不安に寄り添い、一緒に解決策を見つけていきます。お気軽にご相談ください。</v>
      </c>
      <c r="C373" s="31" t="str">
        <f>IFERROR(__xludf.DUMMYFUNCTION("""COMPUTED_VALUE"""),"おりもの異常")</f>
        <v>おりもの異常</v>
      </c>
      <c r="D373" s="31" t="str">
        <f>IFERROR(__xludf.DUMMYFUNCTION("""COMPUTED_VALUE"""),"クラミジア感染症,水っぽいおりもの,性感染症")</f>
        <v>クラミジア感染症,水っぽいおりもの,性感染症</v>
      </c>
      <c r="E373" s="32" t="str">
        <f>IFERROR(__xludf.DUMMYFUNCTION("""COMPUTED_VALUE"""),"https://luna-dr.com/subjects/abnormal-vaginal-discharge/")</f>
        <v>https://luna-dr.com/subjects/abnormal-vaginal-discharge/</v>
      </c>
    </row>
    <row r="374">
      <c r="A374" s="31" t="str">
        <f>IFERROR(__xludf.DUMMYFUNCTION("""COMPUTED_VALUE"""),"おりものが増えていますが自覚症状が少ない場合もありますか？")</f>
        <v>おりものが増えていますが自覚症状が少ない場合もありますか？</v>
      </c>
      <c r="B374" s="31" t="str">
        <f>IFERROR(__xludf.DUMMYFUNCTION("""COMPUTED_VALUE"""),"クラミジア感染症などでは、水っぽい、または黄色いおりものが増えても、自覚症状がほとんど出ない場合があります。下腹部痛を伴うこともあります。大切なのは、そのサインを見逃さずに専門医へ相談することです。当院では患者さまの不安に寄り添い、一緒に解決策を見つけていきます。お気軽にご相談ください。")</f>
        <v>クラミジア感染症などでは、水っぽい、または黄色いおりものが増えても、自覚症状がほとんど出ない場合があります。下腹部痛を伴うこともあります。大切なのは、そのサインを見逃さずに専門医へ相談することです。当院では患者さまの不安に寄り添い、一緒に解決策を見つけていきます。お気軽にご相談ください。</v>
      </c>
      <c r="C374" s="31" t="str">
        <f>IFERROR(__xludf.DUMMYFUNCTION("""COMPUTED_VALUE"""),"おりもの異常")</f>
        <v>おりもの異常</v>
      </c>
      <c r="D374" s="31" t="str">
        <f>IFERROR(__xludf.DUMMYFUNCTION("""COMPUTED_VALUE"""),"おりもの増加,クラミジア")</f>
        <v>おりもの増加,クラミジア</v>
      </c>
      <c r="E374" s="32" t="str">
        <f>IFERROR(__xludf.DUMMYFUNCTION("""COMPUTED_VALUE"""),"https://luna-dr.com/subjects/abnormal-vaginal-discharge/")</f>
        <v>https://luna-dr.com/subjects/abnormal-vaginal-discharge/</v>
      </c>
    </row>
    <row r="375">
      <c r="A375" s="31" t="str">
        <f>IFERROR(__xludf.DUMMYFUNCTION("""COMPUTED_VALUE"""),"淋菌感染症とはどんな病気ですか？")</f>
        <v>淋菌感染症とはどんな病気ですか？</v>
      </c>
      <c r="B375" s="31" t="str">
        <f>IFERROR(__xludf.DUMMYFUNCTION("""COMPUTED_VALUE"""),"淋菌感染症とは、性感染症（STD）の一つで、黄色く膿のようなおりものや、排尿時痛、下腹部痛が見られることがあります。大切なのは、そのサインを見逃さずに専門医へ相談することです。当院では患者さまの不安に寄り添い、一緒に解決策を見つけていきます。お気軽にご相談ください。")</f>
        <v>淋菌感染症とは、性感染症（STD）の一つで、黄色く膿のようなおりものや、排尿時痛、下腹部痛が見られることがあります。大切なのは、そのサインを見逃さずに専門医へ相談することです。当院では患者さまの不安に寄り添い、一緒に解決策を見つけていきます。お気軽にご相談ください。</v>
      </c>
      <c r="C375" s="31" t="str">
        <f>IFERROR(__xludf.DUMMYFUNCTION("""COMPUTED_VALUE"""),"おりもの異常")</f>
        <v>おりもの異常</v>
      </c>
      <c r="D375" s="31" t="str">
        <f>IFERROR(__xludf.DUMMYFUNCTION("""COMPUTED_VALUE"""),"淋菌感染症,黄色いおりもの,性感染症")</f>
        <v>淋菌感染症,黄色いおりもの,性感染症</v>
      </c>
      <c r="E375" s="32" t="str">
        <f>IFERROR(__xludf.DUMMYFUNCTION("""COMPUTED_VALUE"""),"https://luna-dr.com/subjects/abnormal-vaginal-discharge/")</f>
        <v>https://luna-dr.com/subjects/abnormal-vaginal-discharge/</v>
      </c>
    </row>
    <row r="376">
      <c r="A376" s="31" t="str">
        <f>IFERROR(__xludf.DUMMYFUNCTION("""COMPUTED_VALUE"""),"膿のような黄色いおりものが出ていますが原因は何ですか？")</f>
        <v>膿のような黄色いおりものが出ていますが原因は何ですか？</v>
      </c>
      <c r="B376" s="31" t="str">
        <f>IFERROR(__xludf.DUMMYFUNCTION("""COMPUTED_VALUE"""),"黄色く膿のようなおりものが見られる場合、淋菌感染症が原因となっている可能性があります。クラミジア感染症との合併も多いとされています。大切なのは、そのサインを見逃さずに専門医へ相談することです。当院では患者さまの不安に寄り添い、一緒に解決策を見つけていきます。お気軽にご相談ください。")</f>
        <v>黄色く膿のようなおりものが見られる場合、淋菌感染症が原因となっている可能性があります。クラミジア感染症との合併も多いとされています。大切なのは、そのサインを見逃さずに専門医へ相談することです。当院では患者さまの不安に寄り添い、一緒に解決策を見つけていきます。お気軽にご相談ください。</v>
      </c>
      <c r="C376" s="31" t="str">
        <f>IFERROR(__xludf.DUMMYFUNCTION("""COMPUTED_VALUE"""),"おりもの異常")</f>
        <v>おりもの異常</v>
      </c>
      <c r="D376" s="31" t="str">
        <f>IFERROR(__xludf.DUMMYFUNCTION("""COMPUTED_VALUE"""),"黄色いおりもの,膿,淋菌")</f>
        <v>黄色いおりもの,膿,淋菌</v>
      </c>
      <c r="E376" s="32" t="str">
        <f>IFERROR(__xludf.DUMMYFUNCTION("""COMPUTED_VALUE"""),"https://luna-dr.com/subjects/abnormal-vaginal-discharge/")</f>
        <v>https://luna-dr.com/subjects/abnormal-vaginal-discharge/</v>
      </c>
    </row>
    <row r="377">
      <c r="A377" s="31" t="str">
        <f>IFERROR(__xludf.DUMMYFUNCTION("""COMPUTED_VALUE"""),"おりものの異常は原因によって治療が変わりますか？")</f>
        <v>おりものの異常は原因によって治療が変わりますか？</v>
      </c>
      <c r="B377" s="31" t="str">
        <f>IFERROR(__xludf.DUMMYFUNCTION("""COMPUTED_VALUE"""),"おりものの異常は、原因となる病気によって治療法が異なります。そのため、専門医による正確な診断が重要です。大切なのは、そのサインを見逃さずに専門医へ相談することです。当院では患者さまの不安に寄り添い、一緒に解決策を見つけていきます。お気軽にご相談ください。")</f>
        <v>おりものの異常は、原因となる病気によって治療法が異なります。そのため、専門医による正確な診断が重要です。大切なのは、そのサインを見逃さずに専門医へ相談することです。当院では患者さまの不安に寄り添い、一緒に解決策を見つけていきます。お気軽にご相談ください。</v>
      </c>
      <c r="C377" s="31" t="str">
        <f>IFERROR(__xludf.DUMMYFUNCTION("""COMPUTED_VALUE"""),"おりもの異常")</f>
        <v>おりもの異常</v>
      </c>
      <c r="D377" s="31" t="str">
        <f>IFERROR(__xludf.DUMMYFUNCTION("""COMPUTED_VALUE"""),"おりもの異常,原因,治療")</f>
        <v>おりもの異常,原因,治療</v>
      </c>
      <c r="E377" s="32" t="str">
        <f>IFERROR(__xludf.DUMMYFUNCTION("""COMPUTED_VALUE"""),"https://luna-dr.com/subjects/abnormal-vaginal-discharge/")</f>
        <v>https://luna-dr.com/subjects/abnormal-vaginal-discharge/</v>
      </c>
    </row>
    <row r="378">
      <c r="A378" s="31" t="str">
        <f>IFERROR(__xludf.DUMMYFUNCTION("""COMPUTED_VALUE"""),"おりもの検査に市販薬を使ってもいいですか？")</f>
        <v>おりもの検査に市販薬を使ってもいいですか？</v>
      </c>
      <c r="B378" s="31" t="str">
        <f>IFERROR(__xludf.DUMMYFUNCTION("""COMPUTED_VALUE""")," 市販薬は主にカンジダ症を対象としていますが、原因が異なる場合は効果がなく、かえって診断を遅らせてしまう可能性があります。おりものの異常とかゆみがある場合、まずは婦人科を受診し、正確な診断を受けることをお勧めします。")</f>
        <v> 市販薬は主にカンジダ症を対象としていますが、原因が異なる場合は効果がなく、かえって診断を遅らせてしまう可能性があります。おりものの異常とかゆみがある場合、まずは婦人科を受診し、正確な診断を受けることをお勧めします。</v>
      </c>
      <c r="C378" s="31" t="str">
        <f>IFERROR(__xludf.DUMMYFUNCTION("""COMPUTED_VALUE"""),"おりもの検査")</f>
        <v>おりもの検査</v>
      </c>
      <c r="D378" s="31" t="str">
        <f>IFERROR(__xludf.DUMMYFUNCTION("""COMPUTED_VALUE"""),"おりもの異常,市販薬,注意")</f>
        <v>おりもの異常,市販薬,注意</v>
      </c>
      <c r="E378" s="32" t="str">
        <f>IFERROR(__xludf.DUMMYFUNCTION("""COMPUTED_VALUE"""),"https://luna-dr.com/subjects/abnormal-vaginal-discharge/")</f>
        <v>https://luna-dr.com/subjects/abnormal-vaginal-discharge/</v>
      </c>
    </row>
    <row r="379">
      <c r="A379" s="31" t="str">
        <f>IFERROR(__xludf.DUMMYFUNCTION("""COMPUTED_VALUE"""),"おりもの異常の検査はいつ受けますか？")</f>
        <v>おりもの異常の検査はいつ受けますか？</v>
      </c>
      <c r="B379" s="31" t="str">
        <f>IFERROR(__xludf.DUMMYFUNCTION("""COMPUTED_VALUE"""),"症状に気づいた時点で、できるだけ早めの受診が推奨されます。")</f>
        <v>症状に気づいた時点で、できるだけ早めの受診が推奨されます。</v>
      </c>
      <c r="C379" s="31" t="str">
        <f>IFERROR(__xludf.DUMMYFUNCTION("""COMPUTED_VALUE"""),"おりもの検査")</f>
        <v>おりもの検査</v>
      </c>
      <c r="D379" s="31" t="str">
        <f>IFERROR(__xludf.DUMMYFUNCTION("""COMPUTED_VALUE"""),"おりもの異常,検査タイミング")</f>
        <v>おりもの異常,検査タイミング</v>
      </c>
      <c r="E379" s="32" t="str">
        <f>IFERROR(__xludf.DUMMYFUNCTION("""COMPUTED_VALUE"""),"https://luna-dr.com/subjects/abnormal-vaginal-discharge/")</f>
        <v>https://luna-dr.com/subjects/abnormal-vaginal-discharge/</v>
      </c>
    </row>
    <row r="380">
      <c r="A380" s="31" t="str">
        <f>IFERROR(__xludf.DUMMYFUNCTION("""COMPUTED_VALUE"""),"FemCHECK（フェムチェック）は、市販の郵送検査キットと何が違うのですか？")</f>
        <v>FemCHECK（フェムチェック）は、市販の郵送検査キットと何が違うのですか？</v>
      </c>
      <c r="B380" s="31" t="str">
        <f>IFERROR(__xludf.DUMMYFUNCTION("""COMPUTED_VALUE"""),"一番の違いは、「検査後のサポート体制」と「安心感」です。市販のキットは「検査会社」が販売しており、陽性が出た後はご自身で病院を探さなくてはなりません。
一方、当院のフェムチェックは「医療機関」が提供しています。陽性の場合はもちろん、「陰性だけど症状が改善しない」といった場合でも、検査結果を把握した私たちが、そのまま治療や追加の診察まで責任を持ってサポートします。「検査だけで終わらない安心感」が、フェムチェックの最大の強みです。")</f>
        <v>一番の違いは、「検査後のサポート体制」と「安心感」です。市販のキットは「検査会社」が販売しており、陽性が出た後はご自身で病院を探さなくてはなりません。
一方、当院のフェムチェックは「医療機関」が提供しています。陽性の場合はもちろん、「陰性だけど症状が改善しない」といった場合でも、検査結果を把握した私たちが、そのまま治療や追加の診察まで責任を持ってサポートします。「検査だけで終わらない安心感」が、フェムチェックの最大の強みです。</v>
      </c>
      <c r="C380" s="31" t="str">
        <f>IFERROR(__xludf.DUMMYFUNCTION("""COMPUTED_VALUE"""),"おりもの検査")</f>
        <v>おりもの検査</v>
      </c>
      <c r="D380" s="31" t="str">
        <f>IFERROR(__xludf.DUMMYFUNCTION("""COMPUTED_VALUE"""),"FemCHECK,郵送検査,おりもの異常,違い")</f>
        <v>FemCHECK,郵送検査,おりもの異常,違い</v>
      </c>
      <c r="E380" s="32" t="str">
        <f>IFERROR(__xludf.DUMMYFUNCTION("""COMPUTED_VALUE"""),"https://luna-dr.com/subjects/abnormal-vaginal-discharge/")</f>
        <v>https://luna-dr.com/subjects/abnormal-vaginal-discharge/</v>
      </c>
    </row>
    <row r="381">
      <c r="A381" s="31" t="str">
        <f>IFERROR(__xludf.DUMMYFUNCTION("""COMPUTED_VALUE"""),"おりもの検査は痛いですか？/おりもの検査はどんな検査をしますか？")</f>
        <v>おりもの検査は痛いですか？/おりもの検査はどんな検査をしますか？</v>
      </c>
      <c r="B381" s="31" t="str">
        <f>IFERROR(__xludf.DUMMYFUNCTION("""COMPUTED_VALUE"""),"内診台で膣の中を拝見し、綿棒のようなものでおりものを採取する検査が主です。力を抜いていただければ、痛みはほとんどありません。医師やスタッフが丁寧にお声がけしながら進めますのでご安心ください。")</f>
        <v>内診台で膣の中を拝見し、綿棒のようなものでおりものを採取する検査が主です。力を抜いていただければ、痛みはほとんどありません。医師やスタッフが丁寧にお声がけしながら進めますのでご安心ください。</v>
      </c>
      <c r="C381" s="31" t="str">
        <f>IFERROR(__xludf.DUMMYFUNCTION("""COMPUTED_VALUE"""),"おりもの検査")</f>
        <v>おりもの検査</v>
      </c>
      <c r="D381" s="31" t="str">
        <f>IFERROR(__xludf.DUMMYFUNCTION("""COMPUTED_VALUE"""),"おりもの検査,痛み")</f>
        <v>おりもの検査,痛み</v>
      </c>
      <c r="E381" s="32" t="str">
        <f>IFERROR(__xludf.DUMMYFUNCTION("""COMPUTED_VALUE"""),"https://luna-dr.com/subjects/abnormal-vaginal-discharge/")</f>
        <v>https://luna-dr.com/subjects/abnormal-vaginal-discharge/</v>
      </c>
    </row>
    <row r="382">
      <c r="A382" s="31" t="str">
        <f>IFERROR(__xludf.DUMMYFUNCTION("""COMPUTED_VALUE"""),"おりもの検査では性病かどうかも分かりますか？")</f>
        <v>おりもの検査では性病かどうかも分かりますか？</v>
      </c>
      <c r="B382" s="31" t="str">
        <f>IFERROR(__xludf.DUMMYFUNCTION("""COMPUTED_VALUE"""),"わかります。クラミジア、淋菌、トリコモナスといった性感染症（STD）の検査も可能です。気になる症状があれば、診察時にご相談ください。")</f>
        <v>わかります。クラミジア、淋菌、トリコモナスといった性感染症（STD）の検査も可能です。気になる症状があれば、診察時にご相談ください。</v>
      </c>
      <c r="C382" s="31" t="str">
        <f>IFERROR(__xludf.DUMMYFUNCTION("""COMPUTED_VALUE"""),"おりもの検査")</f>
        <v>おりもの検査</v>
      </c>
      <c r="D382" s="31" t="str">
        <f>IFERROR(__xludf.DUMMYFUNCTION("""COMPUTED_VALUE"""),"おりもの検査,性病")</f>
        <v>おりもの検査,性病</v>
      </c>
      <c r="E382" s="32" t="str">
        <f>IFERROR(__xludf.DUMMYFUNCTION("""COMPUTED_VALUE"""),"https://luna-dr.com/subjects/abnormal-vaginal-discharge/")</f>
        <v>https://luna-dr.com/subjects/abnormal-vaginal-discharge/</v>
      </c>
    </row>
    <row r="383">
      <c r="A383" s="31" t="str">
        <f>IFERROR(__xludf.DUMMYFUNCTION("""COMPUTED_VALUE"""),"パートナーも治療が必要ですか？")</f>
        <v>パートナーも治療が必要ですか？</v>
      </c>
      <c r="B383" s="31" t="str">
        <f>IFERROR(__xludf.DUMMYFUNCTION("""COMPUTED_VALUE"""),"トリコモナスやクラミジア、淋菌などの性感染症と診断された場合は、ご自身が治療してもパートナーから再度うつされてしまう「ピンポン感染」を防ぐため、パートナーも同時に検査・治療を受けることが非常に重要です。")</f>
        <v>トリコモナスやクラミジア、淋菌などの性感染症と診断された場合は、ご自身が治療してもパートナーから再度うつされてしまう「ピンポン感染」を防ぐため、パートナーも同時に検査・治療を受けることが非常に重要です。</v>
      </c>
      <c r="C383" s="31" t="str">
        <f>IFERROR(__xludf.DUMMYFUNCTION("""COMPUTED_VALUE"""),"おりもの検査")</f>
        <v>おりもの検査</v>
      </c>
      <c r="D383" s="31" t="str">
        <f>IFERROR(__xludf.DUMMYFUNCTION("""COMPUTED_VALUE"""),"おりもの検査,性病,パートナー")</f>
        <v>おりもの検査,性病,パートナー</v>
      </c>
      <c r="E383" s="32" t="str">
        <f>IFERROR(__xludf.DUMMYFUNCTION("""COMPUTED_VALUE"""),"https://luna-dr.com/subjects/abnormal-vaginal-discharge/")</f>
        <v>https://luna-dr.com/subjects/abnormal-vaginal-discharge/</v>
      </c>
    </row>
    <row r="384">
      <c r="A384" s="31" t="str">
        <f>IFERROR(__xludf.DUMMYFUNCTION("""COMPUTED_VALUE"""),"おりもの異常は来院しないと診察できませんか？")</f>
        <v>おりもの異常は来院しないと診察できませんか？</v>
      </c>
      <c r="B384" s="31" t="str">
        <f>IFERROR(__xludf.DUMMYFUNCTION("""COMPUTED_VALUE"""),"ルナレディースクリニックでは、ライフスタイルに合わせて来院診療に加え、自宅で検査できる自己採取キット「FemCHECK（フェムチェック）」も利用できます。症状について直接医師に相談し、その日のうちに検査・診断・治療へ進みたい方は来院治療がおすすめです。「病院に行くのは少し勇気がいる」「忙しくてすぐには行けない」という方には、ご自宅で簡単に性感染症の検査ができる自己採取キット「FemCHECK（フェムチェック）」がおすすめです。FemCHECKはこちらをご参考ください→https://luna-dr.com"&amp;"/femcheck/?utm_source=lunamedia&amp;utm_medium=banner&amp;utm_campaign=femcheck_article_hpseo")</f>
        <v>ルナレディースクリニックでは、ライフスタイルに合わせて来院診療に加え、自宅で検査できる自己採取キット「FemCHECK（フェムチェック）」も利用できます。症状について直接医師に相談し、その日のうちに検査・診断・治療へ進みたい方は来院治療がおすすめです。「病院に行くのは少し勇気がいる」「忙しくてすぐには行けない」という方には、ご自宅で簡単に性感染症の検査ができる自己採取キット「FemCHECK（フェムチェック）」がおすすめです。FemCHECKはこちらをご参考ください→https://luna-dr.com/femcheck/?utm_source=lunamedia&amp;utm_medium=banner&amp;utm_campaign=femcheck_article_hpseo</v>
      </c>
      <c r="C384" s="31" t="str">
        <f>IFERROR(__xludf.DUMMYFUNCTION("""COMPUTED_VALUE"""),"おりもの検査")</f>
        <v>おりもの検査</v>
      </c>
      <c r="D384" s="31" t="str">
        <f>IFERROR(__xludf.DUMMYFUNCTION("""COMPUTED_VALUE"""),"FemCHECK,郵送検査,おりもの異常")</f>
        <v>FemCHECK,郵送検査,おりもの異常</v>
      </c>
      <c r="E384" s="32" t="str">
        <f>IFERROR(__xludf.DUMMYFUNCTION("""COMPUTED_VALUE"""),"https://luna-dr.com/subjects/abnormal-vaginal-discharge/")</f>
        <v>https://luna-dr.com/subjects/abnormal-vaginal-discharge/</v>
      </c>
    </row>
    <row r="385">
      <c r="A385" s="31" t="str">
        <f>IFERROR(__xludf.DUMMYFUNCTION("""COMPUTED_VALUE"""),"おりもの異常はオンライン診療だけで完結しますか？")</f>
        <v>おりもの異常はオンライン診療だけで完結しますか？</v>
      </c>
      <c r="B385" s="31" t="str">
        <f>IFERROR(__xludf.DUMMYFUNCTION("""COMPUTED_VALUE"""),"FemCHECKで検査は可能ですが、検査結果で陽性が出た場合、または陰性でも症状が続く場合は、治療や詳しい診察が必要です。フェムチェックの検査結果をもとに、医師が診察を行い、最適な治療が開始できますので、事前に検査結果が分かっているとスムーズに治療へと進むことができます。")</f>
        <v>FemCHECKで検査は可能ですが、検査結果で陽性が出た場合、または陰性でも症状が続く場合は、治療や詳しい診察が必要です。フェムチェックの検査結果をもとに、医師が診察を行い、最適な治療が開始できますので、事前に検査結果が分かっているとスムーズに治療へと進むことができます。</v>
      </c>
      <c r="C385" s="31" t="str">
        <f>IFERROR(__xludf.DUMMYFUNCTION("""COMPUTED_VALUE"""),"おりもの検査")</f>
        <v>おりもの検査</v>
      </c>
      <c r="D385" s="31" t="str">
        <f>IFERROR(__xludf.DUMMYFUNCTION("""COMPUTED_VALUE"""),"おりもの異常,オンライン診療,来院")</f>
        <v>おりもの異常,オンライン診療,来院</v>
      </c>
      <c r="E385" s="32" t="str">
        <f>IFERROR(__xludf.DUMMYFUNCTION("""COMPUTED_VALUE"""),"https://luna-dr.com/subjects/abnormal-vaginal-discharge/")</f>
        <v>https://luna-dr.com/subjects/abnormal-vaginal-discharge/</v>
      </c>
    </row>
    <row r="386">
      <c r="A386" s="31" t="str">
        <f>IFERROR(__xludf.DUMMYFUNCTION("""COMPUTED_VALUE"""),"おりもの異常は初診でも診察できますか？")</f>
        <v>おりもの異常は初診でも診察できますか？</v>
      </c>
      <c r="B386" s="31" t="str">
        <f>IFERROR(__xludf.DUMMYFUNCTION("""COMPUTED_VALUE"""),"おりものの異常は初診の方でも診察可能です。当院では、ライフスタイルに合わせて来院診療に加え、自宅で検査できる自己採取キット「FemCHECK（フェムチェック）」も利用できます。FemCHECKはこちらをご参考ください→https://luna-dr.com/femcheck/?utm_source=lunamedia&amp;utm_medium=banner&amp;utm_campaign=femcheck_article_hpseo")</f>
        <v>おりものの異常は初診の方でも診察可能です。当院では、ライフスタイルに合わせて来院診療に加え、自宅で検査できる自己採取キット「FemCHECK（フェムチェック）」も利用できます。FemCHECKはこちらをご参考ください→https://luna-dr.com/femcheck/?utm_source=lunamedia&amp;utm_medium=banner&amp;utm_campaign=femcheck_article_hpseo</v>
      </c>
      <c r="C386" s="31" t="str">
        <f>IFERROR(__xludf.DUMMYFUNCTION("""COMPUTED_VALUE"""),"おりもの検査")</f>
        <v>おりもの検査</v>
      </c>
      <c r="D386" s="31" t="str">
        <f>IFERROR(__xludf.DUMMYFUNCTION("""COMPUTED_VALUE"""),"おりもの異常,初診,婦人科")</f>
        <v>おりもの異常,初診,婦人科</v>
      </c>
      <c r="E386" s="32" t="str">
        <f>IFERROR(__xludf.DUMMYFUNCTION("""COMPUTED_VALUE"""),"https://luna-dr.com/subjects/abnormal-vaginal-discharge/")</f>
        <v>https://luna-dr.com/subjects/abnormal-vaginal-discharge/</v>
      </c>
    </row>
    <row r="387">
      <c r="A387" s="31" t="str">
        <f>IFERROR(__xludf.DUMMYFUNCTION("""COMPUTED_VALUE"""),"当日の診察ではどこまで進みますか？")</f>
        <v>当日の診察ではどこまで進みますか？</v>
      </c>
      <c r="B387" s="31" t="str">
        <f>IFERROR(__xludf.DUMMYFUNCTION("""COMPUTED_VALUE"""),"来院の場合、問診・内診・検査まで行い、必要に応じてその日のうちに治療を開始します。")</f>
        <v>来院の場合、問診・内診・検査まで行い、必要に応じてその日のうちに治療を開始します。</v>
      </c>
      <c r="C387" s="31" t="str">
        <f>IFERROR(__xludf.DUMMYFUNCTION("""COMPUTED_VALUE"""),"おりもの検査")</f>
        <v>おりもの検査</v>
      </c>
      <c r="D387" s="31" t="str">
        <f>IFERROR(__xludf.DUMMYFUNCTION("""COMPUTED_VALUE"""),"おりもの異常,当日,検査,治療")</f>
        <v>おりもの異常,当日,検査,治療</v>
      </c>
      <c r="E387" s="32" t="str">
        <f>IFERROR(__xludf.DUMMYFUNCTION("""COMPUTED_VALUE"""),"https://luna-dr.com/subjects/abnormal-vaginal-discharge/")</f>
        <v>https://luna-dr.com/subjects/abnormal-vaginal-discharge/</v>
      </c>
    </row>
    <row r="388">
      <c r="A388" s="31" t="str">
        <f>IFERROR(__xludf.DUMMYFUNCTION("""COMPUTED_VALUE"""),"おりもの異常の診察は保険適用ですか？")</f>
        <v>おりもの異常の診察は保険適用ですか？</v>
      </c>
      <c r="B388" s="31" t="str">
        <f>IFERROR(__xludf.DUMMYFUNCTION("""COMPUTED_VALUE"""),"おりものの異常に関する診察・検査・治療は基本的に健康保険が適用されます。")</f>
        <v>おりものの異常に関する診察・検査・治療は基本的に健康保険が適用されます。</v>
      </c>
      <c r="C388" s="31" t="str">
        <f>IFERROR(__xludf.DUMMYFUNCTION("""COMPUTED_VALUE"""),"おりもの検査")</f>
        <v>おりもの検査</v>
      </c>
      <c r="D388" s="31" t="str">
        <f>IFERROR(__xludf.DUMMYFUNCTION("""COMPUTED_VALUE"""),"おりもの異常,保険適用")</f>
        <v>おりもの異常,保険適用</v>
      </c>
      <c r="E388" s="32" t="str">
        <f>IFERROR(__xludf.DUMMYFUNCTION("""COMPUTED_VALUE"""),"https://luna-dr.com/subjects/abnormal-vaginal-discharge/")</f>
        <v>https://luna-dr.com/subjects/abnormal-vaginal-discharge/</v>
      </c>
    </row>
    <row r="389">
      <c r="A389" s="31" t="str">
        <f>IFERROR(__xludf.DUMMYFUNCTION("""COMPUTED_VALUE"""),"おりもの異常の診察や検査は保険適用されますか？")</f>
        <v>おりもの異常の診察や検査は保険適用されますか？</v>
      </c>
      <c r="B389" s="31" t="str">
        <f>IFERROR(__xludf.DUMMYFUNCTION("""COMPUTED_VALUE"""),"おりものの異常に関する診察・検査・治療は、基本的に健康保険が適用されます。")</f>
        <v>おりものの異常に関する診察・検査・治療は、基本的に健康保険が適用されます。</v>
      </c>
      <c r="C389" s="31" t="str">
        <f>IFERROR(__xludf.DUMMYFUNCTION("""COMPUTED_VALUE"""),"料金・保険")</f>
        <v>料金・保険</v>
      </c>
      <c r="D389" s="31" t="str">
        <f>IFERROR(__xludf.DUMMYFUNCTION("""COMPUTED_VALUE"""),"おりもの異常,保険適用,婦人科")</f>
        <v>おりもの異常,保険適用,婦人科</v>
      </c>
      <c r="E389" s="32" t="str">
        <f>IFERROR(__xludf.DUMMYFUNCTION("""COMPUTED_VALUE"""),"https://luna-dr.com/subjects/abnormal-vaginal-discharge/")</f>
        <v>https://luna-dr.com/subjects/abnormal-vaginal-discharge/</v>
      </c>
    </row>
    <row r="390">
      <c r="A390" s="31" t="str">
        <f>IFERROR(__xludf.DUMMYFUNCTION("""COMPUTED_VALUE"""),"おりもの異常の検査費用はいくらくらいですか？")</f>
        <v>おりもの異常の検査費用はいくらくらいですか？</v>
      </c>
      <c r="B390" s="31" t="str">
        <f>IFERROR(__xludf.DUMMYFUNCTION("""COMPUTED_VALUE"""),"雑菌・真菌の検査は、約1,100円（税込）が目安です。
※上記はあくまで目安の料金です。別途、初診料・再診料がかかります。
※診察内容や検査項目によって料金は変動いたします。正確な料金はチャットやお電話ではお答えできかねますので、ご了承ください。
")</f>
        <v>雑菌・真菌の検査は、約1,100円（税込）が目安です。
※上記はあくまで目安の料金です。別途、初診料・再診料がかかります。
※診察内容や検査項目によって料金は変動いたします。正確な料金はチャットやお電話ではお答えできかねますので、ご了承ください。
</v>
      </c>
      <c r="C390" s="31" t="str">
        <f>IFERROR(__xludf.DUMMYFUNCTION("""COMPUTED_VALUE"""),"料金・保険")</f>
        <v>料金・保険</v>
      </c>
      <c r="D390" s="31" t="str">
        <f>IFERROR(__xludf.DUMMYFUNCTION("""COMPUTED_VALUE"""),"おりもの異常,検査費用,雑菌検査,真菌検査")</f>
        <v>おりもの異常,検査費用,雑菌検査,真菌検査</v>
      </c>
      <c r="E390" s="32" t="str">
        <f>IFERROR(__xludf.DUMMYFUNCTION("""COMPUTED_VALUE"""),"https://luna-dr.com/subjects/abnormal-vaginal-discharge/")</f>
        <v>https://luna-dr.com/subjects/abnormal-vaginal-discharge/</v>
      </c>
    </row>
    <row r="391">
      <c r="A391" s="31" t="str">
        <f>IFERROR(__xludf.DUMMYFUNCTION("""COMPUTED_VALUE"""),"おりもの異常の治療費用はいくらくらいですか？")</f>
        <v>おりもの異常の治療費用はいくらくらいですか？</v>
      </c>
      <c r="B391" s="31" t="str">
        <f>IFERROR(__xludf.DUMMYFUNCTION("""COMPUTED_VALUE"""),"雑菌・真菌によるおりもの異常の治療費は、約400円（税込）が目安です。
※上記はあくまで目安の料金です。別途、初診料・再診料がかかります。
※診察内容や検査項目によって料金は変動いたします。正確な料金はチャットやお電話ではお答えできかねますので、ご了承ください。
")</f>
        <v>雑菌・真菌によるおりもの異常の治療費は、約400円（税込）が目安です。
※上記はあくまで目安の料金です。別途、初診料・再診料がかかります。
※診察内容や検査項目によって料金は変動いたします。正確な料金はチャットやお電話ではお答えできかねますので、ご了承ください。
</v>
      </c>
      <c r="C391" s="31" t="str">
        <f>IFERROR(__xludf.DUMMYFUNCTION("""COMPUTED_VALUE"""),"料金・保険")</f>
        <v>料金・保険</v>
      </c>
      <c r="D391" s="31" t="str">
        <f>IFERROR(__xludf.DUMMYFUNCTION("""COMPUTED_VALUE"""),"おりもの異常,治療費用,膣炎治療")</f>
        <v>おりもの異常,治療費用,膣炎治療</v>
      </c>
      <c r="E391" s="32" t="str">
        <f>IFERROR(__xludf.DUMMYFUNCTION("""COMPUTED_VALUE"""),"https://luna-dr.com/subjects/abnormal-vaginal-discharge/")</f>
        <v>https://luna-dr.com/subjects/abnormal-vaginal-discharge/</v>
      </c>
    </row>
    <row r="392">
      <c r="A392" s="31" t="str">
        <f>IFERROR(__xludf.DUMMYFUNCTION("""COMPUTED_VALUE"""),"おりもの異常で性病検査をする場合、費用はいくらですか？")</f>
        <v>おりもの異常で性病検査をする場合、費用はいくらですか？</v>
      </c>
      <c r="B392" s="31" t="str">
        <f>IFERROR(__xludf.DUMMYFUNCTION("""COMPUTED_VALUE"""),"おりもの異常に関連する性病検査は、約1,500円（税込）が目安です。検査内容により費用は前後します。
※上記はあくまで目安の料金です。別途、初診料・再診料がかかります。
※診察内容や検査項目によって料金は変動いたします。正確な料金はチャットやお電話ではお答えできかねますので、ご了承ください。
")</f>
        <v>おりもの異常に関連する性病検査は、約1,500円（税込）が目安です。検査内容により費用は前後します。
※上記はあくまで目安の料金です。別途、初診料・再診料がかかります。
※診察内容や検査項目によって料金は変動いたします。正確な料金はチャットやお電話ではお答えできかねますので、ご了承ください。
</v>
      </c>
      <c r="C392" s="31" t="str">
        <f>IFERROR(__xludf.DUMMYFUNCTION("""COMPUTED_VALUE"""),"料金・保険")</f>
        <v>料金・保険</v>
      </c>
      <c r="D392" s="31" t="str">
        <f>IFERROR(__xludf.DUMMYFUNCTION("""COMPUTED_VALUE"""),"おりもの異常,性病検査,STD検査")</f>
        <v>おりもの異常,性病検査,STD検査</v>
      </c>
      <c r="E392" s="32" t="str">
        <f>IFERROR(__xludf.DUMMYFUNCTION("""COMPUTED_VALUE"""),"https://luna-dr.com/subjects/abnormal-vaginal-discharge/")</f>
        <v>https://luna-dr.com/subjects/abnormal-vaginal-discharge/</v>
      </c>
    </row>
    <row r="393">
      <c r="A393" s="31" t="str">
        <f>IFERROR(__xludf.DUMMYFUNCTION("""COMPUTED_VALUE"""),"おりもの検査は診察前に正確な料金を電話で教えてもらえますか？")</f>
        <v>おりもの検査は診察前に正確な料金を電話で教えてもらえますか？</v>
      </c>
      <c r="B393" s="31" t="str">
        <f>IFERROR(__xludf.DUMMYFUNCTION("""COMPUTED_VALUE"""),"診察内容や検査項目によって料金が変動するため、正確な料金はチャットやお電話ではお答えできません。ご了承ください。")</f>
        <v>診察内容や検査項目によって料金が変動するため、正確な料金はチャットやお電話ではお答えできません。ご了承ください。</v>
      </c>
      <c r="C393" s="31" t="str">
        <f>IFERROR(__xludf.DUMMYFUNCTION("""COMPUTED_VALUE"""),"料金・保険")</f>
        <v>料金・保険</v>
      </c>
      <c r="D393" s="31" t="str">
        <f>IFERROR(__xludf.DUMMYFUNCTION("""COMPUTED_VALUE"""),"おりもの異常,料金,問い合わせ")</f>
        <v>おりもの異常,料金,問い合わせ</v>
      </c>
      <c r="E393" s="32" t="str">
        <f>IFERROR(__xludf.DUMMYFUNCTION("""COMPUTED_VALUE"""),"https://luna-dr.com/subjects/abnormal-vaginal-discharge/")</f>
        <v>https://luna-dr.com/subjects/abnormal-vaginal-discharge/</v>
      </c>
    </row>
    <row r="394">
      <c r="A394" s="31" t="str">
        <f>IFERROR(__xludf.DUMMYFUNCTION("""COMPUTED_VALUE"""),"FemCHECKは何回使えますか？")</f>
        <v>FemCHECKは何回使えますか？</v>
      </c>
      <c r="B394" s="31" t="str">
        <f>IFERROR(__xludf.DUMMYFUNCTION("""COMPUTED_VALUE"""),"FemCHECKは1回の検査ごとに購入して使用します。")</f>
        <v>FemCHECKは1回の検査ごとに購入して使用します。</v>
      </c>
      <c r="C394" s="31" t="str">
        <f>IFERROR(__xludf.DUMMYFUNCTION("""COMPUTED_VALUE"""),"おりもの検査")</f>
        <v>おりもの検査</v>
      </c>
      <c r="D394" s="31" t="str">
        <f>IFERROR(__xludf.DUMMYFUNCTION("""COMPUTED_VALUE"""),"FemCHECK,郵送検査,回数")</f>
        <v>FemCHECK,郵送検査,回数</v>
      </c>
      <c r="E394" s="32" t="str">
        <f>IFERROR(__xludf.DUMMYFUNCTION("""COMPUTED_VALUE"""),"https://luna-dr.com/subjects/abnormal-vaginal-discharge/")</f>
        <v>https://luna-dr.com/subjects/abnormal-vaginal-discharge/</v>
      </c>
    </row>
    <row r="395">
      <c r="A395" s="31" t="str">
        <f>IFERROR(__xludf.DUMMYFUNCTION("""COMPUTED_VALUE"""),"おりもの治療が終わった後はどうしますか？")</f>
        <v>おりもの治療が終わった後はどうしますか？</v>
      </c>
      <c r="B395" s="31" t="str">
        <f>IFERROR(__xludf.DUMMYFUNCTION("""COMPUTED_VALUE"""),"症状が改善しない場合や再発時は再度受診が必要です。")</f>
        <v>症状が改善しない場合や再発時は再度受診が必要です。</v>
      </c>
      <c r="C395" s="31" t="str">
        <f>IFERROR(__xludf.DUMMYFUNCTION("""COMPUTED_VALUE"""),"おりもの検査")</f>
        <v>おりもの検査</v>
      </c>
      <c r="D395" s="31" t="str">
        <f>IFERROR(__xludf.DUMMYFUNCTION("""COMPUTED_VALUE"""),"おりもの異常,再診")</f>
        <v>おりもの異常,再診</v>
      </c>
      <c r="E395" s="32" t="str">
        <f>IFERROR(__xludf.DUMMYFUNCTION("""COMPUTED_VALUE"""),"https://luna-dr.com/subjects/abnormal-vaginal-discharge/")</f>
        <v>https://luna-dr.com/subjects/abnormal-vaginal-discharge/</v>
      </c>
    </row>
    <row r="396">
      <c r="A396" s="31" t="str">
        <f>IFERROR(__xludf.DUMMYFUNCTION("""COMPUTED_VALUE"""),"おりもの異常の予約はどうすればいいですか？")</f>
        <v>おりもの異常の予約はどうすればいいですか？</v>
      </c>
      <c r="B396" s="31" t="str">
        <f>IFERROR(__xludf.DUMMYFUNCTION("""COMPUTED_VALUE"""),"おりもの異常のご相談は公式LINEからご予約いただけます。「一般婦人科診療」のメニューでご予約ください。事前にWEB問診票に症状のご入力をお願いいたします。→https://cline-app.com/qr-codes/98ad6f149bfa20f4f2a9a2e91aac4187/preview
「病院に行くのは少し勇気がいる」「忙しくてすぐには行けない」という方には、ご自宅で簡単に性感染症の検査ができる自己採取キット「FemCHECK（フェムチェック）」という方法もございます。詳細はこちら→htt"&amp;"ps://luna-dr.com/femcheck/?utm_source=lunamedia&amp;utm_medium=banner&amp;utm_campaign=femcheck_article_hpseo")</f>
        <v>おりもの異常のご相談は公式LINEからご予約いただけます。「一般婦人科診療」のメニューでご予約ください。事前にWEB問診票に症状のご入力をお願いいたします。→https://cline-app.com/qr-codes/98ad6f149bfa20f4f2a9a2e91aac4187/preview
「病院に行くのは少し勇気がいる」「忙しくてすぐには行けない」という方には、ご自宅で簡単に性感染症の検査ができる自己採取キット「FemCHECK（フェムチェック）」という方法もございます。詳細はこちら→https://luna-dr.com/femcheck/?utm_source=lunamedia&amp;utm_medium=banner&amp;utm_campaign=femcheck_article_hpseo</v>
      </c>
      <c r="C396" s="31" t="str">
        <f>IFERROR(__xludf.DUMMYFUNCTION("""COMPUTED_VALUE"""),"おりもの検査")</f>
        <v>おりもの検査</v>
      </c>
      <c r="D396" s="31" t="str">
        <f>IFERROR(__xludf.DUMMYFUNCTION("""COMPUTED_VALUE"""),"おりもの異常,予約,LINE予約")</f>
        <v>おりもの異常,予約,LINE予約</v>
      </c>
      <c r="E396" s="32" t="str">
        <f>IFERROR(__xludf.DUMMYFUNCTION("""COMPUTED_VALUE"""),"https://luna-dr.com/subjects/abnormal-vaginal-discharge/")</f>
        <v>https://luna-dr.com/subjects/abnormal-vaginal-discharge/</v>
      </c>
    </row>
    <row r="397">
      <c r="A397" s="31" t="str">
        <f>IFERROR(__xludf.DUMMYFUNCTION("""COMPUTED_VALUE"""),"アフターピルはLINEから予約できますか？")</f>
        <v>アフターピルはLINEから予約できますか？</v>
      </c>
      <c r="B397" s="31" t="str">
        <f>IFERROR(__xludf.DUMMYFUNCTION("""COMPUTED_VALUE"""),"ルナレディースクリニックでは、公式LINEからおりもの異常の検査の診察予約が可能です。24時間いつでもご自身のタイミングで予約できます。
予約の際は、こちらのLINEをご利用ください→https://cline-app.com/qr-codes/98ad6f149bfa20f4f2a9a2e91aac4187/preview")</f>
        <v>ルナレディースクリニックでは、公式LINEからおりもの異常の検査の診察予約が可能です。24時間いつでもご自身のタイミングで予約できます。
予約の際は、こちらのLINEをご利用ください→https://cline-app.com/qr-codes/98ad6f149bfa20f4f2a9a2e91aac4187/preview</v>
      </c>
      <c r="C397" s="31" t="str">
        <f>IFERROR(__xludf.DUMMYFUNCTION("""COMPUTED_VALUE"""),"アフターピル")</f>
        <v>アフターピル</v>
      </c>
      <c r="D397" s="31" t="str">
        <f>IFERROR(__xludf.DUMMYFUNCTION("""COMPUTED_VALUE"""),"LINE予約,婦人科予約,アフターピル")</f>
        <v>LINE予約,婦人科予約,アフターピル</v>
      </c>
      <c r="E397" s="32" t="str">
        <f>IFERROR(__xludf.DUMMYFUNCTION("""COMPUTED_VALUE"""),"https://luna-dr.com/subjects/abnormal-vaginal-discharge/")</f>
        <v>https://luna-dr.com/subjects/abnormal-vaginal-discharge/</v>
      </c>
    </row>
    <row r="398">
      <c r="A398" s="31" t="str">
        <f>IFERROR(__xludf.DUMMYFUNCTION("""COMPUTED_VALUE"""),"おりもの検査は電話で予約できますか？")</f>
        <v>おりもの検査は電話で予約できますか？</v>
      </c>
      <c r="B398" s="31" t="str">
        <f>IFERROR(__xludf.DUMMYFUNCTION("""COMPUTED_VALUE"""),"LINEでの予約後、事前問診等もLINEから行うことができ、スムーズに受診ができるため、当院ではLINEでのご予約を推奨しております。
おりもの検査の予約は「一般婦人科診療」のメニューでご予約ください。事前にWEB問診票に症状のご入力をお願いいたします。→https://cline-app.com/qr-codes/98ad6f149bfa20f4f2a9a2e91aac4187/preview
「病院に行くのは少し勇気がいる」「忙しくてすぐには行けない」という方には、ご自宅で簡単に性感染症の検査ができ"&amp;"る自己採取キット「FemCHECK（フェムチェック）」という方法もございます。詳細はこちら→https://luna-dr.com/femcheck/?utm_source=lunamedia&amp;utm_medium=banner&amp;utm_campaign=femcheck_article_hpseo")</f>
        <v>LINEでの予約後、事前問診等もLINEから行うことができ、スムーズに受診ができるため、当院ではLINEでのご予約を推奨しております。
おりもの検査の予約は「一般婦人科診療」のメニューでご予約ください。事前にWEB問診票に症状のご入力をお願いいたします。→https://cline-app.com/qr-codes/98ad6f149bfa20f4f2a9a2e91aac4187/preview
「病院に行くのは少し勇気がいる」「忙しくてすぐには行けない」という方には、ご自宅で簡単に性感染症の検査ができる自己採取キット「FemCHECK（フェムチェック）」という方法もございます。詳細はこちら→https://luna-dr.com/femcheck/?utm_source=lunamedia&amp;utm_medium=banner&amp;utm_campaign=femcheck_article_hpseo</v>
      </c>
      <c r="C398" s="31" t="str">
        <f>IFERROR(__xludf.DUMMYFUNCTION("""COMPUTED_VALUE"""),"おりもの検査")</f>
        <v>おりもの検査</v>
      </c>
      <c r="D398" s="31" t="str">
        <f>IFERROR(__xludf.DUMMYFUNCTION("""COMPUTED_VALUE"""),"おりもの異常,電話予約")</f>
        <v>おりもの異常,電話予約</v>
      </c>
      <c r="E398" s="32" t="str">
        <f>IFERROR(__xludf.DUMMYFUNCTION("""COMPUTED_VALUE"""),"https://luna-dr.com/subjects/abnormal-vaginal-discharge/")</f>
        <v>https://luna-dr.com/subjects/abnormal-vaginal-discharge/</v>
      </c>
    </row>
    <row r="399">
      <c r="A399" s="31" t="str">
        <f>IFERROR(__xludf.DUMMYFUNCTION("""COMPUTED_VALUE"""),"おりもの検査はWEB問診は必要ですか？")</f>
        <v>おりもの検査はWEB問診は必要ですか？</v>
      </c>
      <c r="B399" s="31" t="str">
        <f>IFERROR(__xludf.DUMMYFUNCTION("""COMPUTED_VALUE"""),"来院治療の場合、WEB問診に事前にご協力いただくことで、受付でデリケートな内容を話す必要がなく、プライバシーを守りながら診察までスムーズに進めます。")</f>
        <v>来院治療の場合、WEB問診に事前にご協力いただくことで、受付でデリケートな内容を話す必要がなく、プライバシーを守りながら診察までスムーズに進めます。</v>
      </c>
      <c r="C399" s="31" t="str">
        <f>IFERROR(__xludf.DUMMYFUNCTION("""COMPUTED_VALUE"""),"おりもの検査")</f>
        <v>おりもの検査</v>
      </c>
      <c r="D399" s="31" t="str">
        <f>IFERROR(__xludf.DUMMYFUNCTION("""COMPUTED_VALUE"""),"おりもの異常,WEB問診")</f>
        <v>おりもの異常,WEB問診</v>
      </c>
      <c r="E399" s="32" t="str">
        <f>IFERROR(__xludf.DUMMYFUNCTION("""COMPUTED_VALUE"""),"https://luna-dr.com/subjects/abnormal-vaginal-discharge/")</f>
        <v>https://luna-dr.com/subjects/abnormal-vaginal-discharge/</v>
      </c>
    </row>
    <row r="400">
      <c r="A400" s="31" t="str">
        <f>IFERROR(__xludf.DUMMYFUNCTION("""COMPUTED_VALUE"""),"おりもの検査は予約なしでも相談できますか？")</f>
        <v>おりもの検査は予約なしでも相談できますか？</v>
      </c>
      <c r="B400" s="31" t="str">
        <f>IFERROR(__xludf.DUMMYFUNCTION("""COMPUTED_VALUE"""),"来院治療の場合、予約外来院も可能です。スムーズなご案内のため、事前予約をおすすめしています。")</f>
        <v>来院治療の場合、予約外来院も可能です。スムーズなご案内のため、事前予約をおすすめしています。</v>
      </c>
      <c r="C400" s="31" t="str">
        <f>IFERROR(__xludf.DUMMYFUNCTION("""COMPUTED_VALUE"""),"おりもの検査")</f>
        <v>おりもの検査</v>
      </c>
      <c r="D400" s="31" t="str">
        <f>IFERROR(__xludf.DUMMYFUNCTION("""COMPUTED_VALUE"""),"予約なし,受診,アおりもの異常")</f>
        <v>予約なし,受診,アおりもの異常</v>
      </c>
      <c r="E400" s="32" t="str">
        <f>IFERROR(__xludf.DUMMYFUNCTION("""COMPUTED_VALUE"""),"https://luna-dr.com/subjects/abnormal-vaginal-discharge/")</f>
        <v>https://luna-dr.com/subjects/abnormal-vaginal-discharge/</v>
      </c>
    </row>
    <row r="401">
      <c r="A401" s="31" t="str">
        <f>IFERROR(__xludf.DUMMYFUNCTION("""COMPUTED_VALUE"""),"おりもの異常の検査の予約前に準備しておくことはありますか？")</f>
        <v>おりもの異常の検査の予約前に準備しておくことはありますか？</v>
      </c>
      <c r="B401" s="31" t="str">
        <f>IFERROR(__xludf.DUMMYFUNCTION("""COMPUTED_VALUE"""),"ルナレディースクリニックでは、おりもの異常の検査の診察前にWEB問診の入力をお願いしています。最終月経日や性行為の日時などを事前に入力することで、診察がスムーズになります。みます。")</f>
        <v>ルナレディースクリニックでは、おりもの異常の検査の診察前にWEB問診の入力をお願いしています。最終月経日や性行為の日時などを事前に入力することで、診察がスムーズになります。みます。</v>
      </c>
      <c r="C401" s="31" t="str">
        <f>IFERROR(__xludf.DUMMYFUNCTION("""COMPUTED_VALUE"""),"おりもの異常の検査")</f>
        <v>おりもの異常の検査</v>
      </c>
      <c r="D401" s="31" t="str">
        <f>IFERROR(__xludf.DUMMYFUNCTION("""COMPUTED_VALUE"""),"WEB問診,事前準備,おりもの異常の検査")</f>
        <v>WEB問診,事前準備,おりもの異常の検査</v>
      </c>
      <c r="E401" s="32" t="str">
        <f>IFERROR(__xludf.DUMMYFUNCTION("""COMPUTED_VALUE"""),"https://luna-dr.com/subjects/abnormal-vaginal-discharge/")</f>
        <v>https://luna-dr.com/subjects/abnormal-vaginal-discharge/</v>
      </c>
    </row>
    <row r="402">
      <c r="A402" s="31" t="str">
        <f>IFERROR(__xludf.DUMMYFUNCTION("""COMPUTED_VALUE"""),"おりもの異常の検査は初診でも予約できますか？")</f>
        <v>おりもの異常の検査は初診でも予約できますか？</v>
      </c>
      <c r="B402" s="31" t="str">
        <f>IFERROR(__xludf.DUMMYFUNCTION("""COMPUTED_VALUE"""),"おりもの異常の検査は初診の方もご予約いただけます。ご予約は公式LINEから受け付けておりますので、友だち追加の上ご利用ください。
おりもの検査の予約は「一般婦人科診療」のメニューでご予約ください。事前にWEB問診票に症状のご入力をお願いいたします。→https://cline-app.com/qr-codes/98ad6f149bfa20f4f2a9a2e91aac4187/preview
「病院に行くのは少し勇気がいる」「忙しくてすぐには行けない」という方には、ご自宅で簡単に性感染症の検査ができる自"&amp;"己採取キット「FemCHECK（フェムチェック）」という方法もございます。詳細はこちら→https://luna-dr.com/femcheck/?utm_source=lunamedia&amp;utm_medium=banner&amp;utm_campaign=femcheck_article_hpseo")</f>
        <v>おりもの異常の検査は初診の方もご予約いただけます。ご予約は公式LINEから受け付けておりますので、友だち追加の上ご利用ください。
おりもの検査の予約は「一般婦人科診療」のメニューでご予約ください。事前にWEB問診票に症状のご入力をお願いいたします。→https://cline-app.com/qr-codes/98ad6f149bfa20f4f2a9a2e91aac4187/preview
「病院に行くのは少し勇気がいる」「忙しくてすぐには行けない」という方には、ご自宅で簡単に性感染症の検査ができる自己採取キット「FemCHECK（フェムチェック）」という方法もございます。詳細はこちら→https://luna-dr.com/femcheck/?utm_source=lunamedia&amp;utm_medium=banner&amp;utm_campaign=femcheck_article_hpseo</v>
      </c>
      <c r="C402" s="31" t="str">
        <f>IFERROR(__xludf.DUMMYFUNCTION("""COMPUTED_VALUE"""),"おりもの異常の検査")</f>
        <v>おりもの異常の検査</v>
      </c>
      <c r="D402" s="31" t="str">
        <f>IFERROR(__xludf.DUMMYFUNCTION("""COMPUTED_VALUE"""),"初診,予約,おりもの異常の検査")</f>
        <v>初診,予約,おりもの異常の検査</v>
      </c>
      <c r="E402" s="32" t="str">
        <f>IFERROR(__xludf.DUMMYFUNCTION("""COMPUTED_VALUE"""),"https://luna-dr.com/subjects/abnormal-vaginal-discharge/")</f>
        <v>https://luna-dr.com/subjects/abnormal-vaginal-discharge/</v>
      </c>
    </row>
    <row r="403">
      <c r="A403" s="31" t="str">
        <f>IFERROR(__xludf.DUMMYFUNCTION("""COMPUTED_VALUE"""),"おりもの異常の検査は来院とオンライン、どちらで予約できますか？")</f>
        <v>おりもの異常の検査は来院とオンライン、どちらで予約できますか？</v>
      </c>
      <c r="B403" s="31" t="str">
        <f>IFERROR(__xludf.DUMMYFUNCTION("""COMPUTED_VALUE"""),"おりもの異常の検査のご相談は来院診療とオンライン診療のどちらでも予約が可能です。ご自身のライフスタイルに合わせて選べます。
おりもの検査の予約は「一般婦人科診療」のメニューでご予約ください。事前にWEB問診票に症状のご入力をお願いいたします。→https://cline-app.com/qr-codes/98ad6f149bfa20f4f2a9a2e91aac4187/preview
「病院に行くのは少し勇気がいる」「忙しくてすぐには行けない」という方には、ご自宅で簡単に性感染症の検査ができる自己採取"&amp;"キット「FemCHECK（フェムチェック）」という方法もございます。詳細はこちら→https://luna-dr.com/femcheck/?utm_source=lunamedia&amp;utm_medium=banner&amp;utm_campaign=femcheck_article_hpseo")</f>
        <v>おりもの異常の検査のご相談は来院診療とオンライン診療のどちらでも予約が可能です。ご自身のライフスタイルに合わせて選べます。
おりもの検査の予約は「一般婦人科診療」のメニューでご予約ください。事前にWEB問診票に症状のご入力をお願いいたします。→https://cline-app.com/qr-codes/98ad6f149bfa20f4f2a9a2e91aac4187/preview
「病院に行くのは少し勇気がいる」「忙しくてすぐには行けない」という方には、ご自宅で簡単に性感染症の検査ができる自己採取キット「FemCHECK（フェムチェック）」という方法もございます。詳細はこちら→https://luna-dr.com/femcheck/?utm_source=lunamedia&amp;utm_medium=banner&amp;utm_campaign=femcheck_article_hpseo</v>
      </c>
      <c r="C403" s="31" t="str">
        <f>IFERROR(__xludf.DUMMYFUNCTION("""COMPUTED_VALUE"""),"おりもの異常の検査")</f>
        <v>おりもの異常の検査</v>
      </c>
      <c r="D403" s="31" t="str">
        <f>IFERROR(__xludf.DUMMYFUNCTION("""COMPUTED_VALUE"""),"来院診療,オンライン診療,おりもの異常の検査")</f>
        <v>来院診療,オンライン診療,おりもの異常の検査</v>
      </c>
      <c r="E403" s="32" t="str">
        <f>IFERROR(__xludf.DUMMYFUNCTION("""COMPUTED_VALUE"""),"https://luna-dr.com/subjects/abnormal-vaginal-discharge/")</f>
        <v>https://luna-dr.com/subjects/abnormal-vaginal-discharge/</v>
      </c>
    </row>
    <row r="404">
      <c r="A404" s="31" t="str">
        <f>IFERROR(__xludf.DUMMYFUNCTION("""COMPUTED_VALUE"""),"不正出血とは何ですか？")</f>
        <v>不正出血とは何ですか？</v>
      </c>
      <c r="B404" s="31" t="str">
        <f>IFERROR(__xludf.DUMMYFUNCTION("""COMPUTED_VALUE"""),"不正出血とは、生理期間以外に起こる出血や、おりものに血が混じる状態を指します。一時的なホルモンバランスの乱れによるものから、治療が必要な病気が原因の場合まで、さまざまな可能性があります。下腹部の痛みや出血がある場合、症状の内容によって受診可否やご案内が異なります。個別の確認が必要となるため、恐れ入りますがお電話にてご相談ください。お電話は 050-1730-2768 となります。")</f>
        <v>不正出血とは、生理期間以外に起こる出血や、おりものに血が混じる状態を指します。一時的なホルモンバランスの乱れによるものから、治療が必要な病気が原因の場合まで、さまざまな可能性があります。下腹部の痛みや出血がある場合、症状の内容によって受診可否やご案内が異なります。個別の確認が必要となるため、恐れ入りますがお電話にてご相談ください。お電話は 050-1730-2768 となります。</v>
      </c>
      <c r="C404" s="31" t="str">
        <f>IFERROR(__xludf.DUMMYFUNCTION("""COMPUTED_VALUE"""),"不正出血・概要")</f>
        <v>不正出血・概要</v>
      </c>
      <c r="D404" s="31" t="str">
        <f>IFERROR(__xludf.DUMMYFUNCTION("""COMPUTED_VALUE"""),"不正出血,生理以外の出血,おりもの血,婦人科")</f>
        <v>不正出血,生理以外の出血,おりもの血,婦人科</v>
      </c>
      <c r="E404" s="32" t="str">
        <f>IFERROR(__xludf.DUMMYFUNCTION("""COMPUTED_VALUE"""),"https://luna-dr.com/subjects/irregular-genital-bleeding/")</f>
        <v>https://luna-dr.com/subjects/irregular-genital-bleeding/</v>
      </c>
    </row>
    <row r="405">
      <c r="A405" s="31" t="str">
        <f>IFERROR(__xludf.DUMMYFUNCTION("""COMPUTED_VALUE"""),"不正出血はどんな悩みのときに起こりますか？")</f>
        <v>不正出血はどんな悩みのときに起こりますか？</v>
      </c>
      <c r="B405" s="31" t="str">
        <f>IFERROR(__xludf.DUMMYFUNCTION("""COMPUTED_VALUE"""),"「生理でもないのに出血がある」「おりものに血が混じる」といった症状が見られる場合に、不正出血が疑われます。ルナレディースクリニックでは、出血の原因を的確に診断し、最適な治療をご提案します。")</f>
        <v>「生理でもないのに出血がある」「おりものに血が混じる」といった症状が見られる場合に、不正出血が疑われます。ルナレディースクリニックでは、出血の原因を的確に診断し、最適な治療をご提案します。</v>
      </c>
      <c r="C405" s="31" t="str">
        <f>IFERROR(__xludf.DUMMYFUNCTION("""COMPUTED_VALUE"""),"不正出血・概要")</f>
        <v>不正出血・概要</v>
      </c>
      <c r="D405" s="31" t="str">
        <f>IFERROR(__xludf.DUMMYFUNCTION("""COMPUTED_VALUE"""),"不正出血,生理じゃない出血,おりもの血")</f>
        <v>不正出血,生理じゃない出血,おりもの血</v>
      </c>
      <c r="E405" s="32" t="str">
        <f>IFERROR(__xludf.DUMMYFUNCTION("""COMPUTED_VALUE"""),"https://luna-dr.com/subjects/irregular-genital-bleeding/")</f>
        <v>https://luna-dr.com/subjects/irregular-genital-bleeding/</v>
      </c>
    </row>
    <row r="406">
      <c r="A406" s="31" t="str">
        <f>IFERROR(__xludf.DUMMYFUNCTION("""COMPUTED_VALUE"""),"不正出血の原因にはどんなものがありますか？")</f>
        <v>不正出血の原因にはどんなものがありますか？</v>
      </c>
      <c r="B406" s="31" t="str">
        <f>IFERROR(__xludf.DUMMYFUNCTION("""COMPUTED_VALUE"""),"不正出血は、ホルモンバランスの乱れによる一時的なものから、治療が必要な病気が原因の場合まで、さまざまな原因が考えられます。ルナレディースクリニックでは、出血の原因を的確に診断し、最適な治療をご提案します。
")</f>
        <v>不正出血は、ホルモンバランスの乱れによる一時的なものから、治療が必要な病気が原因の場合まで、さまざまな原因が考えられます。ルナレディースクリニックでは、出血の原因を的確に診断し、最適な治療をご提案します。
</v>
      </c>
      <c r="C406" s="31" t="str">
        <f>IFERROR(__xludf.DUMMYFUNCTION("""COMPUTED_VALUE"""),"不正出血・原因")</f>
        <v>不正出血・原因</v>
      </c>
      <c r="D406" s="31" t="str">
        <f>IFERROR(__xludf.DUMMYFUNCTION("""COMPUTED_VALUE"""),"不正出血,原因,ホルモンバランス")</f>
        <v>不正出血,原因,ホルモンバランス</v>
      </c>
      <c r="E406" s="32" t="str">
        <f>IFERROR(__xludf.DUMMYFUNCTION("""COMPUTED_VALUE"""),"https://luna-dr.com/subjects/irregular-genital-bleeding/")</f>
        <v>https://luna-dr.com/subjects/irregular-genital-bleeding/</v>
      </c>
    </row>
    <row r="407">
      <c r="A407" s="31" t="str">
        <f>IFERROR(__xludf.DUMMYFUNCTION("""COMPUTED_VALUE"""),"不正出血は重大な病気のサインのこともありますか？")</f>
        <v>不正出血は重大な病気のサインのこともありますか？</v>
      </c>
      <c r="B407" s="31" t="str">
        <f>IFERROR(__xludf.DUMMYFUNCTION("""COMPUTED_VALUE"""),"あります。不正出血は、子宮頸がんや子宮体がんといった重大な病気の、唯一の初期症状であるケースも少なくありません。ルナレディースクリニックでは、出血の原因を的確に診断し、最適な治療をご提案します。")</f>
        <v>あります。不正出血は、子宮頸がんや子宮体がんといった重大な病気の、唯一の初期症状であるケースも少なくありません。ルナレディースクリニックでは、出血の原因を的確に診断し、最適な治療をご提案します。</v>
      </c>
      <c r="C407" s="31" t="str">
        <f>IFERROR(__xludf.DUMMYFUNCTION("""COMPUTED_VALUE"""),"不正出血・リスク")</f>
        <v>不正出血・リスク</v>
      </c>
      <c r="D407" s="31" t="str">
        <f>IFERROR(__xludf.DUMMYFUNCTION("""COMPUTED_VALUE"""),"不正出血,子宮頸がん,子宮体がん,初期症状")</f>
        <v>不正出血,子宮頸がん,子宮体がん,初期症状</v>
      </c>
      <c r="E407" s="32" t="str">
        <f>IFERROR(__xludf.DUMMYFUNCTION("""COMPUTED_VALUE"""),"https://luna-dr.com/subjects/irregular-genital-bleeding/")</f>
        <v>https://luna-dr.com/subjects/irregular-genital-bleeding/</v>
      </c>
    </row>
    <row r="408">
      <c r="A408" s="31" t="str">
        <f>IFERROR(__xludf.DUMMYFUNCTION("""COMPUTED_VALUE"""),"不正出血は放置しても大丈夫ですか？")</f>
        <v>不正出血は放置しても大丈夫ですか？</v>
      </c>
      <c r="B408" s="31" t="str">
        <f>IFERROR(__xludf.DUMMYFUNCTION("""COMPUTED_VALUE"""),"不正出血は、自己判断で「大丈夫だろう」と放置せず、必ず専門医に相談することが大切です。早期に原因を確認することが、体を守るために重要です。ルナレディースクリニックでは、出血の原因を的確に診断し、最適な治療をご提案します。")</f>
        <v>不正出血は、自己判断で「大丈夫だろう」と放置せず、必ず専門医に相談することが大切です。早期に原因を確認することが、体を守るために重要です。ルナレディースクリニックでは、出血の原因を的確に診断し、最適な治療をご提案します。</v>
      </c>
      <c r="C408" s="31" t="str">
        <f>IFERROR(__xludf.DUMMYFUNCTION("""COMPUTED_VALUE"""),"不正出血・注意点")</f>
        <v>不正出血・注意点</v>
      </c>
      <c r="D408" s="31" t="str">
        <f>IFERROR(__xludf.DUMMYFUNCTION("""COMPUTED_VALUE"""),"不正出血,放置,婦人科受診")</f>
        <v>不正出血,放置,婦人科受診</v>
      </c>
      <c r="E408" s="32" t="str">
        <f>IFERROR(__xludf.DUMMYFUNCTION("""COMPUTED_VALUE"""),"https://luna-dr.com/subjects/irregular-genital-bleeding/")</f>
        <v>https://luna-dr.com/subjects/irregular-genital-bleeding/</v>
      </c>
    </row>
    <row r="409">
      <c r="A409" s="31" t="str">
        <f>IFERROR(__xludf.DUMMYFUNCTION("""COMPUTED_VALUE"""),"不正出血で、すぐに受診したほうがいいのはどんな場合ですか？/血が出ているのですが大丈夫ですか？/出血しているのですが受診できますか？/血が出ていても行っていいですか？")</f>
        <v>不正出血で、すぐに受診したほうがいいのはどんな場合ですか？/血が出ているのですが大丈夫ですか？/出血しているのですが受診できますか？/血が出ていても行っていいですか？</v>
      </c>
      <c r="B409" s="31" t="str">
        <f>IFERROR(__xludf.DUMMYFUNCTION("""COMPUTED_VALUE"""),"生理期間以外に出血が続く場合、性交渉の後に必ず出血する場合、閉経後の出血、血の塊が出る、出血量が増えている、鮮血が出る、下腹部痛や発熱を伴う場合は、放置せずにご相談ください。ルナレディースクリニックでは、出血の原因を的確に診断し、最適な治療をご提案します。ご予約は公式LINEで受け付けています。「一般婦人科診療」のメニューでご予約ください。事前にWEB問診票に症状のご入力をお願いいたします。→https://cline-app.com/qr-codes/98ad6f149bfa20f4f2a9a2e91a"&amp;"ac4187/preview
")</f>
        <v>生理期間以外に出血が続く場合、性交渉の後に必ず出血する場合、閉経後の出血、血の塊が出る、出血量が増えている、鮮血が出る、下腹部痛や発熱を伴う場合は、放置せずにご相談ください。ルナレディースクリニックでは、出血の原因を的確に診断し、最適な治療をご提案します。ご予約は公式LINEで受け付けています。「一般婦人科診療」のメニューでご予約ください。事前にWEB問診票に症状のご入力をお願いいたします。→https://cline-app.com/qr-codes/98ad6f149bfa20f4f2a9a2e91aac4187/preview
</v>
      </c>
      <c r="C409" s="31" t="str">
        <f>IFERROR(__xludf.DUMMYFUNCTION("""COMPUTED_VALUE"""),"不正出血・受診目安")</f>
        <v>不正出血・受診目安</v>
      </c>
      <c r="D409" s="31" t="str">
        <f>IFERROR(__xludf.DUMMYFUNCTION("""COMPUTED_VALUE"""),"不正出血,受診目安,鮮血,血の塊")</f>
        <v>不正出血,受診目安,鮮血,血の塊</v>
      </c>
      <c r="E409" s="32" t="str">
        <f>IFERROR(__xludf.DUMMYFUNCTION("""COMPUTED_VALUE"""),"https://luna-dr.com/subjects/irregular-genital-bleeding/")</f>
        <v>https://luna-dr.com/subjects/irregular-genital-bleeding/</v>
      </c>
    </row>
    <row r="410">
      <c r="A410" s="31" t="str">
        <f>IFERROR(__xludf.DUMMYFUNCTION("""COMPUTED_VALUE"""),"性交後に出血がある場合も受診が必要ですか？/性交後に出血があった")</f>
        <v>性交後に出血がある場合も受診が必要ですか？/性交後に出血があった</v>
      </c>
      <c r="B410" s="31" t="str">
        <f>IFERROR(__xludf.DUMMYFUNCTION("""COMPUTED_VALUE"""),"性交渉の後に必ず出血がある場合は、不正出血の可能性があるため、放置せずに専門医へ相談してください。下腹部の痛みや出血がある場合、症状の内容によって受診可否やご案内が異なります。個別の確認が必要となるため、恐れ入りますがお電話にてご相談ください。お電話は 050-1730-2768 となります。")</f>
        <v>性交渉の後に必ず出血がある場合は、不正出血の可能性があるため、放置せずに専門医へ相談してください。下腹部の痛みや出血がある場合、症状の内容によって受診可否やご案内が異なります。個別の確認が必要となるため、恐れ入りますがお電話にてご相談ください。お電話は 050-1730-2768 となります。</v>
      </c>
      <c r="C410" s="31" t="str">
        <f>IFERROR(__xludf.DUMMYFUNCTION("""COMPUTED_VALUE"""),"不正出血・受診目安")</f>
        <v>不正出血・受診目安</v>
      </c>
      <c r="D410" s="31" t="str">
        <f>IFERROR(__xludf.DUMMYFUNCTION("""COMPUTED_VALUE"""),"不正出血,性交後出血,婦人科")</f>
        <v>不正出血,性交後出血,婦人科</v>
      </c>
      <c r="E410" s="32" t="str">
        <f>IFERROR(__xludf.DUMMYFUNCTION("""COMPUTED_VALUE"""),"https://luna-dr.com/subjects/irregular-genital-bleeding/")</f>
        <v>https://luna-dr.com/subjects/irregular-genital-bleeding/</v>
      </c>
    </row>
    <row r="411">
      <c r="A411" s="31" t="str">
        <f>IFERROR(__xludf.DUMMYFUNCTION("""COMPUTED_VALUE"""),"閉経後の出血は問題ありますか？")</f>
        <v>閉経後の出血は問題ありますか？</v>
      </c>
      <c r="B411" s="31" t="str">
        <f>IFERROR(__xludf.DUMMYFUNCTION("""COMPUTED_VALUE"""),"閉経したはずなのに出血があった場合は、不正出血にあたり、重大な病気が隠れている可能性もあるため、必ず受診してください。ルナレディースクリニックでは、出血の原因を的確に診断し、最適な治療をご提案します。")</f>
        <v>閉経したはずなのに出血があった場合は、不正出血にあたり、重大な病気が隠れている可能性もあるため、必ず受診してください。ルナレディースクリニックでは、出血の原因を的確に診断し、最適な治療をご提案します。</v>
      </c>
      <c r="C411" s="31" t="str">
        <f>IFERROR(__xludf.DUMMYFUNCTION("""COMPUTED_VALUE"""),"不正出血・受診目安")</f>
        <v>不正出血・受診目安</v>
      </c>
      <c r="D411" s="31" t="str">
        <f>IFERROR(__xludf.DUMMYFUNCTION("""COMPUTED_VALUE"""),"不正出血,閉経後出血,婦人科")</f>
        <v>不正出血,閉経後出血,婦人科</v>
      </c>
      <c r="E411" s="32" t="str">
        <f>IFERROR(__xludf.DUMMYFUNCTION("""COMPUTED_VALUE"""),"https://luna-dr.com/subjects/irregular-genital-bleeding/")</f>
        <v>https://luna-dr.com/subjects/irregular-genital-bleeding/</v>
      </c>
    </row>
    <row r="412">
      <c r="A412" s="31" t="str">
        <f>IFERROR(__xludf.DUMMYFUNCTION("""COMPUTED_VALUE"""),"不正出血の診察では何をしてもらえますか？")</f>
        <v>不正出血の診察では何をしてもらえますか？</v>
      </c>
      <c r="B412" s="31" t="str">
        <f>IFERROR(__xludf.DUMMYFUNCTION("""COMPUTED_VALUE"""),"ルナレディースクリニックでは、不正出血の原因を的確に診断し、症状や原因に応じた最適な治療をご提案します。")</f>
        <v>ルナレディースクリニックでは、不正出血の原因を的確に診断し、症状や原因に応じた最適な治療をご提案します。</v>
      </c>
      <c r="C412" s="31" t="str">
        <f>IFERROR(__xludf.DUMMYFUNCTION("""COMPUTED_VALUE"""),"不正出血・診療内容")</f>
        <v>不正出血・診療内容</v>
      </c>
      <c r="D412" s="31" t="str">
        <f>IFERROR(__xludf.DUMMYFUNCTION("""COMPUTED_VALUE"""),"不正出血,診察,治療,婦人科")</f>
        <v>不正出血,診察,治療,婦人科</v>
      </c>
      <c r="E412" s="32" t="str">
        <f>IFERROR(__xludf.DUMMYFUNCTION("""COMPUTED_VALUE"""),"https://luna-dr.com/subjects/irregular-genital-bleeding/")</f>
        <v>https://luna-dr.com/subjects/irregular-genital-bleeding/</v>
      </c>
    </row>
    <row r="413">
      <c r="A413" s="31" t="str">
        <f>IFERROR(__xludf.DUMMYFUNCTION("""COMPUTED_VALUE"""),"不正出血の診察や検査は保険適用ですか？")</f>
        <v>不正出血の診察や検査は保険適用ですか？</v>
      </c>
      <c r="B413" s="31" t="str">
        <f>IFERROR(__xludf.DUMMYFUNCTION("""COMPUTED_VALUE"""),"当院では、不正出血の診察・検査について保険診療を基本としております。症状や検査内容に応じて、健康保険が適用されます。")</f>
        <v>当院では、不正出血の診察・検査について保険診療を基本としております。症状や検査内容に応じて、健康保険が適用されます。</v>
      </c>
      <c r="C413" s="31" t="str">
        <f>IFERROR(__xludf.DUMMYFUNCTION("""COMPUTED_VALUE"""),"不正出血・費用保険")</f>
        <v>不正出血・費用保険</v>
      </c>
      <c r="D413" s="31" t="str">
        <f>IFERROR(__xludf.DUMMYFUNCTION("""COMPUTED_VALUE"""),"不正出血,保険適用,婦人科検査")</f>
        <v>不正出血,保険適用,婦人科検査</v>
      </c>
      <c r="E413" s="32" t="str">
        <f>IFERROR(__xludf.DUMMYFUNCTION("""COMPUTED_VALUE"""),"https://luna-dr.com/subjects/irregular-genital-bleeding/")</f>
        <v>https://luna-dr.com/subjects/irregular-genital-bleeding/</v>
      </c>
    </row>
    <row r="414">
      <c r="A414" s="31" t="str">
        <f>IFERROR(__xludf.DUMMYFUNCTION("""COMPUTED_VALUE"""),"不正出血の検査費用はいくらくらいですか？")</f>
        <v>不正出血の検査費用はいくらくらいですか？</v>
      </c>
      <c r="B414" s="31" t="str">
        <f>IFERROR(__xludf.DUMMYFUNCTION("""COMPUTED_VALUE"""),"不正出血の検査費用は、3割負担の場合、子宮の超音波検査が約1,600円、子宮頸がん検査が約1,100円、子宮体がん検査が約2,100円、性病検査が約1,500円が目安です。
※※料金表はあくまで目安(3割負担の場合)となります。別途初診料・再診料がかかります。")</f>
        <v>不正出血の検査費用は、3割負担の場合、子宮の超音波検査が約1,600円、子宮頸がん検査が約1,100円、子宮体がん検査が約2,100円、性病検査が約1,500円が目安です。
※※料金表はあくまで目安(3割負担の場合)となります。別途初診料・再診料がかかります。</v>
      </c>
      <c r="C414" s="31" t="str">
        <f>IFERROR(__xludf.DUMMYFUNCTION("""COMPUTED_VALUE"""),"不正出血・費用保険")</f>
        <v>不正出血・費用保険</v>
      </c>
      <c r="D414" s="31" t="str">
        <f>IFERROR(__xludf.DUMMYFUNCTION("""COMPUTED_VALUE"""),"不正出血,検査費用,超音波検査,がん検査")</f>
        <v>不正出血,検査費用,超音波検査,がん検査</v>
      </c>
      <c r="E414" s="32" t="str">
        <f>IFERROR(__xludf.DUMMYFUNCTION("""COMPUTED_VALUE"""),"https://luna-dr.com/subjects/irregular-genital-bleeding/")</f>
        <v>https://luna-dr.com/subjects/irregular-genital-bleeding/</v>
      </c>
    </row>
    <row r="415">
      <c r="A415" s="31" t="str">
        <f>IFERROR(__xludf.DUMMYFUNCTION("""COMPUTED_VALUE"""),"不正出血の検査費用には初診料や再診料も含まれますか？")</f>
        <v>不正出血の検査費用には初診料や再診料も含まれますか？</v>
      </c>
      <c r="B415" s="31" t="str">
        <f>IFERROR(__xludf.DUMMYFUNCTION("""COMPUTED_VALUE"""),"検査費用はあくまで目安であり、別途初診料・再診料がかかります。")</f>
        <v>検査費用はあくまで目安であり、別途初診料・再診料がかかります。</v>
      </c>
      <c r="C415" s="31" t="str">
        <f>IFERROR(__xludf.DUMMYFUNCTION("""COMPUTED_VALUE"""),"不正出血・費用保険")</f>
        <v>不正出血・費用保険</v>
      </c>
      <c r="D415" s="31" t="str">
        <f>IFERROR(__xludf.DUMMYFUNCTION("""COMPUTED_VALUE"""),"不正出血,初診料,再診料,費用")</f>
        <v>不正出血,初診料,再診料,費用</v>
      </c>
      <c r="E415" s="32" t="str">
        <f>IFERROR(__xludf.DUMMYFUNCTION("""COMPUTED_VALUE"""),"https://luna-dr.com/subjects/irregular-genital-bleeding/")</f>
        <v>https://luna-dr.com/subjects/irregular-genital-bleeding/</v>
      </c>
    </row>
    <row r="416">
      <c r="A416" s="31" t="str">
        <f>IFERROR(__xludf.DUMMYFUNCTION("""COMPUTED_VALUE"""),"不正出血で行う子宮の超音波検査とは何ですか？")</f>
        <v>不正出血で行う子宮の超音波検査とは何ですか？</v>
      </c>
      <c r="B416" s="31" t="str">
        <f>IFERROR(__xludf.DUMMYFUNCTION("""COMPUTED_VALUE"""),"子宮の超音波検査は、子宮や卵巣の状態を確認する検査で、不正出血の原因となる病気がないかを調べるために行います。費用の目安は約1,600円です。
※料金表はあくまで目安(3割負担の場合)となります。別途初診料・再診料がかかります。")</f>
        <v>子宮の超音波検査は、子宮や卵巣の状態を確認する検査で、不正出血の原因となる病気がないかを調べるために行います。費用の目安は約1,600円です。
※料金表はあくまで目安(3割負担の場合)となります。別途初診料・再診料がかかります。</v>
      </c>
      <c r="C416" s="31" t="str">
        <f>IFERROR(__xludf.DUMMYFUNCTION("""COMPUTED_VALUE"""),"不正出血・検査内容")</f>
        <v>不正出血・検査内容</v>
      </c>
      <c r="D416" s="31" t="str">
        <f>IFERROR(__xludf.DUMMYFUNCTION("""COMPUTED_VALUE"""),"不正出血,超音波検査,エコー検査")</f>
        <v>不正出血,超音波検査,エコー検査</v>
      </c>
      <c r="E416" s="32" t="str">
        <f>IFERROR(__xludf.DUMMYFUNCTION("""COMPUTED_VALUE"""),"https://luna-dr.com/subjects/irregular-genital-bleeding/")</f>
        <v>https://luna-dr.com/subjects/irregular-genital-bleeding/</v>
      </c>
    </row>
    <row r="417">
      <c r="A417" s="31" t="str">
        <f>IFERROR(__xludf.DUMMYFUNCTION("""COMPUTED_VALUE"""),"不正出血で子宮頸がん検査は行いますか？")</f>
        <v>不正出血で子宮頸がん検査は行いますか？</v>
      </c>
      <c r="B417" s="31" t="str">
        <f>IFERROR(__xludf.DUMMYFUNCTION("""COMPUTED_VALUE"""),"不正出血の原因を調べるために、必要に応じて子宮頸がん検査を行います。費用の目安は約1,100円です。
※料金表はあくまで目安(3割負担の場合)となります。別途初診料・再診料がかかります。")</f>
        <v>不正出血の原因を調べるために、必要に応じて子宮頸がん検査を行います。費用の目安は約1,100円です。
※料金表はあくまで目安(3割負担の場合)となります。別途初診料・再診料がかかります。</v>
      </c>
      <c r="C417" s="31" t="str">
        <f>IFERROR(__xludf.DUMMYFUNCTION("""COMPUTED_VALUE"""),"不正出血・検査内容")</f>
        <v>不正出血・検査内容</v>
      </c>
      <c r="D417" s="31" t="str">
        <f>IFERROR(__xludf.DUMMYFUNCTION("""COMPUTED_VALUE"""),"不正出血,子宮頸がん検査,婦人科")</f>
        <v>不正出血,子宮頸がん検査,婦人科</v>
      </c>
      <c r="E417" s="32" t="str">
        <f>IFERROR(__xludf.DUMMYFUNCTION("""COMPUTED_VALUE"""),"https://luna-dr.com/subjects/irregular-genital-bleeding/")</f>
        <v>https://luna-dr.com/subjects/irregular-genital-bleeding/</v>
      </c>
    </row>
    <row r="418">
      <c r="A418" s="31" t="str">
        <f>IFERROR(__xludf.DUMMYFUNCTION("""COMPUTED_VALUE"""),"不正出血で子宮体がん検査が必要になるのはどんな時ですか？")</f>
        <v>不正出血で子宮体がん検査が必要になるのはどんな時ですか？</v>
      </c>
      <c r="B418" s="31" t="str">
        <f>IFERROR(__xludf.DUMMYFUNCTION("""COMPUTED_VALUE"""),"閉経後の出血など、症状に応じて子宮体がん検査を行うことがあります。費用の目安は約2,100円です。
※料金表はあくまで目安(3割負担の場合)となります。別途初診料・再診料がかかります。")</f>
        <v>閉経後の出血など、症状に応じて子宮体がん検査を行うことがあります。費用の目安は約2,100円です。
※料金表はあくまで目安(3割負担の場合)となります。別途初診料・再診料がかかります。</v>
      </c>
      <c r="C418" s="31" t="str">
        <f>IFERROR(__xludf.DUMMYFUNCTION("""COMPUTED_VALUE"""),"不正出血・検査内容")</f>
        <v>不正出血・検査内容</v>
      </c>
      <c r="D418" s="31" t="str">
        <f>IFERROR(__xludf.DUMMYFUNCTION("""COMPUTED_VALUE"""),"不正出血,子宮体がん検査,閉経後出血")</f>
        <v>不正出血,子宮体がん検査,閉経後出血</v>
      </c>
      <c r="E418" s="32" t="str">
        <f>IFERROR(__xludf.DUMMYFUNCTION("""COMPUTED_VALUE"""),"https://luna-dr.com/subjects/irregular-genital-bleeding/")</f>
        <v>https://luna-dr.com/subjects/irregular-genital-bleeding/</v>
      </c>
    </row>
    <row r="419">
      <c r="A419" s="31" t="str">
        <f>IFERROR(__xludf.DUMMYFUNCTION("""COMPUTED_VALUE"""),"不正出血の原因にはどんなものがありますか？")</f>
        <v>不正出血の原因にはどんなものがありますか？</v>
      </c>
      <c r="B419" s="31" t="str">
        <f>IFERROR(__xludf.DUMMYFUNCTION("""COMPUTED_VALUE"""),"不正出血の原因は、ホルモンバランスの乱れ、子宮・卵巣・膣の病気、性感染症、妊娠に伴う出血など多岐にわたります。")</f>
        <v>不正出血の原因は、ホルモンバランスの乱れ、子宮・卵巣・膣の病気、性感染症、妊娠に伴う出血など多岐にわたります。</v>
      </c>
      <c r="C419" s="31" t="str">
        <f>IFERROR(__xludf.DUMMYFUNCTION("""COMPUTED_VALUE"""),"不正出血・原因")</f>
        <v>不正出血・原因</v>
      </c>
      <c r="D419" s="31" t="str">
        <f>IFERROR(__xludf.DUMMYFUNCTION("""COMPUTED_VALUE"""),"不正出血,原因,婦人科疾患")</f>
        <v>不正出血,原因,婦人科疾患</v>
      </c>
      <c r="E419" s="32" t="str">
        <f>IFERROR(__xludf.DUMMYFUNCTION("""COMPUTED_VALUE"""),"https://luna-dr.com/subjects/irregular-genital-bleeding/")</f>
        <v>https://luna-dr.com/subjects/irregular-genital-bleeding/</v>
      </c>
    </row>
    <row r="420">
      <c r="A420" s="31" t="str">
        <f>IFERROR(__xludf.DUMMYFUNCTION("""COMPUTED_VALUE"""),"ホルモンバランスの乱れでも不正出血は起こりますか？")</f>
        <v>ホルモンバランスの乱れでも不正出血は起こりますか？</v>
      </c>
      <c r="B420" s="31" t="str">
        <f>IFERROR(__xludf.DUMMYFUNCTION("""COMPUTED_VALUE"""),"ストレスや疲れ、環境の変化などによるホルモンバランスの乱れで排卵がうまくいかない場合、不正出血が起こることがあります。気になる症状がある場合は、早めにご相談ください。")</f>
        <v>ストレスや疲れ、環境の変化などによるホルモンバランスの乱れで排卵がうまくいかない場合、不正出血が起こることがあります。気になる症状がある場合は、早めにご相談ください。</v>
      </c>
      <c r="C420" s="31" t="str">
        <f>IFERROR(__xludf.DUMMYFUNCTION("""COMPUTED_VALUE"""),"不正出血・原因")</f>
        <v>不正出血・原因</v>
      </c>
      <c r="D420" s="31" t="str">
        <f>IFERROR(__xludf.DUMMYFUNCTION("""COMPUTED_VALUE"""),"不正出血,ホルモンバランス,ストレス")</f>
        <v>不正出血,ホルモンバランス,ストレス</v>
      </c>
      <c r="E420" s="32" t="str">
        <f>IFERROR(__xludf.DUMMYFUNCTION("""COMPUTED_VALUE"""),"https://luna-dr.com/subjects/irregular-genital-bleeding/")</f>
        <v>https://luna-dr.com/subjects/irregular-genital-bleeding/</v>
      </c>
    </row>
    <row r="421">
      <c r="A421" s="31" t="str">
        <f>IFERROR(__xludf.DUMMYFUNCTION("""COMPUTED_VALUE"""),"不正出血の原因として子宮や卵巣の病気は考えられますか？")</f>
        <v>不正出血の原因として子宮や卵巣の病気は考えられますか？</v>
      </c>
      <c r="B421" s="31" t="str">
        <f>IFERROR(__xludf.DUMMYFUNCTION("""COMPUTED_VALUE"""),"子宮頸管ポリープ、子宮内膜ポリープ、子宮筋腫、子宮腺筋症などが、不正出血の原因となることがあります。ルナレディースクリニックでは、出血の原因を的確に診断し、最適な治療をご提案します。気になる症状がある場合は、早めにご相談ください。")</f>
        <v>子宮頸管ポリープ、子宮内膜ポリープ、子宮筋腫、子宮腺筋症などが、不正出血の原因となることがあります。ルナレディースクリニックでは、出血の原因を的確に診断し、最適な治療をご提案します。気になる症状がある場合は、早めにご相談ください。</v>
      </c>
      <c r="C421" s="31" t="str">
        <f>IFERROR(__xludf.DUMMYFUNCTION("""COMPUTED_VALUE"""),"不正出血・原因")</f>
        <v>不正出血・原因</v>
      </c>
      <c r="D421" s="31" t="str">
        <f>IFERROR(__xludf.DUMMYFUNCTION("""COMPUTED_VALUE"""),"不正出血,子宮筋腫,子宮内膜ポリープ")</f>
        <v>不正出血,子宮筋腫,子宮内膜ポリープ</v>
      </c>
      <c r="E421" s="32" t="str">
        <f>IFERROR(__xludf.DUMMYFUNCTION("""COMPUTED_VALUE"""),"https://luna-dr.com/subjects/irregular-genital-bleeding/")</f>
        <v>https://luna-dr.com/subjects/irregular-genital-bleeding/</v>
      </c>
    </row>
    <row r="422">
      <c r="A422" s="31" t="str">
        <f>IFERROR(__xludf.DUMMYFUNCTION("""COMPUTED_VALUE"""),"不正出血はがんが原因のこともありますか？")</f>
        <v>不正出血はがんが原因のこともありますか？</v>
      </c>
      <c r="B422" s="31" t="str">
        <f>IFERROR(__xludf.DUMMYFUNCTION("""COMPUTED_VALUE"""),"子宮頸がんや子宮体がんは、不正出血の原因となることがあります。性交渉後の出血は子宮頸がん、閉経後の出血は子宮体がんの重要なサインです。気になる症状がある場合は、早めにご相談ください。")</f>
        <v>子宮頸がんや子宮体がんは、不正出血の原因となることがあります。性交渉後の出血は子宮頸がん、閉経後の出血は子宮体がんの重要なサインです。気になる症状がある場合は、早めにご相談ください。</v>
      </c>
      <c r="C422" s="31" t="str">
        <f>IFERROR(__xludf.DUMMYFUNCTION("""COMPUTED_VALUE"""),"不正出血・原因")</f>
        <v>不正出血・原因</v>
      </c>
      <c r="D422" s="31" t="str">
        <f>IFERROR(__xludf.DUMMYFUNCTION("""COMPUTED_VALUE"""),"不正出血,子宮頸がん,子宮体がん")</f>
        <v>不正出血,子宮頸がん,子宮体がん</v>
      </c>
      <c r="E422" s="32" t="str">
        <f>IFERROR(__xludf.DUMMYFUNCTION("""COMPUTED_VALUE"""),"https://luna-dr.com/subjects/irregular-genital-bleeding/")</f>
        <v>https://luna-dr.com/subjects/irregular-genital-bleeding/</v>
      </c>
    </row>
    <row r="423">
      <c r="A423" s="31" t="str">
        <f>IFERROR(__xludf.DUMMYFUNCTION("""COMPUTED_VALUE"""),"性感染症でも不正出血は起こりますか？")</f>
        <v>性感染症でも不正出血は起こりますか？</v>
      </c>
      <c r="B423" s="31" t="str">
        <f>IFERROR(__xludf.DUMMYFUNCTION("""COMPUTED_VALUE"""),"クラミジアなどの性感染症による炎症で、子宮の入り口などがただれ、不正出血が起こることがあります。気になる症状がある場合は、早めにご相談ください。")</f>
        <v>クラミジアなどの性感染症による炎症で、子宮の入り口などがただれ、不正出血が起こることがあります。気になる症状がある場合は、早めにご相談ください。</v>
      </c>
      <c r="C423" s="31" t="str">
        <f>IFERROR(__xludf.DUMMYFUNCTION("""COMPUTED_VALUE"""),"不正出血・原因")</f>
        <v>不正出血・原因</v>
      </c>
      <c r="D423" s="31" t="str">
        <f>IFERROR(__xludf.DUMMYFUNCTION("""COMPUTED_VALUE"""),"不正出血,クラミジア,性病検査")</f>
        <v>不正出血,クラミジア,性病検査</v>
      </c>
      <c r="E423" s="32" t="str">
        <f>IFERROR(__xludf.DUMMYFUNCTION("""COMPUTED_VALUE"""),"https://luna-dr.com/subjects/irregular-genital-bleeding/")</f>
        <v>https://luna-dr.com/subjects/irregular-genital-bleeding/</v>
      </c>
    </row>
    <row r="424">
      <c r="A424" s="31" t="str">
        <f>IFERROR(__xludf.DUMMYFUNCTION("""COMPUTED_VALUE"""),"妊娠している場合の不正出血はありますか？")</f>
        <v>妊娠している場合の不正出血はありますか？</v>
      </c>
      <c r="B424" s="31" t="str">
        <f>IFERROR(__xludf.DUMMYFUNCTION("""COMPUTED_VALUE"""),"妊娠初期には着床出血や切迫流産の兆候として出血が見られることがあります。妊娠の可能性がある場合は、速やかに受診してください。")</f>
        <v>妊娠初期には着床出血や切迫流産の兆候として出血が見られることがあります。妊娠の可能性がある場合は、速やかに受診してください。</v>
      </c>
      <c r="C424" s="31" t="str">
        <f>IFERROR(__xludf.DUMMYFUNCTION("""COMPUTED_VALUE"""),"不正出血・原因")</f>
        <v>不正出血・原因</v>
      </c>
      <c r="D424" s="31" t="str">
        <f>IFERROR(__xludf.DUMMYFUNCTION("""COMPUTED_VALUE"""),"不正出血,妊娠初期,着床出血")</f>
        <v>不正出血,妊娠初期,着床出血</v>
      </c>
      <c r="E424" s="32" t="str">
        <f>IFERROR(__xludf.DUMMYFUNCTION("""COMPUTED_VALUE"""),"https://luna-dr.com/subjects/irregular-genital-bleeding/")</f>
        <v>https://luna-dr.com/subjects/irregular-genital-bleeding/</v>
      </c>
    </row>
    <row r="425">
      <c r="A425" s="31" t="str">
        <f>IFERROR(__xludf.DUMMYFUNCTION("""COMPUTED_VALUE"""),"不正出血の診察・検査の流れを教えてください")</f>
        <v>不正出血の診察・検査の流れを教えてください</v>
      </c>
      <c r="B425" s="31" t="str">
        <f>IFERROR(__xludf.DUMMYFUNCTION("""COMPUTED_VALUE"""),"不正出血の診察は、①予約・WEB問診 → ②医師による診察 → ③内診・検査 → ④診断・治療方針の説明 → ⑤処方・お会計、という流れで行います。まず公式LINEでご予約ください。予約後、WEB問診にて出血の時期・量・色、最終生理日、妊娠の可能性などをご入力いただくと受付がスムーズです。来院後は医師が問診内容をもとに詳しくお話を伺い、必要に応じて内診・超音波（エコー）検査、子宮頸がん・体がん検査、性感染症検査を行います。検査結果をもとに出血の原因と治療方針をご説明し、必要な治療やお薬の処方を行います。")</f>
        <v>不正出血の診察は、①予約・WEB問診 → ②医師による診察 → ③内診・検査 → ④診断・治療方針の説明 → ⑤処方・お会計、という流れで行います。まず公式LINEでご予約ください。予約後、WEB問診にて出血の時期・量・色、最終生理日、妊娠の可能性などをご入力いただくと受付がスムーズです。来院後は医師が問診内容をもとに詳しくお話を伺い、必要に応じて内診・超音波（エコー）検査、子宮頸がん・体がん検査、性感染症検査を行います。検査結果をもとに出血の原因と治療方針をご説明し、必要な治療やお薬の処方を行います。</v>
      </c>
      <c r="C425" s="31" t="str">
        <f>IFERROR(__xludf.DUMMYFUNCTION("""COMPUTED_VALUE"""),"不正出血")</f>
        <v>不正出血</v>
      </c>
      <c r="D425" s="31" t="str">
        <f>IFERROR(__xludf.DUMMYFUNCTION("""COMPUTED_VALUE"""),"不正出血,診察の流れ,検査,内診,エコー検査,予約方法,電話予約,LINE予約")</f>
        <v>不正出血,診察の流れ,検査,内診,エコー検査,予約方法,電話予約,LINE予約</v>
      </c>
      <c r="E425" s="32" t="str">
        <f>IFERROR(__xludf.DUMMYFUNCTION("""COMPUTED_VALUE"""),"https://luna-dr.com/subjects/abnormal-uterine-bleeding/")</f>
        <v>https://luna-dr.com/subjects/abnormal-uterine-bleeding/</v>
      </c>
    </row>
    <row r="426">
      <c r="A426" s="31" t="str">
        <f>IFERROR(__xludf.DUMMYFUNCTION("""COMPUTED_VALUE"""),"不正出血の予約はどうすればいいですか？/不正出血があり早めに受診したいです/不正出血があるため早めの受診を希望しています/不正出血が心配なので早く診てほしい")</f>
        <v>不正出血の予約はどうすればいいですか？/不正出血があり早めに受診したいです/不正出血があるため早めの受診を希望しています/不正出血が心配なので早く診てほしい</v>
      </c>
      <c r="B426" s="31" t="str">
        <f>IFERROR(__xludf.DUMMYFUNCTION("""COMPUTED_VALUE"""),"生理期間以外に出血が続く場合、性交渉の後に必ず出血する場合、閉経後の出血、血の塊が出る、出血量が増えている、鮮血が出る、下腹部痛や発熱を伴う場合は、放置せずにご相談ください。ルナレディースクリニックでは、出血の原因を的確に診断し、最適な治療をご提案します。ご予約は公式LINEから受け付けています。不正出血のご相談は「一般婦人科診療」のメニューでご予約ください。LINEはこちら→https://cline-app.com/qr-codes/98ad6f149bfa20f4f2a9a2e91aac4187/p"&amp;"review")</f>
        <v>生理期間以外に出血が続く場合、性交渉の後に必ず出血する場合、閉経後の出血、血の塊が出る、出血量が増えている、鮮血が出る、下腹部痛や発熱を伴う場合は、放置せずにご相談ください。ルナレディースクリニックでは、出血の原因を的確に診断し、最適な治療をご提案します。ご予約は公式LINEから受け付けています。不正出血のご相談は「一般婦人科診療」のメニューでご予約ください。LINEはこちら→https://cline-app.com/qr-codes/98ad6f149bfa20f4f2a9a2e91aac4187/preview</v>
      </c>
      <c r="C426" s="31" t="str">
        <f>IFERROR(__xludf.DUMMYFUNCTION("""COMPUTED_VALUE"""),"不正出血")</f>
        <v>不正出血</v>
      </c>
      <c r="D426" s="31" t="str">
        <f>IFERROR(__xludf.DUMMYFUNCTION("""COMPUTED_VALUE"""),"予約方法,LINE,電話,不正出血,早め,急ぎ,早く診てほしい")</f>
        <v>予約方法,LINE,電話,不正出血,早め,急ぎ,早く診てほしい</v>
      </c>
      <c r="E426" s="32" t="str">
        <f>IFERROR(__xludf.DUMMYFUNCTION("""COMPUTED_VALUE"""),"https://luna-dr.com/subjects/abnormal-uterine-bleeding/")</f>
        <v>https://luna-dr.com/subjects/abnormal-uterine-bleeding/</v>
      </c>
    </row>
    <row r="427">
      <c r="A427" s="31" t="str">
        <f>IFERROR(__xludf.DUMMYFUNCTION("""COMPUTED_VALUE"""),"不正出血はLINEから予約できますか？")</f>
        <v>不正出血はLINEから予約できますか？</v>
      </c>
      <c r="B427" s="31" t="str">
        <f>IFERROR(__xludf.DUMMYFUNCTION("""COMPUTED_VALUE"""),"ナレディースクリニックでは、公式LINEから不正出血の診察予約が可能です。24時間いつでもご自身のタイミングで予約できます。不正出血のご相談は「一般婦人科診療」のメニューでご予約ください。LINEはこちら→https://cline-app.com/qr-codes/98ad6f149bfa20f4f2a9a2e91aac4187/preview")</f>
        <v>ナレディースクリニックでは、公式LINEから不正出血の診察予約が可能です。24時間いつでもご自身のタイミングで予約できます。不正出血のご相談は「一般婦人科診療」のメニューでご予約ください。LINEはこちら→https://cline-app.com/qr-codes/98ad6f149bfa20f4f2a9a2e91aac4187/preview</v>
      </c>
      <c r="C427" s="31" t="str">
        <f>IFERROR(__xludf.DUMMYFUNCTION("""COMPUTED_VALUE"""),"不正出血")</f>
        <v>不正出血</v>
      </c>
      <c r="D427" s="31" t="str">
        <f>IFERROR(__xludf.DUMMYFUNCTION("""COMPUTED_VALUE"""),"LINE予約,婦人科予約,不正出血")</f>
        <v>LINE予約,婦人科予約,不正出血</v>
      </c>
      <c r="E427" s="32" t="str">
        <f>IFERROR(__xludf.DUMMYFUNCTION("""COMPUTED_VALUE"""),"https://luna-dr.com/subjects/abnormal-uterine-bleeding/")</f>
        <v>https://luna-dr.com/subjects/abnormal-uterine-bleeding/</v>
      </c>
    </row>
    <row r="428">
      <c r="A428" s="31" t="str">
        <f>IFERROR(__xludf.DUMMYFUNCTION("""COMPUTED_VALUE"""),"不正出血は電話でも予約できますか？")</f>
        <v>不正出血は電話でも予約できますか？</v>
      </c>
      <c r="B428" s="31" t="str">
        <f>IFERROR(__xludf.DUMMYFUNCTION("""COMPUTED_VALUE"""),"LINEでの予約後、事前問診等もLINEから行うことができ、スムーズに受診ができるため、当院ではLINEでのご予約を推奨しております。
ご予約は公式LINEから受け付けています。不正出血のご相談は「一般婦人科診療」のメニューでご予約ください。LINEはこちら→https://cline-app.com/qr-codes/98ad6f149bfa20f4f2a9a2e91aac4187/preview")</f>
        <v>LINEでの予約後、事前問診等もLINEから行うことができ、スムーズに受診ができるため、当院ではLINEでのご予約を推奨しております。
ご予約は公式LINEから受け付けています。不正出血のご相談は「一般婦人科診療」のメニューでご予約ください。LINEはこちら→https://cline-app.com/qr-codes/98ad6f149bfa20f4f2a9a2e91aac4187/preview</v>
      </c>
      <c r="C428" s="31" t="str">
        <f>IFERROR(__xludf.DUMMYFUNCTION("""COMPUTED_VALUE"""),"不正出血")</f>
        <v>不正出血</v>
      </c>
      <c r="D428" s="31" t="str">
        <f>IFERROR(__xludf.DUMMYFUNCTION("""COMPUTED_VALUE"""),"電話予約,問い合わせ,不正出血")</f>
        <v>電話予約,問い合わせ,不正出血</v>
      </c>
      <c r="E428" s="32" t="str">
        <f>IFERROR(__xludf.DUMMYFUNCTION("""COMPUTED_VALUE"""),"https://luna-dr.com/subjects/abnormal-uterine-bleeding/")</f>
        <v>https://luna-dr.com/subjects/abnormal-uterine-bleeding/</v>
      </c>
    </row>
    <row r="429">
      <c r="A429" s="31" t="str">
        <f>IFERROR(__xludf.DUMMYFUNCTION("""COMPUTED_VALUE"""),"不正出血の予約前に準備しておくことはありますか？")</f>
        <v>不正出血の予約前に準備しておくことはありますか？</v>
      </c>
      <c r="B429" s="31" t="str">
        <f>IFERROR(__xludf.DUMMYFUNCTION("""COMPUTED_VALUE"""),"ルナレディースクリニックでは、不正出血の診察前にWEB問診の入力をお願いしています。いつから出血があるか、量や色、他の症状などを事前にご入力いただくと診察がスムーズです。")</f>
        <v>ルナレディースクリニックでは、不正出血の診察前にWEB問診の入力をお願いしています。いつから出血があるか、量や色、他の症状などを事前にご入力いただくと診察がスムーズです。</v>
      </c>
      <c r="C429" s="31" t="str">
        <f>IFERROR(__xludf.DUMMYFUNCTION("""COMPUTED_VALUE"""),"不正出血")</f>
        <v>不正出血</v>
      </c>
      <c r="D429" s="31" t="str">
        <f>IFERROR(__xludf.DUMMYFUNCTION("""COMPUTED_VALUE"""),"WEB問診,事前準備,不正出血")</f>
        <v>WEB問診,事前準備,不正出血</v>
      </c>
      <c r="E429" s="32" t="str">
        <f>IFERROR(__xludf.DUMMYFUNCTION("""COMPUTED_VALUE"""),"https://luna-dr.com/subjects/abnormal-uterine-bleeding/")</f>
        <v>https://luna-dr.com/subjects/abnormal-uterine-bleeding/</v>
      </c>
    </row>
    <row r="430">
      <c r="A430" s="31" t="str">
        <f>IFERROR(__xludf.DUMMYFUNCTION("""COMPUTED_VALUE"""),"不正出血は初診でも予約できますか？")</f>
        <v>不正出血は初診でも予約できますか？</v>
      </c>
      <c r="B430" s="31" t="str">
        <f>IFERROR(__xludf.DUMMYFUNCTION("""COMPUTED_VALUE"""),"不正出血は初診の方もご予約いただけます。ご予約は公式LINEから受け付けておりますので、友だち追加の上ご利用ください。
不正出血のご相談は「一般婦人科診療」のメニューでご予約ください。LINEはこちら→https://cline-app.com/qr-codes/98ad6f149bfa20f4f2a9a2e91aac4187/preview")</f>
        <v>不正出血は初診の方もご予約いただけます。ご予約は公式LINEから受け付けておりますので、友だち追加の上ご利用ください。
不正出血のご相談は「一般婦人科診療」のメニューでご予約ください。LINEはこちら→https://cline-app.com/qr-codes/98ad6f149bfa20f4f2a9a2e91aac4187/preview</v>
      </c>
      <c r="C430" s="31" t="str">
        <f>IFERROR(__xludf.DUMMYFUNCTION("""COMPUTED_VALUE"""),"不正出血")</f>
        <v>不正出血</v>
      </c>
      <c r="D430" s="31" t="str">
        <f>IFERROR(__xludf.DUMMYFUNCTION("""COMPUTED_VALUE"""),"初診,予約,不正出血")</f>
        <v>初診,予約,不正出血</v>
      </c>
      <c r="E430" s="32" t="str">
        <f>IFERROR(__xludf.DUMMYFUNCTION("""COMPUTED_VALUE"""),"https://luna-dr.com/subjects/abnormal-uterine-bleeding/")</f>
        <v>https://luna-dr.com/subjects/abnormal-uterine-bleeding/</v>
      </c>
    </row>
    <row r="431">
      <c r="A431" s="31" t="str">
        <f>IFERROR(__xludf.DUMMYFUNCTION("""COMPUTED_VALUE"""),"不正出血は来院とオンライン、どちらで予約できますか？")</f>
        <v>不正出血は来院とオンライン、どちらで予約できますか？</v>
      </c>
      <c r="B431" s="31" t="str">
        <f>IFERROR(__xludf.DUMMYFUNCTION("""COMPUTED_VALUE"""),"ルナレディースクリニックでは、不正出血のご相談は【来院診療のみ】で承っています。
ご予約は公式LINEから受け付けています。不正出血のご相談は「一般婦人科診療」のメニューでご予約ください。LINEはこちら→https://cline-app.com/qr-codes/98ad6f149bfa20f4f2a9a2e91aac4187/preview")</f>
        <v>ルナレディースクリニックでは、不正出血のご相談は【来院診療のみ】で承っています。
ご予約は公式LINEから受け付けています。不正出血のご相談は「一般婦人科診療」のメニューでご予約ください。LINEはこちら→https://cline-app.com/qr-codes/98ad6f149bfa20f4f2a9a2e91aac4187/preview</v>
      </c>
      <c r="C431" s="31" t="str">
        <f>IFERROR(__xludf.DUMMYFUNCTION("""COMPUTED_VALUE"""),"不正出血")</f>
        <v>不正出血</v>
      </c>
      <c r="D431" s="31" t="str">
        <f>IFERROR(__xludf.DUMMYFUNCTION("""COMPUTED_VALUE"""),"来院診療,オンライン診療,不正出血")</f>
        <v>来院診療,オンライン診療,不正出血</v>
      </c>
      <c r="E431" s="32" t="str">
        <f>IFERROR(__xludf.DUMMYFUNCTION("""COMPUTED_VALUE"""),"https://luna-dr.com/subjects/abnormal-uterine-bleeding/")</f>
        <v>https://luna-dr.com/subjects/abnormal-uterine-bleeding/</v>
      </c>
    </row>
    <row r="432">
      <c r="A432" s="31" t="str">
        <f>IFERROR(__xludf.DUMMYFUNCTION("""COMPUTED_VALUE"""),"不正出血の診察は予約が必要ですか？")</f>
        <v>不正出血の診察は予約が必要ですか？</v>
      </c>
      <c r="B432" s="31" t="str">
        <f>IFERROR(__xludf.DUMMYFUNCTION("""COMPUTED_VALUE"""),"直接のご来院でも可能ですが、待ち時間が発生する場合があります。事前にご予約をいただくことでスムーズに診察に進むことができます。
ご予約は公式LINEから受け付けています。不正出血のご相談は「一般婦人科診療」のメニューでご予約ください。LINEはこちら→https://cline-app.com/qr-codes/98ad6f149bfa20f4f2a9a2e91aac4187/preview")</f>
        <v>直接のご来院でも可能ですが、待ち時間が発生する場合があります。事前にご予約をいただくことでスムーズに診察に進むことができます。
ご予約は公式LINEから受け付けています。不正出血のご相談は「一般婦人科診療」のメニューでご予約ください。LINEはこちら→https://cline-app.com/qr-codes/98ad6f149bfa20f4f2a9a2e91aac4187/preview</v>
      </c>
      <c r="C432" s="31" t="str">
        <f>IFERROR(__xludf.DUMMYFUNCTION("""COMPUTED_VALUE"""),"不正出血・予約")</f>
        <v>不正出血・予約</v>
      </c>
      <c r="D432" s="31" t="str">
        <f>IFERROR(__xludf.DUMMYFUNCTION("""COMPUTED_VALUE"""),"不正出血,予約,LINE予約,電話予約")</f>
        <v>不正出血,予約,LINE予約,電話予約</v>
      </c>
      <c r="E432" s="32" t="str">
        <f>IFERROR(__xludf.DUMMYFUNCTION("""COMPUTED_VALUE"""),"https://luna-dr.com/subjects/abnormal-uterine-bleeding/")</f>
        <v>https://luna-dr.com/subjects/abnormal-uterine-bleeding/</v>
      </c>
    </row>
    <row r="433">
      <c r="A433" s="31" t="str">
        <f>IFERROR(__xludf.DUMMYFUNCTION("""COMPUTED_VALUE"""),"不正出血の診察前にWEB問診は必要ですか？")</f>
        <v>不正出血の診察前にWEB問診は必要ですか？</v>
      </c>
      <c r="B433" s="31" t="str">
        <f>IFERROR(__xludf.DUMMYFUNCTION("""COMPUTED_VALUE"""),"必須ではありませんが、WEB問診で出血の時期や量、色、他の症状をご入力いただくと、診察がよりスムーズになります。")</f>
        <v>必須ではありませんが、WEB問診で出血の時期や量、色、他の症状をご入力いただくと、診察がよりスムーズになります。</v>
      </c>
      <c r="C433" s="31" t="str">
        <f>IFERROR(__xludf.DUMMYFUNCTION("""COMPUTED_VALUE"""),"不正出血・WEB問診")</f>
        <v>不正出血・WEB問診</v>
      </c>
      <c r="D433" s="31" t="str">
        <f>IFERROR(__xludf.DUMMYFUNCTION("""COMPUTED_VALUE"""),"不正出血,WEB問診,事前準備")</f>
        <v>不正出血,WEB問診,事前準備</v>
      </c>
      <c r="E433" s="32" t="str">
        <f>IFERROR(__xludf.DUMMYFUNCTION("""COMPUTED_VALUE"""),"https://luna-dr.com/subjects/abnormal-uterine-bleeding/")</f>
        <v>https://luna-dr.com/subjects/abnormal-uterine-bleeding/</v>
      </c>
    </row>
    <row r="434">
      <c r="A434" s="31" t="str">
        <f>IFERROR(__xludf.DUMMYFUNCTION("""COMPUTED_VALUE"""),"不正出血の診察ではどんなことを聞かれますか？")</f>
        <v>不正出血の診察ではどんなことを聞かれますか？</v>
      </c>
      <c r="B434" s="31" t="str">
        <f>IFERROR(__xludf.DUMMYFUNCTION("""COMPUTED_VALUE"""),"医師は、最終生理日、出血の状況、性交渉の有無、妊娠の可能性などを確認し、考えられる原因と必要な検査について説明します。")</f>
        <v>医師は、最終生理日、出血の状況、性交渉の有無、妊娠の可能性などを確認し、考えられる原因と必要な検査について説明します。</v>
      </c>
      <c r="C434" s="31" t="str">
        <f>IFERROR(__xludf.DUMMYFUNCTION("""COMPUTED_VALUE"""),"不正出血・診察内容")</f>
        <v>不正出血・診察内容</v>
      </c>
      <c r="D434" s="31" t="str">
        <f>IFERROR(__xludf.DUMMYFUNCTION("""COMPUTED_VALUE"""),"不正出血,問診内容,妊娠の可能性")</f>
        <v>不正出血,問診内容,妊娠の可能性</v>
      </c>
      <c r="E434" s="32" t="str">
        <f>IFERROR(__xludf.DUMMYFUNCTION("""COMPUTED_VALUE"""),"https://luna-dr.com/subjects/abnormal-uterine-bleeding/")</f>
        <v>https://luna-dr.com/subjects/abnormal-uterine-bleeding/</v>
      </c>
    </row>
    <row r="435">
      <c r="A435" s="31" t="str">
        <f>IFERROR(__xludf.DUMMYFUNCTION("""COMPUTED_VALUE"""),"不正出血の診察ではどんな検査をしますか？")</f>
        <v>不正出血の診察ではどんな検査をしますか？</v>
      </c>
      <c r="B435" s="31" t="str">
        <f>IFERROR(__xludf.DUMMYFUNCTION("""COMPUTED_VALUE"""),"不正出血の原因を特定するため、内診・超音波（エコー）検査、子宮頸がん・子宮体がん検査、必要に応じて性感染症検査を行います。")</f>
        <v>不正出血の原因を特定するため、内診・超音波（エコー）検査、子宮頸がん・子宮体がん検査、必要に応じて性感染症検査を行います。</v>
      </c>
      <c r="C435" s="31" t="str">
        <f>IFERROR(__xludf.DUMMYFUNCTION("""COMPUTED_VALUE"""),"不正出血・検査内容")</f>
        <v>不正出血・検査内容</v>
      </c>
      <c r="D435" s="31" t="str">
        <f>IFERROR(__xludf.DUMMYFUNCTION("""COMPUTED_VALUE"""),"不正出血,検査,エコー,がん検査,性病検査")</f>
        <v>不正出血,検査,エコー,がん検査,性病検査</v>
      </c>
      <c r="E435" s="32" t="str">
        <f>IFERROR(__xludf.DUMMYFUNCTION("""COMPUTED_VALUE"""),"https://luna-dr.com/subjects/abnormal-uterine-bleeding/")</f>
        <v>https://luna-dr.com/subjects/abnormal-uterine-bleeding/</v>
      </c>
    </row>
    <row r="436">
      <c r="A436" s="31" t="str">
        <f>IFERROR(__xludf.DUMMYFUNCTION("""COMPUTED_VALUE"""),"不正出血の内診・超音波検査では何を確認しますか？")</f>
        <v>不正出血の内診・超音波検査では何を確認しますか？</v>
      </c>
      <c r="B436" s="31" t="str">
        <f>IFERROR(__xludf.DUMMYFUNCTION("""COMPUTED_VALUE"""),"内診・超音波（エコー）検査では、子宮や卵巣にポリープや筋腫がないか、子宮内膜の厚さなどを確認します。")</f>
        <v>内診・超音波（エコー）検査では、子宮や卵巣にポリープや筋腫がないか、子宮内膜の厚さなどを確認します。</v>
      </c>
      <c r="C436" s="31" t="str">
        <f>IFERROR(__xludf.DUMMYFUNCTION("""COMPUTED_VALUE"""),"不正出血・検査内容")</f>
        <v>不正出血・検査内容</v>
      </c>
      <c r="D436" s="31" t="str">
        <f>IFERROR(__xludf.DUMMYFUNCTION("""COMPUTED_VALUE"""),"不正出血,内診,超音波検査,子宮内膜")</f>
        <v>不正出血,内診,超音波検査,子宮内膜</v>
      </c>
      <c r="E436" s="32" t="str">
        <f>IFERROR(__xludf.DUMMYFUNCTION("""COMPUTED_VALUE"""),"https://luna-dr.com/subjects/abnormal-uterine-bleeding/")</f>
        <v>https://luna-dr.com/subjects/abnormal-uterine-bleeding/</v>
      </c>
    </row>
    <row r="437">
      <c r="A437" s="31" t="str">
        <f>IFERROR(__xludf.DUMMYFUNCTION("""COMPUTED_VALUE"""),"不正出血の診察当日はどこまで進みますか？")</f>
        <v>不正出血の診察当日はどこまで進みますか？</v>
      </c>
      <c r="B437" s="31" t="str">
        <f>IFERROR(__xludf.DUMMYFUNCTION("""COMPUTED_VALUE"""),"診察当日は、医師の問診後、必要に応じて内診・超音波検査やがん検査、性感染症検査まで行い、その結果をもとに治療方針をご提案します。")</f>
        <v>診察当日は、医師の問診後、必要に応じて内診・超音波検査やがん検査、性感染症検査まで行い、その結果をもとに治療方針をご提案します。</v>
      </c>
      <c r="C437" s="31" t="str">
        <f>IFERROR(__xludf.DUMMYFUNCTION("""COMPUTED_VALUE"""),"不正出血・当日の流れ")</f>
        <v>不正出血・当日の流れ</v>
      </c>
      <c r="D437" s="31" t="str">
        <f>IFERROR(__xludf.DUMMYFUNCTION("""COMPUTED_VALUE"""),"不正出血,当日診察,検査,治療方針")</f>
        <v>不正出血,当日診察,検査,治療方針</v>
      </c>
      <c r="E437" s="32" t="str">
        <f>IFERROR(__xludf.DUMMYFUNCTION("""COMPUTED_VALUE"""),"https://luna-dr.com/subjects/abnormal-uterine-bleeding/")</f>
        <v>https://luna-dr.com/subjects/abnormal-uterine-bleeding/</v>
      </c>
    </row>
    <row r="438">
      <c r="A438" s="31" t="str">
        <f>IFERROR(__xludf.DUMMYFUNCTION("""COMPUTED_VALUE"""),"不正出血の検査後はどのような治療になりますか？")</f>
        <v>不正出血の検査後はどのような治療になりますか？</v>
      </c>
      <c r="B438" s="31" t="str">
        <f>IFERROR(__xludf.DUMMYFUNCTION("""COMPUTED_VALUE"""),"検査結果に基づき、ホルモン剤による治療、ポリープ切除、必要に応じて高度医療機関へのご紹介など、最適な治療方針をご提案します。")</f>
        <v>検査結果に基づき、ホルモン剤による治療、ポリープ切除、必要に応じて高度医療機関へのご紹介など、最適な治療方針をご提案します。</v>
      </c>
      <c r="C438" s="31" t="str">
        <f>IFERROR(__xludf.DUMMYFUNCTION("""COMPUTED_VALUE"""),"不正出血・治療")</f>
        <v>不正出血・治療</v>
      </c>
      <c r="D438" s="31" t="str">
        <f>IFERROR(__xludf.DUMMYFUNCTION("""COMPUTED_VALUE"""),"不正出血,治療方針,ホルモン治療")</f>
        <v>不正出血,治療方針,ホルモン治療</v>
      </c>
      <c r="E438" s="32" t="str">
        <f>IFERROR(__xludf.DUMMYFUNCTION("""COMPUTED_VALUE"""),"https://luna-dr.com/subjects/abnormal-uterine-bleeding/")</f>
        <v>https://luna-dr.com/subjects/abnormal-uterine-bleeding/</v>
      </c>
    </row>
    <row r="439">
      <c r="A439" s="31" t="str">
        <f>IFERROR(__xludf.DUMMYFUNCTION("""COMPUTED_VALUE"""),"不正出血と生理の見分けがつきません")</f>
        <v>不正出血と生理の見分けがつきません</v>
      </c>
      <c r="B439" s="31" t="str">
        <f>IFERROR(__xludf.DUMMYFUNCTION("""COMPUTED_VALUE"""),"生理予定日と大きくずれている、量が極端に少ない（または多い）、色がいつもと違う（鮮血、茶色など）、だらだらと長く続くといった場合は、不正出血の可能性が高いです。判断に迷う場合は、自己判断せずご相談ください。")</f>
        <v>生理予定日と大きくずれている、量が極端に少ない（または多い）、色がいつもと違う（鮮血、茶色など）、だらだらと長く続くといった場合は、不正出血の可能性が高いです。判断に迷う場合は、自己判断せずご相談ください。</v>
      </c>
      <c r="C439" s="31" t="str">
        <f>IFERROR(__xludf.DUMMYFUNCTION("""COMPUTED_VALUE"""),"不正出血・よくある質問")</f>
        <v>不正出血・よくある質問</v>
      </c>
      <c r="D439" s="31" t="str">
        <f>IFERROR(__xludf.DUMMYFUNCTION("""COMPUTED_VALUE"""),"不正出血,生理との違い,見分け方")</f>
        <v>不正出血,生理との違い,見分け方</v>
      </c>
      <c r="E439" s="32" t="str">
        <f>IFERROR(__xludf.DUMMYFUNCTION("""COMPUTED_VALUE"""),"https://luna-dr.com/subjects/abnormal-uterine-bleeding/")</f>
        <v>https://luna-dr.com/subjects/abnormal-uterine-bleeding/</v>
      </c>
    </row>
    <row r="440">
      <c r="A440" s="31" t="str">
        <f>IFERROR(__xludf.DUMMYFUNCTION("""COMPUTED_VALUE"""),"少量ですが、茶色い出血が続きます。大丈夫ですか？")</f>
        <v>少量ですが、茶色い出血が続きます。大丈夫ですか？</v>
      </c>
      <c r="B440" s="31" t="str">
        <f>IFERROR(__xludf.DUMMYFUNCTION("""COMPUTED_VALUE"""),"少量でも、だらだらと続く出血は異常のサインです。古い血液が酸化して茶色く見えることがありますが、子宮体がんなどでも見られる症状です。必ず一度、婦人科を受診してください。")</f>
        <v>少量でも、だらだらと続く出血は異常のサインです。古い血液が酸化して茶色く見えることがありますが、子宮体がんなどでも見られる症状です。必ず一度、婦人科を受診してください。</v>
      </c>
      <c r="C440" s="31" t="str">
        <f>IFERROR(__xludf.DUMMYFUNCTION("""COMPUTED_VALUE"""),"不正出血・よくある質問")</f>
        <v>不正出血・よくある質問</v>
      </c>
      <c r="D440" s="31" t="str">
        <f>IFERROR(__xludf.DUMMYFUNCTION("""COMPUTED_VALUE"""),"不正出血,茶色い出血,受診目安")</f>
        <v>不正出血,茶色い出血,受診目安</v>
      </c>
      <c r="E440" s="32" t="str">
        <f>IFERROR(__xludf.DUMMYFUNCTION("""COMPUTED_VALUE"""),"https://luna-dr.com/subjects/abnormal-uterine-bleeding/")</f>
        <v>https://luna-dr.com/subjects/abnormal-uterine-bleeding/</v>
      </c>
    </row>
    <row r="441">
      <c r="A441" s="31" t="str">
        <f>IFERROR(__xludf.DUMMYFUNCTION("""COMPUTED_VALUE"""),"不正出血は、がんの可能性が高いのでしょうか？")</f>
        <v>不正出血は、がんの可能性が高いのでしょうか？</v>
      </c>
      <c r="B441" s="31" t="str">
        <f>IFERROR(__xludf.DUMMYFUNCTION("""COMPUTED_VALUE"""),"不正出血の原因で最も多いのはホルモンバランスの乱れです。しかし、子宮頸がんや子宮体がんは、不正出血が唯一の自覚症状であることも事実です。「がんではない」ことを確認するためにも、検査を受けることが非常に重要です。")</f>
        <v>不正出血の原因で最も多いのはホルモンバランスの乱れです。しかし、子宮頸がんや子宮体がんは、不正出血が唯一の自覚症状であることも事実です。「がんではない」ことを確認するためにも、検査を受けることが非常に重要です。</v>
      </c>
      <c r="C441" s="31" t="str">
        <f>IFERROR(__xludf.DUMMYFUNCTION("""COMPUTED_VALUE"""),"不正出血・よくある質問")</f>
        <v>不正出血・よくある質問</v>
      </c>
      <c r="D441" s="31" t="str">
        <f>IFERROR(__xludf.DUMMYFUNCTION("""COMPUTED_VALUE"""),"不正出血,がんの可能性,検査")</f>
        <v>不正出血,がんの可能性,検査</v>
      </c>
      <c r="E441" s="32" t="str">
        <f>IFERROR(__xludf.DUMMYFUNCTION("""COMPUTED_VALUE"""),"https://luna-dr.com/subjects/abnormal-uterine-bleeding/")</f>
        <v>https://luna-dr.com/subjects/abnormal-uterine-bleeding/</v>
      </c>
    </row>
    <row r="442">
      <c r="A442" s="31" t="str">
        <f>IFERROR(__xludf.DUMMYFUNCTION("""COMPUTED_VALUE"""),"不正出血は生理不順や生理痛と関係がありますか？")</f>
        <v>不正出血は生理不順や生理痛と関係がありますか？</v>
      </c>
      <c r="B442" s="31" t="str">
        <f>IFERROR(__xludf.DUMMYFUNCTION("""COMPUTED_VALUE"""),"深く関係している場合があります。ホルモンバランスの乱れが原因で生理不順やひどい生理痛が起きている場合、同じ原因で不正出血（機能性出血）が起こることがよくあります。包括的に診断・治療することが大切です。")</f>
        <v>深く関係している場合があります。ホルモンバランスの乱れが原因で生理不順やひどい生理痛が起きている場合、同じ原因で不正出血（機能性出血）が起こることがよくあります。包括的に診断・治療することが大切です。</v>
      </c>
      <c r="C442" s="31" t="str">
        <f>IFERROR(__xludf.DUMMYFUNCTION("""COMPUTED_VALUE"""),"不正出血・関連症状")</f>
        <v>不正出血・関連症状</v>
      </c>
      <c r="D442" s="31" t="str">
        <f>IFERROR(__xludf.DUMMYFUNCTION("""COMPUTED_VALUE"""),"不正出血,生理不順,生理痛,ホルモン")</f>
        <v>不正出血,生理不順,生理痛,ホルモン</v>
      </c>
      <c r="E442" s="32" t="str">
        <f>IFERROR(__xludf.DUMMYFUNCTION("""COMPUTED_VALUE"""),"https://luna-dr.com/subjects/abnormal-uterine-bleeding/")</f>
        <v>https://luna-dr.com/subjects/abnormal-uterine-bleeding/</v>
      </c>
    </row>
    <row r="443">
      <c r="A443" s="31" t="str">
        <f>IFERROR(__xludf.DUMMYFUNCTION("""COMPUTED_VALUE"""),"性感染症（性病）とは何ですか？")</f>
        <v>性感染症（性病）とは何ですか？</v>
      </c>
      <c r="B443" s="31" t="str">
        <f>IFERROR(__xludf.DUMMYFUNCTION("""COMPUTED_VALUE"""),"性感染症（STD）とは、主に性的な接触によって感染する病気の総称です。原因となる病原体には、クラミジア、淋菌、トリコモナス、ヒトパピローマウイルス（尖圭コンジローマ）、ヘルペスウイルス、梅毒、HIVなど、様々な種類があります。これらの感染症は、おりものの異常やかゆみといった症状を引き起こすだけでなく、自覚症状がないまま進行するケースが非常に多いのが特徴です。放置してしまうと、炎症が卵管や腹腔内にまで広がり、不妊症や子宮外妊娠のリスクを高めることがあります。また、妊娠中に感染が判明すると、赤ちゃんに影響が及"&amp;"ぶ可能性もゼロではありません。 「もしかして？」と思ったら、早期に検査を受け、必要であれば正しい治療を開始することが、ご自身の健康と大切なパートナーを守るために何よりも重要です。少しでも気になることがあれば、お気軽にルナレディースクリニックへご相談ください。")</f>
        <v>性感染症（STD）とは、主に性的な接触によって感染する病気の総称です。原因となる病原体には、クラミジア、淋菌、トリコモナス、ヒトパピローマウイルス（尖圭コンジローマ）、ヘルペスウイルス、梅毒、HIVなど、様々な種類があります。これらの感染症は、おりものの異常やかゆみといった症状を引き起こすだけでなく、自覚症状がないまま進行するケースが非常に多いのが特徴です。放置してしまうと、炎症が卵管や腹腔内にまで広がり、不妊症や子宮外妊娠のリスクを高めることがあります。また、妊娠中に感染が判明すると、赤ちゃんに影響が及ぶ可能性もゼロではありません。 「もしかして？」と思ったら、早期に検査を受け、必要であれば正しい治療を開始することが、ご自身の健康と大切なパートナーを守るために何よりも重要です。少しでも気になることがあれば、お気軽にルナレディースクリニックへご相談ください。</v>
      </c>
      <c r="C443" s="31" t="str">
        <f>IFERROR(__xludf.DUMMYFUNCTION("""COMPUTED_VALUE"""),"性感染症検査")</f>
        <v>性感染症検査</v>
      </c>
      <c r="D443" s="31" t="str">
        <f>IFERROR(__xludf.DUMMYFUNCTION("""COMPUTED_VALUE"""),"性感染症,性病,STD,検査")</f>
        <v>性感染症,性病,STD,検査</v>
      </c>
      <c r="E443" s="32" t="str">
        <f>IFERROR(__xludf.DUMMYFUNCTION("""COMPUTED_VALUE"""),"https://luna-dr.com/subjects/std/")</f>
        <v>https://luna-dr.com/subjects/std/</v>
      </c>
    </row>
    <row r="444">
      <c r="A444" s="31" t="str">
        <f>IFERROR(__xludf.DUMMYFUNCTION("""COMPUTED_VALUE"""),"性感染症検査はどんな悩みのときに受けますか？")</f>
        <v>性感染症検査はどんな悩みのときに受けますか？</v>
      </c>
      <c r="B444" s="31" t="str">
        <f>IFERROR(__xludf.DUMMYFUNCTION("""COMPUTED_VALUE"""),"おりものの異常、かゆみ、性交時痛、できもの、不正出血、パートナーが性感染症と診断された場合などに検査を行います。症状がなくても感染していることがあるため、不安があれば検査をおすすめします。")</f>
        <v>おりものの異常、かゆみ、性交時痛、できもの、不正出血、パートナーが性感染症と診断された場合などに検査を行います。症状がなくても感染していることがあるため、不安があれば検査をおすすめします。</v>
      </c>
      <c r="C444" s="31" t="str">
        <f>IFERROR(__xludf.DUMMYFUNCTION("""COMPUTED_VALUE"""),"性感染症検査")</f>
        <v>性感染症検査</v>
      </c>
      <c r="D444" s="31" t="str">
        <f>IFERROR(__xludf.DUMMYFUNCTION("""COMPUTED_VALUE"""),"性感染症検査,おりもの異常,かゆみ,性交痛")</f>
        <v>性感染症検査,おりもの異常,かゆみ,性交痛</v>
      </c>
      <c r="E444" s="32" t="str">
        <f>IFERROR(__xludf.DUMMYFUNCTION("""COMPUTED_VALUE"""),"https://luna-dr.com/subjects/std/")</f>
        <v>https://luna-dr.com/subjects/std/</v>
      </c>
    </row>
    <row r="445">
      <c r="A445" s="31" t="str">
        <f>IFERROR(__xludf.DUMMYFUNCTION("""COMPUTED_VALUE"""),"症状がなくても性感染症検査は必要ですか？")</f>
        <v>症状がなくても性感染症検査は必要ですか？</v>
      </c>
      <c r="B445" s="31" t="str">
        <f>IFERROR(__xludf.DUMMYFUNCTION("""COMPUTED_VALUE"""),"はい。性感染症は無症状のまま進行することが多く、不妊やパートナーへの感染につながる場合があります。症状がなくても心配な機会があれば検査を受けることが大切です。")</f>
        <v>はい。性感染症は無症状のまま進行することが多く、不妊やパートナーへの感染につながる場合があります。症状がなくても心配な機会があれば検査を受けることが大切です。</v>
      </c>
      <c r="C445" s="31" t="str">
        <f>IFERROR(__xludf.DUMMYFUNCTION("""COMPUTED_VALUE"""),"性感染症検査")</f>
        <v>性感染症検査</v>
      </c>
      <c r="D445" s="31" t="str">
        <f>IFERROR(__xludf.DUMMYFUNCTION("""COMPUTED_VALUE"""),"性感染症,無症状,検査必要")</f>
        <v>性感染症,無症状,検査必要</v>
      </c>
      <c r="E445" s="32" t="str">
        <f>IFERROR(__xludf.DUMMYFUNCTION("""COMPUTED_VALUE"""),"https://luna-dr.com/subjects/std/")</f>
        <v>https://luna-dr.com/subjects/std/</v>
      </c>
    </row>
    <row r="446">
      <c r="A446" s="31" t="str">
        <f>IFERROR(__xludf.DUMMYFUNCTION("""COMPUTED_VALUE"""),"性感染症はどのような仕組みで感染しますか？")</f>
        <v>性感染症はどのような仕組みで感染しますか？</v>
      </c>
      <c r="B446" s="31" t="str">
        <f>IFERROR(__xludf.DUMMYFUNCTION("""COMPUTED_VALUE"""),"主に性行為（腟性交・口腔性交・肛門性交）を通じて、細菌やウイルス、原虫などの病原体が体内に侵入することで感染します。")</f>
        <v>主に性行為（腟性交・口腔性交・肛門性交）を通じて、細菌やウイルス、原虫などの病原体が体内に侵入することで感染します。</v>
      </c>
      <c r="C446" s="31" t="str">
        <f>IFERROR(__xludf.DUMMYFUNCTION("""COMPUTED_VALUE"""),"性感染症検査")</f>
        <v>性感染症検査</v>
      </c>
      <c r="D446" s="31" t="str">
        <f>IFERROR(__xludf.DUMMYFUNCTION("""COMPUTED_VALUE"""),"性感染症,感染経路,性行為")</f>
        <v>性感染症,感染経路,性行為</v>
      </c>
      <c r="E446" s="32" t="str">
        <f>IFERROR(__xludf.DUMMYFUNCTION("""COMPUTED_VALUE"""),"https://luna-dr.com/subjects/std/")</f>
        <v>https://luna-dr.com/subjects/std/</v>
      </c>
    </row>
    <row r="447">
      <c r="A447" s="31" t="str">
        <f>IFERROR(__xludf.DUMMYFUNCTION("""COMPUTED_VALUE"""),"性感染症は自然に治りますか？")</f>
        <v>性感染症は自然に治りますか？</v>
      </c>
      <c r="B447" s="31" t="str">
        <f>IFERROR(__xludf.DUMMYFUNCTION("""COMPUTED_VALUE"""),"自然に治ることはほとんどありません。放置すると症状が悪化したり、将来の不妊や合併症につながるため、検査と適切な治療が必要です。")</f>
        <v>自然に治ることはほとんどありません。放置すると症状が悪化したり、将来の不妊や合併症につながるため、検査と適切な治療が必要です。</v>
      </c>
      <c r="C447" s="31" t="str">
        <f>IFERROR(__xludf.DUMMYFUNCTION("""COMPUTED_VALUE"""),"性感染症検査")</f>
        <v>性感染症検査</v>
      </c>
      <c r="D447" s="31" t="str">
        <f>IFERROR(__xludf.DUMMYFUNCTION("""COMPUTED_VALUE"""),"性感染症,自然治癒,リスク")</f>
        <v>性感染症,自然治癒,リスク</v>
      </c>
      <c r="E447" s="32" t="str">
        <f>IFERROR(__xludf.DUMMYFUNCTION("""COMPUTED_VALUE"""),"https://luna-dr.com/subjects/std/")</f>
        <v>https://luna-dr.com/subjects/std/</v>
      </c>
    </row>
    <row r="448">
      <c r="A448" s="31" t="str">
        <f>IFERROR(__xludf.DUMMYFUNCTION("""COMPUTED_VALUE"""),"どんな性感染症を検査できますか？/性病検査のセットはありますか？/性感染症検査のセットメニュー/まとめて検査できますか？")</f>
        <v>どんな性感染症を検査できますか？/性病検査のセットはありますか？/性感染症検査のセットメニュー/まとめて検査できますか？</v>
      </c>
      <c r="B448" s="31" t="str">
        <f>IFERROR(__xludf.DUMMYFUNCTION("""COMPUTED_VALUE"""),"ルナレディースクリニックでは、クラミジア、淋菌、トリコモナス、カンジダ、梅毒、HIV、B型肝炎、C型肝炎などの検査に対応しています。来院での検査を推奨しておりますが、病院に行く時間がない方には当院では、ご自宅で簡単に検査ができる郵送検査キット「FemCHECK（フェムチェック）」をご用意しています。Webサイトやお近くのクリニックで購入でき、クラミジアや淋菌などを調べることが可能です。万が一、陽性だった場合は、そのままオンライン診療でお薬を処方することもできますので、ぜひご活用ください。詳細はこちらをご確"&amp;"認ください。https://luna-dr.com/femcheck/?utm_source=lunamedia&amp;utm_medium=banner&amp;utm_campaign=femcheck_article_hpseo")</f>
        <v>ルナレディースクリニックでは、クラミジア、淋菌、トリコモナス、カンジダ、梅毒、HIV、B型肝炎、C型肝炎などの検査に対応しています。来院での検査を推奨しておりますが、病院に行く時間がない方には当院では、ご自宅で簡単に検査ができる郵送検査キット「FemCHECK（フェムチェック）」をご用意しています。Webサイトやお近くのクリニックで購入でき、クラミジアや淋菌などを調べることが可能です。万が一、陽性だった場合は、そのままオンライン診療でお薬を処方することもできますので、ぜひご活用ください。詳細はこちらをご確認ください。https://luna-dr.com/femcheck/?utm_source=lunamedia&amp;utm_medium=banner&amp;utm_campaign=femcheck_article_hpseo</v>
      </c>
      <c r="C448" s="31" t="str">
        <f>IFERROR(__xludf.DUMMYFUNCTION("""COMPUTED_VALUE"""),"性感染症検査")</f>
        <v>性感染症検査</v>
      </c>
      <c r="D448" s="31" t="str">
        <f>IFERROR(__xludf.DUMMYFUNCTION("""COMPUTED_VALUE"""),"性感染症検査,クラミジア,淋菌,HIV")</f>
        <v>性感染症検査,クラミジア,淋菌,HIV</v>
      </c>
      <c r="E448" s="32" t="str">
        <f>IFERROR(__xludf.DUMMYFUNCTION("""COMPUTED_VALUE"""),"https://luna-dr.com/subjects/std/")</f>
        <v>https://luna-dr.com/subjects/std/</v>
      </c>
    </row>
    <row r="449">
      <c r="A449" s="31" t="str">
        <f>IFERROR(__xludf.DUMMYFUNCTION("""COMPUTED_VALUE"""),"性感染症検査の方法を教えてください")</f>
        <v>性感染症検査の方法を教えてください</v>
      </c>
      <c r="B449" s="31" t="str">
        <f>IFERROR(__xludf.DUMMYFUNCTION("""COMPUTED_VALUE"""),"内診台にて、医師が声かけをしながら丁寧に検査を進めます。綿棒などでおりものや分泌物を採取しますが、痛みはほとんどありませんのでご安心ください。必要に応じて、うがいによる喉の検査も行います。
※梅毒やHIV、B型肝炎など、血液で調べる必要がある項目については、腕から採血を行います。")</f>
        <v>内診台にて、医師が声かけをしながら丁寧に検査を進めます。綿棒などでおりものや分泌物を採取しますが、痛みはほとんどありませんのでご安心ください。必要に応じて、うがいによる喉の検査も行います。
※梅毒やHIV、B型肝炎など、血液で調べる必要がある項目については、腕から採血を行います。</v>
      </c>
      <c r="C449" s="31" t="str">
        <f>IFERROR(__xludf.DUMMYFUNCTION("""COMPUTED_VALUE"""),"性感染症検査")</f>
        <v>性感染症検査</v>
      </c>
      <c r="D449" s="31" t="str">
        <f>IFERROR(__xludf.DUMMYFUNCTION("""COMPUTED_VALUE"""),"性感染症検査方法,内診,血液検査")</f>
        <v>性感染症検査方法,内診,血液検査</v>
      </c>
      <c r="E449" s="32" t="str">
        <f>IFERROR(__xludf.DUMMYFUNCTION("""COMPUTED_VALUE"""),"https://luna-dr.com/subjects/std/")</f>
        <v>https://luna-dr.com/subjects/std/</v>
      </c>
    </row>
    <row r="450">
      <c r="A450" s="31" t="str">
        <f>IFERROR(__xludf.DUMMYFUNCTION("""COMPUTED_VALUE"""),"性感染症検査は来院が必要ですか？")</f>
        <v>性感染症検査は来院が必要ですか？</v>
      </c>
      <c r="B450" s="31" t="str">
        <f>IFERROR(__xludf.DUMMYFUNCTION("""COMPUTED_VALUE"""),"性感染症検査は基本的に来院で行います。医師の診察と検体採取が必要です。")</f>
        <v>性感染症検査は基本的に来院で行います。医師の診察と検体採取が必要です。</v>
      </c>
      <c r="C450" s="31" t="str">
        <f>IFERROR(__xludf.DUMMYFUNCTION("""COMPUTED_VALUE"""),"性感染症検査")</f>
        <v>性感染症検査</v>
      </c>
      <c r="D450" s="31" t="str">
        <f>IFERROR(__xludf.DUMMYFUNCTION("""COMPUTED_VALUE"""),"性感染症検査,来院診療")</f>
        <v>性感染症検査,来院診療</v>
      </c>
      <c r="E450" s="32" t="str">
        <f>IFERROR(__xludf.DUMMYFUNCTION("""COMPUTED_VALUE"""),"https://luna-dr.com/subjects/std/")</f>
        <v>https://luna-dr.com/subjects/std/</v>
      </c>
    </row>
    <row r="451">
      <c r="A451" s="31" t="str">
        <f>IFERROR(__xludf.DUMMYFUNCTION("""COMPUTED_VALUE"""),"性感染症検査はオンライン診療でできますか？")</f>
        <v>性感染症検査はオンライン診療でできますか？</v>
      </c>
      <c r="B451" s="31" t="str">
        <f>IFERROR(__xludf.DUMMYFUNCTION("""COMPUTED_VALUE"""),"来院での検査を推奨しておりますが、病院に行く時間がない方には当院では、ご自宅で簡単に検査ができる郵送検査キット「FemCHECK（フェムチェック）」をご用意しています。Webサイトやお近くのクリニックで購入でき、クラミジアや淋菌などを調べることが可能です。万が一、陽性だった場合は、そのままオンライン診療でお薬を処方することもできますので、ぜひご活用ください。")</f>
        <v>来院での検査を推奨しておりますが、病院に行く時間がない方には当院では、ご自宅で簡単に検査ができる郵送検査キット「FemCHECK（フェムチェック）」をご用意しています。Webサイトやお近くのクリニックで購入でき、クラミジアや淋菌などを調べることが可能です。万が一、陽性だった場合は、そのままオンライン診療でお薬を処方することもできますので、ぜひご活用ください。</v>
      </c>
      <c r="C451" s="31" t="str">
        <f>IFERROR(__xludf.DUMMYFUNCTION("""COMPUTED_VALUE"""),"性感染症検査")</f>
        <v>性感染症検査</v>
      </c>
      <c r="D451" s="31" t="str">
        <f>IFERROR(__xludf.DUMMYFUNCTION("""COMPUTED_VALUE"""),"性感染症,オンライン診療,検査")</f>
        <v>性感染症,オンライン診療,検査</v>
      </c>
      <c r="E451" s="32" t="str">
        <f>IFERROR(__xludf.DUMMYFUNCTION("""COMPUTED_VALUE"""),"https://luna-dr.com/subjects/std/")</f>
        <v>https://luna-dr.com/subjects/std/</v>
      </c>
    </row>
    <row r="452">
      <c r="A452" s="31" t="str">
        <f>IFERROR(__xludf.DUMMYFUNCTION("""COMPUTED_VALUE"""),"性感染症検査は初診でも受けられますか？")</f>
        <v>性感染症検査は初診でも受けられますか？</v>
      </c>
      <c r="B452" s="31" t="str">
        <f>IFERROR(__xludf.DUMMYFUNCTION("""COMPUTED_VALUE"""),"はい。初診の方でも性感染症検査を受けていただけます。")</f>
        <v>はい。初診の方でも性感染症検査を受けていただけます。</v>
      </c>
      <c r="C452" s="31" t="str">
        <f>IFERROR(__xludf.DUMMYFUNCTION("""COMPUTED_VALUE"""),"性感染症検査")</f>
        <v>性感染症検査</v>
      </c>
      <c r="D452" s="31" t="str">
        <f>IFERROR(__xludf.DUMMYFUNCTION("""COMPUTED_VALUE"""),"性感染症検査,初診")</f>
        <v>性感染症検査,初診</v>
      </c>
      <c r="E452" s="32" t="str">
        <f>IFERROR(__xludf.DUMMYFUNCTION("""COMPUTED_VALUE"""),"https://luna-dr.com/subjects/std/")</f>
        <v>https://luna-dr.com/subjects/std/</v>
      </c>
    </row>
    <row r="453">
      <c r="A453" s="31" t="str">
        <f>IFERROR(__xludf.DUMMYFUNCTION("""COMPUTED_VALUE"""),"性感染症検査では内診がありますか？")</f>
        <v>性感染症検査では内診がありますか？</v>
      </c>
      <c r="B453" s="31" t="str">
        <f>IFERROR(__xludf.DUMMYFUNCTION("""COMPUTED_VALUE"""),"内診台にて、医師が声かけをしながら丁寧に検査を進めます。綿棒などでおりものや分泌物を採取しますが、痛みはほとんどありませんのでご安心ください。必要に応じて、うがいによる喉の検査も行います。
※梅毒やHIV、B型肝炎など、血液で調べる必要がある項目については、腕から採血を行います。")</f>
        <v>内診台にて、医師が声かけをしながら丁寧に検査を進めます。綿棒などでおりものや分泌物を採取しますが、痛みはほとんどありませんのでご安心ください。必要に応じて、うがいによる喉の検査も行います。
※梅毒やHIV、B型肝炎など、血液で調べる必要がある項目については、腕から採血を行います。</v>
      </c>
      <c r="C453" s="31" t="str">
        <f>IFERROR(__xludf.DUMMYFUNCTION("""COMPUTED_VALUE"""),"性感染症検査")</f>
        <v>性感染症検査</v>
      </c>
      <c r="D453" s="31" t="str">
        <f>IFERROR(__xludf.DUMMYFUNCTION("""COMPUTED_VALUE"""),"性感染症検査,内診")</f>
        <v>性感染症検査,内診</v>
      </c>
      <c r="E453" s="32" t="str">
        <f>IFERROR(__xludf.DUMMYFUNCTION("""COMPUTED_VALUE"""),"https://luna-dr.com/subjects/std/")</f>
        <v>https://luna-dr.com/subjects/std/</v>
      </c>
    </row>
    <row r="454">
      <c r="A454" s="31" t="str">
        <f>IFERROR(__xludf.DUMMYFUNCTION("""COMPUTED_VALUE"""),"性感染症検査当日はどこまで進みますか？")</f>
        <v>性感染症検査当日はどこまで進みますか？</v>
      </c>
      <c r="B454" s="31" t="str">
        <f>IFERROR(__xludf.DUMMYFUNCTION("""COMPUTED_VALUE"""),"当日は問診、検査（内診・採血など）まで行います。
検査結果は、項目によって判明する時期やご説明方法が異なります。
・Webで確認できる検査（約4日～10日後）▶ クラミジア、淋菌、トリコモナスなど
・ご来院いただき医師から説明する検査 ▶︎ 血液検査
万が一、陽性だった場合は、お薬の処方など、速やかに治療を開始します。パートナーの治療の重要性や、完治までの注意点もしっかりとご説明しますのでご安心ください。
結果が当日出ない検査もあり、その場合は後日ご案内します。")</f>
        <v>当日は問診、検査（内診・採血など）まで行います。
検査結果は、項目によって判明する時期やご説明方法が異なります。
・Webで確認できる検査（約4日～10日後）▶ クラミジア、淋菌、トリコモナスなど
・ご来院いただき医師から説明する検査 ▶︎ 血液検査
万が一、陽性だった場合は、お薬の処方など、速やかに治療を開始します。パートナーの治療の重要性や、完治までの注意点もしっかりとご説明しますのでご安心ください。
結果が当日出ない検査もあり、その場合は後日ご案内します。</v>
      </c>
      <c r="C454" s="31" t="str">
        <f>IFERROR(__xludf.DUMMYFUNCTION("""COMPUTED_VALUE"""),"性感染症検査")</f>
        <v>性感染症検査</v>
      </c>
      <c r="D454" s="31" t="str">
        <f>IFERROR(__xludf.DUMMYFUNCTION("""COMPUTED_VALUE"""),"性感染症検査,当日の流れ")</f>
        <v>性感染症検査,当日の流れ</v>
      </c>
      <c r="E454" s="32" t="str">
        <f>IFERROR(__xludf.DUMMYFUNCTION("""COMPUTED_VALUE"""),"https://luna-dr.com/subjects/std/")</f>
        <v>https://luna-dr.com/subjects/std/</v>
      </c>
    </row>
    <row r="455">
      <c r="A455" s="31" t="str">
        <f>IFERROR(__xludf.DUMMYFUNCTION("""COMPUTED_VALUE"""),"性感染症検査の費用はいくらくらいですか？")</f>
        <v>性感染症検査の費用はいくらくらいですか？</v>
      </c>
      <c r="B455" s="31" t="str">
        <f>IFERROR(__xludf.DUMMYFUNCTION("""COMPUTED_VALUE"""),"クラミジア・淋菌・カンジダ・HIV・梅毒・トリコモナス・B型肺炎・C型肺炎などは1項目5,000円（税込）が目安です。")</f>
        <v>クラミジア・淋菌・カンジダ・HIV・梅毒・トリコモナス・B型肺炎・C型肺炎などは1項目5,000円（税込）が目安です。</v>
      </c>
      <c r="C455" s="31" t="str">
        <f>IFERROR(__xludf.DUMMYFUNCTION("""COMPUTED_VALUE"""),"性感染症検査")</f>
        <v>性感染症検査</v>
      </c>
      <c r="D455" s="31" t="str">
        <f>IFERROR(__xludf.DUMMYFUNCTION("""COMPUTED_VALUE"""),"性感染症検査,費用")</f>
        <v>性感染症検査,費用</v>
      </c>
      <c r="E455" s="32" t="str">
        <f>IFERROR(__xludf.DUMMYFUNCTION("""COMPUTED_VALUE"""),"https://luna-dr.com/subjects/std/")</f>
        <v>https://luna-dr.com/subjects/std/</v>
      </c>
    </row>
    <row r="456">
      <c r="A456" s="31" t="str">
        <f>IFERROR(__xludf.DUMMYFUNCTION("""COMPUTED_VALUE"""),"クラミジア検査の費用はいくらですか？/クラミジアの治療費はいくらですか？/クラミジア陽性の治療費用")</f>
        <v>クラミジア検査の費用はいくらですか？/クラミジアの治療費はいくらですか？/クラミジア陽性の治療費用</v>
      </c>
      <c r="B456" s="31" t="str">
        <f>IFERROR(__xludf.DUMMYFUNCTION("""COMPUTED_VALUE"""),"ルナレディースクリニックでは、クラミジア検査は1項目あたり5,000円（税込）です。")</f>
        <v>ルナレディースクリニックでは、クラミジア検査は1項目あたり5,000円（税込）です。</v>
      </c>
      <c r="C456" s="31" t="str">
        <f>IFERROR(__xludf.DUMMYFUNCTION("""COMPUTED_VALUE"""),"性感染症検査")</f>
        <v>性感染症検査</v>
      </c>
      <c r="D456" s="31" t="str">
        <f>IFERROR(__xludf.DUMMYFUNCTION("""COMPUTED_VALUE"""),"クラミジア検査,性感染症検査,費用")</f>
        <v>クラミジア検査,性感染症検査,費用</v>
      </c>
      <c r="E456" s="32" t="str">
        <f>IFERROR(__xludf.DUMMYFUNCTION("""COMPUTED_VALUE"""),"https://luna-dr.com/subjects/std/")</f>
        <v>https://luna-dr.com/subjects/std/</v>
      </c>
    </row>
    <row r="457">
      <c r="A457" s="31" t="str">
        <f>IFERROR(__xludf.DUMMYFUNCTION("""COMPUTED_VALUE"""),"淋病（淋菌）検査の費用はいくらですか？/淋病の治療費用はいくらですか？")</f>
        <v>淋病（淋菌）検査の費用はいくらですか？/淋病の治療費用はいくらですか？</v>
      </c>
      <c r="B457" s="31" t="str">
        <f>IFERROR(__xludf.DUMMYFUNCTION("""COMPUTED_VALUE"""),"淋病（淋菌）の検査費用は1項目5,000円（税込）です。治療費用については、保険適用か自費かは医師の判断となります。自費の場合の治療費は18,700円（税込）です。ご予約は「一般婦人科診療」のメニューからお取りください。→https://cline-app.com/qr-codes/98ad6f149bfa20f4f2a9a2e91aac4187/preview")</f>
        <v>淋病（淋菌）の検査費用は1項目5,000円（税込）です。治療費用については、保険適用か自費かは医師の判断となります。自費の場合の治療費は18,700円（税込）です。ご予約は「一般婦人科診療」のメニューからお取りください。→https://cline-app.com/qr-codes/98ad6f149bfa20f4f2a9a2e91aac4187/preview</v>
      </c>
      <c r="C457" s="31" t="str">
        <f>IFERROR(__xludf.DUMMYFUNCTION("""COMPUTED_VALUE"""),"性感染症検査")</f>
        <v>性感染症検査</v>
      </c>
      <c r="D457" s="31" t="str">
        <f>IFERROR(__xludf.DUMMYFUNCTION("""COMPUTED_VALUE"""),"淋病検査,淋菌,性感染症検査,費用")</f>
        <v>淋病検査,淋菌,性感染症検査,費用</v>
      </c>
      <c r="E457" s="32" t="str">
        <f>IFERROR(__xludf.DUMMYFUNCTION("""COMPUTED_VALUE"""),"https://luna-dr.com/subjects/std/")</f>
        <v>https://luna-dr.com/subjects/std/</v>
      </c>
    </row>
    <row r="458">
      <c r="A458" s="31" t="str">
        <f>IFERROR(__xludf.DUMMYFUNCTION("""COMPUTED_VALUE"""),"カンジダ検査の費用はいくらですか？")</f>
        <v>カンジダ検査の費用はいくらですか？</v>
      </c>
      <c r="B458" s="31" t="str">
        <f>IFERROR(__xludf.DUMMYFUNCTION("""COMPUTED_VALUE"""),"カンジダ検査は1項目5,000円（税込）です。")</f>
        <v>カンジダ検査は1項目5,000円（税込）です。</v>
      </c>
      <c r="C458" s="31" t="str">
        <f>IFERROR(__xludf.DUMMYFUNCTION("""COMPUTED_VALUE"""),"性感染症検査")</f>
        <v>性感染症検査</v>
      </c>
      <c r="D458" s="31" t="str">
        <f>IFERROR(__xludf.DUMMYFUNCTION("""COMPUTED_VALUE"""),"カンジダ検査,膣カンジダ,性感染症検査,費用")</f>
        <v>カンジダ検査,膣カンジダ,性感染症検査,費用</v>
      </c>
      <c r="E458" s="32" t="str">
        <f>IFERROR(__xludf.DUMMYFUNCTION("""COMPUTED_VALUE"""),"https://luna-dr.com/subjects/std/")</f>
        <v>https://luna-dr.com/subjects/std/</v>
      </c>
    </row>
    <row r="459">
      <c r="A459" s="31" t="str">
        <f>IFERROR(__xludf.DUMMYFUNCTION("""COMPUTED_VALUE"""),"HIV検査の費用はいくらですか？")</f>
        <v>HIV検査の費用はいくらですか？</v>
      </c>
      <c r="B459" s="31" t="str">
        <f>IFERROR(__xludf.DUMMYFUNCTION("""COMPUTED_VALUE"""),"ルナレディースクリニックでは、HIV検査は5,000円（税込）で実施しています。")</f>
        <v>ルナレディースクリニックでは、HIV検査は5,000円（税込）で実施しています。</v>
      </c>
      <c r="C459" s="31" t="str">
        <f>IFERROR(__xludf.DUMMYFUNCTION("""COMPUTED_VALUE"""),"性感染症検査")</f>
        <v>性感染症検査</v>
      </c>
      <c r="D459" s="31" t="str">
        <f>IFERROR(__xludf.DUMMYFUNCTION("""COMPUTED_VALUE"""),"HIV検査,性感染症検査,費用")</f>
        <v>HIV検査,性感染症検査,費用</v>
      </c>
      <c r="E459" s="32" t="str">
        <f>IFERROR(__xludf.DUMMYFUNCTION("""COMPUTED_VALUE"""),"https://luna-dr.com/subjects/std/")</f>
        <v>https://luna-dr.com/subjects/std/</v>
      </c>
    </row>
    <row r="460">
      <c r="A460" s="31" t="str">
        <f>IFERROR(__xludf.DUMMYFUNCTION("""COMPUTED_VALUE"""),"B型肝炎検査の費用はいくらですか？")</f>
        <v>B型肝炎検査の費用はいくらですか？</v>
      </c>
      <c r="B460" s="31" t="str">
        <f>IFERROR(__xludf.DUMMYFUNCTION("""COMPUTED_VALUE"""),"B型肝炎検査は5,000円（税込）です。")</f>
        <v>B型肝炎検査は5,000円（税込）です。</v>
      </c>
      <c r="C460" s="31" t="str">
        <f>IFERROR(__xludf.DUMMYFUNCTION("""COMPUTED_VALUE"""),"性感染症検査")</f>
        <v>性感染症検査</v>
      </c>
      <c r="D460" s="31" t="str">
        <f>IFERROR(__xludf.DUMMYFUNCTION("""COMPUTED_VALUE"""),"B型肝炎検査,性感染症検査,費用")</f>
        <v>B型肝炎検査,性感染症検査,費用</v>
      </c>
      <c r="E460" s="32" t="str">
        <f>IFERROR(__xludf.DUMMYFUNCTION("""COMPUTED_VALUE"""),"https://luna-dr.com/subjects/std/")</f>
        <v>https://luna-dr.com/subjects/std/</v>
      </c>
    </row>
    <row r="461">
      <c r="A461" s="31" t="str">
        <f>IFERROR(__xludf.DUMMYFUNCTION("""COMPUTED_VALUE"""),"C型肝炎検査の費用はいくらですか？")</f>
        <v>C型肝炎検査の費用はいくらですか？</v>
      </c>
      <c r="B461" s="31" t="str">
        <f>IFERROR(__xludf.DUMMYFUNCTION("""COMPUTED_VALUE"""),"C型肝炎検査は1項目5,000円（税込）です。")</f>
        <v>C型肝炎検査は1項目5,000円（税込）です。</v>
      </c>
      <c r="C461" s="31" t="str">
        <f>IFERROR(__xludf.DUMMYFUNCTION("""COMPUTED_VALUE"""),"性感染症検査")</f>
        <v>性感染症検査</v>
      </c>
      <c r="D461" s="31" t="str">
        <f>IFERROR(__xludf.DUMMYFUNCTION("""COMPUTED_VALUE"""),"C型肝炎検査,性感染症検査,費用")</f>
        <v>C型肝炎検査,性感染症検査,費用</v>
      </c>
      <c r="E461" s="32" t="str">
        <f>IFERROR(__xludf.DUMMYFUNCTION("""COMPUTED_VALUE"""),"https://luna-dr.com/subjects/std/")</f>
        <v>https://luna-dr.com/subjects/std/</v>
      </c>
    </row>
    <row r="462">
      <c r="A462" s="31" t="str">
        <f>IFERROR(__xludf.DUMMYFUNCTION("""COMPUTED_VALUE"""),"梅毒検査の費用はいくらですか？")</f>
        <v>梅毒検査の費用はいくらですか？</v>
      </c>
      <c r="B462" s="31" t="str">
        <f>IFERROR(__xludf.DUMMYFUNCTION("""COMPUTED_VALUE"""),"梅毒検査は5,000円（税込）です。")</f>
        <v>梅毒検査は5,000円（税込）です。</v>
      </c>
      <c r="C462" s="31" t="str">
        <f>IFERROR(__xludf.DUMMYFUNCTION("""COMPUTED_VALUE"""),"性感染症検査")</f>
        <v>性感染症検査</v>
      </c>
      <c r="D462" s="31" t="str">
        <f>IFERROR(__xludf.DUMMYFUNCTION("""COMPUTED_VALUE"""),"梅毒検査,性感染症検査,費用")</f>
        <v>梅毒検査,性感染症検査,費用</v>
      </c>
      <c r="E462" s="32" t="str">
        <f>IFERROR(__xludf.DUMMYFUNCTION("""COMPUTED_VALUE"""),"https://luna-dr.com/subjects/std/")</f>
        <v>https://luna-dr.com/subjects/std/</v>
      </c>
    </row>
    <row r="463">
      <c r="A463" s="31" t="str">
        <f>IFERROR(__xludf.DUMMYFUNCTION("""COMPUTED_VALUE"""),"トリコモナス検査の費用はいくらですか？")</f>
        <v>トリコモナス検査の費用はいくらですか？</v>
      </c>
      <c r="B463" s="31" t="str">
        <f>IFERROR(__xludf.DUMMYFUNCTION("""COMPUTED_VALUE"""),"トリコモナス検査は1項目5,000円（税込）です。")</f>
        <v>トリコモナス検査は1項目5,000円（税込）です。</v>
      </c>
      <c r="C463" s="31" t="str">
        <f>IFERROR(__xludf.DUMMYFUNCTION("""COMPUTED_VALUE"""),"性感染症検査")</f>
        <v>性感染症検査</v>
      </c>
      <c r="D463" s="31" t="str">
        <f>IFERROR(__xludf.DUMMYFUNCTION("""COMPUTED_VALUE"""),"トリコモナス検査,性感染症検査,費用")</f>
        <v>トリコモナス検査,性感染症検査,費用</v>
      </c>
      <c r="E463" s="32" t="str">
        <f>IFERROR(__xludf.DUMMYFUNCTION("""COMPUTED_VALUE"""),"https://luna-dr.com/subjects/std/")</f>
        <v>https://luna-dr.com/subjects/std/</v>
      </c>
    </row>
    <row r="464">
      <c r="A464" s="31" t="str">
        <f>IFERROR(__xludf.DUMMYFUNCTION("""COMPUTED_VALUE"""),"性感染症検査の結果が出た後はどうなりますか？")</f>
        <v>性感染症検査の結果が出た後はどうなりますか？</v>
      </c>
      <c r="B464" s="31" t="str">
        <f>IFERROR(__xludf.DUMMYFUNCTION("""COMPUTED_VALUE"""),"万が一、陽性だった場合は、お薬の処方など、速やかに治療を開始します。パートナーの治療の重要性や、完治までの注意点もしっかりとご説明しますのでご安心ください。")</f>
        <v>万が一、陽性だった場合は、お薬の処方など、速やかに治療を開始します。パートナーの治療の重要性や、完治までの注意点もしっかりとご説明しますのでご安心ください。</v>
      </c>
      <c r="C464" s="31" t="str">
        <f>IFERROR(__xludf.DUMMYFUNCTION("""COMPUTED_VALUE"""),"性感染症検査")</f>
        <v>性感染症検査</v>
      </c>
      <c r="D464" s="31" t="str">
        <f>IFERROR(__xludf.DUMMYFUNCTION("""COMPUTED_VALUE"""),"性感染症検査,治療")</f>
        <v>性感染症検査,治療</v>
      </c>
      <c r="E464" s="32" t="str">
        <f>IFERROR(__xludf.DUMMYFUNCTION("""COMPUTED_VALUE"""),"https://luna-dr.com/subjects/std/")</f>
        <v>https://luna-dr.com/subjects/std/</v>
      </c>
    </row>
    <row r="465">
      <c r="A465" s="31" t="str">
        <f>IFERROR(__xludf.DUMMYFUNCTION("""COMPUTED_VALUE"""),"パートナーも検査や治療が必要ですか？")</f>
        <v>パートナーも検査や治療が必要ですか？</v>
      </c>
      <c r="B465" s="31" t="str">
        <f>IFERROR(__xludf.DUMMYFUNCTION("""COMPUTED_VALUE"""),"性感染症と診断された場合、再感染を防ぐためパートナーも検査・治療を受けることが重要です。")</f>
        <v>性感染症と診断された場合、再感染を防ぐためパートナーも検査・治療を受けることが重要です。</v>
      </c>
      <c r="C465" s="31" t="str">
        <f>IFERROR(__xludf.DUMMYFUNCTION("""COMPUTED_VALUE"""),"性感染症検査")</f>
        <v>性感染症検査</v>
      </c>
      <c r="D465" s="31" t="str">
        <f>IFERROR(__xludf.DUMMYFUNCTION("""COMPUTED_VALUE"""),"性感染症,パートナー,治療")</f>
        <v>性感染症,パートナー,治療</v>
      </c>
      <c r="E465" s="32" t="str">
        <f>IFERROR(__xludf.DUMMYFUNCTION("""COMPUTED_VALUE"""),"https://luna-dr.com/subjects/std/")</f>
        <v>https://luna-dr.com/subjects/std/</v>
      </c>
    </row>
    <row r="466">
      <c r="A466" s="31" t="str">
        <f>IFERROR(__xludf.DUMMYFUNCTION("""COMPUTED_VALUE"""),"性感染症検査はどうやって予約しますか？")</f>
        <v>性感染症検査はどうやって予約しますか？</v>
      </c>
      <c r="B466" s="31" t="str">
        <f>IFERROR(__xludf.DUMMYFUNCTION("""COMPUTED_VALUE"""),"性感染症検査のご予約は公式LINEから24時間いつでも受け付けています。「一般婦人科診療」のメニューからお取りください。→https://cline-app.com/qr-codes/98ad6f149bfa20f4f2a9a2e91aac4187/preview")</f>
        <v>性感染症検査のご予約は公式LINEから24時間いつでも受け付けています。「一般婦人科診療」のメニューからお取りください。→https://cline-app.com/qr-codes/98ad6f149bfa20f4f2a9a2e91aac4187/preview</v>
      </c>
      <c r="C466" s="31" t="str">
        <f>IFERROR(__xludf.DUMMYFUNCTION("""COMPUTED_VALUE"""),"性感染症検査")</f>
        <v>性感染症検査</v>
      </c>
      <c r="D466" s="31" t="str">
        <f>IFERROR(__xludf.DUMMYFUNCTION("""COMPUTED_VALUE"""),"予約方法,LINE,電話,性感染症")</f>
        <v>予約方法,LINE,電話,性感染症</v>
      </c>
      <c r="E466" s="32" t="str">
        <f>IFERROR(__xludf.DUMMYFUNCTION("""COMPUTED_VALUE"""),"https://luna-dr.com/subjects/std/")</f>
        <v>https://luna-dr.com/subjects/std/</v>
      </c>
    </row>
    <row r="467">
      <c r="A467" s="31" t="str">
        <f>IFERROR(__xludf.DUMMYFUNCTION("""COMPUTED_VALUE"""),"性感染症検査はLINEから予約できますか？")</f>
        <v>性感染症検査はLINEから予約できますか？</v>
      </c>
      <c r="B467" s="31" t="str">
        <f>IFERROR(__xludf.DUMMYFUNCTION("""COMPUTED_VALUE"""),"性感染症検査のご予約は公式LINEから24時間いつでも受け付けています。「一般婦人科診療」のメニューからお取りください。→https://cline-app.com/qr-codes/98ad6f149bfa20f4f2a9a2e91aac4187/preview")</f>
        <v>性感染症検査のご予約は公式LINEから24時間いつでも受け付けています。「一般婦人科診療」のメニューからお取りください。→https://cline-app.com/qr-codes/98ad6f149bfa20f4f2a9a2e91aac4187/preview</v>
      </c>
      <c r="C467" s="31" t="str">
        <f>IFERROR(__xludf.DUMMYFUNCTION("""COMPUTED_VALUE"""),"性感染症検査")</f>
        <v>性感染症検査</v>
      </c>
      <c r="D467" s="31" t="str">
        <f>IFERROR(__xludf.DUMMYFUNCTION("""COMPUTED_VALUE"""),"LINE予約,婦人科予約,性感染症")</f>
        <v>LINE予約,婦人科予約,性感染症</v>
      </c>
      <c r="E467" s="32" t="str">
        <f>IFERROR(__xludf.DUMMYFUNCTION("""COMPUTED_VALUE"""),"https://luna-dr.com/subjects/std/")</f>
        <v>https://luna-dr.com/subjects/std/</v>
      </c>
    </row>
    <row r="468">
      <c r="A468" s="31" t="str">
        <f>IFERROR(__xludf.DUMMYFUNCTION("""COMPUTED_VALUE"""),"性感染症検査は電話でも予約できますか？")</f>
        <v>性感染症検査は電話でも予約できますか？</v>
      </c>
      <c r="B468" s="31" t="str">
        <f>IFERROR(__xludf.DUMMYFUNCTION("""COMPUTED_VALUE"""),"LINEでの予約後、事前問診等もLINEから行うことができ、スムーズに受診ができるため、当院ではLINEでのご予約を推奨しております。
ご予約は「一般婦人科診療」のメニューからお取りください。→https://cline-app.com/qr-codes/98ad6f149bfa20f4f2a9a2e91aac4187/preview")</f>
        <v>LINEでの予約後、事前問診等もLINEから行うことができ、スムーズに受診ができるため、当院ではLINEでのご予約を推奨しております。
ご予約は「一般婦人科診療」のメニューからお取りください。→https://cline-app.com/qr-codes/98ad6f149bfa20f4f2a9a2e91aac4187/preview</v>
      </c>
      <c r="C468" s="31" t="str">
        <f>IFERROR(__xludf.DUMMYFUNCTION("""COMPUTED_VALUE"""),"性感染症検査")</f>
        <v>性感染症検査</v>
      </c>
      <c r="D468" s="31" t="str">
        <f>IFERROR(__xludf.DUMMYFUNCTION("""COMPUTED_VALUE"""),"電話予約,問い合わせ,性感染症")</f>
        <v>電話予約,問い合わせ,性感染症</v>
      </c>
      <c r="E468" s="32" t="str">
        <f>IFERROR(__xludf.DUMMYFUNCTION("""COMPUTED_VALUE"""),"https://luna-dr.com/subjects/std/")</f>
        <v>https://luna-dr.com/subjects/std/</v>
      </c>
    </row>
    <row r="469">
      <c r="A469" s="31" t="str">
        <f>IFERROR(__xludf.DUMMYFUNCTION("""COMPUTED_VALUE"""),"性感染症検査の予約前に準備しておくことはありますか？")</f>
        <v>性感染症検査の予約前に準備しておくことはありますか？</v>
      </c>
      <c r="B469" s="31" t="str">
        <f>IFERROR(__xludf.DUMMYFUNCTION("""COMPUTED_VALUE"""),"ルナレディースクリニックでは、診察前にWEB問診の入力をお願いしています。事前にご入力いただくと診察がスムーズです。")</f>
        <v>ルナレディースクリニックでは、診察前にWEB問診の入力をお願いしています。事前にご入力いただくと診察がスムーズです。</v>
      </c>
      <c r="C469" s="31" t="str">
        <f>IFERROR(__xludf.DUMMYFUNCTION("""COMPUTED_VALUE"""),"性感染症検査")</f>
        <v>性感染症検査</v>
      </c>
      <c r="D469" s="31" t="str">
        <f>IFERROR(__xludf.DUMMYFUNCTION("""COMPUTED_VALUE"""),"WEB問診,事前準備,性感染症")</f>
        <v>WEB問診,事前準備,性感染症</v>
      </c>
      <c r="E469" s="32" t="str">
        <f>IFERROR(__xludf.DUMMYFUNCTION("""COMPUTED_VALUE"""),"https://luna-dr.com/subjects/std/")</f>
        <v>https://luna-dr.com/subjects/std/</v>
      </c>
    </row>
    <row r="470">
      <c r="A470" s="31" t="str">
        <f>IFERROR(__xludf.DUMMYFUNCTION("""COMPUTED_VALUE"""),"性感染症検査は初診でも予約できますか？")</f>
        <v>性感染症検査は初診でも予約できますか？</v>
      </c>
      <c r="B470" s="31" t="str">
        <f>IFERROR(__xludf.DUMMYFUNCTION("""COMPUTED_VALUE"""),"性感染症検査はは初診の方もご予約いただけます。ご予約は公式LINEから受け付けておりますので、友だち追加の上ご利用ください。
ご予約は「一般婦人科診療」のメニューからお取りください。→https://cline-app.com/qr-codes/98ad6f149bfa20f4f2a9a2e91aac4187/preview")</f>
        <v>性感染症検査はは初診の方もご予約いただけます。ご予約は公式LINEから受け付けておりますので、友だち追加の上ご利用ください。
ご予約は「一般婦人科診療」のメニューからお取りください。→https://cline-app.com/qr-codes/98ad6f149bfa20f4f2a9a2e91aac4187/preview</v>
      </c>
      <c r="C470" s="31" t="str">
        <f>IFERROR(__xludf.DUMMYFUNCTION("""COMPUTED_VALUE"""),"性感染症検査")</f>
        <v>性感染症検査</v>
      </c>
      <c r="D470" s="31" t="str">
        <f>IFERROR(__xludf.DUMMYFUNCTION("""COMPUTED_VALUE"""),"初診,予約,性感染症")</f>
        <v>初診,予約,性感染症</v>
      </c>
      <c r="E470" s="32" t="str">
        <f>IFERROR(__xludf.DUMMYFUNCTION("""COMPUTED_VALUE"""),"https://luna-dr.com/subjects/std/")</f>
        <v>https://luna-dr.com/subjects/std/</v>
      </c>
    </row>
    <row r="471">
      <c r="A471" s="31" t="str">
        <f>IFERROR(__xludf.DUMMYFUNCTION("""COMPUTED_VALUE"""),"性感染症検査は来院とオンライン、どちらで予約できますか？")</f>
        <v>性感染症検査は来院とオンライン、どちらで予約できますか？</v>
      </c>
      <c r="B471" s="31" t="str">
        <f>IFERROR(__xludf.DUMMYFUNCTION("""COMPUTED_VALUE"""),"ルナレディースクリニックでは、性感染症検査のご相談は来院診療のみで承っています。
ご予約は「一般婦人科診療」のメニューからお取りください。→https://cline-app.com/qr-codes/98ad6f149bfa20f4f2a9a2e91aac4187/preview")</f>
        <v>ルナレディースクリニックでは、性感染症検査のご相談は来院診療のみで承っています。
ご予約は「一般婦人科診療」のメニューからお取りください。→https://cline-app.com/qr-codes/98ad6f149bfa20f4f2a9a2e91aac4187/preview</v>
      </c>
      <c r="C471" s="31" t="str">
        <f>IFERROR(__xludf.DUMMYFUNCTION("""COMPUTED_VALUE"""),"性感染症検査")</f>
        <v>性感染症検査</v>
      </c>
      <c r="D471" s="31" t="str">
        <f>IFERROR(__xludf.DUMMYFUNCTION("""COMPUTED_VALUE"""),"来院診療,オンライン診療,性感染症")</f>
        <v>来院診療,オンライン診療,性感染症</v>
      </c>
      <c r="E471" s="32" t="str">
        <f>IFERROR(__xludf.DUMMYFUNCTION("""COMPUTED_VALUE"""),"https://luna-dr.com/subjects/std/")</f>
        <v>https://luna-dr.com/subjects/std/</v>
      </c>
    </row>
    <row r="472">
      <c r="A472" s="31" t="str">
        <f>IFERROR(__xludf.DUMMYFUNCTION("""COMPUTED_VALUE"""),"予約なしでも性感染症検査は受けられますか？")</f>
        <v>予約なしでも性感染症検査は受けられますか？</v>
      </c>
      <c r="B472" s="31" t="str">
        <f>IFERROR(__xludf.DUMMYFUNCTION("""COMPUTED_VALUE"""),"直接のご来院でも可能ですが、待ち時間が発生する場合があります。事前にご予約をいただくことでスムーズに診察に進むことができます。
ご予約は公式LINEから24時間いつでも受け付けています。「一般婦人科診療」のメニューからお取りください。→https://cline-app.com/qr-codes/98ad6f149bfa20f4f2a9a2e91aac4187/preview")</f>
        <v>直接のご来院でも可能ですが、待ち時間が発生する場合があります。事前にご予約をいただくことでスムーズに診察に進むことができます。
ご予約は公式LINEから24時間いつでも受け付けています。「一般婦人科診療」のメニューからお取りください。→https://cline-app.com/qr-codes/98ad6f149bfa20f4f2a9a2e91aac4187/preview</v>
      </c>
      <c r="C472" s="31" t="str">
        <f>IFERROR(__xludf.DUMMYFUNCTION("""COMPUTED_VALUE"""),"性感染症検査")</f>
        <v>性感染症検査</v>
      </c>
      <c r="D472" s="31" t="str">
        <f>IFERROR(__xludf.DUMMYFUNCTION("""COMPUTED_VALUE"""),"性感染症検査,予約なし")</f>
        <v>性感染症検査,予約なし</v>
      </c>
      <c r="E472" s="32" t="str">
        <f>IFERROR(__xludf.DUMMYFUNCTION("""COMPUTED_VALUE"""),"https://luna-dr.com/subjects/std/")</f>
        <v>https://luna-dr.com/subjects/std/</v>
      </c>
    </row>
    <row r="473">
      <c r="A473" s="31" t="str">
        <f>IFERROR(__xludf.DUMMYFUNCTION("""COMPUTED_VALUE"""),"性感染症検査後に相談はできますか？")</f>
        <v>性感染症検査後に相談はできますか？</v>
      </c>
      <c r="B473" s="31" t="str">
        <f>IFERROR(__xludf.DUMMYFUNCTION("""COMPUTED_VALUE"""),"検査結果や治療後の不安について、診察や相談が可能です。")</f>
        <v>検査結果や治療後の不安について、診察や相談が可能です。</v>
      </c>
      <c r="C473" s="31" t="str">
        <f>IFERROR(__xludf.DUMMYFUNCTION("""COMPUTED_VALUE"""),"性感染症検査")</f>
        <v>性感染症検査</v>
      </c>
      <c r="D473" s="31" t="str">
        <f>IFERROR(__xludf.DUMMYFUNCTION("""COMPUTED_VALUE"""),"性感染症検査,アフターケア,相談")</f>
        <v>性感染症検査,アフターケア,相談</v>
      </c>
      <c r="E473" s="32" t="str">
        <f>IFERROR(__xludf.DUMMYFUNCTION("""COMPUTED_VALUE"""),"https://luna-dr.com/subjects/std/")</f>
        <v>https://luna-dr.com/subjects/std/</v>
      </c>
    </row>
    <row r="474">
      <c r="A474" s="31" t="str">
        <f>IFERROR(__xludf.DUMMYFUNCTION("""COMPUTED_VALUE"""),"性感染症検査の診察・検査の流れを教えてください")</f>
        <v>性感染症検査の診察・検査の流れを教えてください</v>
      </c>
      <c r="B474" s="31" t="str">
        <f>IFERROR(__xludf.DUMMYFUNCTION("""COMPUTED_VALUE"""),"ルナレディースクリニックの性感染症検査は以下の流れで行います。①公式LINEでご予約・ご来院いただき、WEB問診に症状をご入力ください。②医師が症状や心配な点を詳しく確認し、必要な検査項目をご説明します。③内診台でおりものや分泌物を採取します。④必要に応じて採血を行います。⑤検査結果をご説明し、陽性の場合は速やかに治療を開始します。")</f>
        <v>ルナレディースクリニックの性感染症検査は以下の流れで行います。①公式LINEでご予約・ご来院いただき、WEB問診に症状をご入力ください。②医師が症状や心配な点を詳しく確認し、必要な検査項目をご説明します。③内診台でおりものや分泌物を採取します。④必要に応じて採血を行います。⑤検査結果をご説明し、陽性の場合は速やかに治療を開始します。</v>
      </c>
      <c r="C474" s="31" t="str">
        <f>IFERROR(__xludf.DUMMYFUNCTION("""COMPUTED_VALUE"""),"性感染症検査")</f>
        <v>性感染症検査</v>
      </c>
      <c r="D474" s="31" t="str">
        <f>IFERROR(__xludf.DUMMYFUNCTION("""COMPUTED_VALUE"""),"性感染症検査,診察の流れ,検査の流れ")</f>
        <v>性感染症検査,診察の流れ,検査の流れ</v>
      </c>
      <c r="E474" s="32" t="str">
        <f>IFERROR(__xludf.DUMMYFUNCTION("""COMPUTED_VALUE"""),"https://luna-dr.com/subjects/std/")</f>
        <v>https://luna-dr.com/subjects/std/</v>
      </c>
    </row>
    <row r="475">
      <c r="A475" s="31" t="str">
        <f>IFERROR(__xludf.DUMMYFUNCTION("""COMPUTED_VALUE"""),"性感染症検査の診察では何を聞かれますか？")</f>
        <v>性感染症検査の診察では何を聞かれますか？</v>
      </c>
      <c r="B475" s="31" t="str">
        <f>IFERROR(__xludf.DUMMYFUNCTION("""COMPUTED_VALUE"""),"診察では、症状が出始めた時期、内容、心配な性行為の有無、パートナーの状況、過去の性感染症歴などを確認します。その上で、必要な検査項目をご説明します。")</f>
        <v>診察では、症状が出始めた時期、内容、心配な性行為の有無、パートナーの状況、過去の性感染症歴などを確認します。その上で、必要な検査項目をご説明します。</v>
      </c>
      <c r="C475" s="31" t="str">
        <f>IFERROR(__xludf.DUMMYFUNCTION("""COMPUTED_VALUE"""),"性感染症検査")</f>
        <v>性感染症検査</v>
      </c>
      <c r="D475" s="31" t="str">
        <f>IFERROR(__xludf.DUMMYFUNCTION("""COMPUTED_VALUE"""),"性感染症検査,問診内容")</f>
        <v>性感染症検査,問診内容</v>
      </c>
      <c r="E475" s="32" t="str">
        <f>IFERROR(__xludf.DUMMYFUNCTION("""COMPUTED_VALUE"""),"https://luna-dr.com/subjects/std/")</f>
        <v>https://luna-dr.com/subjects/std/</v>
      </c>
    </row>
    <row r="476">
      <c r="A476" s="31" t="str">
        <f>IFERROR(__xludf.DUMMYFUNCTION("""COMPUTED_VALUE"""),"性感染症検査で採血はありますか？")</f>
        <v>性感染症検査で採血はありますか？</v>
      </c>
      <c r="B476" s="31" t="str">
        <f>IFERROR(__xludf.DUMMYFUNCTION("""COMPUTED_VALUE"""),"梅毒、HIV、B型肝炎などは血液検査が必要なため、腕から採血を行います。必要な検査項目は診察時に医師が判断します。")</f>
        <v>梅毒、HIV、B型肝炎などは血液検査が必要なため、腕から採血を行います。必要な検査項目は診察時に医師が判断します。</v>
      </c>
      <c r="C476" s="31" t="str">
        <f>IFERROR(__xludf.DUMMYFUNCTION("""COMPUTED_VALUE"""),"性感染症検査")</f>
        <v>性感染症検査</v>
      </c>
      <c r="D476" s="31" t="str">
        <f>IFERROR(__xludf.DUMMYFUNCTION("""COMPUTED_VALUE"""),"性感染症検査,採血,血液検査")</f>
        <v>性感染症検査,採血,血液検査</v>
      </c>
      <c r="E476" s="32" t="str">
        <f>IFERROR(__xludf.DUMMYFUNCTION("""COMPUTED_VALUE"""),"https://luna-dr.com/subjects/std/")</f>
        <v>https://luna-dr.com/subjects/std/</v>
      </c>
    </row>
    <row r="477">
      <c r="A477" s="31" t="str">
        <f>IFERROR(__xludf.DUMMYFUNCTION("""COMPUTED_VALUE"""),"性感染症検査の結果はいつわかりますか？カンジダ検査は即日でわかりますか？/カンジダの結果はすぐ出ますか？")</f>
        <v>性感染症検査の結果はいつわかりますか？カンジダ検査は即日でわかりますか？/カンジダの結果はすぐ出ますか？</v>
      </c>
      <c r="B477" s="31" t="str">
        <f>IFERROR(__xludf.DUMMYFUNCTION("""COMPUTED_VALUE"""),"検査結果は、項目によって判明する時期やご説明方法が異なります。
クラミジア・淋菌・マイコプラズマなどは約4～10日後にWebで確認できます。血液検査はご来院時に医師から直接結果をご説明します。")</f>
        <v>検査結果は、項目によって判明する時期やご説明方法が異なります。
クラミジア・淋菌・マイコプラズマなどは約4～10日後にWebで確認できます。血液検査はご来院時に医師から直接結果をご説明します。</v>
      </c>
      <c r="C477" s="31" t="str">
        <f>IFERROR(__xludf.DUMMYFUNCTION("""COMPUTED_VALUE"""),"性感染症検査")</f>
        <v>性感染症検査</v>
      </c>
      <c r="D477" s="31" t="str">
        <f>IFERROR(__xludf.DUMMYFUNCTION("""COMPUTED_VALUE"""),"性感染症検査,結果,判明時期")</f>
        <v>性感染症検査,結果,判明時期</v>
      </c>
      <c r="E477" s="32" t="str">
        <f>IFERROR(__xludf.DUMMYFUNCTION("""COMPUTED_VALUE"""),"https://luna-dr.com/subjects/std/")</f>
        <v>https://luna-dr.com/subjects/std/</v>
      </c>
    </row>
    <row r="478">
      <c r="A478" s="31" t="str">
        <f>IFERROR(__xludf.DUMMYFUNCTION("""COMPUTED_VALUE"""),"性感染症検査で陽性だった場合はどうなりますか？")</f>
        <v>性感染症検査で陽性だった場合はどうなりますか？</v>
      </c>
      <c r="B478" s="31" t="str">
        <f>IFERROR(__xludf.DUMMYFUNCTION("""COMPUTED_VALUE"""),"陽性の場合は、お薬の処方など速やかに治療を開始します。パートナーの治療の必要性や、完治までの注意点も医師が詳しくご説明します。")</f>
        <v>陽性の場合は、お薬の処方など速やかに治療を開始します。パートナーの治療の必要性や、完治までの注意点も医師が詳しくご説明します。</v>
      </c>
      <c r="C478" s="31" t="str">
        <f>IFERROR(__xludf.DUMMYFUNCTION("""COMPUTED_VALUE"""),"性感染症検査")</f>
        <v>性感染症検査</v>
      </c>
      <c r="D478" s="31" t="str">
        <f>IFERROR(__xludf.DUMMYFUNCTION("""COMPUTED_VALUE"""),"性感染症検査,陽性,治療")</f>
        <v>性感染症検査,陽性,治療</v>
      </c>
      <c r="E478" s="32" t="str">
        <f>IFERROR(__xludf.DUMMYFUNCTION("""COMPUTED_VALUE"""),"https://luna-dr.com/subjects/std/")</f>
        <v>https://luna-dr.com/subjects/std/</v>
      </c>
    </row>
    <row r="479">
      <c r="A479" s="31" t="str">
        <f>IFERROR(__xludf.DUMMYFUNCTION("""COMPUTED_VALUE"""),"性感染症検査に痛みはありますか？")</f>
        <v>性感染症検査に痛みはありますか？</v>
      </c>
      <c r="B479" s="31" t="str">
        <f>IFERROR(__xludf.DUMMYFUNCTION("""COMPUTED_VALUE"""),"内診台での検査は、綿棒でおりものをぬぐう程度ですので、強い痛みを感じることはほとんどありません。リラックスできるよう丁寧な声かけを心がけておりますので、ご安心ください。")</f>
        <v>内診台での検査は、綿棒でおりものをぬぐう程度ですので、強い痛みを感じることはほとんどありません。リラックスできるよう丁寧な声かけを心がけておりますので、ご安心ください。</v>
      </c>
      <c r="C479" s="31" t="str">
        <f>IFERROR(__xludf.DUMMYFUNCTION("""COMPUTED_VALUE"""),"性感染症検査")</f>
        <v>性感染症検査</v>
      </c>
      <c r="D479" s="31" t="str">
        <f>IFERROR(__xludf.DUMMYFUNCTION("""COMPUTED_VALUE"""),"性感染症検査,痛み,内診")</f>
        <v>性感染症検査,痛み,内診</v>
      </c>
      <c r="E479" s="32" t="str">
        <f>IFERROR(__xludf.DUMMYFUNCTION("""COMPUTED_VALUE"""),"https://luna-dr.com/subjects/std/")</f>
        <v>https://luna-dr.com/subjects/std/</v>
      </c>
    </row>
    <row r="480">
      <c r="A480" s="31" t="str">
        <f>IFERROR(__xludf.DUMMYFUNCTION("""COMPUTED_VALUE"""),"症状がなくても性感染症検査は受けられますか？")</f>
        <v>症状がなくても性感染症検査は受けられますか？</v>
      </c>
      <c r="B480" s="31" t="str">
        <f>IFERROR(__xludf.DUMMYFUNCTION("""COMPUTED_VALUE"""),"可能です。性感染症は自覚症状がない場合も多いため、ご不安な方や、パートナーが変わったタイミングなどで検査を受けていただくことは非常に重要です。その場合は、自費診療となります。")</f>
        <v>可能です。性感染症は自覚症状がない場合も多いため、ご不安な方や、パートナーが変わったタイミングなどで検査を受けていただくことは非常に重要です。その場合は、自費診療となります。</v>
      </c>
      <c r="C480" s="31" t="str">
        <f>IFERROR(__xludf.DUMMYFUNCTION("""COMPUTED_VALUE"""),"性感染症検査")</f>
        <v>性感染症検査</v>
      </c>
      <c r="D480" s="31" t="str">
        <f>IFERROR(__xludf.DUMMYFUNCTION("""COMPUTED_VALUE"""),"性感染症検査,無症状,自費診療")</f>
        <v>性感染症検査,無症状,自費診療</v>
      </c>
      <c r="E480" s="32" t="str">
        <f>IFERROR(__xludf.DUMMYFUNCTION("""COMPUTED_VALUE"""),"https://luna-dr.com/subjects/std/")</f>
        <v>https://luna-dr.com/subjects/std/</v>
      </c>
    </row>
    <row r="481">
      <c r="A481" s="31" t="str">
        <f>IFERROR(__xludf.DUMMYFUNCTION("""COMPUTED_VALUE"""),"性感染症検査はパートナーも一緒に検査を受けたほうがいいですか？")</f>
        <v>性感染症検査はパートナーも一緒に検査を受けたほうがいいですか？</v>
      </c>
      <c r="B481" s="31" t="str">
        <f>IFERROR(__xludf.DUMMYFUNCTION("""COMPUTED_VALUE"""),"パートナーとの検査を強くお勧めします。どちらか一方が治療しても、パートナーが感染したままだと再びうつし合ってしまう「ピンポン感染」に陥ってしまいます。ご自身に陽性が見つかった場合は、必ずパートナーにも検査と治療を受けていただくようお伝えください。当院ではオンラインのみ取り扱う男性向けの郵送検査キット「STDチェック」もご用意しております。")</f>
        <v>パートナーとの検査を強くお勧めします。どちらか一方が治療しても、パートナーが感染したままだと再びうつし合ってしまう「ピンポン感染」に陥ってしまいます。ご自身に陽性が見つかった場合は、必ずパートナーにも検査と治療を受けていただくようお伝えください。当院ではオンラインのみ取り扱う男性向けの郵送検査キット「STDチェック」もご用意しております。</v>
      </c>
      <c r="C481" s="31" t="str">
        <f>IFERROR(__xludf.DUMMYFUNCTION("""COMPUTED_VALUE"""),"性感染症検査")</f>
        <v>性感染症検査</v>
      </c>
      <c r="D481" s="31" t="str">
        <f>IFERROR(__xludf.DUMMYFUNCTION("""COMPUTED_VALUE"""),"性感染症検査,パートナー,ピンポン感染")</f>
        <v>性感染症検査,パートナー,ピンポン感染</v>
      </c>
      <c r="E481" s="32" t="str">
        <f>IFERROR(__xludf.DUMMYFUNCTION("""COMPUTED_VALUE"""),"https://luna-dr.com/subjects/std/")</f>
        <v>https://luna-dr.com/subjects/std/</v>
      </c>
    </row>
    <row r="482">
      <c r="A482" s="31" t="str">
        <f>IFERROR(__xludf.DUMMYFUNCTION("""COMPUTED_VALUE"""),"性病検査を受けたいけれど、忙しくて来院できない場合はどうすればいいですか？")</f>
        <v>性病検査を受けたいけれど、忙しくて来院できない場合はどうすればいいですか？</v>
      </c>
      <c r="B482" s="31" t="str">
        <f>IFERROR(__xludf.DUMMYFUNCTION("""COMPUTED_VALUE"""),"当院では、ご自宅で簡単に検査ができる郵送検査キット「FemCHECK（フェムチェック）」をご用意しています。Webサイトやお近くのクリニックで購入でき、クラミジアや淋菌などを調べることが可能です。万が一、陽性だった場合は、そのままオンライン診療でお薬を処方することもできますので、ぜひご活用ください。")</f>
        <v>当院では、ご自宅で簡単に検査ができる郵送検査キット「FemCHECK（フェムチェック）」をご用意しています。Webサイトやお近くのクリニックで購入でき、クラミジアや淋菌などを調べることが可能です。万が一、陽性だった場合は、そのままオンライン診療でお薬を処方することもできますので、ぜひご活用ください。</v>
      </c>
      <c r="C482" s="31" t="str">
        <f>IFERROR(__xludf.DUMMYFUNCTION("""COMPUTED_VALUE"""),"性感染症検査")</f>
        <v>性感染症検査</v>
      </c>
      <c r="D482" s="31" t="str">
        <f>IFERROR(__xludf.DUMMYFUNCTION("""COMPUTED_VALUE"""),"性感染症検査,郵送検査,FemCHECK")</f>
        <v>性感染症検査,郵送検査,FemCHECK</v>
      </c>
      <c r="E482" s="32" t="str">
        <f>IFERROR(__xludf.DUMMYFUNCTION("""COMPUTED_VALUE"""),"https://luna-dr.com/subjects/std/")</f>
        <v>https://luna-dr.com/subjects/std/</v>
      </c>
    </row>
    <row r="483">
      <c r="A483" s="31" t="str">
        <f>IFERROR(__xludf.DUMMYFUNCTION("""COMPUTED_VALUE"""),"性感染症はきちんと治りますか？")</f>
        <v>性感染症はきちんと治りますか？</v>
      </c>
      <c r="B483" s="31" t="str">
        <f>IFERROR(__xludf.DUMMYFUNCTION("""COMPUTED_VALUE"""),"ほとんどの性感染症は、お薬を正しく服用・使用することで完治します。例えばクラミジアの場合、1回の服用で治療できるお薬もあります。大切なのは、医師の指示通りに最後まで治療をやりきることと、治癒したことを確認する検査まできちんと受けることです。私たちが責任をもってサポートします。")</f>
        <v>ほとんどの性感染症は、お薬を正しく服用・使用することで完治します。例えばクラミジアの場合、1回の服用で治療できるお薬もあります。大切なのは、医師の指示通りに最後まで治療をやりきることと、治癒したことを確認する検査まできちんと受けることです。私たちが責任をもってサポートします。</v>
      </c>
      <c r="C483" s="31" t="str">
        <f>IFERROR(__xludf.DUMMYFUNCTION("""COMPUTED_VALUE"""),"性感染症検査")</f>
        <v>性感染症検査</v>
      </c>
      <c r="D483" s="31" t="str">
        <f>IFERROR(__xludf.DUMMYFUNCTION("""COMPUTED_VALUE"""),"性感染症,完治,治療")</f>
        <v>性感染症,完治,治療</v>
      </c>
      <c r="E483" s="32" t="str">
        <f>IFERROR(__xludf.DUMMYFUNCTION("""COMPUTED_VALUE"""),"https://luna-dr.com/subjects/std/")</f>
        <v>https://luna-dr.com/subjects/std/</v>
      </c>
    </row>
    <row r="484">
      <c r="A484" s="31" t="str">
        <f>IFERROR(__xludf.DUMMYFUNCTION("""COMPUTED_VALUE"""),"妊娠したかもしれない場合、いつ受診すればいいですか？")</f>
        <v>妊娠したかもしれない場合、いつ受診すればいいですか？</v>
      </c>
      <c r="B484" s="31" t="str">
        <f>IFERROR(__xludf.DUMMYFUNCTION("""COMPUTED_VALUE"""),"ルナレディースクリニックでは、市販の妊娠検査薬で陽性反応が出た後、または生理予定日から1〜2週間経過した頃の受診をおすすめしています。妊娠週数が早すぎると、超音波（エコー）検査で胎嚢が確認できない場合があるため、適切なタイミングでの受診がより正確な診断につながります。")</f>
        <v>ルナレディースクリニックでは、市販の妊娠検査薬で陽性反応が出た後、または生理予定日から1〜2週間経過した頃の受診をおすすめしています。妊娠週数が早すぎると、超音波（エコー）検査で胎嚢が確認できない場合があるため、適切なタイミングでの受診がより正確な診断につながります。</v>
      </c>
      <c r="C484" s="31" t="str">
        <f>IFERROR(__xludf.DUMMYFUNCTION("""COMPUTED_VALUE"""),"妊娠検査")</f>
        <v>妊娠検査</v>
      </c>
      <c r="D484" s="31" t="str">
        <f>IFERROR(__xludf.DUMMYFUNCTION("""COMPUTED_VALUE"""),"妊娠検査,妊娠したかも,受診タイミング")</f>
        <v>妊娠検査,妊娠したかも,受診タイミング</v>
      </c>
      <c r="E484" s="32" t="str">
        <f>IFERROR(__xludf.DUMMYFUNCTION("""COMPUTED_VALUE"""),"https://luna-dr.com/subjects/pregnancy-test/")</f>
        <v>https://luna-dr.com/subjects/pregnancy-test/</v>
      </c>
    </row>
    <row r="485">
      <c r="A485" s="31" t="str">
        <f>IFERROR(__xludf.DUMMYFUNCTION("""COMPUTED_VALUE"""),"市販の妊娠検査薬で陽性が出た")</f>
        <v>市販の妊娠検査薬で陽性が出た</v>
      </c>
      <c r="B485" s="31" t="str">
        <f>IFERROR(__xludf.DUMMYFUNCTION("""COMPUTED_VALUE"""),"ルナレディースクリニックでは、問診・尿検査・超音波（エコー）検査を行います。尿検査で妊娠反応を確認し、超音波検査では子宮内に胎嚢があるか、正常な妊娠かどうかを確認します。異所性妊娠（子宮外妊娠）の有無も確認できる重要な検査です。")</f>
        <v>ルナレディースクリニックでは、問診・尿検査・超音波（エコー）検査を行います。尿検査で妊娠反応を確認し、超音波検査では子宮内に胎嚢があるか、正常な妊娠かどうかを確認します。異所性妊娠（子宮外妊娠）の有無も確認できる重要な検査です。</v>
      </c>
      <c r="C485" s="31" t="str">
        <f>IFERROR(__xludf.DUMMYFUNCTION("""COMPUTED_VALUE"""),"妊娠検査")</f>
        <v>妊娠検査</v>
      </c>
      <c r="D485" s="31" t="str">
        <f>IFERROR(__xludf.DUMMYFUNCTION("""COMPUTED_VALUE"""),"妊娠検査,市販検査薬,エコー検査")</f>
        <v>妊娠検査,市販検査薬,エコー検査</v>
      </c>
      <c r="E485" s="32" t="str">
        <f>IFERROR(__xludf.DUMMYFUNCTION("""COMPUTED_VALUE"""),"https://luna-dr.com/subjects/pregnancy-test/")</f>
        <v>https://luna-dr.com/subjects/pregnancy-test/</v>
      </c>
    </row>
    <row r="486">
      <c r="A486" s="31" t="str">
        <f>IFERROR(__xludf.DUMMYFUNCTION("""COMPUTED_VALUE"""),"妊娠検査の費用はいくらですか？")</f>
        <v>妊娠検査の費用はいくらですか？</v>
      </c>
      <c r="B486" s="31" t="str">
        <f>IFERROR(__xludf.DUMMYFUNCTION("""COMPUTED_VALUE"""),"ルナレディースクリニックでの妊娠検査の費用は、妊娠判定（尿検査）が1,000円（税込）、超音波（エコー）検査が5,500円（税込）です。別途、初診料・再診料がかかります。")</f>
        <v>ルナレディースクリニックでの妊娠検査の費用は、妊娠判定（尿検査）が1,000円（税込）、超音波（エコー）検査が5,500円（税込）です。別途、初診料・再診料がかかります。</v>
      </c>
      <c r="C486" s="31" t="str">
        <f>IFERROR(__xludf.DUMMYFUNCTION("""COMPUTED_VALUE"""),"妊娠検査")</f>
        <v>妊娠検査</v>
      </c>
      <c r="D486" s="31" t="str">
        <f>IFERROR(__xludf.DUMMYFUNCTION("""COMPUTED_VALUE"""),"妊娠検査,費用,料金")</f>
        <v>妊娠検査,費用,料金</v>
      </c>
      <c r="E486" s="32" t="str">
        <f>IFERROR(__xludf.DUMMYFUNCTION("""COMPUTED_VALUE"""),"https://luna-dr.com/subjects/pregnancy-test/")</f>
        <v>https://luna-dr.com/subjects/pregnancy-test/</v>
      </c>
    </row>
    <row r="487">
      <c r="A487" s="31" t="str">
        <f>IFERROR(__xludf.DUMMYFUNCTION("""COMPUTED_VALUE"""),"妊娠検査は保険適用になりますか？")</f>
        <v>妊娠検査は保険適用になりますか？</v>
      </c>
      <c r="B487" s="31" t="str">
        <f>IFERROR(__xludf.DUMMYFUNCTION("""COMPUTED_VALUE"""),"ルナレディースクリニックでは、妊娠検査は原則として自費診療となります。診察内容や症状によって対応が異なる場合がありますので、医師の診察時にご説明します。")</f>
        <v>ルナレディースクリニックでは、妊娠検査は原則として自費診療となります。診察内容や症状によって対応が異なる場合がありますので、医師の診察時にご説明します。</v>
      </c>
      <c r="C487" s="31" t="str">
        <f>IFERROR(__xludf.DUMMYFUNCTION("""COMPUTED_VALUE"""),"妊娠検査")</f>
        <v>妊娠検査</v>
      </c>
      <c r="D487" s="31" t="str">
        <f>IFERROR(__xludf.DUMMYFUNCTION("""COMPUTED_VALUE"""),"妊娠検査,保険適用,自費診療")</f>
        <v>妊娠検査,保険適用,自費診療</v>
      </c>
      <c r="E487" s="32" t="str">
        <f>IFERROR(__xludf.DUMMYFUNCTION("""COMPUTED_VALUE"""),"https://luna-dr.com/subjects/pregnancy-test/")</f>
        <v>https://luna-dr.com/subjects/pregnancy-test/</v>
      </c>
    </row>
    <row r="488">
      <c r="A488" s="31" t="str">
        <f>IFERROR(__xludf.DUMMYFUNCTION("""COMPUTED_VALUE"""),"妊娠検査は初診でも受けられますか？")</f>
        <v>妊娠検査は初診でも受けられますか？</v>
      </c>
      <c r="B488" s="31" t="str">
        <f>IFERROR(__xludf.DUMMYFUNCTION("""COMPUTED_VALUE"""),"ルナレディースクリニックでは初診の方でも妊娠検査を受けていただけます。市販の妊娠検査薬で陽性が出た場合や、生理が来ない場合はお気軽にご相談ください。")</f>
        <v>ルナレディースクリニックでは初診の方でも妊娠検査を受けていただけます。市販の妊娠検査薬で陽性が出た場合や、生理が来ない場合はお気軽にご相談ください。</v>
      </c>
      <c r="C488" s="31" t="str">
        <f>IFERROR(__xludf.DUMMYFUNCTION("""COMPUTED_VALUE"""),"妊娠検査")</f>
        <v>妊娠検査</v>
      </c>
      <c r="D488" s="31" t="str">
        <f>IFERROR(__xludf.DUMMYFUNCTION("""COMPUTED_VALUE"""),"妊娠検査,初診OK,妊娠確認")</f>
        <v>妊娠検査,初診OK,妊娠確認</v>
      </c>
      <c r="E488" s="32" t="str">
        <f>IFERROR(__xludf.DUMMYFUNCTION("""COMPUTED_VALUE"""),"https://luna-dr.com/subjects/pregnancy-test/")</f>
        <v>https://luna-dr.com/subjects/pregnancy-test/</v>
      </c>
    </row>
    <row r="489">
      <c r="A489" s="31" t="str">
        <f>IFERROR(__xludf.DUMMYFUNCTION("""COMPUTED_VALUE"""),"妊娠検査はオンライン診療でもできますか？")</f>
        <v>妊娠検査はオンライン診療でもできますか？</v>
      </c>
      <c r="B489" s="31" t="str">
        <f>IFERROR(__xludf.DUMMYFUNCTION("""COMPUTED_VALUE"""),"妊娠の確定診断には超音波（エコー）検査が必要なため、ルナレディースクリニックでは妊娠検査は来院での診療のみ対応しています。")</f>
        <v>妊娠の確定診断には超音波（エコー）検査が必要なため、ルナレディースクリニックでは妊娠検査は来院での診療のみ対応しています。</v>
      </c>
      <c r="C489" s="31" t="str">
        <f>IFERROR(__xludf.DUMMYFUNCTION("""COMPUTED_VALUE"""),"妊娠検査")</f>
        <v>妊娠検査</v>
      </c>
      <c r="D489" s="31" t="str">
        <f>IFERROR(__xludf.DUMMYFUNCTION("""COMPUTED_VALUE"""),"妊娠検査,オンライン診療,来院必須")</f>
        <v>妊娠検査,オンライン診療,来院必須</v>
      </c>
      <c r="E489" s="32" t="str">
        <f>IFERROR(__xludf.DUMMYFUNCTION("""COMPUTED_VALUE"""),"https://luna-dr.com/subjects/pregnancy-test/")</f>
        <v>https://luna-dr.com/subjects/pregnancy-test/</v>
      </c>
    </row>
    <row r="490">
      <c r="A490" s="31" t="str">
        <f>IFERROR(__xludf.DUMMYFUNCTION("""COMPUTED_VALUE"""),"他院で妊娠の診察を受けていますが、こちらでも診てもらえますか？")</f>
        <v>他院で妊娠の診察を受けていますが、こちらでも診てもらえますか？</v>
      </c>
      <c r="B490" s="31" t="str">
        <f>IFERROR(__xludf.DUMMYFUNCTION("""COMPUTED_VALUE"""),"当院では妊娠12週までの方の診察を承っておりますが、すでに他の医療機関にて妊娠経過の診察を受けておられる方につきましては、当院で妊娠の経過を把握することが難しいため、原則として、これまで通院されている医療機関（かかりつけ医）でのご受診をお願いいたします。")</f>
        <v>当院では妊娠12週までの方の診察を承っておりますが、すでに他の医療機関にて妊娠経過の診察を受けておられる方につきましては、当院で妊娠の経過を把握することが難しいため、原則として、これまで通院されている医療機関（かかりつけ医）でのご受診をお願いいたします。</v>
      </c>
      <c r="C490" s="31" t="str">
        <f>IFERROR(__xludf.DUMMYFUNCTION("""COMPUTED_VALUE"""),"妊娠検査")</f>
        <v>妊娠検査</v>
      </c>
      <c r="D490" s="31" t="str">
        <f>IFERROR(__xludf.DUMMYFUNCTION("""COMPUTED_VALUE"""),"妊娠検査,転院,他院通院中")</f>
        <v>妊娠検査,転院,他院通院中</v>
      </c>
      <c r="E490" s="32" t="str">
        <f>IFERROR(__xludf.DUMMYFUNCTION("""COMPUTED_VALUE"""),"https://luna-dr.com/subjects/pregnancy-test/")</f>
        <v>https://luna-dr.com/subjects/pregnancy-test/</v>
      </c>
    </row>
    <row r="491">
      <c r="A491" s="31" t="str">
        <f>IFERROR(__xludf.DUMMYFUNCTION("""COMPUTED_VALUE"""),"妊娠検査の診察はどのような流れで行われますか？")</f>
        <v>妊娠検査の診察はどのような流れで行われますか？</v>
      </c>
      <c r="B491" s="31" t="str">
        <f>IFERROR(__xludf.DUMMYFUNCTION("""COMPUTED_VALUE"""),"当院での妊娠検査は、ご来院いただき、①ご予約・WEB問診、②受付・尿検査、③医師による診察・超音波（エコー）検査、④診断結果のご説明と今後のご案内、⑤お会計、という流れで行います。事前にWEB問診をご利用いただくことで、院内での待ち時間を短縮し、スムーズにご案内できます。")</f>
        <v>当院での妊娠検査は、ご来院いただき、①ご予約・WEB問診、②受付・尿検査、③医師による診察・超音波（エコー）検査、④診断結果のご説明と今後のご案内、⑤お会計、という流れで行います。事前にWEB問診をご利用いただくことで、院内での待ち時間を短縮し、スムーズにご案内できます。</v>
      </c>
      <c r="C491" s="31" t="str">
        <f>IFERROR(__xludf.DUMMYFUNCTION("""COMPUTED_VALUE"""),"妊娠検査")</f>
        <v>妊娠検査</v>
      </c>
      <c r="D491" s="31" t="str">
        <f>IFERROR(__xludf.DUMMYFUNCTION("""COMPUTED_VALUE"""),"妊娠検査,診察の流れ,エコー検査")</f>
        <v>妊娠検査,診察の流れ,エコー検査</v>
      </c>
      <c r="E491" s="32" t="str">
        <f>IFERROR(__xludf.DUMMYFUNCTION("""COMPUTED_VALUE"""),"https://luna-dr.com/subjects/pregnancy-test/")</f>
        <v>https://luna-dr.com/subjects/pregnancy-test/</v>
      </c>
    </row>
    <row r="492">
      <c r="A492" s="31" t="str">
        <f>IFERROR(__xludf.DUMMYFUNCTION("""COMPUTED_VALUE"""),"妊娠検査の予約はどうすればいいですか？")</f>
        <v>妊娠検査の予約はどうすればいいですか？</v>
      </c>
      <c r="B492" s="31" t="str">
        <f>IFERROR(__xludf.DUMMYFUNCTION("""COMPUTED_VALUE"""),"妊娠検査は、公式LINEからご予約ください。LINEはこちら→https://cline-app.com/qr-codes/98ad6f149bfa20f4f2a9a2e91aac4187/preview")</f>
        <v>妊娠検査は、公式LINEからご予約ください。LINEはこちら→https://cline-app.com/qr-codes/98ad6f149bfa20f4f2a9a2e91aac4187/preview</v>
      </c>
      <c r="C492" s="31" t="str">
        <f>IFERROR(__xludf.DUMMYFUNCTION("""COMPUTED_VALUE"""),"妊娠検査")</f>
        <v>妊娠検査</v>
      </c>
      <c r="D492" s="31" t="str">
        <f>IFERROR(__xludf.DUMMYFUNCTION("""COMPUTED_VALUE"""),"妊娠検査,予約方法,LINE予約")</f>
        <v>妊娠検査,予約方法,LINE予約</v>
      </c>
      <c r="E492" s="32" t="str">
        <f>IFERROR(__xludf.DUMMYFUNCTION("""COMPUTED_VALUE"""),"https://luna-dr.com/subjects/pregnancy-test/")</f>
        <v>https://luna-dr.com/subjects/pregnancy-test/</v>
      </c>
    </row>
    <row r="493">
      <c r="A493" s="31" t="str">
        <f>IFERROR(__xludf.DUMMYFUNCTION("""COMPUTED_VALUE"""),"妊娠検査はどうやって予約しますか？")</f>
        <v>妊娠検査はどうやって予約しますか？</v>
      </c>
      <c r="B493" s="31" t="str">
        <f>IFERROR(__xludf.DUMMYFUNCTION("""COMPUTED_VALUE"""),"妊娠検査のご予約は公式LINEから受け付けています。ご予約は「妊娠検査」のメニューからお取りください。→https://cline-app.com/qr-codes/5281ce9ad8d178106e15ddf61c996e66/previewpage?utm_customid=977137868.1765506771-176673049")</f>
        <v>妊娠検査のご予約は公式LINEから受け付けています。ご予約は「妊娠検査」のメニューからお取りください。→https://cline-app.com/qr-codes/5281ce9ad8d178106e15ddf61c996e66/previewpage?utm_customid=977137868.1765506771-176673049</v>
      </c>
      <c r="C493" s="31" t="str">
        <f>IFERROR(__xludf.DUMMYFUNCTION("""COMPUTED_VALUE"""),"妊娠検査")</f>
        <v>妊娠検査</v>
      </c>
      <c r="D493" s="31" t="str">
        <f>IFERROR(__xludf.DUMMYFUNCTION("""COMPUTED_VALUE"""),"予約方法,LINE,電話,妊娠検査")</f>
        <v>予約方法,LINE,電話,妊娠検査</v>
      </c>
      <c r="E493" s="32" t="str">
        <f>IFERROR(__xludf.DUMMYFUNCTION("""COMPUTED_VALUE"""),"https://luna-dr.com/subjects/pregnancy-test/")</f>
        <v>https://luna-dr.com/subjects/pregnancy-test/</v>
      </c>
    </row>
    <row r="494">
      <c r="A494" s="31" t="str">
        <f>IFERROR(__xludf.DUMMYFUNCTION("""COMPUTED_VALUE"""),"妊娠検査はLINEから予約できますか？")</f>
        <v>妊娠検査はLINEから予約できますか？</v>
      </c>
      <c r="B494" s="31" t="str">
        <f>IFERROR(__xludf.DUMMYFUNCTION("""COMPUTED_VALUE"""),"公式LINEから24時間いつでも予約できます。ご予約は「妊娠検査」のメニューからお取りください。→https://cline-app.com/qr-codes/5281ce9ad8d178106e15ddf61c996e66/previewpage?utm_customid=977137868.1765506771-176673049")</f>
        <v>公式LINEから24時間いつでも予約できます。ご予約は「妊娠検査」のメニューからお取りください。→https://cline-app.com/qr-codes/5281ce9ad8d178106e15ddf61c996e66/previewpage?utm_customid=977137868.1765506771-176673049</v>
      </c>
      <c r="C494" s="31" t="str">
        <f>IFERROR(__xludf.DUMMYFUNCTION("""COMPUTED_VALUE"""),"妊娠検査")</f>
        <v>妊娠検査</v>
      </c>
      <c r="D494" s="31" t="str">
        <f>IFERROR(__xludf.DUMMYFUNCTION("""COMPUTED_VALUE"""),"LINE予約,婦人科予約,妊娠検査")</f>
        <v>LINE予約,婦人科予約,妊娠検査</v>
      </c>
      <c r="E494" s="32" t="str">
        <f>IFERROR(__xludf.DUMMYFUNCTION("""COMPUTED_VALUE"""),"https://luna-dr.com/subjects/pregnancy-test/")</f>
        <v>https://luna-dr.com/subjects/pregnancy-test/</v>
      </c>
    </row>
    <row r="495">
      <c r="A495" s="31" t="str">
        <f>IFERROR(__xludf.DUMMYFUNCTION("""COMPUTED_VALUE"""),"妊娠検査は電話でも予約できますか？")</f>
        <v>妊娠検査は電話でも予約できますか？</v>
      </c>
      <c r="B495" s="31" t="str">
        <f>IFERROR(__xludf.DUMMYFUNCTION("""COMPUTED_VALUE"""),"LINEでの予約後、事前問診等もLINEから行うことができ、スムーズに受診ができるため、当院ではLINEでのご予約を推奨しております。
ご予約は「妊娠検査」のメニューからお取りください。→https://cline-app.com/qr-codes/5281ce9ad8d178106e15ddf61c996e66/previewpage?utm_customid=977137868.1765506771-176673049")</f>
        <v>LINEでの予約後、事前問診等もLINEから行うことができ、スムーズに受診ができるため、当院ではLINEでのご予約を推奨しております。
ご予約は「妊娠検査」のメニューからお取りください。→https://cline-app.com/qr-codes/5281ce9ad8d178106e15ddf61c996e66/previewpage?utm_customid=977137868.1765506771-176673049</v>
      </c>
      <c r="C495" s="31" t="str">
        <f>IFERROR(__xludf.DUMMYFUNCTION("""COMPUTED_VALUE"""),"妊娠検査")</f>
        <v>妊娠検査</v>
      </c>
      <c r="D495" s="31" t="str">
        <f>IFERROR(__xludf.DUMMYFUNCTION("""COMPUTED_VALUE"""),"電話予約,問い合わせ,妊娠検査")</f>
        <v>電話予約,問い合わせ,妊娠検査</v>
      </c>
      <c r="E495" s="32" t="str">
        <f>IFERROR(__xludf.DUMMYFUNCTION("""COMPUTED_VALUE"""),"https://luna-dr.com/subjects/pregnancy-test/")</f>
        <v>https://luna-dr.com/subjects/pregnancy-test/</v>
      </c>
    </row>
    <row r="496">
      <c r="A496" s="31" t="str">
        <f>IFERROR(__xludf.DUMMYFUNCTION("""COMPUTED_VALUE"""),"妊娠検査の予約前に準備しておくことはありますか？")</f>
        <v>妊娠検査の予約前に準備しておくことはありますか？</v>
      </c>
      <c r="B496" s="31" t="str">
        <f>IFERROR(__xludf.DUMMYFUNCTION("""COMPUTED_VALUE"""),"ルナレディースクリニックでは、診察前にWEB問診の入力をお願いしています。事前にご入力いただくと診察がスムーズです。")</f>
        <v>ルナレディースクリニックでは、診察前にWEB問診の入力をお願いしています。事前にご入力いただくと診察がスムーズです。</v>
      </c>
      <c r="C496" s="31" t="str">
        <f>IFERROR(__xludf.DUMMYFUNCTION("""COMPUTED_VALUE"""),"妊娠検査")</f>
        <v>妊娠検査</v>
      </c>
      <c r="D496" s="31" t="str">
        <f>IFERROR(__xludf.DUMMYFUNCTION("""COMPUTED_VALUE"""),"WEB問診,事前準備,妊娠検査")</f>
        <v>WEB問診,事前準備,妊娠検査</v>
      </c>
      <c r="E496" s="32" t="str">
        <f>IFERROR(__xludf.DUMMYFUNCTION("""COMPUTED_VALUE"""),"https://luna-dr.com/subjects/pregnancy-test/")</f>
        <v>https://luna-dr.com/subjects/pregnancy-test/</v>
      </c>
    </row>
    <row r="497">
      <c r="A497" s="31" t="str">
        <f>IFERROR(__xludf.DUMMYFUNCTION("""COMPUTED_VALUE"""),"妊娠検査は初診でも予約できますか？")</f>
        <v>妊娠検査は初診でも予約できますか？</v>
      </c>
      <c r="B497" s="31" t="str">
        <f>IFERROR(__xludf.DUMMYFUNCTION("""COMPUTED_VALUE"""),"妊娠検査は初診の方もご予約いただけます。ご予約は公式LINEから受け付けておりますので、友だち追加の上ご利用ください。
ご予約は「妊娠検査」のメニューからお取りください。→https://cline-app.com/qr-codes/5281ce9ad8d178106e15ddf61c996e66/previewpage?utm_customid=977137868.1765506771-176673049")</f>
        <v>妊娠検査は初診の方もご予約いただけます。ご予約は公式LINEから受け付けておりますので、友だち追加の上ご利用ください。
ご予約は「妊娠検査」のメニューからお取りください。→https://cline-app.com/qr-codes/5281ce9ad8d178106e15ddf61c996e66/previewpage?utm_customid=977137868.1765506771-176673049</v>
      </c>
      <c r="C497" s="31" t="str">
        <f>IFERROR(__xludf.DUMMYFUNCTION("""COMPUTED_VALUE"""),"妊娠検査")</f>
        <v>妊娠検査</v>
      </c>
      <c r="D497" s="31" t="str">
        <f>IFERROR(__xludf.DUMMYFUNCTION("""COMPUTED_VALUE"""),"初診,予約,妊娠検査")</f>
        <v>初診,予約,妊娠検査</v>
      </c>
      <c r="E497" s="32" t="str">
        <f>IFERROR(__xludf.DUMMYFUNCTION("""COMPUTED_VALUE"""),"https://luna-dr.com/subjects/pregnancy-test/")</f>
        <v>https://luna-dr.com/subjects/pregnancy-test/</v>
      </c>
    </row>
    <row r="498">
      <c r="A498" s="31" t="str">
        <f>IFERROR(__xludf.DUMMYFUNCTION("""COMPUTED_VALUE"""),"妊娠検査は来院とオンライン、どちらで予約できますか？")</f>
        <v>妊娠検査は来院とオンライン、どちらで予約できますか？</v>
      </c>
      <c r="B498" s="31" t="str">
        <f>IFERROR(__xludf.DUMMYFUNCTION("""COMPUTED_VALUE"""),"ルナレディースクリニックでは、妊娠検査のご相談は来院診療のみで承っています。
ご予約は「妊娠検査」のメニューからお取りください。→https://cline-app.com/qr-codes/5281ce9ad8d178106e15ddf61c996e66/previewpage?utm_customid=977137868.1765506771-176673049")</f>
        <v>ルナレディースクリニックでは、妊娠検査のご相談は来院診療のみで承っています。
ご予約は「妊娠検査」のメニューからお取りください。→https://cline-app.com/qr-codes/5281ce9ad8d178106e15ddf61c996e66/previewpage?utm_customid=977137868.1765506771-176673049</v>
      </c>
      <c r="C498" s="31" t="str">
        <f>IFERROR(__xludf.DUMMYFUNCTION("""COMPUTED_VALUE"""),"妊娠検査")</f>
        <v>妊娠検査</v>
      </c>
      <c r="D498" s="31" t="str">
        <f>IFERROR(__xludf.DUMMYFUNCTION("""COMPUTED_VALUE"""),"来院診療,オンライン診療,妊娠検査")</f>
        <v>来院診療,オンライン診療,妊娠検査</v>
      </c>
      <c r="E498" s="32" t="str">
        <f>IFERROR(__xludf.DUMMYFUNCTION("""COMPUTED_VALUE"""),"https://luna-dr.com/subjects/pregnancy-test/")</f>
        <v>https://luna-dr.com/subjects/pregnancy-test/</v>
      </c>
    </row>
    <row r="499">
      <c r="A499" s="31" t="str">
        <f>IFERROR(__xludf.DUMMYFUNCTION("""COMPUTED_VALUE"""),"予約なしでも妊娠検査は受けられますか？")</f>
        <v>予約なしでも妊娠検査は受けられますか？</v>
      </c>
      <c r="B499" s="31" t="str">
        <f>IFERROR(__xludf.DUMMYFUNCTION("""COMPUTED_VALUE"""),"直接のご来院でも可能ですが、待ち時間が発生する場合があります。事前にご予約をいただくことでスムーズに診察に進むことができます。
ご予約は公式LINEから受け付けています。ご予約は「妊娠検査」のメニューからお取りください。→https://cline-app.com/qr-codes/5281ce9ad8d178106e15ddf61c996e66/previewpage?utm_customid=977137868.1765506771-176673049")</f>
        <v>直接のご来院でも可能ですが、待ち時間が発生する場合があります。事前にご予約をいただくことでスムーズに診察に進むことができます。
ご予約は公式LINEから受け付けています。ご予約は「妊娠検査」のメニューからお取りください。→https://cline-app.com/qr-codes/5281ce9ad8d178106e15ddf61c996e66/previewpage?utm_customid=977137868.1765506771-176673049</v>
      </c>
      <c r="C499" s="31" t="str">
        <f>IFERROR(__xludf.DUMMYFUNCTION("""COMPUTED_VALUE"""),"妊娠検査")</f>
        <v>妊娠検査</v>
      </c>
      <c r="D499" s="31" t="str">
        <f>IFERROR(__xludf.DUMMYFUNCTION("""COMPUTED_VALUE"""),"妊娠検査検査,予約なし")</f>
        <v>妊娠検査検査,予約なし</v>
      </c>
      <c r="E499" s="32" t="str">
        <f>IFERROR(__xludf.DUMMYFUNCTION("""COMPUTED_VALUE"""),"https://luna-dr.com/subjects/pregnancy-test/")</f>
        <v>https://luna-dr.com/subjects/pregnancy-test/</v>
      </c>
    </row>
    <row r="500">
      <c r="A500" s="31" t="str">
        <f>IFERROR(__xludf.DUMMYFUNCTION("""COMPUTED_VALUE"""),"妊娠検査では最初に何をしますか？")</f>
        <v>妊娠検査では最初に何をしますか？</v>
      </c>
      <c r="B500" s="31" t="str">
        <f>IFERROR(__xludf.DUMMYFUNCTION("""COMPUTED_VALUE"""),"ご来院後、受付でご本人確認を行った後、妊娠反応を調べるために院内で尿検査を行います。")</f>
        <v>ご来院後、受付でご本人確認を行った後、妊娠反応を調べるために院内で尿検査を行います。</v>
      </c>
      <c r="C500" s="31" t="str">
        <f>IFERROR(__xludf.DUMMYFUNCTION("""COMPUTED_VALUE"""),"妊娠検査")</f>
        <v>妊娠検査</v>
      </c>
      <c r="D500" s="31" t="str">
        <f>IFERROR(__xludf.DUMMYFUNCTION("""COMPUTED_VALUE"""),"妊娠検査,尿検査,初診")</f>
        <v>妊娠検査,尿検査,初診</v>
      </c>
      <c r="E500" s="32" t="str">
        <f>IFERROR(__xludf.DUMMYFUNCTION("""COMPUTED_VALUE"""),"https://luna-dr.com/subjects/pregnancy-test/")</f>
        <v>https://luna-dr.com/subjects/pregnancy-test/</v>
      </c>
    </row>
    <row r="501">
      <c r="A501" s="31" t="str">
        <f>IFERROR(__xludf.DUMMYFUNCTION("""COMPUTED_VALUE"""),"妊娠検査ではエコー検査は行いますか？")</f>
        <v>妊娠検査ではエコー検査は行いますか？</v>
      </c>
      <c r="B501" s="31" t="str">
        <f>IFERROR(__xludf.DUMMYFUNCTION("""COMPUTED_VALUE"""),"問診内容と尿検査の結果をもとに、医師が膣からの超音波（エコー）検査を行い、子宮内の様子を確認します。正常な妊娠かどうか、異所性妊娠の可能性がないかを診断します。")</f>
        <v>問診内容と尿検査の結果をもとに、医師が膣からの超音波（エコー）検査を行い、子宮内の様子を確認します。正常な妊娠かどうか、異所性妊娠の可能性がないかを診断します。</v>
      </c>
      <c r="C501" s="31" t="str">
        <f>IFERROR(__xludf.DUMMYFUNCTION("""COMPUTED_VALUE"""),"妊娠検査")</f>
        <v>妊娠検査</v>
      </c>
      <c r="D501" s="31" t="str">
        <f>IFERROR(__xludf.DUMMYFUNCTION("""COMPUTED_VALUE"""),"妊娠検査,エコー検査,超音波")</f>
        <v>妊娠検査,エコー検査,超音波</v>
      </c>
      <c r="E501" s="32" t="str">
        <f>IFERROR(__xludf.DUMMYFUNCTION("""COMPUTED_VALUE"""),"https://luna-dr.com/subjects/pregnancy-test/")</f>
        <v>https://luna-dr.com/subjects/pregnancy-test/</v>
      </c>
    </row>
    <row r="502">
      <c r="A502" s="31" t="str">
        <f>IFERROR(__xludf.DUMMYFUNCTION("""COMPUTED_VALUE"""),"妊娠検査の結果はどのように説明されますか？")</f>
        <v>妊娠検査の結果はどのように説明されますか？</v>
      </c>
      <c r="B502" s="31" t="str">
        <f>IFERROR(__xludf.DUMMYFUNCTION("""COMPUTED_VALUE"""),"検査結果については、モニターの映像をお見せしながら、医師が分かりやすくご説明します。正常な妊娠が確認できた場合は、今後の妊婦健診のスケジュールについてもご案内します。")</f>
        <v>検査結果については、モニターの映像をお見せしながら、医師が分かりやすくご説明します。正常な妊娠が確認できた場合は、今後の妊婦健診のスケジュールについてもご案内します。</v>
      </c>
      <c r="C502" s="31" t="str">
        <f>IFERROR(__xludf.DUMMYFUNCTION("""COMPUTED_VALUE"""),"妊娠検査")</f>
        <v>妊娠検査</v>
      </c>
      <c r="D502" s="31" t="str">
        <f>IFERROR(__xludf.DUMMYFUNCTION("""COMPUTED_VALUE"""),"妊娠検査,結果説明,妊婦健診")</f>
        <v>妊娠検査,結果説明,妊婦健診</v>
      </c>
      <c r="E502" s="32" t="str">
        <f>IFERROR(__xludf.DUMMYFUNCTION("""COMPUTED_VALUE"""),"https://luna-dr.com/subjects/pregnancy-test/")</f>
        <v>https://luna-dr.com/subjects/pregnancy-test/</v>
      </c>
    </row>
    <row r="503">
      <c r="A503" s="31" t="str">
        <f>IFERROR(__xludf.DUMMYFUNCTION("""COMPUTED_VALUE"""),"妊娠検査の当日はどこまで進みますか？")</f>
        <v>妊娠検査の当日はどこまで進みますか？</v>
      </c>
      <c r="B503" s="31" t="str">
        <f>IFERROR(__xludf.DUMMYFUNCTION("""COMPUTED_VALUE"""),"妊娠検査当日は、尿検査と超音波（エコー）検査による妊娠の確認まで行います。正常な妊娠が確認できた場合は、今後の流れや妊婦健診についてご説明します。")</f>
        <v>妊娠検査当日は、尿検査と超音波（エコー）検査による妊娠の確認まで行います。正常な妊娠が確認できた場合は、今後の流れや妊婦健診についてご説明します。</v>
      </c>
      <c r="C503" s="31" t="str">
        <f>IFERROR(__xludf.DUMMYFUNCTION("""COMPUTED_VALUE"""),"妊娠検査")</f>
        <v>妊娠検査</v>
      </c>
      <c r="D503" s="31" t="str">
        <f>IFERROR(__xludf.DUMMYFUNCTION("""COMPUTED_VALUE"""),"妊娠検査,初診当日,どこまで")</f>
        <v>妊娠検査,初診当日,どこまで</v>
      </c>
      <c r="E503" s="32" t="str">
        <f>IFERROR(__xludf.DUMMYFUNCTION("""COMPUTED_VALUE"""),"https://luna-dr.com/subjects/pregnancy-test/")</f>
        <v>https://luna-dr.com/subjects/pregnancy-test/</v>
      </c>
    </row>
    <row r="504">
      <c r="A504" s="31" t="str">
        <f>IFERROR(__xludf.DUMMYFUNCTION("""COMPUTED_VALUE"""),"妊娠検査後のお会計はいつ行いますか？")</f>
        <v>妊娠検査後のお会計はいつ行いますか？</v>
      </c>
      <c r="B504" s="31" t="str">
        <f>IFERROR(__xludf.DUMMYFUNCTION("""COMPUTED_VALUE"""),"診察と結果説明が終了した後にお会計となります。母子手帳の受け取り方など、ご不明点があればお会計時にご相談いただけます。")</f>
        <v>診察と結果説明が終了した後にお会計となります。母子手帳の受け取り方など、ご不明点があればお会計時にご相談いただけます。</v>
      </c>
      <c r="C504" s="31" t="str">
        <f>IFERROR(__xludf.DUMMYFUNCTION("""COMPUTED_VALUE"""),"妊娠検査")</f>
        <v>妊娠検査</v>
      </c>
      <c r="D504" s="31" t="str">
        <f>IFERROR(__xludf.DUMMYFUNCTION("""COMPUTED_VALUE"""),"妊娠検査,支払い,会計")</f>
        <v>妊娠検査,支払い,会計</v>
      </c>
      <c r="E504" s="32" t="str">
        <f>IFERROR(__xludf.DUMMYFUNCTION("""COMPUTED_VALUE"""),"https://luna-dr.com/subjects/pregnancy-test/")</f>
        <v>https://luna-dr.com/subjects/pregnancy-test/</v>
      </c>
    </row>
    <row r="505">
      <c r="A505" s="31" t="str">
        <f>IFERROR(__xludf.DUMMYFUNCTION("""COMPUTED_VALUE"""),"妊娠検査で陽性だった場合、その後どうなりますか？")</f>
        <v>妊娠検査で陽性だった場合、その後どうなりますか？</v>
      </c>
      <c r="B505" s="31" t="str">
        <f>IFERROR(__xludf.DUMMYFUNCTION("""COMPUTED_VALUE"""),"当院で正常な妊娠が確認された後は、お住まいの市区町村で母子健康手帳を受け取り、その後、定期的な妊婦健診が始まります。当院では分娩は行っていないため、分娩施設への紹介状を作成いたします。紹介先の医療機関は患者さまご自身でお探しいただいております。")</f>
        <v>当院で正常な妊娠が確認された後は、お住まいの市区町村で母子健康手帳を受け取り、その後、定期的な妊婦健診が始まります。当院では分娩は行っていないため、分娩施設への紹介状を作成いたします。紹介先の医療機関は患者さまご自身でお探しいただいております。</v>
      </c>
      <c r="C505" s="31" t="str">
        <f>IFERROR(__xludf.DUMMYFUNCTION("""COMPUTED_VALUE"""),"妊娠検査")</f>
        <v>妊娠検査</v>
      </c>
      <c r="D505" s="31" t="str">
        <f>IFERROR(__xludf.DUMMYFUNCTION("""COMPUTED_VALUE"""),"妊娠検査,陽性後の流れ,母子手帳")</f>
        <v>妊娠検査,陽性後の流れ,母子手帳</v>
      </c>
      <c r="E505" s="32" t="str">
        <f>IFERROR(__xludf.DUMMYFUNCTION("""COMPUTED_VALUE"""),"https://luna-dr.com/subjects/pregnancy-test/")</f>
        <v>https://luna-dr.com/subjects/pregnancy-test/</v>
      </c>
    </row>
    <row r="506">
      <c r="A506" s="31" t="str">
        <f>IFERROR(__xludf.DUMMYFUNCTION("""COMPUTED_VALUE"""),"妊娠検査薬で陽性が出たら、いつ受診すればいいですか？")</f>
        <v>妊娠検査薬で陽性が出たら、いつ受診すればいいですか？</v>
      </c>
      <c r="B506" s="31" t="str">
        <f>IFERROR(__xludf.DUMMYFUNCTION("""COMPUTED_VALUE"""),"生理予定日から1〜2週間後が、超音波検査で胎嚢が確認しやすいタイミングです。ただし、出血や腹痛がある場合や不安が強い場合は、早めにご相談ください。")</f>
        <v>生理予定日から1〜2週間後が、超音波検査で胎嚢が確認しやすいタイミングです。ただし、出血や腹痛がある場合や不安が強い場合は、早めにご相談ください。</v>
      </c>
      <c r="C506" s="31" t="str">
        <f>IFERROR(__xludf.DUMMYFUNCTION("""COMPUTED_VALUE"""),"妊娠検査")</f>
        <v>妊娠検査</v>
      </c>
      <c r="D506" s="31" t="str">
        <f>IFERROR(__xludf.DUMMYFUNCTION("""COMPUTED_VALUE"""),"妊娠検査,受診タイミング,陽性")</f>
        <v>妊娠検査,受診タイミング,陽性</v>
      </c>
      <c r="E506" s="32" t="str">
        <f>IFERROR(__xludf.DUMMYFUNCTION("""COMPUTED_VALUE"""),"https://luna-dr.com/subjects/pregnancy-test/")</f>
        <v>https://luna-dr.com/subjects/pregnancy-test/</v>
      </c>
    </row>
    <row r="507">
      <c r="A507" s="31" t="str">
        <f>IFERROR(__xludf.DUMMYFUNCTION("""COMPUTED_VALUE"""),"妊娠検査の費用はいくらですか？保険は使えますか？")</f>
        <v>妊娠検査の費用はいくらですか？保険は使えますか？</v>
      </c>
      <c r="B507" s="31" t="str">
        <f>IFERROR(__xludf.DUMMYFUNCTION("""COMPUTED_VALUE"""),"妊娠検査は自費診療となり、健康保険は使用できません。費用は妊娠判定（尿検査）1,000円（税込）、超音波（エコー）検査5,500円（税込）が目安となります。万が一、異所性妊娠などの異常が見つかった場合は、その後の治療は保険適用となります。")</f>
        <v>妊娠検査は自費診療となり、健康保険は使用できません。費用は妊娠判定（尿検査）1,000円（税込）、超音波（エコー）検査5,500円（税込）が目安となります。万が一、異所性妊娠などの異常が見つかった場合は、その後の治療は保険適用となります。</v>
      </c>
      <c r="C507" s="31" t="str">
        <f>IFERROR(__xludf.DUMMYFUNCTION("""COMPUTED_VALUE"""),"妊娠検査")</f>
        <v>妊娠検査</v>
      </c>
      <c r="D507" s="31" t="str">
        <f>IFERROR(__xludf.DUMMYFUNCTION("""COMPUTED_VALUE"""),"妊娠検査,費用,保険適用")</f>
        <v>妊娠検査,費用,保険適用</v>
      </c>
      <c r="E507" s="32" t="str">
        <f>IFERROR(__xludf.DUMMYFUNCTION("""COMPUTED_VALUE"""),"https://luna-dr.com/subjects/pregnancy-test/")</f>
        <v>https://luna-dr.com/subjects/pregnancy-test/</v>
      </c>
    </row>
    <row r="508">
      <c r="A508" s="31" t="str">
        <f>IFERROR(__xludf.DUMMYFUNCTION("""COMPUTED_VALUE"""),"妊娠検査の診察では内診はありますか？痛みはありますか？")</f>
        <v>妊娠検査の診察では内診はありますか？痛みはありますか？</v>
      </c>
      <c r="B508" s="31" t="str">
        <f>IFERROR(__xludf.DUMMYFUNCTION("""COMPUTED_VALUE"""),"主に問診と、膣からの超音波（エコー）検査を行います。力を抜いてリラックスしていただければ、痛みはほとんどありません。医師やスタッフが丁寧にお声がけしながら進めますのでご安心ください。")</f>
        <v>主に問診と、膣からの超音波（エコー）検査を行います。力を抜いてリラックスしていただければ、痛みはほとんどありません。医師やスタッフが丁寧にお声がけしながら進めますのでご安心ください。</v>
      </c>
      <c r="C508" s="31" t="str">
        <f>IFERROR(__xludf.DUMMYFUNCTION("""COMPUTED_VALUE"""),"妊娠検査")</f>
        <v>妊娠検査</v>
      </c>
      <c r="D508" s="31" t="str">
        <f>IFERROR(__xludf.DUMMYFUNCTION("""COMPUTED_VALUE"""),"妊娠検査,内診,痛み")</f>
        <v>妊娠検査,内診,痛み</v>
      </c>
      <c r="E508" s="32" t="str">
        <f>IFERROR(__xludf.DUMMYFUNCTION("""COMPUTED_VALUE"""),"https://luna-dr.com/subjects/pregnancy-test/")</f>
        <v>https://luna-dr.com/subjects/pregnancy-test/</v>
      </c>
    </row>
    <row r="509">
      <c r="A509" s="31" t="str">
        <f>IFERROR(__xludf.DUMMYFUNCTION("""COMPUTED_VALUE"""),"妊娠検査の持ち物はありますか？")</f>
        <v>妊娠検査の持ち物はありますか？</v>
      </c>
      <c r="B509" s="31" t="str">
        <f>IFERROR(__xludf.DUMMYFUNCTION("""COMPUTED_VALUE"""),"健康保険証をご持参ください。また、基礎体温を測っている方は、基礎体温表をお持ちいただくと診察の参考になります。")</f>
        <v>健康保険証をご持参ください。また、基礎体温を測っている方は、基礎体温表をお持ちいただくと診察の参考になります。</v>
      </c>
      <c r="C509" s="31" t="str">
        <f>IFERROR(__xludf.DUMMYFUNCTION("""COMPUTED_VALUE"""),"妊娠検査")</f>
        <v>妊娠検査</v>
      </c>
      <c r="D509" s="31" t="str">
        <f>IFERROR(__xludf.DUMMYFUNCTION("""COMPUTED_VALUE"""),"妊娠検査,持ち物,初診準備")</f>
        <v>妊娠検査,持ち物,初診準備</v>
      </c>
      <c r="E509" s="32" t="str">
        <f>IFERROR(__xludf.DUMMYFUNCTION("""COMPUTED_VALUE"""),"https://luna-dr.com/subjects/pregnancy-test/")</f>
        <v>https://luna-dr.com/subjects/pregnancy-test/</v>
      </c>
    </row>
    <row r="510">
      <c r="A510" s="31" t="str">
        <f>IFERROR(__xludf.DUMMYFUNCTION("""COMPUTED_VALUE"""),"パートナーと一緒に妊娠検査を受けられますか？")</f>
        <v>パートナーと一緒に妊娠検査を受けられますか？</v>
      </c>
      <c r="B510" s="31" t="str">
        <f>IFERROR(__xludf.DUMMYFUNCTION("""COMPUTED_VALUE"""),"申し訳ございませんが、当院では男性の同伴をご遠慮いただいております。あらかじめご了承ください。")</f>
        <v>申し訳ございませんが、当院では男性の同伴をご遠慮いただいております。あらかじめご了承ください。</v>
      </c>
      <c r="C510" s="31" t="str">
        <f>IFERROR(__xludf.DUMMYFUNCTION("""COMPUTED_VALUE"""),"妊娠検査")</f>
        <v>妊娠検査</v>
      </c>
      <c r="D510" s="31" t="str">
        <f>IFERROR(__xludf.DUMMYFUNCTION("""COMPUTED_VALUE"""),"妊娠検査,同伴,パートナー")</f>
        <v>妊娠検査,同伴,パートナー</v>
      </c>
      <c r="E510" s="32" t="str">
        <f>IFERROR(__xludf.DUMMYFUNCTION("""COMPUTED_VALUE"""),"https://luna-dr.com/subjects/pregnancy-test/")</f>
        <v>https://luna-dr.com/subjects/pregnancy-test/</v>
      </c>
    </row>
    <row r="511">
      <c r="A511" s="31" t="str">
        <f>IFERROR(__xludf.DUMMYFUNCTION("""COMPUTED_VALUE"""),"ルナレディースクリニックでは中絶手術にどのように向き合っていますか？")</f>
        <v>ルナレディースクリニックでは中絶手術にどのように向き合っていますか？</v>
      </c>
      <c r="B511" s="31" t="str">
        <f>IFERROR(__xludf.DUMMYFUNCTION("""COMPUTED_VALUE"""),"ルナレディースクリニックでは、予期しない妊娠や望まない妊娠に気づいた際に生じる不安や葛藤に寄り添い、後悔のない決断ができるようサポートしています。どんな些細なことでもご相談いただける、身近で通いやすいクリニックを目指しています。")</f>
        <v>ルナレディースクリニックでは、予期しない妊娠や望まない妊娠に気づいた際に生じる不安や葛藤に寄り添い、後悔のない決断ができるようサポートしています。どんな些細なことでもご相談いただける、身近で通いやすいクリニックを目指しています。</v>
      </c>
      <c r="C511" s="31" t="str">
        <f>IFERROR(__xludf.DUMMYFUNCTION("""COMPUTED_VALUE"""),"中絶手術")</f>
        <v>中絶手術</v>
      </c>
      <c r="D511" s="31" t="str">
        <f>IFERROR(__xludf.DUMMYFUNCTION("""COMPUTED_VALUE"""),"中絶手術,人工妊娠中絶,相談")</f>
        <v>中絶手術,人工妊娠中絶,相談</v>
      </c>
      <c r="E511" s="32" t="str">
        <f>IFERROR(__xludf.DUMMYFUNCTION("""COMPUTED_VALUE"""),"https://luna-dr.com/subjects/abortion_page/")</f>
        <v>https://luna-dr.com/subjects/abortion_page/</v>
      </c>
    </row>
    <row r="512">
      <c r="A512" s="31" t="str">
        <f>IFERROR(__xludf.DUMMYFUNCTION("""COMPUTED_VALUE"""),"人工妊娠中絶手術は保険適用ですか？/中絶は保険適用ですか？")</f>
        <v>人工妊娠中絶手術は保険適用ですか？/中絶は保険適用ですか？</v>
      </c>
      <c r="B512" s="31" t="str">
        <f>IFERROR(__xludf.DUMMYFUNCTION("""COMPUTED_VALUE"""),"人工妊娠中絶手術は、健康保険が適用されない自費診療となります。")</f>
        <v>人工妊娠中絶手術は、健康保険が適用されない自費診療となります。</v>
      </c>
      <c r="C512" s="31" t="str">
        <f>IFERROR(__xludf.DUMMYFUNCTION("""COMPUTED_VALUE"""),"中絶手術")</f>
        <v>中絶手術</v>
      </c>
      <c r="D512" s="31" t="str">
        <f>IFERROR(__xludf.DUMMYFUNCTION("""COMPUTED_VALUE"""),"中絶手術,保険適用,自費診療")</f>
        <v>中絶手術,保険適用,自費診療</v>
      </c>
      <c r="E512" s="32" t="str">
        <f>IFERROR(__xludf.DUMMYFUNCTION("""COMPUTED_VALUE"""),"https://luna-dr.com/subjects/abortion_page/")</f>
        <v>https://luna-dr.com/subjects/abortion_page/</v>
      </c>
    </row>
    <row r="513">
      <c r="A513" s="31" t="str">
        <f>IFERROR(__xludf.DUMMYFUNCTION("""COMPUTED_VALUE"""),"ルナレディースクリニックの中絶手術の方法は何ですか？")</f>
        <v>ルナレディースクリニックの中絶手術の方法は何ですか？</v>
      </c>
      <c r="B513" s="31" t="str">
        <f>IFERROR(__xludf.DUMMYFUNCTION("""COMPUTED_VALUE"""),"当院では「手動真空吸引法（MVA）」による人工妊娠中絶手術を行っています。使いきりの器具を使用する方法で、術後の診察費用を含めた明確な料金体系となるよう努めています。")</f>
        <v>当院では「手動真空吸引法（MVA）」による人工妊娠中絶手術を行っています。使いきりの器具を使用する方法で、術後の診察費用を含めた明確な料金体系となるよう努めています。</v>
      </c>
      <c r="C513" s="31" t="str">
        <f>IFERROR(__xludf.DUMMYFUNCTION("""COMPUTED_VALUE"""),"中絶手術")</f>
        <v>中絶手術</v>
      </c>
      <c r="D513" s="31" t="str">
        <f>IFERROR(__xludf.DUMMYFUNCTION("""COMPUTED_VALUE"""),"中絶手術,MVA,手動真空吸引法")</f>
        <v>中絶手術,MVA,手動真空吸引法</v>
      </c>
      <c r="E513" s="32" t="str">
        <f>IFERROR(__xludf.DUMMYFUNCTION("""COMPUTED_VALUE"""),"https://luna-dr.com/subjects/abortion_page/")</f>
        <v>https://luna-dr.com/subjects/abortion_page/</v>
      </c>
    </row>
    <row r="514">
      <c r="A514" s="31" t="str">
        <f>IFERROR(__xludf.DUMMYFUNCTION("""COMPUTED_VALUE"""),"初期中絶手術の費用はいくらですか？/中絶の費用はいくら？/中絶にはどれぐらいお金がかかりますか？")</f>
        <v>初期中絶手術の費用はいくらですか？/中絶の費用はいくら？/中絶にはどれぐらいお金がかかりますか？</v>
      </c>
      <c r="B514" s="31" t="str">
        <f>IFERROR(__xludf.DUMMYFUNCTION("""COMPUTED_VALUE"""),"初期中絶手術の費用は92,400円（税込）からとなります。
当院で採用をしている「手動真空吸引法（MVA）」は使いきりの器具を使用するため高額になりやすい手術方法ですが、術後の診察費用を無料とし、明確な料金体系となるよう努めています。
※曜日と時間帯、経過週数によって手術料金が異なります。
※各種クレジットカードや電子マネーもご使用いただけます。
※当クリニックでは1回払いのみ対応しております。
※分割払いをご希望の場合は、患者様ご自身でクレジットカード会社に分割払いへの変更手続きを行っていただく必要があ"&amp;"りますので、予めご了承ください。
以下に該当する方は中絶手術をお受けできませんので予めご了承くださいませ・妊娠12週以降の方（当院では妊娠11週6日までの初期中絶のみ対応）・帝王切開歴のある方・喘息をお持ちの方で直近3ヶ月以内に発作がある場合・BMI32以上の方（BMI28以上は医師の判断）・日本語でのコミュニケーションが難しい方 ")</f>
        <v>初期中絶手術の費用は92,400円（税込）からとなります。
当院で採用をしている「手動真空吸引法（MVA）」は使いきりの器具を使用するため高額になりやすい手術方法ですが、術後の診察費用を無料とし、明確な料金体系となるよう努めています。
※曜日と時間帯、経過週数によって手術料金が異なります。
※各種クレジットカードや電子マネーもご使用いただけます。
※当クリニックでは1回払いのみ対応しております。
※分割払いをご希望の場合は、患者様ご自身でクレジットカード会社に分割払いへの変更手続きを行っていただく必要がありますので、予めご了承ください。
以下に該当する方は中絶手術をお受けできませんので予めご了承くださいませ・妊娠12週以降の方（当院では妊娠11週6日までの初期中絶のみ対応）・帝王切開歴のある方・喘息をお持ちの方で直近3ヶ月以内に発作がある場合・BMI32以上の方（BMI28以上は医師の判断）・日本語でのコミュニケーションが難しい方 </v>
      </c>
      <c r="C514" s="31" t="str">
        <f>IFERROR(__xludf.DUMMYFUNCTION("""COMPUTED_VALUE"""),"中絶手術")</f>
        <v>中絶手術</v>
      </c>
      <c r="D514" s="31" t="str">
        <f>IFERROR(__xludf.DUMMYFUNCTION("""COMPUTED_VALUE"""),"中絶手術,費用,初期中絶")</f>
        <v>中絶手術,費用,初期中絶</v>
      </c>
      <c r="E514" s="32" t="str">
        <f>IFERROR(__xludf.DUMMYFUNCTION("""COMPUTED_VALUE"""),"https://luna-dr.com/subjects/abortion_page/")</f>
        <v>https://luna-dr.com/subjects/abortion_page/</v>
      </c>
    </row>
    <row r="515">
      <c r="A515" s="31" t="str">
        <f>IFERROR(__xludf.DUMMYFUNCTION("""COMPUTED_VALUE"""),"中絶手術の支払いは分割でできますか？")</f>
        <v>中絶手術の支払いは分割でできますか？</v>
      </c>
      <c r="B515" s="31" t="str">
        <f>IFERROR(__xludf.DUMMYFUNCTION("""COMPUTED_VALUE"""),"クレジットカード会社と患者様のご契約内容によっては、中絶費用も分割でお支払いも可能です。")</f>
        <v>クレジットカード会社と患者様のご契約内容によっては、中絶費用も分割でお支払いも可能です。</v>
      </c>
      <c r="C515" s="31" t="str">
        <f>IFERROR(__xludf.DUMMYFUNCTION("""COMPUTED_VALUE"""),"中絶手術")</f>
        <v>中絶手術</v>
      </c>
      <c r="D515" s="31" t="str">
        <f>IFERROR(__xludf.DUMMYFUNCTION("""COMPUTED_VALUE"""),"中絶手術,費用,初期中絶,分割,分割払い")</f>
        <v>中絶手術,費用,初期中絶,分割,分割払い</v>
      </c>
      <c r="E515" s="32" t="str">
        <f>IFERROR(__xludf.DUMMYFUNCTION("""COMPUTED_VALUE"""),"https://luna-dr.com/subjects/abortion_page/")</f>
        <v>https://luna-dr.com/subjects/abortion_page/</v>
      </c>
    </row>
    <row r="516">
      <c r="A516" s="31" t="str">
        <f>IFERROR(__xludf.DUMMYFUNCTION("""COMPUTED_VALUE"""),"中絶手術後の診察には費用がかかりますか？")</f>
        <v>中絶手術後の診察には費用がかかりますか？</v>
      </c>
      <c r="B516" s="31" t="str">
        <f>IFERROR(__xludf.DUMMYFUNCTION("""COMPUTED_VALUE"""),"術後の診察は、1回目・2回目ともに無料で行っています。")</f>
        <v>術後の診察は、1回目・2回目ともに無料で行っています。</v>
      </c>
      <c r="C516" s="31" t="str">
        <f>IFERROR(__xludf.DUMMYFUNCTION("""COMPUTED_VALUE"""),"中絶手術")</f>
        <v>中絶手術</v>
      </c>
      <c r="D516" s="31" t="str">
        <f>IFERROR(__xludf.DUMMYFUNCTION("""COMPUTED_VALUE"""),"中絶手術,術後診察,費用")</f>
        <v>中絶手術,術後診察,費用</v>
      </c>
      <c r="E516" s="32" t="str">
        <f>IFERROR(__xludf.DUMMYFUNCTION("""COMPUTED_VALUE"""),"https://luna-dr.com/subjects/abortion_page/")</f>
        <v>https://luna-dr.com/subjects/abortion_page/</v>
      </c>
    </row>
    <row r="517">
      <c r="A517" s="31" t="str">
        <f>IFERROR(__xludf.DUMMYFUNCTION("""COMPUTED_VALUE"""),"中絶手術の初診時にはどのような検査を行いますか？")</f>
        <v>中絶手術の初診時にはどのような検査を行いますか？</v>
      </c>
      <c r="B517" s="31" t="str">
        <f>IFERROR(__xludf.DUMMYFUNCTION("""COMPUTED_VALUE"""),"初診時には、手術を安全に行うために、妊娠の確認や子宮口の状態確認に加え、感染症検査や血液検査を行います。")</f>
        <v>初診時には、手術を安全に行うために、妊娠の確認や子宮口の状態確認に加え、感染症検査や血液検査を行います。</v>
      </c>
      <c r="C517" s="31" t="str">
        <f>IFERROR(__xludf.DUMMYFUNCTION("""COMPUTED_VALUE"""),"中絶手術")</f>
        <v>中絶手術</v>
      </c>
      <c r="D517" s="31" t="str">
        <f>IFERROR(__xludf.DUMMYFUNCTION("""COMPUTED_VALUE"""),"中絶手術,初診,検査内容")</f>
        <v>中絶手術,初診,検査内容</v>
      </c>
      <c r="E517" s="32" t="str">
        <f>IFERROR(__xludf.DUMMYFUNCTION("""COMPUTED_VALUE"""),"https://luna-dr.com/subjects/abortion_page/")</f>
        <v>https://luna-dr.com/subjects/abortion_page/</v>
      </c>
    </row>
    <row r="518">
      <c r="A518" s="31" t="str">
        <f>IFERROR(__xludf.DUMMYFUNCTION("""COMPUTED_VALUE"""),"中絶手術の支払い方法には何がありますか？")</f>
        <v>中絶手術の支払い方法には何がありますか？</v>
      </c>
      <c r="B518" s="31" t="str">
        <f>IFERROR(__xludf.DUMMYFUNCTION("""COMPUTED_VALUE"""),"中絶手術のお支払いには、各種クレジットカードや電子マネーをご利用いただけます。")</f>
        <v>中絶手術のお支払いには、各種クレジットカードや電子マネーをご利用いただけます。</v>
      </c>
      <c r="C518" s="31" t="str">
        <f>IFERROR(__xludf.DUMMYFUNCTION("""COMPUTED_VALUE"""),"中絶手術")</f>
        <v>中絶手術</v>
      </c>
      <c r="D518" s="31" t="str">
        <f>IFERROR(__xludf.DUMMYFUNCTION("""COMPUTED_VALUE"""),"中絶手術,支払い方法,クレジットカード")</f>
        <v>中絶手術,支払い方法,クレジットカード</v>
      </c>
      <c r="E518" s="32" t="str">
        <f>IFERROR(__xludf.DUMMYFUNCTION("""COMPUTED_VALUE"""),"https://luna-dr.com/subjects/abortion_page/")</f>
        <v>https://luna-dr.com/subjects/abortion_page/</v>
      </c>
    </row>
    <row r="519">
      <c r="A519" s="31" t="str">
        <f>IFERROR(__xludf.DUMMYFUNCTION("""COMPUTED_VALUE"""),"中絶手術は分割払いに対応していますか？")</f>
        <v>中絶手術は分割払いに対応していますか？</v>
      </c>
      <c r="B519" s="31" t="str">
        <f>IFERROR(__xludf.DUMMYFUNCTION("""COMPUTED_VALUE"""),"当クリニックでは1回払いのみ対応しています。分割払いをご希望の場合は、患者様ご自身でクレジットカード会社へ分割払いへの変更手続きを行っていただく必要があります。")</f>
        <v>当クリニックでは1回払いのみ対応しています。分割払いをご希望の場合は、患者様ご自身でクレジットカード会社へ分割払いへの変更手続きを行っていただく必要があります。</v>
      </c>
      <c r="C519" s="31" t="str">
        <f>IFERROR(__xludf.DUMMYFUNCTION("""COMPUTED_VALUE"""),"中絶手術")</f>
        <v>中絶手術</v>
      </c>
      <c r="D519" s="31" t="str">
        <f>IFERROR(__xludf.DUMMYFUNCTION("""COMPUTED_VALUE"""),"中絶手術,分割払い,支払い方法")</f>
        <v>中絶手術,分割払い,支払い方法</v>
      </c>
      <c r="E519" s="32" t="str">
        <f>IFERROR(__xludf.DUMMYFUNCTION("""COMPUTED_VALUE"""),"https://luna-dr.com/subjects/abortion_page/")</f>
        <v>https://luna-dr.com/subjects/abortion_page/</v>
      </c>
    </row>
    <row r="520">
      <c r="A520" s="31" t="str">
        <f>IFERROR(__xludf.DUMMYFUNCTION("""COMPUTED_VALUE"""),"中絶手術の費用には何が含まれていますか？")</f>
        <v>中絶手術の費用には何が含まれていますか？</v>
      </c>
      <c r="B520" s="31" t="str">
        <f>IFERROR(__xludf.DUMMYFUNCTION("""COMPUTED_VALUE"""),"手動真空吸引法（MVA）による中絶手術費用には、手術費用に加え、術後の診察費用が含まれています。初診時の検査費用については、手術を安全に行うための検査として別途実施されます。")</f>
        <v>手動真空吸引法（MVA）による中絶手術費用には、手術費用に加え、術後の診察費用が含まれています。初診時の検査費用については、手術を安全に行うための検査として別途実施されます。</v>
      </c>
      <c r="C520" s="31" t="str">
        <f>IFERROR(__xludf.DUMMYFUNCTION("""COMPUTED_VALUE"""),"中絶手術")</f>
        <v>中絶手術</v>
      </c>
      <c r="D520" s="31" t="str">
        <f>IFERROR(__xludf.DUMMYFUNCTION("""COMPUTED_VALUE"""),"中絶手術,費用内訳,MVA")</f>
        <v>中絶手術,費用内訳,MVA</v>
      </c>
      <c r="E520" s="32" t="str">
        <f>IFERROR(__xludf.DUMMYFUNCTION("""COMPUTED_VALUE"""),"https://luna-dr.com/subjects/abortion_page/")</f>
        <v>https://luna-dr.com/subjects/abortion_page/</v>
      </c>
    </row>
    <row r="521">
      <c r="A521" s="31" t="str">
        <f>IFERROR(__xludf.DUMMYFUNCTION("""COMPUTED_VALUE"""),"妊婦のための支援給付制度とは何ですか？")</f>
        <v>妊婦のための支援給付制度とは何ですか？</v>
      </c>
      <c r="B521" s="31" t="str">
        <f>IFERROR(__xludf.DUMMYFUNCTION("""COMPUTED_VALUE"""),"妊婦のための支援給付制度は、妊娠期から出産・子育てまでを支援するために、自治体が実施している給付金制度です。妊娠届を提出した方を対象に、給付金が支給されます。公式LINEでは制度概要をご案内しておりますので、ご利用ください。https://cline-app.com/qr-codes/b243ab6a55e32b967cab9b2589de5aae/previewpage?utm_customid=977137868.1765506771-1767184286")</f>
        <v>妊婦のための支援給付制度は、妊娠期から出産・子育てまでを支援するために、自治体が実施している給付金制度です。妊娠届を提出した方を対象に、給付金が支給されます。公式LINEでは制度概要をご案内しておりますので、ご利用ください。https://cline-app.com/qr-codes/b243ab6a55e32b967cab9b2589de5aae/previewpage?utm_customid=977137868.1765506771-1767184286</v>
      </c>
      <c r="C521" s="31" t="str">
        <f>IFERROR(__xludf.DUMMYFUNCTION("""COMPUTED_VALUE"""),"中絶手術")</f>
        <v>中絶手術</v>
      </c>
      <c r="D521" s="31" t="str">
        <f>IFERROR(__xludf.DUMMYFUNCTION("""COMPUTED_VALUE"""),"妊婦支援給付制度,出産子育て応援給付金,給付金")</f>
        <v>妊婦支援給付制度,出産子育て応援給付金,給付金</v>
      </c>
      <c r="E521" s="32" t="str">
        <f>IFERROR(__xludf.DUMMYFUNCTION("""COMPUTED_VALUE"""),"https://luna-dr.com/subjects/abortion_page/")</f>
        <v>https://luna-dr.com/subjects/abortion_page/</v>
      </c>
    </row>
    <row r="522">
      <c r="A522" s="31" t="str">
        <f>IFERROR(__xludf.DUMMYFUNCTION("""COMPUTED_VALUE"""),"妊婦支援給付制度はいくらもらえますか？")</f>
        <v>妊婦支援給付制度はいくらもらえますか？</v>
      </c>
      <c r="B522" s="31" t="str">
        <f>IFERROR(__xludf.DUMMYFUNCTION("""COMPUTED_VALUE"""),"一般的には、妊娠届提出後に1回目として妊婦1人あたり5万円、出産後に2回目として胎児の数×5万円が支給されます。ただし金額は自治体によって異なります。公式LINEでは制度概要をご案内しておりますので、ご利用ください。https://cline-app.com/qr-codes/b243ab6a55e32b967cab9b2589de5aae/previewpage?utm_customid=977137868.1765506771-1767184286")</f>
        <v>一般的には、妊娠届提出後に1回目として妊婦1人あたり5万円、出産後に2回目として胎児の数×5万円が支給されます。ただし金額は自治体によって異なります。公式LINEでは制度概要をご案内しておりますので、ご利用ください。https://cline-app.com/qr-codes/b243ab6a55e32b967cab9b2589de5aae/previewpage?utm_customid=977137868.1765506771-1767184286</v>
      </c>
      <c r="C522" s="31" t="str">
        <f>IFERROR(__xludf.DUMMYFUNCTION("""COMPUTED_VALUE"""),"中絶手術")</f>
        <v>中絶手術</v>
      </c>
      <c r="D522" s="31" t="str">
        <f>IFERROR(__xludf.DUMMYFUNCTION("""COMPUTED_VALUE"""),"妊婦支援給付制度,給付額,5万円")</f>
        <v>妊婦支援給付制度,給付額,5万円</v>
      </c>
      <c r="E522" s="32" t="str">
        <f>IFERROR(__xludf.DUMMYFUNCTION("""COMPUTED_VALUE"""),"https://luna-dr.com/subjects/abortion_page/")</f>
        <v>https://luna-dr.com/subjects/abortion_page/</v>
      </c>
    </row>
    <row r="523">
      <c r="A523" s="31" t="str">
        <f>IFERROR(__xludf.DUMMYFUNCTION("""COMPUTED_VALUE"""),"妊婦支援給付制度は中絶した場合も対象になりますか？")</f>
        <v>妊婦支援給付制度は中絶した場合も対象になりますか？</v>
      </c>
      <c r="B523" s="31" t="str">
        <f>IFERROR(__xludf.DUMMYFUNCTION("""COMPUTED_VALUE"""),"妊娠届を提出している場合、自治体によっては中絶手術を受けた方も給付の対象となるケースがあります。ただし、支給条件は自治体ごとに異なるため、必ずお住まいの自治体へご確認ください。公式LINEでは制度概要をご案内しておりますので、ご利用ください。https://cline-app.com/qr-codes/b243ab6a55e32b967cab9b2589de5aae/previewpage?utm_customid=977137868.1765506771-1767184286")</f>
        <v>妊娠届を提出している場合、自治体によっては中絶手術を受けた方も給付の対象となるケースがあります。ただし、支給条件は自治体ごとに異なるため、必ずお住まいの自治体へご確認ください。公式LINEでは制度概要をご案内しておりますので、ご利用ください。https://cline-app.com/qr-codes/b243ab6a55e32b967cab9b2589de5aae/previewpage?utm_customid=977137868.1765506771-1767184286</v>
      </c>
      <c r="C523" s="31" t="str">
        <f>IFERROR(__xludf.DUMMYFUNCTION("""COMPUTED_VALUE"""),"中絶手術")</f>
        <v>中絶手術</v>
      </c>
      <c r="D523" s="31" t="str">
        <f>IFERROR(__xludf.DUMMYFUNCTION("""COMPUTED_VALUE"""),"妊婦支援給付制度,中絶,給付対象")</f>
        <v>妊婦支援給付制度,中絶,給付対象</v>
      </c>
      <c r="E523" s="32" t="str">
        <f>IFERROR(__xludf.DUMMYFUNCTION("""COMPUTED_VALUE"""),"https://luna-dr.com/subjects/abortion_page/")</f>
        <v>https://luna-dr.com/subjects/abortion_page/</v>
      </c>
    </row>
    <row r="524">
      <c r="A524" s="31" t="str">
        <f>IFERROR(__xludf.DUMMYFUNCTION("""COMPUTED_VALUE"""),"妊婦支援給付制度を受けるには何が必要ですか？")</f>
        <v>妊婦支援給付制度を受けるには何が必要ですか？</v>
      </c>
      <c r="B524" s="31" t="str">
        <f>IFERROR(__xludf.DUMMYFUNCTION("""COMPUTED_VALUE"""),"妊婦支援給付制度を受けるには、原則として妊娠届の提出が必要です。申請方法や必要書類は自治体によって異なります。公式LINEでは制度概要をご案内しておりますので、ご利用ください。https://cline-app.com/qr-codes/b243ab6a55e32b967cab9b2589de5aae/previewpage?utm_customid=977137868.1765506771-1767184286公式LINEでは制度概要をご案内しておりますので、ご利用ください。https://cline-"&amp;"app.com/qr-codes/b243ab6a55e32b967cab9b2589de5aae/previewpage?utm_customid=977137868.1765506771-1767184286")</f>
        <v>妊婦支援給付制度を受けるには、原則として妊娠届の提出が必要です。申請方法や必要書類は自治体によって異なります。公式LINEでは制度概要をご案内しておりますので、ご利用ください。https://cline-app.com/qr-codes/b243ab6a55e32b967cab9b2589de5aae/previewpage?utm_customid=977137868.1765506771-1767184286公式LINEでは制度概要をご案内しておりますので、ご利用ください。https://cline-app.com/qr-codes/b243ab6a55e32b967cab9b2589de5aae/previewpage?utm_customid=977137868.1765506771-1767184286</v>
      </c>
      <c r="C524" s="31" t="str">
        <f>IFERROR(__xludf.DUMMYFUNCTION("""COMPUTED_VALUE"""),"中絶手術")</f>
        <v>中絶手術</v>
      </c>
      <c r="D524" s="31" t="str">
        <f>IFERROR(__xludf.DUMMYFUNCTION("""COMPUTED_VALUE"""),"妊婦支援給付制度,妊娠届,申請方法")</f>
        <v>妊婦支援給付制度,妊娠届,申請方法</v>
      </c>
      <c r="E524" s="32" t="str">
        <f>IFERROR(__xludf.DUMMYFUNCTION("""COMPUTED_VALUE"""),"https://luna-dr.com/subjects/abortion_page/")</f>
        <v>https://luna-dr.com/subjects/abortion_page/</v>
      </c>
    </row>
    <row r="525">
      <c r="A525" s="31" t="str">
        <f>IFERROR(__xludf.DUMMYFUNCTION("""COMPUTED_VALUE"""),"妊婦支援給付制度は全国共通ですか？")</f>
        <v>妊婦支援給付制度は全国共通ですか？</v>
      </c>
      <c r="B525" s="31" t="str">
        <f>IFERROR(__xludf.DUMMYFUNCTION("""COMPUTED_VALUE"""),"制度の枠組みは国の事業に基づいていますが、給付の有無や金額、申請条件は自治体ごとに異なります。必ずお住まいの自治体の案内をご確認ください。公式LINEでは制度概要をご案内しておりますので、ご利用ください。https://cline-app.com/qr-codes/b243ab6a55e32b967cab9b2589de5aae/previewpage?utm_customid=977137868.1765506771-1767184286")</f>
        <v>制度の枠組みは国の事業に基づいていますが、給付の有無や金額、申請条件は自治体ごとに異なります。必ずお住まいの自治体の案内をご確認ください。公式LINEでは制度概要をご案内しておりますので、ご利用ください。https://cline-app.com/qr-codes/b243ab6a55e32b967cab9b2589de5aae/previewpage?utm_customid=977137868.1765506771-1767184286</v>
      </c>
      <c r="C525" s="31" t="str">
        <f>IFERROR(__xludf.DUMMYFUNCTION("""COMPUTED_VALUE"""),"中絶手術")</f>
        <v>中絶手術</v>
      </c>
      <c r="D525" s="31" t="str">
        <f>IFERROR(__xludf.DUMMYFUNCTION("""COMPUTED_VALUE"""),"妊婦支援給付制度,自治体,違い")</f>
        <v>妊婦支援給付制度,自治体,違い</v>
      </c>
      <c r="E525" s="32" t="str">
        <f>IFERROR(__xludf.DUMMYFUNCTION("""COMPUTED_VALUE"""),"https://luna-dr.com/subjects/abortion_page/")</f>
        <v>https://luna-dr.com/subjects/abortion_page/</v>
      </c>
    </row>
    <row r="526">
      <c r="A526" s="31" t="str">
        <f>IFERROR(__xludf.DUMMYFUNCTION("""COMPUTED_VALUE"""),"ルナレディースクリニックの中絶手術は安全ですか？/中絶はできますか？")</f>
        <v>ルナレディースクリニックの中絶手術は安全ですか？/中絶はできますか？</v>
      </c>
      <c r="B526" s="31" t="str">
        <f>IFERROR(__xludf.DUMMYFUNCTION("""COMPUTED_VALUE"""),"ルナレディースクリニックでは、WHO（世界保健機関）が推奨する安全性の高い「吸引法」の中でも、子宮に優しい手動真空吸引法（MVA）を採用し、中絶手術を行っています。柔らかく細い使い捨て器具を使用するため、子宮を傷つけるリスクや感染症のリスクを極めて低く抑えています。")</f>
        <v>ルナレディースクリニックでは、WHO（世界保健機関）が推奨する安全性の高い「吸引法」の中でも、子宮に優しい手動真空吸引法（MVA）を採用し、中絶手術を行っています。柔らかく細い使い捨て器具を使用するため、子宮を傷つけるリスクや感染症のリスクを極めて低く抑えています。</v>
      </c>
      <c r="C526" s="31" t="str">
        <f>IFERROR(__xludf.DUMMYFUNCTION("""COMPUTED_VALUE"""),"中絶手術")</f>
        <v>中絶手術</v>
      </c>
      <c r="D526" s="31" t="str">
        <f>IFERROR(__xludf.DUMMYFUNCTION("""COMPUTED_VALUE"""),"中絶手術,安全性,WHO,吸引法,MVA")</f>
        <v>中絶手術,安全性,WHO,吸引法,MVA</v>
      </c>
      <c r="E526" s="32" t="str">
        <f>IFERROR(__xludf.DUMMYFUNCTION("""COMPUTED_VALUE"""),"https://luna-dr.com/subjects/abortion_page/")</f>
        <v>https://luna-dr.com/subjects/abortion_page/</v>
      </c>
    </row>
    <row r="527">
      <c r="A527" s="31" t="str">
        <f>IFERROR(__xludf.DUMMYFUNCTION("""COMPUTED_VALUE"""),"中絶手術で採用している手術方法は何ですか？")</f>
        <v>中絶手術で採用している手術方法は何ですか？</v>
      </c>
      <c r="B527" s="31" t="str">
        <f>IFERROR(__xludf.DUMMYFUNCTION("""COMPUTED_VALUE"""),"当院ではWHOが推奨する吸引法の一つである「手動真空吸引法（MVA）」を採用しています。痛みが少なく、子宮への負担が少ないことが特長です。")</f>
        <v>当院ではWHOが推奨する吸引法の一つである「手動真空吸引法（MVA）」を採用しています。痛みが少なく、子宮への負担が少ないことが特長です。</v>
      </c>
      <c r="C527" s="31" t="str">
        <f>IFERROR(__xludf.DUMMYFUNCTION("""COMPUTED_VALUE"""),"中絶手術")</f>
        <v>中絶手術</v>
      </c>
      <c r="D527" s="31" t="str">
        <f>IFERROR(__xludf.DUMMYFUNCTION("""COMPUTED_VALUE"""),"中絶手術,MVA,吸引法,手動真空吸引法")</f>
        <v>中絶手術,MVA,吸引法,手動真空吸引法</v>
      </c>
      <c r="E527" s="32" t="str">
        <f>IFERROR(__xludf.DUMMYFUNCTION("""COMPUTED_VALUE"""),"https://luna-dr.com/subjects/abortion_page/")</f>
        <v>https://luna-dr.com/subjects/abortion_page/</v>
      </c>
    </row>
    <row r="528">
      <c r="A528" s="31" t="str">
        <f>IFERROR(__xludf.DUMMYFUNCTION("""COMPUTED_VALUE"""),"中絶手術はどの医師が担当しますか？")</f>
        <v>中絶手術はどの医師が担当しますか？</v>
      </c>
      <c r="B528" s="31" t="str">
        <f>IFERROR(__xludf.DUMMYFUNCTION("""COMPUTED_VALUE"""),"中絶手術は、産婦人科専門医の資格を持つ母体保護法指定医が担当します。豊富な経験と専門知識を持つ医師が、患者様一人ひとりの状態を丁寧に確認したうえで手術を行います。")</f>
        <v>中絶手術は、産婦人科専門医の資格を持つ母体保護法指定医が担当します。豊富な経験と専門知識を持つ医師が、患者様一人ひとりの状態を丁寧に確認したうえで手術を行います。</v>
      </c>
      <c r="C528" s="31" t="str">
        <f>IFERROR(__xludf.DUMMYFUNCTION("""COMPUTED_VALUE"""),"中絶手術")</f>
        <v>中絶手術</v>
      </c>
      <c r="D528" s="31" t="str">
        <f>IFERROR(__xludf.DUMMYFUNCTION("""COMPUTED_VALUE"""),"中絶手術,母体保護法指定医,産婦人科専門医")</f>
        <v>中絶手術,母体保護法指定医,産婦人科専門医</v>
      </c>
      <c r="E528" s="32" t="str">
        <f>IFERROR(__xludf.DUMMYFUNCTION("""COMPUTED_VALUE"""),"https://luna-dr.com/subjects/abortion_page/")</f>
        <v>https://luna-dr.com/subjects/abortion_page/</v>
      </c>
    </row>
    <row r="529">
      <c r="A529" s="31" t="str">
        <f>IFERROR(__xludf.DUMMYFUNCTION("""COMPUTED_VALUE"""),"中絶手術は日帰りで受けられますか？")</f>
        <v>中絶手術は日帰りで受けられますか？</v>
      </c>
      <c r="B529" s="31" t="str">
        <f>IFERROR(__xludf.DUMMYFUNCTION("""COMPUTED_VALUE"""),"中絶手術は日帰り手術です。来院からご帰宅までの目安は3〜4時間で、手術時間自体は約15分と短時間です。手術後は2時間ほど休息してからご帰宅いただきます。")</f>
        <v>中絶手術は日帰り手術です。来院からご帰宅までの目安は3〜4時間で、手術時間自体は約15分と短時間です。手術後は2時間ほど休息してからご帰宅いただきます。</v>
      </c>
      <c r="C529" s="31" t="str">
        <f>IFERROR(__xludf.DUMMYFUNCTION("""COMPUTED_VALUE"""),"中絶手術")</f>
        <v>中絶手術</v>
      </c>
      <c r="D529" s="31" t="str">
        <f>IFERROR(__xludf.DUMMYFUNCTION("""COMPUTED_VALUE"""),"中絶手術,日帰り手術,所要時間")</f>
        <v>中絶手術,日帰り手術,所要時間</v>
      </c>
      <c r="E529" s="32" t="str">
        <f>IFERROR(__xludf.DUMMYFUNCTION("""COMPUTED_VALUE"""),"https://luna-dr.com/subjects/abortion_page/")</f>
        <v>https://luna-dr.com/subjects/abortion_page/</v>
      </c>
    </row>
    <row r="530">
      <c r="A530" s="31" t="str">
        <f>IFERROR(__xludf.DUMMYFUNCTION("""COMPUTED_VALUE"""),"中絶手術中の痛みはありますか？")</f>
        <v>中絶手術中の痛みはありますか？</v>
      </c>
      <c r="B530" s="31" t="str">
        <f>IFERROR(__xludf.DUMMYFUNCTION("""COMPUTED_VALUE"""),"静脈麻酔と笑気麻酔を併用し手術を行うため、手術中はほとんど痛みを感じません。※医師判断で局所麻酔を使用する場合もあります。
手術時間が15分と短いため、麻酔が十分に効いている間に手術を終えられます。
不安や緊張で気分が悪くなる場合もありますので、些細なことでもぜひご相談ください。")</f>
        <v>静脈麻酔と笑気麻酔を併用し手術を行うため、手術中はほとんど痛みを感じません。※医師判断で局所麻酔を使用する場合もあります。
手術時間が15分と短いため、麻酔が十分に効いている間に手術を終えられます。
不安や緊張で気分が悪くなる場合もありますので、些細なことでもぜひご相談ください。</v>
      </c>
      <c r="C530" s="31" t="str">
        <f>IFERROR(__xludf.DUMMYFUNCTION("""COMPUTED_VALUE"""),"中絶手術")</f>
        <v>中絶手術</v>
      </c>
      <c r="D530" s="31" t="str">
        <f>IFERROR(__xludf.DUMMYFUNCTION("""COMPUTED_VALUE"""),"中絶手術,痛み,麻酔,静脈麻酔,笑気麻酔")</f>
        <v>中絶手術,痛み,麻酔,静脈麻酔,笑気麻酔</v>
      </c>
      <c r="E530" s="32" t="str">
        <f>IFERROR(__xludf.DUMMYFUNCTION("""COMPUTED_VALUE"""),"https://luna-dr.com/subjects/abortion_page/")</f>
        <v>https://luna-dr.com/subjects/abortion_page/</v>
      </c>
    </row>
    <row r="531">
      <c r="A531" s="31" t="str">
        <f>IFERROR(__xludf.DUMMYFUNCTION("""COMPUTED_VALUE"""),"中絶手術後の感染リスクは高くありませんか？")</f>
        <v>中絶手術後の感染リスクは高くありませんか？</v>
      </c>
      <c r="B531" s="31" t="str">
        <f>IFERROR(__xludf.DUMMYFUNCTION("""COMPUTED_VALUE"""),"当院では滅菌済みの使い捨て器具のみを使用しているため、手術器具を介した感染リスクを限りなくゼロに近づけています。")</f>
        <v>当院では滅菌済みの使い捨て器具のみを使用しているため、手術器具を介した感染リスクを限りなくゼロに近づけています。</v>
      </c>
      <c r="C531" s="31" t="str">
        <f>IFERROR(__xludf.DUMMYFUNCTION("""COMPUTED_VALUE"""),"中絶手術")</f>
        <v>中絶手術</v>
      </c>
      <c r="D531" s="31" t="str">
        <f>IFERROR(__xludf.DUMMYFUNCTION("""COMPUTED_VALUE"""),"中絶手術,感染リスク,使い捨て器具")</f>
        <v>中絶手術,感染リスク,使い捨て器具</v>
      </c>
      <c r="E531" s="32" t="str">
        <f>IFERROR(__xludf.DUMMYFUNCTION("""COMPUTED_VALUE"""),"https://luna-dr.com/subjects/abortion_page/")</f>
        <v>https://luna-dr.com/subjects/abortion_page/</v>
      </c>
    </row>
    <row r="532">
      <c r="A532" s="31" t="str">
        <f>IFERROR(__xludf.DUMMYFUNCTION("""COMPUTED_VALUE"""),"中絶手術後のアフターケアはありますか？")</f>
        <v>中絶手術後のアフターケアはありますか？</v>
      </c>
      <c r="B532" s="31" t="str">
        <f>IFERROR(__xludf.DUMMYFUNCTION("""COMPUTED_VALUE"""),"子宮と体調の回復を確認することはもちろん、望まない妊娠を繰り返さないためにも、中絶後のケアは大切です。
当クリニックでは術後1週間後と3週間後の2回の検診を無料で受けられますので、安心してご来院ください。")</f>
        <v>子宮と体調の回復を確認することはもちろん、望まない妊娠を繰り返さないためにも、中絶後のケアは大切です。
当クリニックでは術後1週間後と3週間後の2回の検診を無料で受けられますので、安心してご来院ください。</v>
      </c>
      <c r="C532" s="31" t="str">
        <f>IFERROR(__xludf.DUMMYFUNCTION("""COMPUTED_VALUE"""),"中絶手術")</f>
        <v>中絶手術</v>
      </c>
      <c r="D532" s="31" t="str">
        <f>IFERROR(__xludf.DUMMYFUNCTION("""COMPUTED_VALUE"""),"中絶後,アフターケア,術後検診")</f>
        <v>中絶後,アフターケア,術後検診</v>
      </c>
      <c r="E532" s="32" t="str">
        <f>IFERROR(__xludf.DUMMYFUNCTION("""COMPUTED_VALUE"""),"https://luna-dr.com/subjects/abortion_page/")</f>
        <v>https://luna-dr.com/subjects/abortion_page/</v>
      </c>
    </row>
    <row r="533">
      <c r="A533" s="31" t="str">
        <f>IFERROR(__xludf.DUMMYFUNCTION("""COMPUTED_VALUE"""),"中絶手術ではプライバシーには配慮されていますか？")</f>
        <v>中絶手術ではプライバシーには配慮されていますか？</v>
      </c>
      <c r="B533" s="31" t="str">
        <f>IFERROR(__xludf.DUMMYFUNCTION("""COMPUTED_VALUE"""),"手術前後は完全個室でお休みいただけます。プライバシーに十分配慮した環境でお過ごしいただけます。")</f>
        <v>手術前後は完全個室でお休みいただけます。プライバシーに十分配慮した環境でお過ごしいただけます。</v>
      </c>
      <c r="C533" s="31" t="str">
        <f>IFERROR(__xludf.DUMMYFUNCTION("""COMPUTED_VALUE"""),"中絶手術")</f>
        <v>中絶手術</v>
      </c>
      <c r="D533" s="31" t="str">
        <f>IFERROR(__xludf.DUMMYFUNCTION("""COMPUTED_VALUE"""),"中絶手術,プライバシー,個室")</f>
        <v>中絶手術,プライバシー,個室</v>
      </c>
      <c r="E533" s="32" t="str">
        <f>IFERROR(__xludf.DUMMYFUNCTION("""COMPUTED_VALUE"""),"https://luna-dr.com/subjects/abortion_page/")</f>
        <v>https://luna-dr.com/subjects/abortion_page/</v>
      </c>
    </row>
    <row r="534">
      <c r="A534" s="31" t="str">
        <f>IFERROR(__xludf.DUMMYFUNCTION("""COMPUTED_VALUE"""),"ルナレディースクリニックで対応している中絶の妊娠週数は？")</f>
        <v>ルナレディースクリニックで対応している中絶の妊娠週数は？</v>
      </c>
      <c r="B534" s="31" t="str">
        <f>IFERROR(__xludf.DUMMYFUNCTION("""COMPUTED_VALUE"""),"当院では妊娠11週6日までの初期中絶に対応しています。妊娠週数が進むほど身体的・精神的・経済的負担が大きくなるため、早めの受診をおすすめしています。")</f>
        <v>当院では妊娠11週6日までの初期中絶に対応しています。妊娠週数が進むほど身体的・精神的・経済的負担が大きくなるため、早めの受診をおすすめしています。</v>
      </c>
      <c r="C534" s="31" t="str">
        <f>IFERROR(__xludf.DUMMYFUNCTION("""COMPUTED_VALUE"""),"中絶手術")</f>
        <v>中絶手術</v>
      </c>
      <c r="D534" s="31" t="str">
        <f>IFERROR(__xludf.DUMMYFUNCTION("""COMPUTED_VALUE"""),"初期中絶,妊娠週数,中絶可能週数")</f>
        <v>初期中絶,妊娠週数,中絶可能週数</v>
      </c>
      <c r="E534" s="32" t="str">
        <f>IFERROR(__xludf.DUMMYFUNCTION("""COMPUTED_VALUE"""),"https://luna-dr.com/subjects/abortion_page/")</f>
        <v>https://luna-dr.com/subjects/abortion_page/</v>
      </c>
    </row>
    <row r="535">
      <c r="A535" s="31" t="str">
        <f>IFERROR(__xludf.DUMMYFUNCTION("""COMPUTED_VALUE"""),"当日中絶できますか？/中絶手術は当日できますか？")</f>
        <v>当日中絶できますか？/中絶手術は当日できますか？</v>
      </c>
      <c r="B535" s="31" t="str">
        <f>IFERROR(__xludf.DUMMYFUNCTION("""COMPUTED_VALUE"""),"大変恐縮ではありますが、当院では当日に中絶手術を行うことはできません。当クリニックでは、中絶手術の1回目としてカウンセリングと検査を行います。公式LINEからご予約のうえご来院いただき、問診・超音波（エコー）検査・血液検査を行い、妊娠週数やお身体の状態を確認します。その後、手術方法やリスク、費用について医師が詳しくご説明し、ご納得いただいた場合に手術日の予約を行います。患者様のご負担を軽減するため、「手術当日以外」はお近くのクリニックをご利用いただける体制を整えております。■初回相談・術前検査：川崎駅前院"&amp;"／横浜駅前院／町田駅前院→ご都合の良い院で受診可能 ■手術当日：横浜駅前院のみ→施術当日のみ横浜へご来院いただきます ■術後フォロー：川崎駅前院／横浜駅前院／町田駅前院→お近くの院で受診可能 ご予約は公式LINEから24時間承っております。LINEはこちら→https://cline-app.com/qr-codes/98ad6f149bfa20f4f2a9a2e91aac4187/preview
以下に該当する方は中絶手術をお受けできませんので予めご了承くださいませ・妊娠12週以降の方（当院では妊娠11"&amp;"週6日までの初期中絶のみ対応）・帝王切開歴のある方・喘息をお持ちの方で直近3ヶ月以内に発作がある場合・BMI32以上の方（BMI28以上は医師の判断）・日本語でのコミュニケーションが難しい方 ")</f>
        <v>大変恐縮ではありますが、当院では当日に中絶手術を行うことはできません。当クリニックでは、中絶手術の1回目としてカウンセリングと検査を行います。公式LINEからご予約のうえご来院いただき、問診・超音波（エコー）検査・血液検査を行い、妊娠週数やお身体の状態を確認します。その後、手術方法やリスク、費用について医師が詳しくご説明し、ご納得いただいた場合に手術日の予約を行います。患者様のご負担を軽減するため、「手術当日以外」はお近くのクリニックをご利用いただける体制を整えております。■初回相談・術前検査：川崎駅前院／横浜駅前院／町田駅前院→ご都合の良い院で受診可能 ■手術当日：横浜駅前院のみ→施術当日のみ横浜へご来院いただきます ■術後フォロー：川崎駅前院／横浜駅前院／町田駅前院→お近くの院で受診可能 ご予約は公式LINEから24時間承っております。LINEはこちら→https://cline-app.com/qr-codes/98ad6f149bfa20f4f2a9a2e91aac4187/preview
以下に該当する方は中絶手術をお受けできませんので予めご了承くださいませ・妊娠12週以降の方（当院では妊娠11週6日までの初期中絶のみ対応）・帝王切開歴のある方・喘息をお持ちの方で直近3ヶ月以内に発作がある場合・BMI32以上の方（BMI28以上は医師の判断）・日本語でのコミュニケーションが難しい方 </v>
      </c>
      <c r="C535" s="31" t="str">
        <f>IFERROR(__xludf.DUMMYFUNCTION("""COMPUTED_VALUE"""),"中絶手術")</f>
        <v>中絶手術</v>
      </c>
      <c r="D535" s="31" t="str">
        <f>IFERROR(__xludf.DUMMYFUNCTION("""COMPUTED_VALUE"""),"中絶手術,当日中絶,初回診療,手術日,横浜駅前院")</f>
        <v>中絶手術,当日中絶,初回診療,手術日,横浜駅前院</v>
      </c>
      <c r="E535" s="32" t="str">
        <f>IFERROR(__xludf.DUMMYFUNCTION("""COMPUTED_VALUE"""),"https://luna-dr.com/subjects/abortion_page/")</f>
        <v>https://luna-dr.com/subjects/abortion_page/</v>
      </c>
    </row>
    <row r="536">
      <c r="A536" s="31" t="str">
        <f>IFERROR(__xludf.DUMMYFUNCTION("""COMPUTED_VALUE"""),"中絶手術の初回診療はどのような流れですか？")</f>
        <v>中絶手術の初回診療はどのような流れですか？</v>
      </c>
      <c r="B536" s="31" t="str">
        <f>IFERROR(__xludf.DUMMYFUNCTION("""COMPUTED_VALUE"""),"当クリニックでは、中絶手術の1回目としてカウンセリングと検査を行います。公式LINEからご予約のうえご来院いただき、問診・超音波（エコー）検査・血液検査を行い、妊娠週数やお身体の状態を確認します。その後、手術方法やリスク、費用について医師が詳しくご説明し、ご納得いただいた場合に手術日の予約を行います。患者様のご負担を軽減するため、「手術当日以外」はお近くのクリニックをご利用いただける体制を整えております。
■ 初回相談・術前検査
川崎駅前院／横浜駅前院／町田駅前院
→ご都合の良い院で受診可能
■ 手術当"&amp;"日
横浜駅前院のみ
→施術当日のみ横浜へご来院いただきます
■ 術後フォロー
川崎駅前院／横浜駅前院／町田駅前院
→お近くの院で受診可能
ご予約は公式LINEから24時間承っております。LINEはこちら→https://cline-app.com/qr-codes/98ad6f149bfa20f4f2a9a2e91aac4187/preview")</f>
        <v>当クリニックでは、中絶手術の1回目としてカウンセリングと検査を行います。公式LINEからご予約のうえご来院いただき、問診・超音波（エコー）検査・血液検査を行い、妊娠週数やお身体の状態を確認します。その後、手術方法やリスク、費用について医師が詳しくご説明し、ご納得いただいた場合に手術日の予約を行います。患者様のご負担を軽減するため、「手術当日以外」はお近くのクリニックをご利用いただける体制を整えております。
■ 初回相談・術前検査
川崎駅前院／横浜駅前院／町田駅前院
→ご都合の良い院で受診可能
■ 手術当日
横浜駅前院のみ
→施術当日のみ横浜へご来院いただきます
■ 術後フォロー
川崎駅前院／横浜駅前院／町田駅前院
→お近くの院で受診可能
ご予約は公式LINEから24時間承っております。LINEはこちら→https://cline-app.com/qr-codes/98ad6f149bfa20f4f2a9a2e91aac4187/preview</v>
      </c>
      <c r="C536" s="31" t="str">
        <f>IFERROR(__xludf.DUMMYFUNCTION("""COMPUTED_VALUE"""),"中絶手術")</f>
        <v>中絶手術</v>
      </c>
      <c r="D536" s="31" t="str">
        <f>IFERROR(__xludf.DUMMYFUNCTION("""COMPUTED_VALUE"""),"中絶手術,初回診療,流れ,2日間")</f>
        <v>中絶手術,初回診療,流れ,2日間</v>
      </c>
      <c r="E536" s="32" t="str">
        <f>IFERROR(__xludf.DUMMYFUNCTION("""COMPUTED_VALUE"""),"https://luna-dr.com/subjects/abortion_page/")</f>
        <v>https://luna-dr.com/subjects/abortion_page/</v>
      </c>
    </row>
    <row r="537">
      <c r="A537" s="31" t="str">
        <f>IFERROR(__xludf.DUMMYFUNCTION("""COMPUTED_VALUE"""),"中絶の相談はどのように行いますか？")</f>
        <v>中絶の相談はどのように行いますか？</v>
      </c>
      <c r="B537" s="31" t="str">
        <f>IFERROR(__xludf.DUMMYFUNCTION("""COMPUTED_VALUE"""),"中絶相談の初回診療は予約制です。公式LINEからご予約のうえご来院いただき、問診・超音波（エコー）検査・血液検査を行い、妊娠週数やお身体の状態を確認します。その後、手術方法やリスク、費用について医師が詳しくご説明し、ご納得いただいた場合に手術日の予約を行います。患者様のご負担を軽減するため、「手術当日以外」はお近くのクリニックをご利用いただける体制を整えております。■初回相談・術前検査：川崎駅前院／横浜駅前院／町田駅前院→ご都合の良い院で受診可能 ■手術当日：横浜駅前院のみ→施術当日のみ横浜へご来院いただ"&amp;"きます ■術後フォロー：川崎駅前院／横浜駅前院／町田駅前院→お近くの院で受診可能 ご予約は公式LINEから24時間承っております。LINEはこちら→https://cline-app.com/qr-codes/98ad6f149bfa20f4f2a9a2e91aac4187/preview
以下に該当する方は中絶手術をお受けできませんので予めご了承くださいませ・妊娠12週以降の方（当院では妊娠11週6日までの初期中絶のみ対応）・帝王切開歴のある方・喘息をお持ちの方で直近3ヶ月以内に発作がある場合・BMI3"&amp;"2以上の方（BMI28以上は医師の判断）・日本語でのコミュニケーションが難しい方 ")</f>
        <v>中絶相談の初回診療は予約制です。公式LINEからご予約のうえご来院いただき、問診・超音波（エコー）検査・血液検査を行い、妊娠週数やお身体の状態を確認します。その後、手術方法やリスク、費用について医師が詳しくご説明し、ご納得いただいた場合に手術日の予約を行います。患者様のご負担を軽減するため、「手術当日以外」はお近くのクリニックをご利用いただける体制を整えております。■初回相談・術前検査：川崎駅前院／横浜駅前院／町田駅前院→ご都合の良い院で受診可能 ■手術当日：横浜駅前院のみ→施術当日のみ横浜へご来院いただきます ■術後フォロー：川崎駅前院／横浜駅前院／町田駅前院→お近くの院で受診可能 ご予約は公式LINEから24時間承っております。LINEはこちら→https://cline-app.com/qr-codes/98ad6f149bfa20f4f2a9a2e91aac4187/preview
以下に該当する方は中絶手術をお受けできませんので予めご了承くださいませ・妊娠12週以降の方（当院では妊娠11週6日までの初期中絶のみ対応）・帝王切開歴のある方・喘息をお持ちの方で直近3ヶ月以内に発作がある場合・BMI32以上の方（BMI28以上は医師の判断）・日本語でのコミュニケーションが難しい方 </v>
      </c>
      <c r="C537" s="31" t="str">
        <f>IFERROR(__xludf.DUMMYFUNCTION("""COMPUTED_VALUE"""),"中絶手術")</f>
        <v>中絶手術</v>
      </c>
      <c r="D537" s="31" t="str">
        <f>IFERROR(__xludf.DUMMYFUNCTION("""COMPUTED_VALUE"""),"中絶手術,予約,LINE予約,電話予約")</f>
        <v>中絶手術,予約,LINE予約,電話予約</v>
      </c>
      <c r="E537" s="32" t="str">
        <f>IFERROR(__xludf.DUMMYFUNCTION("""COMPUTED_VALUE"""),"https://luna-dr.com/subjects/abortion_page/")</f>
        <v>https://luna-dr.com/subjects/abortion_page/</v>
      </c>
    </row>
    <row r="538">
      <c r="A538" s="31" t="str">
        <f>IFERROR(__xludf.DUMMYFUNCTION("""COMPUTED_VALUE"""),"中絶手術の予約はどのように行いますか？")</f>
        <v>中絶手術の予約はどのように行いますか？</v>
      </c>
      <c r="B538" s="31" t="str">
        <f>IFERROR(__xludf.DUMMYFUNCTION("""COMPUTED_VALUE"""),"中絶手術の初回診療は予約制です。当院では患者様のご負担を軽減するため、「手術当日以外」はお近くのクリニックをご利用いただける体制を整えております。初回相談・術前検査はご都合が良いクリニックをご選択ください。手術当日のみ、横浜駅前院へご来院いただきます。術後フォローはお近くの院で受診可能となります。ご予約は公式LINEから24時間承っております。LINEはこちら→https://cline-app.com/qr-codes/98ad6f149bfa20f4f2a9a2e91aac4187/preview
以"&amp;"下に該当する方は中絶手術をお受けできませんので予めご了承くださいませ・妊娠12週以降の方（当院では妊娠11週6日までの初期中絶のみ対応）・帝王切開歴のある方・喘息をお持ちの方で直近3ヶ月以内に発作がある場合・BMI32以上の方（BMI28以上は医師の判断）・日本語でのコミュニケーションが難しい方 ")</f>
        <v>中絶手術の初回診療は予約制です。当院では患者様のご負担を軽減するため、「手術当日以外」はお近くのクリニックをご利用いただける体制を整えております。初回相談・術前検査はご都合が良いクリニックをご選択ください。手術当日のみ、横浜駅前院へご来院いただきます。術後フォローはお近くの院で受診可能となります。ご予約は公式LINEから24時間承っております。LINEはこちら→https://cline-app.com/qr-codes/98ad6f149bfa20f4f2a9a2e91aac4187/preview
以下に該当する方は中絶手術をお受けできませんので予めご了承くださいませ・妊娠12週以降の方（当院では妊娠11週6日までの初期中絶のみ対応）・帝王切開歴のある方・喘息をお持ちの方で直近3ヶ月以内に発作がある場合・BMI32以上の方（BMI28以上は医師の判断）・日本語でのコミュニケーションが難しい方 </v>
      </c>
      <c r="C538" s="31" t="str">
        <f>IFERROR(__xludf.DUMMYFUNCTION("""COMPUTED_VALUE"""),"中絶手術")</f>
        <v>中絶手術</v>
      </c>
      <c r="D538" s="31" t="str">
        <f>IFERROR(__xludf.DUMMYFUNCTION("""COMPUTED_VALUE"""),"中絶手術,予約,LINE予約,電話予約")</f>
        <v>中絶手術,予約,LINE予約,電話予約</v>
      </c>
      <c r="E538" s="32" t="str">
        <f>IFERROR(__xludf.DUMMYFUNCTION("""COMPUTED_VALUE"""),"https://luna-dr.com/subjects/abortion_page/")</f>
        <v>https://luna-dr.com/subjects/abortion_page/</v>
      </c>
    </row>
    <row r="539">
      <c r="A539" s="31" t="str">
        <f>IFERROR(__xludf.DUMMYFUNCTION("""COMPUTED_VALUE"""),"中絶手術の初回来院時に必要な持ち物は何ですか？")</f>
        <v>中絶手術の初回来院時に必要な持ち物は何ですか？</v>
      </c>
      <c r="B539" s="31" t="str">
        <f>IFERROR(__xludf.DUMMYFUNCTION("""COMPUTED_VALUE"""),"初回来院時は、保険証またはマイナンバーカード、お薬手帳（お持ちの方）、筆記用具をご持参ください。問診票記入のため、予約時間より10分ほど早めの来院をおすすめしています。")</f>
        <v>初回来院時は、保険証またはマイナンバーカード、お薬手帳（お持ちの方）、筆記用具をご持参ください。問診票記入のため、予約時間より10分ほど早めの来院をおすすめしています。</v>
      </c>
      <c r="C539" s="31" t="str">
        <f>IFERROR(__xludf.DUMMYFUNCTION("""COMPUTED_VALUE"""),"中絶手術")</f>
        <v>中絶手術</v>
      </c>
      <c r="D539" s="31" t="str">
        <f>IFERROR(__xludf.DUMMYFUNCTION("""COMPUTED_VALUE"""),"中絶手術,初診,持ち物")</f>
        <v>中絶手術,初診,持ち物</v>
      </c>
      <c r="E539" s="32" t="str">
        <f>IFERROR(__xludf.DUMMYFUNCTION("""COMPUTED_VALUE"""),"https://luna-dr.com/subjects/abortion_page/")</f>
        <v>https://luna-dr.com/subjects/abortion_page/</v>
      </c>
    </row>
    <row r="540">
      <c r="A540" s="31" t="str">
        <f>IFERROR(__xludf.DUMMYFUNCTION("""COMPUTED_VALUE"""),"中絶手術の1回目はどのような流れですか？/中絶手術の初回診療はどのような流れですか？")</f>
        <v>中絶手術の1回目はどのような流れですか？/中絶手術の初回診療はどのような流れですか？</v>
      </c>
      <c r="B540" s="31" t="str">
        <f>IFERROR(__xludf.DUMMYFUNCTION("""COMPUTED_VALUE"""),"当クリニックでは、中絶手術の1回目としてカウンセリングと検査を行います。公式LINEからご予約のうえご来院いただき、問診・超音波（エコー）検査・血液検査を行い、妊娠週数やお身体の状態を確認します。その後、手術方法やリスク、費用について医師が詳しくご説明し、ご納得いただいた場合に手術日の予約を行います。患者様のご負担を軽減するため、「手術当日以外」はお近くのクリニックをご利用いただける体制を整えております。■初回相談・術前検査：川崎駅前院／横浜駅前院／町田駅前院→ご都合の良い院で受診可能 ■手術当日：横浜駅"&amp;"前院のみ→施術当日のみ横浜へご来院いただきます ■術後フォロー：川崎駅前院／横浜駅前院／町田駅前院→お近くの院で受診可能 ご予約は公式LINEから24時間承っております。LINEはこちら→https://cline-app.com/qr-codes/98ad6f149bfa20f4f2a9a2e91aac4187/preview")</f>
        <v>当クリニックでは、中絶手術の1回目としてカウンセリングと検査を行います。公式LINEからご予約のうえご来院いただき、問診・超音波（エコー）検査・血液検査を行い、妊娠週数やお身体の状態を確認します。その後、手術方法やリスク、費用について医師が詳しくご説明し、ご納得いただいた場合に手術日の予約を行います。患者様のご負担を軽減するため、「手術当日以外」はお近くのクリニックをご利用いただける体制を整えております。■初回相談・術前検査：川崎駅前院／横浜駅前院／町田駅前院→ご都合の良い院で受診可能 ■手術当日：横浜駅前院のみ→施術当日のみ横浜へご来院いただきます ■術後フォロー：川崎駅前院／横浜駅前院／町田駅前院→お近くの院で受診可能 ご予約は公式LINEから24時間承っております。LINEはこちら→https://cline-app.com/qr-codes/98ad6f149bfa20f4f2a9a2e91aac4187/preview</v>
      </c>
      <c r="C540" s="31" t="str">
        <f>IFERROR(__xludf.DUMMYFUNCTION("""COMPUTED_VALUE"""),"中絶手術")</f>
        <v>中絶手術</v>
      </c>
      <c r="D540" s="31" t="str">
        <f>IFERROR(__xludf.DUMMYFUNCTION("""COMPUTED_VALUE"""),"中絶,初回診療,カウンセリング,検査,予約")</f>
        <v>中絶,初回診療,カウンセリング,検査,予約</v>
      </c>
      <c r="E540" s="32" t="str">
        <f>IFERROR(__xludf.DUMMYFUNCTION("""COMPUTED_VALUE"""),"https://luna-dr.com/subjects/abortion_page/")</f>
        <v>https://luna-dr.com/subjects/abortion_page/</v>
      </c>
    </row>
    <row r="541">
      <c r="A541" s="31" t="str">
        <f>IFERROR(__xludf.DUMMYFUNCTION("""COMPUTED_VALUE"""),"中絶手術の初回診療は予約が必要ですか？/町田院でも中絶手術はできますか？/川崎院でも中絶手術はできますか？")</f>
        <v>中絶手術の初回診療は予約が必要ですか？/町田院でも中絶手術はできますか？/川崎院でも中絶手術はできますか？</v>
      </c>
      <c r="B541" s="31" t="str">
        <f>IFERROR(__xludf.DUMMYFUNCTION("""COMPUTED_VALUE"""),"当クリニックではスムーズなご案内のため、初回診療は完全予約制としています。当院では患者様のご負担を軽減するため、「手術当日以外」はお近くのクリニックをご利用いただける体制を整えております。初回相談・術前検査はご都合が良いクリニックをご選択ください。手術当日のみ、横浜駅前院へご来院いただきます。術後フォローはお近くの院で受診可能となります。ご予約は公式LINEから24時間予約可能です。LINEはこちら→https://cline-app.com/qr-codes/98ad6f149bfa20f4f2a9a2"&amp;"e91aac4187/preview
以下に該当する方は中絶手術をお受けできませんので予めご了承くださいませ・妊娠12週以降の方（当院では妊娠11週6日までの初期中絶のみ対応）・帝王切開歴のある方・喘息をお持ちの方で直近3ヶ月以内に発作がある場合・BMI32以上の方（BMI28以上は医師の判断）・日本語でのコミュニケーションが難しい方 ")</f>
        <v>当クリニックではスムーズなご案内のため、初回診療は完全予約制としています。当院では患者様のご負担を軽減するため、「手術当日以外」はお近くのクリニックをご利用いただける体制を整えております。初回相談・術前検査はご都合が良いクリニックをご選択ください。手術当日のみ、横浜駅前院へご来院いただきます。術後フォローはお近くの院で受診可能となります。ご予約は公式LINEから24時間予約可能です。LINEはこちら→https://cline-app.com/qr-codes/98ad6f149bfa20f4f2a9a2e91aac4187/preview
以下に該当する方は中絶手術をお受けできませんので予めご了承くださいませ・妊娠12週以降の方（当院では妊娠11週6日までの初期中絶のみ対応）・帝王切開歴のある方・喘息をお持ちの方で直近3ヶ月以内に発作がある場合・BMI32以上の方（BMI28以上は医師の判断）・日本語でのコミュニケーションが難しい方 </v>
      </c>
      <c r="C541" s="31" t="str">
        <f>IFERROR(__xludf.DUMMYFUNCTION("""COMPUTED_VALUE"""),"中絶手術")</f>
        <v>中絶手術</v>
      </c>
      <c r="D541" s="31" t="str">
        <f>IFERROR(__xludf.DUMMYFUNCTION("""COMPUTED_VALUE"""),"中絶,初回,予約,LINE,電話")</f>
        <v>中絶,初回,予約,LINE,電話</v>
      </c>
      <c r="E541" s="32" t="str">
        <f>IFERROR(__xludf.DUMMYFUNCTION("""COMPUTED_VALUE"""),"https://luna-dr.com/subjects/abortion_page/")</f>
        <v>https://luna-dr.com/subjects/abortion_page/</v>
      </c>
    </row>
    <row r="542">
      <c r="A542" s="31" t="str">
        <f>IFERROR(__xludf.DUMMYFUNCTION("""COMPUTED_VALUE"""),"中絶手術はどうやって予約しますか？")</f>
        <v>中絶手術はどうやって予約しますか？</v>
      </c>
      <c r="B542" s="31" t="str">
        <f>IFERROR(__xludf.DUMMYFUNCTION("""COMPUTED_VALUE"""),"公式LINEでご予約ができます。LINEはこちら→https://cline-app.com/qr-codes/98ad6f149bfa20f4f2a9a2e91aac4187/preview
※当院では患者様のご負担を軽減するため、「手術当日以外」はお近くのクリニックをご利用いただける体制を整えております。初回相談・術前検査はご都合が良いクリニックをご選択ください。手術当日のみ、横浜駅前院へご来院いただきます。術後フォローはお近くの院で受診可能となります。
以下に該当する方は中絶手術をお受けできませんの"&amp;"で予めご了承くださいませ・妊娠12週以降の方（当院では妊娠11週6日までの初期中絶のみ対応）・帝王切開歴のある方・喘息をお持ちの方で直近3ヶ月以内に発作がある場合・BMI32以上の方（BMI28以上は医師の判断）・日本語でのコミュニケーションが難しい方 ")</f>
        <v>公式LINEでご予約ができます。LINEはこちら→https://cline-app.com/qr-codes/98ad6f149bfa20f4f2a9a2e91aac4187/preview
※当院では患者様のご負担を軽減するため、「手術当日以外」はお近くのクリニックをご利用いただける体制を整えております。初回相談・術前検査はご都合が良いクリニックをご選択ください。手術当日のみ、横浜駅前院へご来院いただきます。術後フォローはお近くの院で受診可能となります。
以下に該当する方は中絶手術をお受けできませんので予めご了承くださいませ・妊娠12週以降の方（当院では妊娠11週6日までの初期中絶のみ対応）・帝王切開歴のある方・喘息をお持ちの方で直近3ヶ月以内に発作がある場合・BMI32以上の方（BMI28以上は医師の判断）・日本語でのコミュニケーションが難しい方 </v>
      </c>
      <c r="C542" s="31" t="str">
        <f>IFERROR(__xludf.DUMMYFUNCTION("""COMPUTED_VALUE"""),"中絶手術")</f>
        <v>中絶手術</v>
      </c>
      <c r="D542" s="31" t="str">
        <f>IFERROR(__xludf.DUMMYFUNCTION("""COMPUTED_VALUE"""),"予約方法,LINE,電話,妊娠検査")</f>
        <v>予約方法,LINE,電話,妊娠検査</v>
      </c>
      <c r="E542" s="32" t="str">
        <f>IFERROR(__xludf.DUMMYFUNCTION("""COMPUTED_VALUE"""),"https://luna-dr.com/subjects/pregnancy-test/")</f>
        <v>https://luna-dr.com/subjects/pregnancy-test/</v>
      </c>
    </row>
    <row r="543">
      <c r="A543" s="31" t="str">
        <f>IFERROR(__xludf.DUMMYFUNCTION("""COMPUTED_VALUE"""),"中絶手術はLINEから予約できますか？")</f>
        <v>中絶手術はLINEから予約できますか？</v>
      </c>
      <c r="B543" s="31" t="str">
        <f>IFERROR(__xludf.DUMMYFUNCTION("""COMPUTED_VALUE"""),"公式LINEでご予約ができます。LINEはこちら→https://cline-app.com/qr-codes/98ad6f149bfa20f4f2a9a2e91aac4187/preview
※当院では患者様のご負担を軽減するため、「手術当日以外」はお近くのクリニックをご利用いただける体制を整えております。初回相談・術前検査はご都合が良いクリニックをご選択ください。手術当日のみ、横浜駅前院へご来院いただきます。術後フォローはお近くの院で受診可能となります。
以下に該当する方は中絶手術をお受けできませんの"&amp;"で予めご了承くださいませ・妊娠12週以降の方（当院では妊娠11週6日までの初期中絶のみ対応）・帝王切開歴のある方・喘息をお持ちの方で直近3ヶ月以内に発作がある場合・BMI32以上の方（BMI28以上は医師の判断）・日本語でのコミュニケーションが難しい方 ")</f>
        <v>公式LINEでご予約ができます。LINEはこちら→https://cline-app.com/qr-codes/98ad6f149bfa20f4f2a9a2e91aac4187/preview
※当院では患者様のご負担を軽減するため、「手術当日以外」はお近くのクリニックをご利用いただける体制を整えております。初回相談・術前検査はご都合が良いクリニックをご選択ください。手術当日のみ、横浜駅前院へご来院いただきます。術後フォローはお近くの院で受診可能となります。
以下に該当する方は中絶手術をお受けできませんので予めご了承くださいませ・妊娠12週以降の方（当院では妊娠11週6日までの初期中絶のみ対応）・帝王切開歴のある方・喘息をお持ちの方で直近3ヶ月以内に発作がある場合・BMI32以上の方（BMI28以上は医師の判断）・日本語でのコミュニケーションが難しい方 </v>
      </c>
      <c r="C543" s="31" t="str">
        <f>IFERROR(__xludf.DUMMYFUNCTION("""COMPUTED_VALUE"""),"中絶手術")</f>
        <v>中絶手術</v>
      </c>
      <c r="D543" s="31" t="str">
        <f>IFERROR(__xludf.DUMMYFUNCTION("""COMPUTED_VALUE"""),"LINE予約,婦人科予約,妊娠検査")</f>
        <v>LINE予約,婦人科予約,妊娠検査</v>
      </c>
      <c r="E543" s="32" t="str">
        <f>IFERROR(__xludf.DUMMYFUNCTION("""COMPUTED_VALUE"""),"https://luna-dr.com/subjects/pregnancy-test/")</f>
        <v>https://luna-dr.com/subjects/pregnancy-test/</v>
      </c>
    </row>
    <row r="544">
      <c r="A544" s="31" t="str">
        <f>IFERROR(__xludf.DUMMYFUNCTION("""COMPUTED_VALUE"""),"中絶手術は電話でも予約できますか？")</f>
        <v>中絶手術は電話でも予約できますか？</v>
      </c>
      <c r="B544" s="31" t="str">
        <f>IFERROR(__xludf.DUMMYFUNCTION("""COMPUTED_VALUE"""),"LINEでの予約後、事前問診等もLINEから行うことができ、スムーズに受診ができるため、当院ではLINEでのご予約を推奨しております。
来院診療のご予約：こちらのLINEをご利用ください→https://cline-app.com/qr-codes/98ad6f149bfa20f4f2a9a2e91aac4187/preview
※当院では患者様のご負担を軽減するため、「手術当日以外」はお近くのクリニックをご利用いただける体制を整えております。初回相談・術前検査はご都合が良いクリニックをご選択ください。手"&amp;"術当日のみ、横浜駅前院へご来院いただきます。術後フォローはお近くの院で受診可能となります。
以下に該当する方は中絶手術をお受けできませんので予めご了承くださいませ・妊娠12週以降の方（当院では妊娠11週6日までの初期中絶のみ対応）・帝王切開歴のある方・喘息をお持ちの方で直近3ヶ月以内に発作がある場合・BMI32以上の方（BMI28以上は医師の判断）・日本語でのコミュニケーションが難しい方 ")</f>
        <v>LINEでの予約後、事前問診等もLINEから行うことができ、スムーズに受診ができるため、当院ではLINEでのご予約を推奨しております。
来院診療のご予約：こちらのLINEをご利用ください→https://cline-app.com/qr-codes/98ad6f149bfa20f4f2a9a2e91aac4187/preview
※当院では患者様のご負担を軽減するため、「手術当日以外」はお近くのクリニックをご利用いただける体制を整えております。初回相談・術前検査はご都合が良いクリニックをご選択ください。手術当日のみ、横浜駅前院へご来院いただきます。術後フォローはお近くの院で受診可能となります。
以下に該当する方は中絶手術をお受けできませんので予めご了承くださいませ・妊娠12週以降の方（当院では妊娠11週6日までの初期中絶のみ対応）・帝王切開歴のある方・喘息をお持ちの方で直近3ヶ月以内に発作がある場合・BMI32以上の方（BMI28以上は医師の判断）・日本語でのコミュニケーションが難しい方 </v>
      </c>
      <c r="C544" s="31" t="str">
        <f>IFERROR(__xludf.DUMMYFUNCTION("""COMPUTED_VALUE"""),"中絶手術")</f>
        <v>中絶手術</v>
      </c>
      <c r="D544" s="31" t="str">
        <f>IFERROR(__xludf.DUMMYFUNCTION("""COMPUTED_VALUE"""),"電話予約,問い合わせ,妊娠検査")</f>
        <v>電話予約,問い合わせ,妊娠検査</v>
      </c>
      <c r="E544" s="32" t="str">
        <f>IFERROR(__xludf.DUMMYFUNCTION("""COMPUTED_VALUE"""),"https://luna-dr.com/subjects/pregnancy-test/")</f>
        <v>https://luna-dr.com/subjects/pregnancy-test/</v>
      </c>
    </row>
    <row r="545">
      <c r="A545" s="31" t="str">
        <f>IFERROR(__xludf.DUMMYFUNCTION("""COMPUTED_VALUE"""),"中絶手術の予約前に準備しておくことはありますか？")</f>
        <v>中絶手術の予約前に準備しておくことはありますか？</v>
      </c>
      <c r="B545" s="31" t="str">
        <f>IFERROR(__xludf.DUMMYFUNCTION("""COMPUTED_VALUE"""),"ルナレディースクリニックでは、診察前にWEB問診の入力をお願いしています。事前にご入力いただくと診察がスムーズです。")</f>
        <v>ルナレディースクリニックでは、診察前にWEB問診の入力をお願いしています。事前にご入力いただくと診察がスムーズです。</v>
      </c>
      <c r="C545" s="31" t="str">
        <f>IFERROR(__xludf.DUMMYFUNCTION("""COMPUTED_VALUE"""),"中絶手術")</f>
        <v>中絶手術</v>
      </c>
      <c r="D545" s="31" t="str">
        <f>IFERROR(__xludf.DUMMYFUNCTION("""COMPUTED_VALUE"""),"WEB問診,事前準備,妊娠検査")</f>
        <v>WEB問診,事前準備,妊娠検査</v>
      </c>
      <c r="E545" s="32" t="str">
        <f>IFERROR(__xludf.DUMMYFUNCTION("""COMPUTED_VALUE"""),"https://luna-dr.com/subjects/pregnancy-test/")</f>
        <v>https://luna-dr.com/subjects/pregnancy-test/</v>
      </c>
    </row>
    <row r="546">
      <c r="A546" s="31" t="str">
        <f>IFERROR(__xludf.DUMMYFUNCTION("""COMPUTED_VALUE"""),"中絶手術は初診でも予約できますか？")</f>
        <v>中絶手術は初診でも予約できますか？</v>
      </c>
      <c r="B546" s="31" t="str">
        <f>IFERROR(__xludf.DUMMYFUNCTION("""COMPUTED_VALUE"""),"中絶手術は初診の方もご予約いただけます。初回診療ではカウンセリングと検査を行い、その後、別日に中絶手術を実施します。初回診療後に十分な説明を行い、納得いただいた上で手術日を決定します。当院では患者様のご負担を軽減するため、「手術当日以外」はお近くのクリニックをご利用いただける体制を整えております。初回相談・術前検査はご都合が良いクリニックをご選択ください。手術当日のみ、横浜駅前院へご来院いただきます。術後フォローはお近くの院で受診可能となります。ご予約は公式LINEから受け付けておりますので、友だち追加の"&amp;"上ご利用ください。LINEはこちら→https://cline-app.com/qr-codes/98ad6f149bfa20f4f2a9a2e91aac4187/preview
以下に該当する方は中絶手術をお受けできませんので予めご了承くださいませ・妊娠12週以降の方（当院では妊娠11週6日までの初期中絶のみ対応）・帝王切開歴のある方・喘息をお持ちの方で直近3ヶ月以内に発作がある場合・BMI32以上の方（BMI28以上は医師の判断）・日本語でのコミュニケーションが難しい方 ")</f>
        <v>中絶手術は初診の方もご予約いただけます。初回診療ではカウンセリングと検査を行い、その後、別日に中絶手術を実施します。初回診療後に十分な説明を行い、納得いただいた上で手術日を決定します。当院では患者様のご負担を軽減するため、「手術当日以外」はお近くのクリニックをご利用いただける体制を整えております。初回相談・術前検査はご都合が良いクリニックをご選択ください。手術当日のみ、横浜駅前院へご来院いただきます。術後フォローはお近くの院で受診可能となります。ご予約は公式LINEから受け付けておりますので、友だち追加の上ご利用ください。LINEはこちら→https://cline-app.com/qr-codes/98ad6f149bfa20f4f2a9a2e91aac4187/preview
以下に該当する方は中絶手術をお受けできませんので予めご了承くださいませ・妊娠12週以降の方（当院では妊娠11週6日までの初期中絶のみ対応）・帝王切開歴のある方・喘息をお持ちの方で直近3ヶ月以内に発作がある場合・BMI32以上の方（BMI28以上は医師の判断）・日本語でのコミュニケーションが難しい方 </v>
      </c>
      <c r="C546" s="31" t="str">
        <f>IFERROR(__xludf.DUMMYFUNCTION("""COMPUTED_VALUE"""),"中絶手術")</f>
        <v>中絶手術</v>
      </c>
      <c r="D546" s="31" t="str">
        <f>IFERROR(__xludf.DUMMYFUNCTION("""COMPUTED_VALUE"""),"初診,予約,妊娠検査")</f>
        <v>初診,予約,妊娠検査</v>
      </c>
      <c r="E546" s="32" t="str">
        <f>IFERROR(__xludf.DUMMYFUNCTION("""COMPUTED_VALUE"""),"https://luna-dr.com/subjects/pregnancy-test/")</f>
        <v>https://luna-dr.com/subjects/pregnancy-test/</v>
      </c>
    </row>
    <row r="547">
      <c r="A547" s="31" t="str">
        <f>IFERROR(__xludf.DUMMYFUNCTION("""COMPUTED_VALUE"""),"中絶手術は来院とオンライン、どちらで予約できますか？")</f>
        <v>中絶手術は来院とオンライン、どちらで予約できますか？</v>
      </c>
      <c r="B547" s="31" t="str">
        <f>IFERROR(__xludf.DUMMYFUNCTION("""COMPUTED_VALUE"""),"ルナレディースクリニックでは、中絶手術のご相談は来院診療のみで承っています。初回診療ではカウンセリングと検査を行い、その後、別日に中絶手術を実施します。初回診療後に十分な説明を行い、納得いただいた上で手術日を決定します。当院では患者様のご負担を軽減するため、「手術当日以外」はお近くのクリニックをご利用いただける体制を整えております。初回相談・術前検査はご都合が良いクリニックをご選択ください。手術当日のみ、横浜駅前院へご来院いただきます。術後フォローはお近くの院で受診可能となります。ご予約は公式LINEから"&amp;"受け付けておりますので、友だち追加の上ご利用ください。LINEはこちら→https://cline-app.com/qr-codes/98ad6f149bfa20f4f2a9a2e91aac4187/preview
以下に該当する方は中絶手術をお受けできませんので予めご了承くださいませ・妊娠12週以降の方（当院では妊娠11週6日までの初期中絶のみ対応）・帝王切開歴のある方・喘息をお持ちの方で直近3ヶ月以内に発作がある場合・BMI32以上の方（BMI28以上は医師の判断）・日本語でのコミュニケーションが難し"&amp;"い方 ")</f>
        <v>ルナレディースクリニックでは、中絶手術のご相談は来院診療のみで承っています。初回診療ではカウンセリングと検査を行い、その後、別日に中絶手術を実施します。初回診療後に十分な説明を行い、納得いただいた上で手術日を決定します。当院では患者様のご負担を軽減するため、「手術当日以外」はお近くのクリニックをご利用いただける体制を整えております。初回相談・術前検査はご都合が良いクリニックをご選択ください。手術当日のみ、横浜駅前院へご来院いただきます。術後フォローはお近くの院で受診可能となります。ご予約は公式LINEから受け付けておりますので、友だち追加の上ご利用ください。LINEはこちら→https://cline-app.com/qr-codes/98ad6f149bfa20f4f2a9a2e91aac4187/preview
以下に該当する方は中絶手術をお受けできませんので予めご了承くださいませ・妊娠12週以降の方（当院では妊娠11週6日までの初期中絶のみ対応）・帝王切開歴のある方・喘息をお持ちの方で直近3ヶ月以内に発作がある場合・BMI32以上の方（BMI28以上は医師の判断）・日本語でのコミュニケーションが難しい方 </v>
      </c>
      <c r="C547" s="31" t="str">
        <f>IFERROR(__xludf.DUMMYFUNCTION("""COMPUTED_VALUE"""),"中絶手術")</f>
        <v>中絶手術</v>
      </c>
      <c r="D547" s="31" t="str">
        <f>IFERROR(__xludf.DUMMYFUNCTION("""COMPUTED_VALUE"""),"来院診療,オンライン診療,妊娠検査")</f>
        <v>来院診療,オンライン診療,妊娠検査</v>
      </c>
      <c r="E547" s="32" t="str">
        <f>IFERROR(__xludf.DUMMYFUNCTION("""COMPUTED_VALUE"""),"https://luna-dr.com/subjects/pregnancy-test/")</f>
        <v>https://luna-dr.com/subjects/pregnancy-test/</v>
      </c>
    </row>
    <row r="548">
      <c r="A548" s="31" t="str">
        <f>IFERROR(__xludf.DUMMYFUNCTION("""COMPUTED_VALUE"""),"予約なしでも中絶手術は受けられますか？")</f>
        <v>予約なしでも中絶手術は受けられますか？</v>
      </c>
      <c r="B548" s="31" t="str">
        <f>IFERROR(__xludf.DUMMYFUNCTION("""COMPUTED_VALUE"""),"中絶手術は完全予約制としています。初回診療ではカウンセリングと検査を行い、その後、別日に中絶手術を実施します。初回診療後に十分な説明を行い、納得いただいた上で手術日を決定します。当院では患者様のご負担を軽減するため、「手術当日以外」はお近くのクリニックをご利用いただける体制を整えております。初回相談・術前検査はご都合が良いクリニックをご選択ください。手術当日のみ、横浜駅前院へご来院いただきます。術後フォローはお近くの院で受診可能となります。ご予約は公式LINEから受け付けておりますので、友だち追加の上ご利"&amp;"用ください。LINEはこちら→https://cline-app.com/qr-codes/98ad6f149bfa20f4f2a9a2e91aac4187/preview
以下に該当する方は中絶手術をお受けできませんので予めご了承くださいませ・妊娠12週以降の方（当院では妊娠11週6日までの初期中絶のみ対応）・帝王切開歴のある方・喘息をお持ちの方で直近3ヶ月以内に発作がある場合・BMI32以上の方（BMI28以上は医師の判断）・日本語でのコミュニケーションが難しい方 ")</f>
        <v>中絶手術は完全予約制としています。初回診療ではカウンセリングと検査を行い、その後、別日に中絶手術を実施します。初回診療後に十分な説明を行い、納得いただいた上で手術日を決定します。当院では患者様のご負担を軽減するため、「手術当日以外」はお近くのクリニックをご利用いただける体制を整えております。初回相談・術前検査はご都合が良いクリニックをご選択ください。手術当日のみ、横浜駅前院へご来院いただきます。術後フォローはお近くの院で受診可能となります。ご予約は公式LINEから受け付けておりますので、友だち追加の上ご利用ください。LINEはこちら→https://cline-app.com/qr-codes/98ad6f149bfa20f4f2a9a2e91aac4187/preview
以下に該当する方は中絶手術をお受けできませんので予めご了承くださいませ・妊娠12週以降の方（当院では妊娠11週6日までの初期中絶のみ対応）・帝王切開歴のある方・喘息をお持ちの方で直近3ヶ月以内に発作がある場合・BMI32以上の方（BMI28以上は医師の判断）・日本語でのコミュニケーションが難しい方 </v>
      </c>
      <c r="C548" s="31" t="str">
        <f>IFERROR(__xludf.DUMMYFUNCTION("""COMPUTED_VALUE"""),"中絶手術")</f>
        <v>中絶手術</v>
      </c>
      <c r="D548" s="31" t="str">
        <f>IFERROR(__xludf.DUMMYFUNCTION("""COMPUTED_VALUE"""),"妊娠検査検査,予約なし")</f>
        <v>妊娠検査検査,予約なし</v>
      </c>
      <c r="E548" s="32" t="str">
        <f>IFERROR(__xludf.DUMMYFUNCTION("""COMPUTED_VALUE"""),"https://luna-dr.com/subjects/pregnancy-test/")</f>
        <v>https://luna-dr.com/subjects/pregnancy-test/</v>
      </c>
    </row>
    <row r="549">
      <c r="A549" s="31" t="str">
        <f>IFERROR(__xludf.DUMMYFUNCTION("""COMPUTED_VALUE"""),"中絶手術の初回診療では何をしますか？")</f>
        <v>中絶手術の初回診療では何をしますか？</v>
      </c>
      <c r="B549" s="31" t="str">
        <f>IFERROR(__xludf.DUMMYFUNCTION("""COMPUTED_VALUE"""),"当クリニックでは初回診療で、問診票の記入、医師による診察、膣からの超音波（エコー）検査、血液検査を行います。妊娠の有無や妊娠週数、子宮や体調の状態を確認し、安全に中絶手術が可能かを判断します。
※当院では患者様のご負担を軽減するため、「手術当日以外」はお近くのクリニックをご利用いただける体制を整えております。初回相談・術前検査はご都合が良いクリニックをご選択ください。手術当日のみ、横浜駅前院へご来院いただきます。術後フォローはお近くの院で受診可能となります。中絶手術のご相談のご予約は公式LINEで受け付け"&amp;"ています。LINEはこちら→https://cline-app.com/qr-codes/98ad6f149bfa20f4f2a9a2e91aac4187/preview
以下に該当する方は中絶手術をお受けできませんので予めご了承くださいませ・妊娠12週以降の方（当院では妊娠11週6日までの初期中絶のみ対応）・帝王切開歴のある方・喘息をお持ちの方で直近3ヶ月以内に発作がある場合・BMI32以上の方（BMI28以上は医師の判断）・日本語でのコミュニケーションが難しい方 ")</f>
        <v>当クリニックでは初回診療で、問診票の記入、医師による診察、膣からの超音波（エコー）検査、血液検査を行います。妊娠の有無や妊娠週数、子宮や体調の状態を確認し、安全に中絶手術が可能かを判断します。
※当院では患者様のご負担を軽減するため、「手術当日以外」はお近くのクリニックをご利用いただける体制を整えております。初回相談・術前検査はご都合が良いクリニックをご選択ください。手術当日のみ、横浜駅前院へご来院いただきます。術後フォローはお近くの院で受診可能となります。中絶手術のご相談のご予約は公式LINEで受け付けています。LINEはこちら→https://cline-app.com/qr-codes/98ad6f149bfa20f4f2a9a2e91aac4187/preview
以下に該当する方は中絶手術をお受けできませんので予めご了承くださいませ・妊娠12週以降の方（当院では妊娠11週6日までの初期中絶のみ対応）・帝王切開歴のある方・喘息をお持ちの方で直近3ヶ月以内に発作がある場合・BMI32以上の方（BMI28以上は医師の判断）・日本語でのコミュニケーションが難しい方 </v>
      </c>
      <c r="C549" s="31" t="str">
        <f>IFERROR(__xludf.DUMMYFUNCTION("""COMPUTED_VALUE"""),"中絶手術｜初回診療内容")</f>
        <v>中絶手術｜初回診療内容</v>
      </c>
      <c r="D549" s="31" t="str">
        <f>IFERROR(__xludf.DUMMYFUNCTION("""COMPUTED_VALUE"""),"中絶,初回,診察,エコー,血液検査")</f>
        <v>中絶,初回,診察,エコー,血液検査</v>
      </c>
      <c r="E549" s="32" t="str">
        <f>IFERROR(__xludf.DUMMYFUNCTION("""COMPUTED_VALUE"""),"https://luna-dr.com/subjects/abortion_page/")</f>
        <v>https://luna-dr.com/subjects/abortion_page/</v>
      </c>
    </row>
    <row r="550">
      <c r="A550" s="31" t="str">
        <f>IFERROR(__xludf.DUMMYFUNCTION("""COMPUTED_VALUE"""),"中絶手術の初回診療ではどのような検査を行いますか？")</f>
        <v>中絶手術の初回診療ではどのような検査を行いますか？</v>
      </c>
      <c r="B550" s="31" t="str">
        <f>IFERROR(__xludf.DUMMYFUNCTION("""COMPUTED_VALUE"""),"初回診療では、膣からの超音波検査で妊娠の有無や胎児の大きさを確認し、妊娠週数を算出します。また、採血により感染症の有無や貧血の程度を調べます。中絶手術のご相談のご予約は公式LINEで受け付けています。LINEはこちら→https://cline-app.com/qr-codes/98ad6f149bfa20f4f2a9a2e91aac4187/preview
※当院では患者様のご負担を軽減するため、「手術当日以外」はお近くのクリニックをご利用いただける体制を整えております。初回相談・術前検査はご都合が良い"&amp;"クリニックをご選択ください。手術当日のみ、横浜駅前院へご来院いただきます。術後フォローはお近くの院で受診可能となります。
以下に該当する方は中絶手術をお受けできませんので予めご了承くださいませ・妊娠12週以降の方（当院では妊娠11週6日までの初期中絶のみ対応）・帝王切開歴のある方・喘息をお持ちの方で直近3ヶ月以内に発作がある場合・BMI32以上の方（BMI28以上は医師の判断）・日本語でのコミュニケーションが難しい方 ")</f>
        <v>初回診療では、膣からの超音波検査で妊娠の有無や胎児の大きさを確認し、妊娠週数を算出します。また、採血により感染症の有無や貧血の程度を調べます。中絶手術のご相談のご予約は公式LINEで受け付けています。LINEはこちら→https://cline-app.com/qr-codes/98ad6f149bfa20f4f2a9a2e91aac4187/preview
※当院では患者様のご負担を軽減するため、「手術当日以外」はお近くのクリニックをご利用いただける体制を整えております。初回相談・術前検査はご都合が良いクリニックをご選択ください。手術当日のみ、横浜駅前院へご来院いただきます。術後フォローはお近くの院で受診可能となります。
以下に該当する方は中絶手術をお受けできませんので予めご了承くださいませ・妊娠12週以降の方（当院では妊娠11週6日までの初期中絶のみ対応）・帝王切開歴のある方・喘息をお持ちの方で直近3ヶ月以内に発作がある場合・BMI32以上の方（BMI28以上は医師の判断）・日本語でのコミュニケーションが難しい方 </v>
      </c>
      <c r="C550" s="31" t="str">
        <f>IFERROR(__xludf.DUMMYFUNCTION("""COMPUTED_VALUE"""),"中絶手術")</f>
        <v>中絶手術</v>
      </c>
      <c r="D550" s="31" t="str">
        <f>IFERROR(__xludf.DUMMYFUNCTION("""COMPUTED_VALUE"""),"中絶手術,超音波検査,血液検査,初診")</f>
        <v>中絶手術,超音波検査,血液検査,初診</v>
      </c>
      <c r="E550" s="32" t="str">
        <f>IFERROR(__xludf.DUMMYFUNCTION("""COMPUTED_VALUE"""),"https://luna-dr.com/subjects/abortion_page/")</f>
        <v>https://luna-dr.com/subjects/abortion_page/</v>
      </c>
    </row>
    <row r="551">
      <c r="A551" s="31" t="str">
        <f>IFERROR(__xludf.DUMMYFUNCTION("""COMPUTED_VALUE"""),"中絶手術の初回診療に必要な持ち物は何ですか？")</f>
        <v>中絶手術の初回診療に必要な持ち物は何ですか？</v>
      </c>
      <c r="B551" s="31" t="str">
        <f>IFERROR(__xludf.DUMMYFUNCTION("""COMPUTED_VALUE"""),"当クリニックでは初回診療時に、保険証またはマイナンバーカード、お薬手帳（お持ちの方）、筆記用具をご持参ください。問診票の記入がありますので、予約時間の10分前のご来院をおすすめしています。")</f>
        <v>当クリニックでは初回診療時に、保険証またはマイナンバーカード、お薬手帳（お持ちの方）、筆記用具をご持参ください。問診票の記入がありますので、予約時間の10分前のご来院をおすすめしています。</v>
      </c>
      <c r="C551" s="31" t="str">
        <f>IFERROR(__xludf.DUMMYFUNCTION("""COMPUTED_VALUE"""),"中絶手術｜持ち物")</f>
        <v>中絶手術｜持ち物</v>
      </c>
      <c r="D551" s="31" t="str">
        <f>IFERROR(__xludf.DUMMYFUNCTION("""COMPUTED_VALUE"""),"中絶,初回,持ち物,保険証")</f>
        <v>中絶,初回,持ち物,保険証</v>
      </c>
      <c r="E551" s="32" t="str">
        <f>IFERROR(__xludf.DUMMYFUNCTION("""COMPUTED_VALUE"""),"https://luna-dr.com/subjects/abortion_page/")</f>
        <v>https://luna-dr.com/subjects/abortion_page/</v>
      </c>
    </row>
    <row r="552">
      <c r="A552" s="31" t="str">
        <f>IFERROR(__xludf.DUMMYFUNCTION("""COMPUTED_VALUE"""),"中絶手術の同意書はいつ提出しますか？")</f>
        <v>中絶手術の同意書はいつ提出しますか？</v>
      </c>
      <c r="B552" s="31" t="str">
        <f>IFERROR(__xludf.DUMMYFUNCTION("""COMPUTED_VALUE"""),"手術内容やリスクについて十分に理解・納得いただいた後に、同意書をお渡しします。ご本人とパートナーの署名・捺印が必要です。")</f>
        <v>手術内容やリスクについて十分に理解・納得いただいた後に、同意書をお渡しします。ご本人とパートナーの署名・捺印が必要です。</v>
      </c>
      <c r="C552" s="31" t="str">
        <f>IFERROR(__xludf.DUMMYFUNCTION("""COMPUTED_VALUE"""),"中絶手術")</f>
        <v>中絶手術</v>
      </c>
      <c r="D552" s="31" t="str">
        <f>IFERROR(__xludf.DUMMYFUNCTION("""COMPUTED_VALUE"""),"中絶手術,同意書,母体保護法")</f>
        <v>中絶手術,同意書,母体保護法</v>
      </c>
      <c r="E552" s="32" t="str">
        <f>IFERROR(__xludf.DUMMYFUNCTION("""COMPUTED_VALUE"""),"https://luna-dr.com/subjects/abortion_page/")</f>
        <v>https://luna-dr.com/subjects/abortion_page/</v>
      </c>
    </row>
    <row r="553">
      <c r="A553" s="31" t="str">
        <f>IFERROR(__xludf.DUMMYFUNCTION("""COMPUTED_VALUE"""),"中絶手術日はどのように決まりますか？")</f>
        <v>中絶手術日はどのように決まりますか？</v>
      </c>
      <c r="B553" s="31" t="str">
        <f>IFERROR(__xludf.DUMMYFUNCTION("""COMPUTED_VALUE"""),"中絶手術の意思が固まった場合、妊娠週数や検査結果、患者様のご都合を考慮して手術日を決定します。身体への負担を軽減するため、可能な限り早い日程をご案内しています。
※当院では患者様のご負担を軽減するため、「手術当日以外」はお近くのクリニックをご利用いただける体制を整えております。初回相談・術前検査はご都合が良いクリニックをご選択ください。手術当日のみ、横浜駅前院へご来院いただきます。術後フォローはお近くの院で受診可能となります。")</f>
        <v>中絶手術の意思が固まった場合、妊娠週数や検査結果、患者様のご都合を考慮して手術日を決定します。身体への負担を軽減するため、可能な限り早い日程をご案内しています。
※当院では患者様のご負担を軽減するため、「手術当日以外」はお近くのクリニックをご利用いただける体制を整えております。初回相談・術前検査はご都合が良いクリニックをご選択ください。手術当日のみ、横浜駅前院へご来院いただきます。術後フォローはお近くの院で受診可能となります。</v>
      </c>
      <c r="C553" s="31" t="str">
        <f>IFERROR(__xludf.DUMMYFUNCTION("""COMPUTED_VALUE"""),"中絶手術")</f>
        <v>中絶手術</v>
      </c>
      <c r="D553" s="31" t="str">
        <f>IFERROR(__xludf.DUMMYFUNCTION("""COMPUTED_VALUE"""),"中絶手術,手術日,妊娠週数")</f>
        <v>中絶手術,手術日,妊娠週数</v>
      </c>
      <c r="E553" s="32" t="str">
        <f>IFERROR(__xludf.DUMMYFUNCTION("""COMPUTED_VALUE"""),"https://luna-dr.com/subjects/abortion_page/")</f>
        <v>https://luna-dr.com/subjects/abortion_page/</v>
      </c>
    </row>
    <row r="554">
      <c r="A554" s="31" t="str">
        <f>IFERROR(__xludf.DUMMYFUNCTION("""COMPUTED_VALUE"""),"中絶手術の初回診療時の費用はいくらですか？")</f>
        <v>中絶手術の初回診療時の費用はいくらですか？</v>
      </c>
      <c r="B554" s="31" t="str">
        <f>IFERROR(__xludf.DUMMYFUNCTION("""COMPUTED_VALUE"""),"初回診療では、超音波検査・血液検査を含む初診料として16,500円（税込）がかかります。中絶手術費用とは別途必要です。")</f>
        <v>初回診療では、超音波検査・血液検査を含む初診料として16,500円（税込）がかかります。中絶手術費用とは別途必要です。</v>
      </c>
      <c r="C554" s="31" t="str">
        <f>IFERROR(__xludf.DUMMYFUNCTION("""COMPUTED_VALUE"""),"中絶手術")</f>
        <v>中絶手術</v>
      </c>
      <c r="D554" s="31" t="str">
        <f>IFERROR(__xludf.DUMMYFUNCTION("""COMPUTED_VALUE"""),"中絶手術,初診料,費用")</f>
        <v>中絶手術,初診料,費用</v>
      </c>
      <c r="E554" s="32" t="str">
        <f>IFERROR(__xludf.DUMMYFUNCTION("""COMPUTED_VALUE"""),"https://luna-dr.com/subjects/abortion_page/")</f>
        <v>https://luna-dr.com/subjects/abortion_page/</v>
      </c>
    </row>
    <row r="555">
      <c r="A555" s="31" t="str">
        <f>IFERROR(__xludf.DUMMYFUNCTION("""COMPUTED_VALUE"""),"初回診療当日に中絶手術は行いますか？")</f>
        <v>初回診療当日に中絶手術は行いますか？</v>
      </c>
      <c r="B555" s="31" t="str">
        <f>IFERROR(__xludf.DUMMYFUNCTION("""COMPUTED_VALUE"""),"当クリニックでは初回診療と中絶手術は別日で行います。初回診療ではカウンセリングと検査を行い、その後、別日に中絶手術を実施します。初回診療後に十分な説明を行い、納得いただいた上で手術日を決定します。当院では患者様のご負担を軽減するため、「手術当日以外」はお近くのクリニックをご利用いただける体制を整えております。初回相談・術前検査はご都合が良いクリニックをご選択ください。手術当日のみ、横浜駅前院へご来院いただきます。術後フォローはお近くの院で受診可能となります。ご予約は公式LINEで受け付けています。LINE"&amp;"はこちら→https://cline-app.com/qr-codes/98ad6f149bfa20f4f2a9a2e91aac4187/preview")</f>
        <v>当クリニックでは初回診療と中絶手術は別日で行います。初回診療ではカウンセリングと検査を行い、その後、別日に中絶手術を実施します。初回診療後に十分な説明を行い、納得いただいた上で手術日を決定します。当院では患者様のご負担を軽減するため、「手術当日以外」はお近くのクリニックをご利用いただける体制を整えております。初回相談・術前検査はご都合が良いクリニックをご選択ください。手術当日のみ、横浜駅前院へご来院いただきます。術後フォローはお近くの院で受診可能となります。ご予約は公式LINEで受け付けています。LINEはこちら→https://cline-app.com/qr-codes/98ad6f149bfa20f4f2a9a2e91aac4187/preview</v>
      </c>
      <c r="C555" s="31" t="str">
        <f>IFERROR(__xludf.DUMMYFUNCTION("""COMPUTED_VALUE"""),"中絶手術｜診療スケジュール")</f>
        <v>中絶手術｜診療スケジュール</v>
      </c>
      <c r="D555" s="31" t="str">
        <f>IFERROR(__xludf.DUMMYFUNCTION("""COMPUTED_VALUE"""),"中絶,初回,当日手術,別日")</f>
        <v>中絶,初回,当日手術,別日</v>
      </c>
      <c r="E555" s="32" t="str">
        <f>IFERROR(__xludf.DUMMYFUNCTION("""COMPUTED_VALUE"""),"https://luna-dr.com/subjects/abortion_page/")</f>
        <v>https://luna-dr.com/subjects/abortion_page/</v>
      </c>
    </row>
    <row r="556">
      <c r="A556" s="31" t="str">
        <f>IFERROR(__xludf.DUMMYFUNCTION("""COMPUTED_VALUE"""),"中絶手術の初回診療後はどうなりますか？")</f>
        <v>中絶手術の初回診療後はどうなりますか？</v>
      </c>
      <c r="B556" s="31" t="str">
        <f>IFERROR(__xludf.DUMMYFUNCTION("""COMPUTED_VALUE"""),"当クリニックでは初回診療後、医師の説明を十分に理解・納得いただいた場合に手術同意書をお渡しし、妊娠週数や体調、ご希望を踏まえて中絶手術日を予約します。当院では患者様のご負担を軽減するため、「手術当日以外」はお近くのクリニックをご利用いただける体制を整えております。初回相談・術前検査はご都合が良いクリニックをご選択ください。手術当日のみ、横浜駅前院へご来院いただきます。術後フォローはお近くの院で受診可能となります。ご予約は公式LINEで受け付けています。LINEはこちら→https://cline-app."&amp;"com/qr-codes/98ad6f149bfa20f4f2a9a2e91aac4187/preview")</f>
        <v>当クリニックでは初回診療後、医師の説明を十分に理解・納得いただいた場合に手術同意書をお渡しし、妊娠週数や体調、ご希望を踏まえて中絶手術日を予約します。当院では患者様のご負担を軽減するため、「手術当日以外」はお近くのクリニックをご利用いただける体制を整えております。初回相談・術前検査はご都合が良いクリニックをご選択ください。手術当日のみ、横浜駅前院へご来院いただきます。術後フォローはお近くの院で受診可能となります。ご予約は公式LINEで受け付けています。LINEはこちら→https://cline-app.com/qr-codes/98ad6f149bfa20f4f2a9a2e91aac4187/preview</v>
      </c>
      <c r="C556" s="31" t="str">
        <f>IFERROR(__xludf.DUMMYFUNCTION("""COMPUTED_VALUE"""),"中絶手術｜初回後の流れ")</f>
        <v>中絶手術｜初回後の流れ</v>
      </c>
      <c r="D556" s="31" t="str">
        <f>IFERROR(__xludf.DUMMYFUNCTION("""COMPUTED_VALUE"""),"中絶,同意書,手術予約")</f>
        <v>中絶,同意書,手術予約</v>
      </c>
      <c r="E556" s="32" t="str">
        <f>IFERROR(__xludf.DUMMYFUNCTION("""COMPUTED_VALUE"""),"https://luna-dr.com/subjects/abortion_page/")</f>
        <v>https://luna-dr.com/subjects/abortion_page/</v>
      </c>
    </row>
    <row r="557">
      <c r="A557" s="31" t="str">
        <f>IFERROR(__xludf.DUMMYFUNCTION("""COMPUTED_VALUE"""),"中絶手術の2回目（手術当日）はどのような流れですか？/中絶手術当日はどのような流れですか？")</f>
        <v>中絶手術の2回目（手術当日）はどのような流れですか？/中絶手術当日はどのような流れですか？</v>
      </c>
      <c r="B557" s="31" t="str">
        <f>IFERROR(__xludf.DUMMYFUNCTION("""COMPUTED_VALUE"""),"当クリニックでは2回目に中絶手術を行います。ご来院後に受付とお会計を行い、点滴・麻酔準備をしたうえで、WHO推奨の手動真空吸引法（MVA）による手術を実施します。手術後は院内で約2時間安静にしていただき、体調確認後にご帰宅いただきます。
※当院では患者様のご負担を軽減するため、「手術当日以外」はお近くのクリニックをご利用いただける体制を整えております。初回相談・術前検査はご都合が良いクリニックをご選択ください。手術当日のみ、横浜駅前院へご来院いただきます。術後フォローはお近くの院で受診可能となります。
ご"&amp;"予約は公式LINEで受け付けています。LINEはこちら→https://cline-app.com/qr-codes/98ad6f149bfa20f4f2a9a2e91aac4187/preview")</f>
        <v>当クリニックでは2回目に中絶手術を行います。ご来院後に受付とお会計を行い、点滴・麻酔準備をしたうえで、WHO推奨の手動真空吸引法（MVA）による手術を実施します。手術後は院内で約2時間安静にしていただき、体調確認後にご帰宅いただきます。
※当院では患者様のご負担を軽減するため、「手術当日以外」はお近くのクリニックをご利用いただける体制を整えております。初回相談・術前検査はご都合が良いクリニックをご選択ください。手術当日のみ、横浜駅前院へご来院いただきます。術後フォローはお近くの院で受診可能となります。
ご予約は公式LINEで受け付けています。LINEはこちら→https://cline-app.com/qr-codes/98ad6f149bfa20f4f2a9a2e91aac4187/preview</v>
      </c>
      <c r="C557" s="31" t="str">
        <f>IFERROR(__xludf.DUMMYFUNCTION("""COMPUTED_VALUE"""),"中絶手術｜手術当日の流れ")</f>
        <v>中絶手術｜手術当日の流れ</v>
      </c>
      <c r="D557" s="31" t="str">
        <f>IFERROR(__xludf.DUMMYFUNCTION("""COMPUTED_VALUE"""),"中絶,手術当日,MVA,麻酔")</f>
        <v>中絶,手術当日,MVA,麻酔</v>
      </c>
      <c r="E557" s="32" t="str">
        <f>IFERROR(__xludf.DUMMYFUNCTION("""COMPUTED_VALUE"""),"https://luna-dr.com/subjects/abortion_page/")</f>
        <v>https://luna-dr.com/subjects/abortion_page/</v>
      </c>
    </row>
    <row r="558">
      <c r="A558" s="31" t="str">
        <f>IFERROR(__xludf.DUMMYFUNCTION("""COMPUTED_VALUE"""),"中絶手術当日の持ち物は何ですか？")</f>
        <v>中絶手術当日の持ち物は何ですか？</v>
      </c>
      <c r="B558" s="31" t="str">
        <f>IFERROR(__xludf.DUMMYFUNCTION("""COMPUTED_VALUE"""),"当クリニックでは手術当日に、身分証明書、署名・捺印済みの同意書、手術費用、夜用ナプキン、生理用ショーツ、お薬手帳（お持ちの方）をご持参ください。")</f>
        <v>当クリニックでは手術当日に、身分証明書、署名・捺印済みの同意書、手術費用、夜用ナプキン、生理用ショーツ、お薬手帳（お持ちの方）をご持参ください。</v>
      </c>
      <c r="C558" s="31" t="str">
        <f>IFERROR(__xludf.DUMMYFUNCTION("""COMPUTED_VALUE"""),"中絶手術｜当日の持ち物")</f>
        <v>中絶手術｜当日の持ち物</v>
      </c>
      <c r="D558" s="31" t="str">
        <f>IFERROR(__xludf.DUMMYFUNCTION("""COMPUTED_VALUE"""),"中絶,手術当日,持ち物")</f>
        <v>中絶,手術当日,持ち物</v>
      </c>
      <c r="E558" s="32" t="str">
        <f>IFERROR(__xludf.DUMMYFUNCTION("""COMPUTED_VALUE"""),"https://luna-dr.com/subjects/abortion_page/")</f>
        <v>https://luna-dr.com/subjects/abortion_page/</v>
      </c>
    </row>
    <row r="559">
      <c r="A559" s="31" t="str">
        <f>IFERROR(__xludf.DUMMYFUNCTION("""COMPUTED_VALUE"""),"中絶手術当日の手術時間はどれくらいですか？")</f>
        <v>中絶手術当日の手術時間はどれくらいですか？</v>
      </c>
      <c r="B559" s="31" t="str">
        <f>IFERROR(__xludf.DUMMYFUNCTION("""COMPUTED_VALUE"""),"当クリニックで行う中絶手術は、手動真空吸引法（MVA）を用い、手術自体は約15分で終了します。来院からご帰宅まではおよそ3〜4時間が目安です。
ご予約は公式LINEで受け付けています。LINEはこちら→https://cline-app.com/qr-codes/98ad6f149bfa20f4f2a9a2e91aac4187/preview
※当院では患者様のご負担を軽減するため、「手術当日以外」はお近くのクリニックをご利用いただける体制を整えております。初回相談・術前検査はご都合が良いクリニックをご選"&amp;"択ください。手術当日のみ、横浜駅前院へご来院いただきます。術後フォローはお近くの院で受診可能となります。")</f>
        <v>当クリニックで行う中絶手術は、手動真空吸引法（MVA）を用い、手術自体は約15分で終了します。来院からご帰宅まではおよそ3〜4時間が目安です。
ご予約は公式LINEで受け付けています。LINEはこちら→https://cline-app.com/qr-codes/98ad6f149bfa20f4f2a9a2e91aac4187/preview
※当院では患者様のご負担を軽減するため、「手術当日以外」はお近くのクリニックをご利用いただける体制を整えております。初回相談・術前検査はご都合が良いクリニックをご選択ください。手術当日のみ、横浜駅前院へご来院いただきます。術後フォローはお近くの院で受診可能となります。</v>
      </c>
      <c r="C559" s="31" t="str">
        <f>IFERROR(__xludf.DUMMYFUNCTION("""COMPUTED_VALUE"""),"中絶手術｜手術時間")</f>
        <v>中絶手術｜手術時間</v>
      </c>
      <c r="D559" s="31" t="str">
        <f>IFERROR(__xludf.DUMMYFUNCTION("""COMPUTED_VALUE"""),"中絶,手術時間,MVA")</f>
        <v>中絶,手術時間,MVA</v>
      </c>
      <c r="E559" s="32" t="str">
        <f>IFERROR(__xludf.DUMMYFUNCTION("""COMPUTED_VALUE"""),"https://luna-dr.com/subjects/abortion_page/")</f>
        <v>https://luna-dr.com/subjects/abortion_page/</v>
      </c>
    </row>
    <row r="560">
      <c r="A560" s="31" t="str">
        <f>IFERROR(__xludf.DUMMYFUNCTION("""COMPUTED_VALUE"""),"中絶手術の初回診療ではどのような説明がありますか？")</f>
        <v>中絶手術の初回診療ではどのような説明がありますか？</v>
      </c>
      <c r="B560" s="31" t="str">
        <f>IFERROR(__xludf.DUMMYFUNCTION("""COMPUTED_VALUE"""),"検査結果をもとに、医師から中絶手術の方法や流れ、リスク、費用、術後の注意点について詳しく説明します。特に、手動真空吸引法（MVA）の安全性やメリットについて丁寧にご説明します。")</f>
        <v>検査結果をもとに、医師から中絶手術の方法や流れ、リスク、費用、術後の注意点について詳しく説明します。特に、手動真空吸引法（MVA）の安全性やメリットについて丁寧にご説明します。</v>
      </c>
      <c r="C560" s="31" t="str">
        <f>IFERROR(__xludf.DUMMYFUNCTION("""COMPUTED_VALUE"""),"中絶手術")</f>
        <v>中絶手術</v>
      </c>
      <c r="D560" s="31" t="str">
        <f>IFERROR(__xludf.DUMMYFUNCTION("""COMPUTED_VALUE"""),"中絶手術,MVA,手動真空吸引法,説明")</f>
        <v>中絶手術,MVA,手動真空吸引法,説明</v>
      </c>
      <c r="E560" s="32" t="str">
        <f>IFERROR(__xludf.DUMMYFUNCTION("""COMPUTED_VALUE"""),"https://luna-dr.com/subjects/abortion_page/")</f>
        <v>https://luna-dr.com/subjects/abortion_page/</v>
      </c>
    </row>
    <row r="561">
      <c r="A561" s="31" t="str">
        <f>IFERROR(__xludf.DUMMYFUNCTION("""COMPUTED_VALUE"""),"中絶手術後はどのくらい休みますか？")</f>
        <v>中絶手術後はどのくらい休みますか？</v>
      </c>
      <c r="B561" s="31" t="str">
        <f>IFERROR(__xludf.DUMMYFUNCTION("""COMPUTED_VALUE"""),"手術後は個室で約2時間休息をとっていただきます。看護師が出血や体調を確認し、問題がなければ帰宅となります。")</f>
        <v>手術後は個室で約2時間休息をとっていただきます。看護師が出血や体調を確認し、問題がなければ帰宅となります。</v>
      </c>
      <c r="C561" s="31" t="str">
        <f>IFERROR(__xludf.DUMMYFUNCTION("""COMPUTED_VALUE"""),"中絶手術")</f>
        <v>中絶手術</v>
      </c>
      <c r="D561" s="31" t="str">
        <f>IFERROR(__xludf.DUMMYFUNCTION("""COMPUTED_VALUE"""),"中絶手術,術後,休息")</f>
        <v>中絶手術,術後,休息</v>
      </c>
      <c r="E561" s="32" t="str">
        <f>IFERROR(__xludf.DUMMYFUNCTION("""COMPUTED_VALUE"""),"https://luna-dr.com/subjects/abortion_page/")</f>
        <v>https://luna-dr.com/subjects/abortion_page/</v>
      </c>
    </row>
    <row r="562">
      <c r="A562" s="31" t="str">
        <f>IFERROR(__xludf.DUMMYFUNCTION("""COMPUTED_VALUE"""),"中絶手術の手術後に薬は処方されますか？")</f>
        <v>中絶手術の手術後に薬は処方されますか？</v>
      </c>
      <c r="B562" s="31" t="str">
        <f>IFERROR(__xludf.DUMMYFUNCTION("""COMPUTED_VALUE"""),"帰宅前に鎮痛剤、抗生剤、1ヶ月分の低用量ピルをお渡ししています。服用方法についても医師・スタッフが説明します。")</f>
        <v>帰宅前に鎮痛剤、抗生剤、1ヶ月分の低用量ピルをお渡ししています。服用方法についても医師・スタッフが説明します。</v>
      </c>
      <c r="C562" s="31" t="str">
        <f>IFERROR(__xludf.DUMMYFUNCTION("""COMPUTED_VALUE"""),"中絶手術")</f>
        <v>中絶手術</v>
      </c>
      <c r="D562" s="31" t="str">
        <f>IFERROR(__xludf.DUMMYFUNCTION("""COMPUTED_VALUE"""),"中絶手術,術後,薬,ピル")</f>
        <v>中絶手術,術後,薬,ピル</v>
      </c>
      <c r="E562" s="32" t="str">
        <f>IFERROR(__xludf.DUMMYFUNCTION("""COMPUTED_VALUE"""),"https://luna-dr.com/subjects/abortion_page/")</f>
        <v>https://luna-dr.com/subjects/abortion_page/</v>
      </c>
    </row>
    <row r="563">
      <c r="A563" s="31" t="str">
        <f>IFERROR(__xludf.DUMMYFUNCTION("""COMPUTED_VALUE"""),"中絶手術後の検診はありますか？/中絶手術後の検診の予約方法/術後検診の予約はどうすればいい？")</f>
        <v>中絶手術後の検診はありますか？/中絶手術後の検診の予約方法/術後検診の予約はどうすればいい？</v>
      </c>
      <c r="B563" s="31" t="str">
        <f>IFERROR(__xludf.DUMMYFUNCTION("""COMPUTED_VALUE"""),"当クリニックでは、術後1週間後と3週間後の2回、無料で検診を行っています。術後の回復確認とフォローを重視しています。術後検診のご予約は「術後検診」のメニューからお取りください。ご予約は公式LINEで受け付けています。LINEはこちら→https://cline-app.com/qr-codes/98ad6f149bfa20f4f2a9a2e91aac4187/preview")</f>
        <v>当クリニックでは、術後1週間後と3週間後の2回、無料で検診を行っています。術後の回復確認とフォローを重視しています。術後検診のご予約は「術後検診」のメニューからお取りください。ご予約は公式LINEで受け付けています。LINEはこちら→https://cline-app.com/qr-codes/98ad6f149bfa20f4f2a9a2e91aac4187/preview</v>
      </c>
      <c r="C563" s="31" t="str">
        <f>IFERROR(__xludf.DUMMYFUNCTION("""COMPUTED_VALUE"""),"中絶手術")</f>
        <v>中絶手術</v>
      </c>
      <c r="D563" s="31" t="str">
        <f>IFERROR(__xludf.DUMMYFUNCTION("""COMPUTED_VALUE"""),"中絶手術,術後検診,アフターケア")</f>
        <v>中絶手術,術後検診,アフターケア</v>
      </c>
      <c r="E563" s="32" t="str">
        <f>IFERROR(__xludf.DUMMYFUNCTION("""COMPUTED_VALUE"""),"https://luna-dr.com/subjects/abortion_page/")</f>
        <v>https://luna-dr.com/subjects/abortion_page/</v>
      </c>
    </row>
    <row r="564">
      <c r="A564" s="31" t="str">
        <f>IFERROR(__xludf.DUMMYFUNCTION("""COMPUTED_VALUE"""),"手術後に異常を感じた場合はどうすればいいですか？")</f>
        <v>手術後に異常を感じた場合はどうすればいいですか？</v>
      </c>
      <c r="B564" s="31" t="str">
        <f>IFERROR(__xludf.DUMMYFUNCTION("""COMPUTED_VALUE"""),"出血の増加、強い痛み、発熱などの異常を感じた場合は、速やかにクリニックへご連絡ください。電話は050-1730-2768で承っています。")</f>
        <v>出血の増加、強い痛み、発熱などの異常を感じた場合は、速やかにクリニックへご連絡ください。電話は050-1730-2768で承っています。</v>
      </c>
      <c r="C564" s="31" t="str">
        <f>IFERROR(__xludf.DUMMYFUNCTION("""COMPUTED_VALUE"""),"中絶手術")</f>
        <v>中絶手術</v>
      </c>
      <c r="D564" s="31" t="str">
        <f>IFERROR(__xludf.DUMMYFUNCTION("""COMPUTED_VALUE"""),"中絶手術,術後トラブル,相談")</f>
        <v>中絶手術,術後トラブル,相談</v>
      </c>
      <c r="E564" s="32" t="str">
        <f>IFERROR(__xludf.DUMMYFUNCTION("""COMPUTED_VALUE"""),"https://luna-dr.com/subjects/abortion_page/")</f>
        <v>https://luna-dr.com/subjects/abortion_page/</v>
      </c>
    </row>
    <row r="565">
      <c r="A565" s="31" t="str">
        <f>IFERROR(__xludf.DUMMYFUNCTION("""COMPUTED_VALUE"""),"中絶手術の費用は分割払いに対応していますか？")</f>
        <v>中絶手術の費用は分割払いに対応していますか？</v>
      </c>
      <c r="B565" s="31" t="str">
        <f>IFERROR(__xludf.DUMMYFUNCTION("""COMPUTED_VALUE"""),"当クリニックではクレジットカード決済をはじめ、各種キャッシュレス決済に対応しています。クレジットカード会社とのご契約内容によっては、中絶手術費用を分割でお支払いいただくことが可能です。分割回数や手数料については、ご利用のカード会社へ直接お問い合わせください。")</f>
        <v>当クリニックではクレジットカード決済をはじめ、各種キャッシュレス決済に対応しています。クレジットカード会社とのご契約内容によっては、中絶手術費用を分割でお支払いいただくことが可能です。分割回数や手数料については、ご利用のカード会社へ直接お問い合わせください。</v>
      </c>
      <c r="C565" s="31" t="str">
        <f>IFERROR(__xludf.DUMMYFUNCTION("""COMPUTED_VALUE"""),"中絶手術")</f>
        <v>中絶手術</v>
      </c>
      <c r="D565" s="31" t="str">
        <f>IFERROR(__xludf.DUMMYFUNCTION("""COMPUTED_VALUE"""),"中絶手術,分割払い,クレジットカード,支払い方法")</f>
        <v>中絶手術,分割払い,クレジットカード,支払い方法</v>
      </c>
      <c r="E565" s="32" t="str">
        <f>IFERROR(__xludf.DUMMYFUNCTION("""COMPUTED_VALUE"""),"https://luna-dr.com/subjects/abortion_page/")</f>
        <v>https://luna-dr.com/subjects/abortion_page/</v>
      </c>
    </row>
    <row r="566">
      <c r="A566" s="31" t="str">
        <f>IFERROR(__xludf.DUMMYFUNCTION("""COMPUTED_VALUE"""),"中絶手術は保険が適用されることはありますか？")</f>
        <v>中絶手術は保険が適用されることはありますか？</v>
      </c>
      <c r="B566" s="31" t="str">
        <f>IFERROR(__xludf.DUMMYFUNCTION("""COMPUTED_VALUE"""),"当クリニックで行う中絶手術は、原則として健康保険適用外の自費診療です。ただし、母体の健康上の理由がある場合には、健康保険が適用されるケースがあります。また、性被害による妊娠の場合は、自治体や警察などの公的機関から費用助成を受けられる場合があります。詳細は診察時に医師へご相談ください。")</f>
        <v>当クリニックで行う中絶手術は、原則として健康保険適用外の自費診療です。ただし、母体の健康上の理由がある場合には、健康保険が適用されるケースがあります。また、性被害による妊娠の場合は、自治体や警察などの公的機関から費用助成を受けられる場合があります。詳細は診察時に医師へご相談ください。</v>
      </c>
      <c r="C566" s="31" t="str">
        <f>IFERROR(__xludf.DUMMYFUNCTION("""COMPUTED_VALUE"""),"中絶手術")</f>
        <v>中絶手術</v>
      </c>
      <c r="D566" s="31" t="str">
        <f>IFERROR(__xludf.DUMMYFUNCTION("""COMPUTED_VALUE"""),"中絶手術,保険適用,自費診療,助成金")</f>
        <v>中絶手術,保険適用,自費診療,助成金</v>
      </c>
      <c r="E566" s="32" t="str">
        <f>IFERROR(__xludf.DUMMYFUNCTION("""COMPUTED_VALUE"""),"https://luna-dr.com/subjects/abortion_page/")</f>
        <v>https://luna-dr.com/subjects/abortion_page/</v>
      </c>
    </row>
    <row r="567">
      <c r="A567" s="31" t="str">
        <f>IFERROR(__xludf.DUMMYFUNCTION("""COMPUTED_VALUE"""),"中絶手術を受けられる時期はいつまでですか？")</f>
        <v>中絶手術を受けられる時期はいつまでですか？</v>
      </c>
      <c r="B567" s="31" t="str">
        <f>IFERROR(__xludf.DUMMYFUNCTION("""COMPUTED_VALUE"""),"人工妊娠中絶は母体保護法により妊娠21週6日まで認められています。当クリニックでは、妊娠11週6日までの初期中絶のみ対応しています。妊娠12週以降の中期中絶は入院が必要となり、身体的・精神的・経済的負担が大きくなります。妊娠に気づいたら、早めの受診をおすすめします。")</f>
        <v>人工妊娠中絶は母体保護法により妊娠21週6日まで認められています。当クリニックでは、妊娠11週6日までの初期中絶のみ対応しています。妊娠12週以降の中期中絶は入院が必要となり、身体的・精神的・経済的負担が大きくなります。妊娠に気づいたら、早めの受診をおすすめします。</v>
      </c>
      <c r="C567" s="31" t="str">
        <f>IFERROR(__xludf.DUMMYFUNCTION("""COMPUTED_VALUE"""),"中絶手術")</f>
        <v>中絶手術</v>
      </c>
      <c r="D567" s="31" t="str">
        <f>IFERROR(__xludf.DUMMYFUNCTION("""COMPUTED_VALUE"""),"中絶手術,妊娠週数,初期中絶,母体保護法")</f>
        <v>中絶手術,妊娠週数,初期中絶,母体保護法</v>
      </c>
      <c r="E567" s="32" t="str">
        <f>IFERROR(__xludf.DUMMYFUNCTION("""COMPUTED_VALUE"""),"https://luna-dr.com/subjects/abortion_page/")</f>
        <v>https://luna-dr.com/subjects/abortion_page/</v>
      </c>
    </row>
    <row r="568">
      <c r="A568" s="31" t="str">
        <f>IFERROR(__xludf.DUMMYFUNCTION("""COMPUTED_VALUE"""),"中絶手術の痛みはありますか？")</f>
        <v>中絶手術の痛みはありますか？</v>
      </c>
      <c r="B568" s="31" t="str">
        <f>IFERROR(__xludf.DUMMYFUNCTION("""COMPUTED_VALUE"""),"当クリニックでは静脈麻酔と笑気麻酔を併用するため、手術中の痛みはほとんどありません。
手術時間が15分ほどと短いため、麻酔でぼーっと眠っている間に終了します。
手術後は麻酔の効果がなくなってくると生理痛に似た痛みを感じることがありますが、一般的な鎮痛剤で抑えることができる程度です。
痛みに不安がある方は事前に医師にご相談ください。
※当院では患者様のご負担を軽減するため、「手術当日以外」はお近くのクリニックをご利用いただける体制を整えております。初回相談・術前検査はご都合が良いクリニックをご選択ください。"&amp;"手術当日のみ、横浜駅前院へご来院いただきます。術後フォローはお近くの院で受診可能となります。ご予約は公式LINEで受け付けています。LINEはこちら→https://cline-app.com/qr-codes/98ad6f149bfa20f4f2a9a2e91aac4187/preview")</f>
        <v>当クリニックでは静脈麻酔と笑気麻酔を併用するため、手術中の痛みはほとんどありません。
手術時間が15分ほどと短いため、麻酔でぼーっと眠っている間に終了します。
手術後は麻酔の効果がなくなってくると生理痛に似た痛みを感じることがありますが、一般的な鎮痛剤で抑えることができる程度です。
痛みに不安がある方は事前に医師にご相談ください。
※当院では患者様のご負担を軽減するため、「手術当日以外」はお近くのクリニックをご利用いただける体制を整えております。初回相談・術前検査はご都合が良いクリニックをご選択ください。手術当日のみ、横浜駅前院へご来院いただきます。術後フォローはお近くの院で受診可能となります。ご予約は公式LINEで受け付けています。LINEはこちら→https://cline-app.com/qr-codes/98ad6f149bfa20f4f2a9a2e91aac4187/preview</v>
      </c>
      <c r="C568" s="31" t="str">
        <f>IFERROR(__xludf.DUMMYFUNCTION("""COMPUTED_VALUE"""),"中絶手術")</f>
        <v>中絶手術</v>
      </c>
      <c r="D568" s="31" t="str">
        <f>IFERROR(__xludf.DUMMYFUNCTION("""COMPUTED_VALUE"""),"中絶手術,痛み,麻酔,静脈麻酔")</f>
        <v>中絶手術,痛み,麻酔,静脈麻酔</v>
      </c>
      <c r="E568" s="32" t="str">
        <f>IFERROR(__xludf.DUMMYFUNCTION("""COMPUTED_VALUE"""),"https://luna-dr.com/subjects/abortion_page/")</f>
        <v>https://luna-dr.com/subjects/abortion_page/</v>
      </c>
    </row>
    <row r="569">
      <c r="A569" s="31" t="str">
        <f>IFERROR(__xludf.DUMMYFUNCTION("""COMPUTED_VALUE"""),"中絶手術当日の必要な持ち物は何ですか？")</f>
        <v>中絶手術当日の必要な持ち物は何ですか？</v>
      </c>
      <c r="B569" s="31" t="str">
        <f>IFERROR(__xludf.DUMMYFUNCTION("""COMPUTED_VALUE"""),"中絶手術当日は以下のものをご持参ください。
・身分証明書（保険証・免許証など）
・同意書（パートナーのサイン・印鑑があるもの）
・手術費用（現金か当クリニックで決済可能なお支払い方法）
・夜用ナプキン3枚程度
・生理用ショーツ
・お薬手帳（お持ちの方）
着脱しやすい服装でお越しいただくとスムーズです。
アクセサリーは最小限にし、メイクはノーメイクか薄化粧での来院をお願いします。
※当院では患者様のご負担を軽減するため、「手術当日以外」はお近くのクリニックをご利用いただける体制を整えております。初回相談"&amp;"・術前検査はご都合が良いクリニックをご選択ください。手術当日のみ、横浜駅前院へご来院いただきます。術後フォローはお近くの院で受診可能となります。ご予約は公式LINEで受け付けています。LINEはこちら→https://cline-app.com/qr-codes/98ad6f149bfa20f4f2a9a2e91aac4187/preview")</f>
        <v>中絶手術当日は以下のものをご持参ください。
・身分証明書（保険証・免許証など）
・同意書（パートナーのサイン・印鑑があるもの）
・手術費用（現金か当クリニックで決済可能なお支払い方法）
・夜用ナプキン3枚程度
・生理用ショーツ
・お薬手帳（お持ちの方）
着脱しやすい服装でお越しいただくとスムーズです。
アクセサリーは最小限にし、メイクはノーメイクか薄化粧での来院をお願いします。
※当院では患者様のご負担を軽減するため、「手術当日以外」はお近くのクリニックをご利用いただける体制を整えております。初回相談・術前検査はご都合が良いクリニックをご選択ください。手術当日のみ、横浜駅前院へご来院いただきます。術後フォローはお近くの院で受診可能となります。ご予約は公式LINEで受け付けています。LINEはこちら→https://cline-app.com/qr-codes/98ad6f149bfa20f4f2a9a2e91aac4187/preview</v>
      </c>
      <c r="C569" s="31" t="str">
        <f>IFERROR(__xludf.DUMMYFUNCTION("""COMPUTED_VALUE"""),"中絶手術")</f>
        <v>中絶手術</v>
      </c>
      <c r="D569" s="31" t="str">
        <f>IFERROR(__xludf.DUMMYFUNCTION("""COMPUTED_VALUE"""),"中絶手術,持ち物,同意書,手術当日")</f>
        <v>中絶手術,持ち物,同意書,手術当日</v>
      </c>
      <c r="E569" s="32" t="str">
        <f>IFERROR(__xludf.DUMMYFUNCTION("""COMPUTED_VALUE"""),"https://luna-dr.com/subjects/abortion_page/")</f>
        <v>https://luna-dr.com/subjects/abortion_page/</v>
      </c>
    </row>
    <row r="570">
      <c r="A570" s="31" t="str">
        <f>IFERROR(__xludf.DUMMYFUNCTION("""COMPUTED_VALUE"""),"中絶手術後はどのように過ごせば良いですか？")</f>
        <v>中絶手術後はどのように過ごせば良いですか？</v>
      </c>
      <c r="B570" s="31" t="str">
        <f>IFERROR(__xludf.DUMMYFUNCTION("""COMPUTED_VALUE"""),"手術当日は運転や運動、飲酒を控え、ゆっくりと休息をとりましょう。
翌日以降の仕事や日常生活に制限はありませんが、心配なら2,3日休みを取っておくと安心でしょう。
術後の診察で医師の許可が出るまでは性交渉を控え、処方された薬は指示通りに服用してください。
術後1週間と3週間後の検診は必ず受診し、回復の状況を確認するとともに、避妊の相談をおすすめします。
多量の出血や悪臭を伴う出血、強い痛み、発熱などの症状がある場合は、すぐにクリニックへご連絡ください。")</f>
        <v>手術当日は運転や運動、飲酒を控え、ゆっくりと休息をとりましょう。
翌日以降の仕事や日常生活に制限はありませんが、心配なら2,3日休みを取っておくと安心でしょう。
術後の診察で医師の許可が出るまでは性交渉を控え、処方された薬は指示通りに服用してください。
術後1週間と3週間後の検診は必ず受診し、回復の状況を確認するとともに、避妊の相談をおすすめします。
多量の出血や悪臭を伴う出血、強い痛み、発熱などの症状がある場合は、すぐにクリニックへご連絡ください。</v>
      </c>
      <c r="C570" s="31" t="str">
        <f>IFERROR(__xludf.DUMMYFUNCTION("""COMPUTED_VALUE"""),"中絶手術")</f>
        <v>中絶手術</v>
      </c>
      <c r="D570" s="31" t="str">
        <f>IFERROR(__xludf.DUMMYFUNCTION("""COMPUTED_VALUE"""),"中絶手術,術後,生活,注意点")</f>
        <v>中絶手術,術後,生活,注意点</v>
      </c>
      <c r="E570" s="32" t="str">
        <f>IFERROR(__xludf.DUMMYFUNCTION("""COMPUTED_VALUE"""),"https://luna-dr.com/subjects/abortion_page/")</f>
        <v>https://luna-dr.com/subjects/abortion_page/</v>
      </c>
    </row>
    <row r="571">
      <c r="A571" s="31" t="str">
        <f>IFERROR(__xludf.DUMMYFUNCTION("""COMPUTED_VALUE"""),"中絶手術を受けたことが家族に知られる可能性はありますか？")</f>
        <v>中絶手術を受けたことが家族に知られる可能性はありますか？</v>
      </c>
      <c r="B571" s="31" t="str">
        <f>IFERROR(__xludf.DUMMYFUNCTION("""COMPUTED_VALUE"""),"当クリニックでは患者様のプライバシー保護を最優先しており、ご本人の同意なく家族や第三者に情報が漏れることはありません。
保険適用外の自費診療のため、健康保険の通知に記載されることもありません。
ただし、未成年の場合は保護者の同意が必要となりますのでご注意ください。
診察券や領収書の発行や連絡方法についてご希望がありましたら、受付までご相談ください。")</f>
        <v>当クリニックでは患者様のプライバシー保護を最優先しており、ご本人の同意なく家族や第三者に情報が漏れることはありません。
保険適用外の自費診療のため、健康保険の通知に記載されることもありません。
ただし、未成年の場合は保護者の同意が必要となりますのでご注意ください。
診察券や領収書の発行や連絡方法についてご希望がありましたら、受付までご相談ください。</v>
      </c>
      <c r="C571" s="31" t="str">
        <f>IFERROR(__xludf.DUMMYFUNCTION("""COMPUTED_VALUE"""),"中絶手術")</f>
        <v>中絶手術</v>
      </c>
      <c r="D571" s="31" t="str">
        <f>IFERROR(__xludf.DUMMYFUNCTION("""COMPUTED_VALUE"""),"中絶手術,プライバシー,家族,秘密")</f>
        <v>中絶手術,プライバシー,家族,秘密</v>
      </c>
      <c r="E571" s="32" t="str">
        <f>IFERROR(__xludf.DUMMYFUNCTION("""COMPUTED_VALUE"""),"https://luna-dr.com/subjects/abortion_page/")</f>
        <v>https://luna-dr.com/subjects/abortion_page/</v>
      </c>
    </row>
    <row r="572">
      <c r="A572" s="31" t="str">
        <f>IFERROR(__xludf.DUMMYFUNCTION("""COMPUTED_VALUE"""),"未成年でも中絶手術を受けられますか？")</f>
        <v>未成年でも中絶手術を受けられますか？</v>
      </c>
      <c r="B572" s="31" t="str">
        <f>IFERROR(__xludf.DUMMYFUNCTION("""COMPUTED_VALUE"""),"18歳未満の方が中絶手術を受ける場合、原則として保護者の同意が必要です。保護者の同意を得ることが難しい事情がある場合は、個別にご相談ください。")</f>
        <v>18歳未満の方が中絶手術を受ける場合、原則として保護者の同意が必要です。保護者の同意を得ることが難しい事情がある場合は、個別にご相談ください。</v>
      </c>
      <c r="C572" s="31" t="str">
        <f>IFERROR(__xludf.DUMMYFUNCTION("""COMPUTED_VALUE"""),"中絶手術")</f>
        <v>中絶手術</v>
      </c>
      <c r="D572" s="31" t="str">
        <f>IFERROR(__xludf.DUMMYFUNCTION("""COMPUTED_VALUE"""),"中絶手術,未成年,保護者同意")</f>
        <v>中絶手術,未成年,保護者同意</v>
      </c>
      <c r="E572" s="32" t="str">
        <f>IFERROR(__xludf.DUMMYFUNCTION("""COMPUTED_VALUE"""),"https://luna-dr.com/subjects/abortion_page/")</f>
        <v>https://luna-dr.com/subjects/abortion_page/</v>
      </c>
    </row>
    <row r="573">
      <c r="A573" s="31" t="str">
        <f>IFERROR(__xludf.DUMMYFUNCTION("""COMPUTED_VALUE"""),"未婚の場合、中絶手術の同意書に彼氏のサインは必要ですか？")</f>
        <v>未婚の場合、中絶手術の同意書に彼氏のサインは必要ですか？</v>
      </c>
      <c r="B573" s="31" t="str">
        <f>IFERROR(__xludf.DUMMYFUNCTION("""COMPUTED_VALUE"""),"母体保護法第14条に基づき、中絶手術にはご本人および胎児の父親の同意が必要とされています。未婚の場合も、原則としてパートナー（胎児の父親）の署名・捺印が必要です。ただし、同意を得ることが困難な事情がある場合はご相談ください。")</f>
        <v>母体保護法第14条に基づき、中絶手術にはご本人および胎児の父親の同意が必要とされています。未婚の場合も、原則としてパートナー（胎児の父親）の署名・捺印が必要です。ただし、同意を得ることが困難な事情がある場合はご相談ください。</v>
      </c>
      <c r="C573" s="31" t="str">
        <f>IFERROR(__xludf.DUMMYFUNCTION("""COMPUTED_VALUE"""),"中絶手術")</f>
        <v>中絶手術</v>
      </c>
      <c r="D573" s="31" t="str">
        <f>IFERROR(__xludf.DUMMYFUNCTION("""COMPUTED_VALUE"""),"中絶手術,同意書,未婚,母体保護法")</f>
        <v>中絶手術,同意書,未婚,母体保護法</v>
      </c>
      <c r="E573" s="32" t="str">
        <f>IFERROR(__xludf.DUMMYFUNCTION("""COMPUTED_VALUE"""),"https://luna-dr.com/subjects/abortion_page/")</f>
        <v>https://luna-dr.com/subjects/abortion_page/</v>
      </c>
    </row>
    <row r="574">
      <c r="A574" s="31" t="str">
        <f>IFERROR(__xludf.DUMMYFUNCTION("""COMPUTED_VALUE"""),"夫以外の相手との妊娠でも同意書なしで手術できますか？")</f>
        <v>夫以外の相手との妊娠でも同意書なしで手術できますか？</v>
      </c>
      <c r="B574" s="31" t="str">
        <f>IFERROR(__xludf.DUMMYFUNCTION("""COMPUTED_VALUE"""),"ルナレディースクリニックでは、中絶手術にあたり原則として配偶者または胎児の父親の同意書が必要です。患者様ご本人が未成年の場合は保護者の同意書も必要となります。ただし、やむを得ない事情がある場合には例外が認められることもありますので診察時にご相談ください。また、医学的条件によりお受けできない場合があります。帝王切開歴のある方はお受けできません。喘息の方は直近3ヶ月以内に発作がある場合はお受けできません。BMI32以上の方はお受けできません。BMI28以上の方は当院で体重測定を行い医師の判断となります。")</f>
        <v>ルナレディースクリニックでは、中絶手術にあたり原則として配偶者または胎児の父親の同意書が必要です。患者様ご本人が未成年の場合は保護者の同意書も必要となります。ただし、やむを得ない事情がある場合には例外が認められることもありますので診察時にご相談ください。また、医学的条件によりお受けできない場合があります。帝王切開歴のある方はお受けできません。喘息の方は直近3ヶ月以内に発作がある場合はお受けできません。BMI32以上の方はお受けできません。BMI28以上の方は当院で体重測定を行い医師の判断となります。</v>
      </c>
      <c r="C574" s="31" t="str">
        <f>IFERROR(__xludf.DUMMYFUNCTION("""COMPUTED_VALUE"""),"中絶手術")</f>
        <v>中絶手術</v>
      </c>
      <c r="D574" s="31" t="str">
        <f>IFERROR(__xludf.DUMMYFUNCTION("""COMPUTED_VALUE"""),"中絶手術,同意書,配偶者,父親,帝王切開歴,喘息,BMI,受け入れ不可条件")</f>
        <v>中絶手術,同意書,配偶者,父親,帝王切開歴,喘息,BMI,受け入れ不可条件</v>
      </c>
      <c r="E574" s="32" t="str">
        <f>IFERROR(__xludf.DUMMYFUNCTION("""COMPUTED_VALUE"""),"https://luna-dr.com/subjects/abortion_page/")</f>
        <v>https://luna-dr.com/subjects/abortion_page/</v>
      </c>
    </row>
    <row r="575">
      <c r="A575" s="31" t="str">
        <f>IFERROR(__xludf.DUMMYFUNCTION("""COMPUTED_VALUE"""),"中絶手術で受け入れできない条件はありますか？")</f>
        <v>中絶手術で受け入れできない条件はありますか？</v>
      </c>
      <c r="B575" s="31" t="str">
        <f>IFERROR(__xludf.DUMMYFUNCTION("""COMPUTED_VALUE"""),"当院では、中絶手術にあたり以下に該当する方はお受けできない場合がございます。
・妊娠12週以降の方（当院では妊娠11週6日までの初期中絶のみ対応しております）
・帝王切開歴のある方
・喘息をお持ちの方で、直近3ヶ月以内に発作がある場合
・BMI32以上の方（BMI28以上の方は当院で体重測定を行い、医師の判断となります）
・日本語でのコミュニケーションが難しい方")</f>
        <v>当院では、中絶手術にあたり以下に該当する方はお受けできない場合がございます。
・妊娠12週以降の方（当院では妊娠11週6日までの初期中絶のみ対応しております）
・帝王切開歴のある方
・喘息をお持ちの方で、直近3ヶ月以内に発作がある場合
・BMI32以上の方（BMI28以上の方は当院で体重測定を行い、医師の判断となります）
・日本語でのコミュニケーションが難しい方</v>
      </c>
      <c r="C575" s="31" t="str">
        <f>IFERROR(__xludf.DUMMYFUNCTION("""COMPUTED_VALUE"""),"中絶手術")</f>
        <v>中絶手術</v>
      </c>
      <c r="D575" s="31" t="str">
        <f>IFERROR(__xludf.DUMMYFUNCTION("""COMPUTED_VALUE"""),"中絶手術,受け入れ不可条件,帝王切開歴,喘息,BMI")</f>
        <v>中絶手術,受け入れ不可条件,帝王切開歴,喘息,BMI</v>
      </c>
      <c r="E575" s="32" t="str">
        <f>IFERROR(__xludf.DUMMYFUNCTION("""COMPUTED_VALUE"""),"https://luna-dr.com/subjects/abortion_page/")</f>
        <v>https://luna-dr.com/subjects/abortion_page/</v>
      </c>
    </row>
    <row r="576">
      <c r="A576" s="31" t="str">
        <f>IFERROR(__xludf.DUMMYFUNCTION("""COMPUTED_VALUE"""),"ブライダルチェックとは何ですか？")</f>
        <v>ブライダルチェックとは何ですか？</v>
      </c>
      <c r="B576" s="31" t="str">
        <f>IFERROR(__xludf.DUMMYFUNCTION("""COMPUTED_VALUE"""),"ブライダルチェックとは、妊娠や出産に影響しうる病気や感染症の有無を、妊娠前に調べる婦人科検診です。自覚症状のない病気を早期に発見し、必要であれば治療を行うことで、安心して妊娠・出産を迎える準備を整えることを目的とします。
ルナレディースクリニックでは、ブライダルチェックを「結婚前だけの検査」とは考えていません。結婚の有無にかかわらず、将来妊娠を望むすべての女性に受けていただきたい、ご自身の体を守るための大切な検査です。ルナレディースクリニックは健康と未来への第一歩をサポートします。ご受診をご検討ください。"&amp;"※当院では、不妊治療や妊活に関する専門的なご相談・治療は行っておりません。※当院では男性の院内への入室はできないため、パートナー様と一緒にご来院して検査を受けていただくことはできません。男性の方には、ご自宅で検査ができる郵送検査キット「FemCHECK（フェムチェック）」をご用意しております。詳細はこちらをご確認ください。https://luna-dr.com/femcheck/?utm_source=lunamedia&amp;utm_medium=banner&amp;utm_campaign=femcheck_ar"&amp;"ticle_hpseo")</f>
        <v>ブライダルチェックとは、妊娠や出産に影響しうる病気や感染症の有無を、妊娠前に調べる婦人科検診です。自覚症状のない病気を早期に発見し、必要であれば治療を行うことで、安心して妊娠・出産を迎える準備を整えることを目的とします。
ルナレディースクリニックでは、ブライダルチェックを「結婚前だけの検査」とは考えていません。結婚の有無にかかわらず、将来妊娠を望むすべての女性に受けていただきたい、ご自身の体を守るための大切な検査です。ルナレディースクリニックは健康と未来への第一歩をサポートします。ご受診をご検討ください。※当院では、不妊治療や妊活に関する専門的なご相談・治療は行っておりません。※当院では男性の院内への入室はできないため、パートナー様と一緒にご来院して検査を受けていただくことはできません。男性の方には、ご自宅で検査ができる郵送検査キット「FemCHECK（フェムチェック）」をご用意しております。詳細はこちらをご確認ください。https://luna-dr.com/femcheck/?utm_source=lunamedia&amp;utm_medium=banner&amp;utm_campaign=femcheck_article_hpseo</v>
      </c>
      <c r="C576" s="31" t="str">
        <f>IFERROR(__xludf.DUMMYFUNCTION("""COMPUTED_VALUE"""),"ブライダルチェック")</f>
        <v>ブライダルチェック</v>
      </c>
      <c r="D576" s="31" t="str">
        <f>IFERROR(__xludf.DUMMYFUNCTION("""COMPUTED_VALUE"""),"ブライダルチェック,妊娠前検査,婦人科検診")</f>
        <v>ブライダルチェック,妊娠前検査,婦人科検診</v>
      </c>
      <c r="E576" s="32" t="str">
        <f>IFERROR(__xludf.DUMMYFUNCTION("""COMPUTED_VALUE"""),"https://luna-dr.com/subjects/bridal-check/")</f>
        <v>https://luna-dr.com/subjects/bridal-check/</v>
      </c>
    </row>
    <row r="577">
      <c r="A577" s="31" t="str">
        <f>IFERROR(__xludf.DUMMYFUNCTION("""COMPUTED_VALUE"""),"結婚前でなくてもブライダルチェックは受けられますか？")</f>
        <v>結婚前でなくてもブライダルチェックは受けられますか？</v>
      </c>
      <c r="B577" s="31" t="str">
        <f>IFERROR(__xludf.DUMMYFUNCTION("""COMPUTED_VALUE"""),"当院では、結婚の有無にかかわらず、将来妊娠を希望するすべての女性にブライダルチェックをおすすめしています。「そろそろ赤ちゃんを考えたい」「自分の体の状態を知っておきたい」という方にも適した検査です。ぜひご受診をご検討ください。※当院では、不妊治療や妊活に関する専門的なご相談・治療は行っておりません。※当院では男性の院内への入室はできないため、パートナー様と一緒にご来院して検査を受けていただくことはできません。男性の方には、ご自宅で検査ができる郵送検査キット「FemCHECK（フェムチェック）」をご用意して"&amp;"おります。詳細はこちらをご確認ください。https://luna-dr.com/femcheck/?utm_source=lunamedia&amp;utm_medium=banner&amp;utm_campaign=femcheck_article_hpseo")</f>
        <v>当院では、結婚の有無にかかわらず、将来妊娠を希望するすべての女性にブライダルチェックをおすすめしています。「そろそろ赤ちゃんを考えたい」「自分の体の状態を知っておきたい」という方にも適した検査です。ぜひご受診をご検討ください。※当院では、不妊治療や妊活に関する専門的なご相談・治療は行っておりません。※当院では男性の院内への入室はできないため、パートナー様と一緒にご来院して検査を受けていただくことはできません。男性の方には、ご自宅で検査ができる郵送検査キット「FemCHECK（フェムチェック）」をご用意しております。詳細はこちらをご確認ください。https://luna-dr.com/femcheck/?utm_source=lunamedia&amp;utm_medium=banner&amp;utm_campaign=femcheck_article_hpseo</v>
      </c>
      <c r="C577" s="31" t="str">
        <f>IFERROR(__xludf.DUMMYFUNCTION("""COMPUTED_VALUE"""),"ブライダルチェック")</f>
        <v>ブライダルチェック</v>
      </c>
      <c r="D577" s="31" t="str">
        <f>IFERROR(__xludf.DUMMYFUNCTION("""COMPUTED_VALUE"""),"未婚,妊活準備,将来妊娠")</f>
        <v>未婚,妊活準備,将来妊娠</v>
      </c>
      <c r="E577" s="32" t="str">
        <f>IFERROR(__xludf.DUMMYFUNCTION("""COMPUTED_VALUE"""),"https://luna-dr.com/subjects/bridal-check/")</f>
        <v>https://luna-dr.com/subjects/bridal-check/</v>
      </c>
    </row>
    <row r="578">
      <c r="A578" s="31" t="str">
        <f>IFERROR(__xludf.DUMMYFUNCTION("""COMPUTED_VALUE"""),"ブライダルチェックでは何を調べますか？/ブライダルチェックの検査項目を教えてください/ブライダルチェックで何ができますか？")</f>
        <v>ブライダルチェックでは何を調べますか？/ブライダルチェックの検査項目を教えてください/ブライダルチェックで何ができますか？</v>
      </c>
      <c r="B578" s="31" t="str">
        <f>IFERROR(__xludf.DUMMYFUNCTION("""COMPUTED_VALUE"""),"当クリニックでは、ブライダルチェックとして以下の検査を行っています。①エコー検査：子宮筋腫や卵巣のう腫など、妊娠の妨げになる形態的な異常がないかを確認します。②子宮頸がん検査：初期症状のない子宮頸がんを早期に発見し、妊娠後の大きな問題を防ぎます。③クラミジア感染症検査：不妊症の原因にもなるクラミジア感染症の有無を調べ、赤ちゃんへの感染予防にもつなげます。④風疹抗体検査：妊娠中の感染で赤ちゃんに影響が出る先天性風疹症候群を防ぐため、免疫の有無を確認します。⑤甲状腺ホルモン検査：妊娠の成立や維持に影響する甲状"&amp;"腺ホルモンの異常がないかを調べます。⑥AMH検査：卵巣年齢の目安となる卵子の残存数を確認し、妊活のプランニングに役立てます。なお、各種性感染症検査などはオプションとして追加することも可能です。【料金】・基本検査ブライダルチェック 15,000円（エコー検査5,000円／クラミジア5,000円／子宮頸がん5,000円。場合によっては公費の子宮頸がんと組み合わせ可能）・血液ブライダルチェック 20,000円（風疹4,000円／甲状腺8,000円／AMH10,000円）※当院では妊活・不妊に関する診療は行ってお"&amp;"りませんので、検査項目によっては数値のみのお伝えとなる場合がございますので予めご了承くださいませ。詳しくはこちらをご覧ください。→https://luna-dr.com/subjects/bridal-check/　当院での検査はご予約をお取りの上、クリニックにご受診下さい。ご予約は、LINE予約画面の「一般婦人科診療」のメニューからお取りください。LINEはこちら→https://cline-app.com/qr-codes/98ad6f149bfa20f4f2a9a2e91aac4187/previe"&amp;"w")</f>
        <v>当クリニックでは、ブライダルチェックとして以下の検査を行っています。①エコー検査：子宮筋腫や卵巣のう腫など、妊娠の妨げになる形態的な異常がないかを確認します。②子宮頸がん検査：初期症状のない子宮頸がんを早期に発見し、妊娠後の大きな問題を防ぎます。③クラミジア感染症検査：不妊症の原因にもなるクラミジア感染症の有無を調べ、赤ちゃんへの感染予防にもつなげます。④風疹抗体検査：妊娠中の感染で赤ちゃんに影響が出る先天性風疹症候群を防ぐため、免疫の有無を確認します。⑤甲状腺ホルモン検査：妊娠の成立や維持に影響する甲状腺ホルモンの異常がないかを調べます。⑥AMH検査：卵巣年齢の目安となる卵子の残存数を確認し、妊活のプランニングに役立てます。なお、各種性感染症検査などはオプションとして追加することも可能です。【料金】・基本検査ブライダルチェック 15,000円（エコー検査5,000円／クラミジア5,000円／子宮頸がん5,000円。場合によっては公費の子宮頸がんと組み合わせ可能）・血液ブライダルチェック 20,000円（風疹4,000円／甲状腺8,000円／AMH10,000円）※当院では妊活・不妊に関する診療は行っておりませんので、検査項目によっては数値のみのお伝えとなる場合がございますので予めご了承くださいませ。詳しくはこちらをご覧ください。→https://luna-dr.com/subjects/bridal-check/　当院での検査はご予約をお取りの上、クリニックにご受診下さい。ご予約は、LINE予約画面の「一般婦人科診療」のメニューからお取りください。LINEはこちら→https://cline-app.com/qr-codes/98ad6f149bfa20f4f2a9a2e91aac4187/preview</v>
      </c>
      <c r="C578" s="31" t="str">
        <f>IFERROR(__xludf.DUMMYFUNCTION("""COMPUTED_VALUE"""),"ブライダルチェック")</f>
        <v>ブライダルチェック</v>
      </c>
      <c r="D578" s="31" t="str">
        <f>IFERROR(__xludf.DUMMYFUNCTION("""COMPUTED_VALUE"""),"ブライダルチェック,検査項目,何ができる,内容,項目,料金,妊娠前検査,エコー,子宮頸がん,クラミジア,風疹抗体,甲状腺,AMH")</f>
        <v>ブライダルチェック,検査項目,何ができる,内容,項目,料金,妊娠前検査,エコー,子宮頸がん,クラミジア,風疹抗体,甲状腺,AMH</v>
      </c>
      <c r="E578" s="32" t="str">
        <f>IFERROR(__xludf.DUMMYFUNCTION("""COMPUTED_VALUE"""),"https://luna-dr.com/subjects/bridal-check/")</f>
        <v>https://luna-dr.com/subjects/bridal-check/</v>
      </c>
    </row>
    <row r="579">
      <c r="A579" s="31" t="str">
        <f>IFERROR(__xludf.DUMMYFUNCTION("""COMPUTED_VALUE"""),"エコー検査では何を確認しますか？")</f>
        <v>エコー検査では何を確認しますか？</v>
      </c>
      <c r="B579" s="31" t="str">
        <f>IFERROR(__xludf.DUMMYFUNCTION("""COMPUTED_VALUE"""),"当クリニックでは経腟超音波（エコー）検査により、子宮筋腫や卵巣のう腫など、妊娠の妨げになる可能性がある形態的な異常がないかを確認します。")</f>
        <v>当クリニックでは経腟超音波（エコー）検査により、子宮筋腫や卵巣のう腫など、妊娠の妨げになる可能性がある形態的な異常がないかを確認します。</v>
      </c>
      <c r="C579" s="31" t="str">
        <f>IFERROR(__xludf.DUMMYFUNCTION("""COMPUTED_VALUE"""),"ブライダルチェック")</f>
        <v>ブライダルチェック</v>
      </c>
      <c r="D579" s="31" t="str">
        <f>IFERROR(__xludf.DUMMYFUNCTION("""COMPUTED_VALUE"""),"エコー,子宮筋腫,卵巣")</f>
        <v>エコー,子宮筋腫,卵巣</v>
      </c>
      <c r="E579" s="32" t="str">
        <f>IFERROR(__xludf.DUMMYFUNCTION("""COMPUTED_VALUE"""),"https://luna-dr.com/subjects/bridal-check/")</f>
        <v>https://luna-dr.com/subjects/bridal-check/</v>
      </c>
    </row>
    <row r="580">
      <c r="A580" s="31" t="str">
        <f>IFERROR(__xludf.DUMMYFUNCTION("""COMPUTED_VALUE"""),"子宮頸がん検査はなぜ必要ですか？")</f>
        <v>子宮頸がん検査はなぜ必要ですか？</v>
      </c>
      <c r="B580" s="31" t="str">
        <f>IFERROR(__xludf.DUMMYFUNCTION("""COMPUTED_VALUE"""),"当クリニックでは、初期症状がほとんどない子宮頸がんを早期に発見するため、ブライダルチェックに子宮頸がん検査を含めています。妊娠後の大きなトラブルを防ぐためにも重要な検査です。")</f>
        <v>当クリニックでは、初期症状がほとんどない子宮頸がんを早期に発見するため、ブライダルチェックに子宮頸がん検査を含めています。妊娠後の大きなトラブルを防ぐためにも重要な検査です。</v>
      </c>
      <c r="C580" s="31" t="str">
        <f>IFERROR(__xludf.DUMMYFUNCTION("""COMPUTED_VALUE"""),"ブライダルチェック")</f>
        <v>ブライダルチェック</v>
      </c>
      <c r="D580" s="31" t="str">
        <f>IFERROR(__xludf.DUMMYFUNCTION("""COMPUTED_VALUE"""),"子宮頸がん,がん検査,妊娠前")</f>
        <v>子宮頸がん,がん検査,妊娠前</v>
      </c>
      <c r="E580" s="32" t="str">
        <f>IFERROR(__xludf.DUMMYFUNCTION("""COMPUTED_VALUE"""),"https://luna-dr.com/subjects/bridal-check/")</f>
        <v>https://luna-dr.com/subjects/bridal-check/</v>
      </c>
    </row>
    <row r="581">
      <c r="A581" s="31" t="str">
        <f>IFERROR(__xludf.DUMMYFUNCTION("""COMPUTED_VALUE"""),"クラミジア検査は何のために行いますか？")</f>
        <v>クラミジア検査は何のために行いますか？</v>
      </c>
      <c r="B581" s="31" t="str">
        <f>IFERROR(__xludf.DUMMYFUNCTION("""COMPUTED_VALUE"""),"当クリニックでは、不妊の原因となることが多いクラミジア感染症の有無を確認します。自覚症状がないまま進行することが多いため、妊娠前の検査が重要です。")</f>
        <v>当クリニックでは、不妊の原因となることが多いクラミジア感染症の有無を確認します。自覚症状がないまま進行することが多いため、妊娠前の検査が重要です。</v>
      </c>
      <c r="C581" s="31" t="str">
        <f>IFERROR(__xludf.DUMMYFUNCTION("""COMPUTED_VALUE"""),"ブライダルチェック")</f>
        <v>ブライダルチェック</v>
      </c>
      <c r="D581" s="31" t="str">
        <f>IFERROR(__xludf.DUMMYFUNCTION("""COMPUTED_VALUE"""),"クラミジア,不妊,性感染症")</f>
        <v>クラミジア,不妊,性感染症</v>
      </c>
      <c r="E581" s="32" t="str">
        <f>IFERROR(__xludf.DUMMYFUNCTION("""COMPUTED_VALUE"""),"https://luna-dr.com/subjects/bridal-check/")</f>
        <v>https://luna-dr.com/subjects/bridal-check/</v>
      </c>
    </row>
    <row r="582">
      <c r="A582" s="31" t="str">
        <f>IFERROR(__xludf.DUMMYFUNCTION("""COMPUTED_VALUE"""),"風疹抗体検査はなぜ必要ですか？")</f>
        <v>風疹抗体検査はなぜ必要ですか？</v>
      </c>
      <c r="B582" s="31" t="str">
        <f>IFERROR(__xludf.DUMMYFUNCTION("""COMPUTED_VALUE"""),"当クリニックでは、妊娠中の風疹感染によって起こる先天性風疹症候群を防ぐため、風疹抗体検査を行い、免疫の有無を確認します。")</f>
        <v>当クリニックでは、妊娠中の風疹感染によって起こる先天性風疹症候群を防ぐため、風疹抗体検査を行い、免疫の有無を確認します。</v>
      </c>
      <c r="C582" s="31" t="str">
        <f>IFERROR(__xludf.DUMMYFUNCTION("""COMPUTED_VALUE"""),"ブライダルチェック")</f>
        <v>ブライダルチェック</v>
      </c>
      <c r="D582" s="31" t="str">
        <f>IFERROR(__xludf.DUMMYFUNCTION("""COMPUTED_VALUE"""),"風疹抗体,妊娠前検査")</f>
        <v>風疹抗体,妊娠前検査</v>
      </c>
      <c r="E582" s="32" t="str">
        <f>IFERROR(__xludf.DUMMYFUNCTION("""COMPUTED_VALUE"""),"https://luna-dr.com/subjects/bridal-check/")</f>
        <v>https://luna-dr.com/subjects/bridal-check/</v>
      </c>
    </row>
    <row r="583">
      <c r="A583" s="31" t="str">
        <f>IFERROR(__xludf.DUMMYFUNCTION("""COMPUTED_VALUE"""),"AMH検査とは何ですか？")</f>
        <v>AMH検査とは何ですか？</v>
      </c>
      <c r="B583" s="31" t="str">
        <f>IFERROR(__xludf.DUMMYFUNCTION("""COMPUTED_VALUE"""),"当クリニックではAMH検査を行い、卵巣内に残っている卵子数の目安（卵巣年齢）を確認します。将来の妊活やライフプランを考えるうえで参考になる検査です。")</f>
        <v>当クリニックではAMH検査を行い、卵巣内に残っている卵子数の目安（卵巣年齢）を確認します。将来の妊活やライフプランを考えるうえで参考になる検査です。</v>
      </c>
      <c r="C583" s="31" t="str">
        <f>IFERROR(__xludf.DUMMYFUNCTION("""COMPUTED_VALUE"""),"ブライダルチェック")</f>
        <v>ブライダルチェック</v>
      </c>
      <c r="D583" s="31" t="str">
        <f>IFERROR(__xludf.DUMMYFUNCTION("""COMPUTED_VALUE"""),"AMH,卵巣年齢,妊活")</f>
        <v>AMH,卵巣年齢,妊活</v>
      </c>
      <c r="E583" s="32" t="str">
        <f>IFERROR(__xludf.DUMMYFUNCTION("""COMPUTED_VALUE"""),"https://luna-dr.com/subjects/bridal-check/")</f>
        <v>https://luna-dr.com/subjects/bridal-check/</v>
      </c>
    </row>
    <row r="584">
      <c r="A584" s="31" t="str">
        <f>IFERROR(__xludf.DUMMYFUNCTION("""COMPUTED_VALUE"""),"ブライダルチェックの費用はいくらですか？")</f>
        <v>ブライダルチェックの費用はいくらですか？</v>
      </c>
      <c r="B584" s="31" t="str">
        <f>IFERROR(__xludf.DUMMYFUNCTION("""COMPUTED_VALUE"""),"当クリニックでは、ブライダルチェックの基本セットを15,500円（税込）からご案内しています。
※こちらの金額は基本セット（経膣超音波・クラミジア・子宮頸がん検診）の費用です。セット価格のため、一部の検査を外しても料金は変わりません。基本セットに含まれない性感染症検査などを追加希望の場合は、オプションとして別途費用がかかります。診察時にご相談ください。")</f>
        <v>当クリニックでは、ブライダルチェックの基本セットを15,500円（税込）からご案内しています。
※こちらの金額は基本セット（経膣超音波・クラミジア・子宮頸がん検診）の費用です。セット価格のため、一部の検査を外しても料金は変わりません。基本セットに含まれない性感染症検査などを追加希望の場合は、オプションとして別途費用がかかります。診察時にご相談ください。</v>
      </c>
      <c r="C584" s="31" t="str">
        <f>IFERROR(__xludf.DUMMYFUNCTION("""COMPUTED_VALUE"""),"ブライダルチェック")</f>
        <v>ブライダルチェック</v>
      </c>
      <c r="D584" s="31" t="str">
        <f>IFERROR(__xludf.DUMMYFUNCTION("""COMPUTED_VALUE"""),"料金,自費診療")</f>
        <v>料金,自費診療</v>
      </c>
      <c r="E584" s="32" t="str">
        <f>IFERROR(__xludf.DUMMYFUNCTION("""COMPUTED_VALUE"""),"https://luna-dr.com/subjects/bridal-check/")</f>
        <v>https://luna-dr.com/subjects/bridal-check/</v>
      </c>
    </row>
    <row r="585">
      <c r="A585" s="31" t="str">
        <f>IFERROR(__xludf.DUMMYFUNCTION("""COMPUTED_VALUE"""),"オプション検査は追加できますか？")</f>
        <v>オプション検査は追加できますか？</v>
      </c>
      <c r="B585" s="31" t="str">
        <f>IFERROR(__xludf.DUMMYFUNCTION("""COMPUTED_VALUE"""),"当クリニックでは、基本セットに含まれない各種性感染症検査などをオプションとして追加することが可能です。ご希望に応じて診察時にご相談ください。")</f>
        <v>当クリニックでは、基本セットに含まれない各種性感染症検査などをオプションとして追加することが可能です。ご希望に応じて診察時にご相談ください。</v>
      </c>
      <c r="C585" s="31" t="str">
        <f>IFERROR(__xludf.DUMMYFUNCTION("""COMPUTED_VALUE"""),"ブライダルチェック")</f>
        <v>ブライダルチェック</v>
      </c>
      <c r="D585" s="31" t="str">
        <f>IFERROR(__xludf.DUMMYFUNCTION("""COMPUTED_VALUE"""),"追加検査,性感染症")</f>
        <v>追加検査,性感染症</v>
      </c>
      <c r="E585" s="32" t="str">
        <f>IFERROR(__xludf.DUMMYFUNCTION("""COMPUTED_VALUE"""),"https://luna-dr.com/subjects/bridal-check/")</f>
        <v>https://luna-dr.com/subjects/bridal-check/</v>
      </c>
    </row>
    <row r="586">
      <c r="A586" s="31" t="str">
        <f>IFERROR(__xludf.DUMMYFUNCTION("""COMPUTED_VALUE"""),"ブライダルチェックは保険適用ですか？")</f>
        <v>ブライダルチェックは保険適用ですか？</v>
      </c>
      <c r="B586" s="31" t="str">
        <f>IFERROR(__xludf.DUMMYFUNCTION("""COMPUTED_VALUE"""),"当クリニックのブライダルチェックは、妊娠前の任意検査となるため、健康保険は適用されず自費診療となります。")</f>
        <v>当クリニックのブライダルチェックは、妊娠前の任意検査となるため、健康保険は適用されず自費診療となります。</v>
      </c>
      <c r="C586" s="31" t="str">
        <f>IFERROR(__xludf.DUMMYFUNCTION("""COMPUTED_VALUE"""),"ブライダルチェック")</f>
        <v>ブライダルチェック</v>
      </c>
      <c r="D586" s="31" t="str">
        <f>IFERROR(__xludf.DUMMYFUNCTION("""COMPUTED_VALUE"""),"自費,保険適用外")</f>
        <v>自費,保険適用外</v>
      </c>
      <c r="E586" s="32" t="str">
        <f>IFERROR(__xludf.DUMMYFUNCTION("""COMPUTED_VALUE"""),"https://luna-dr.com/subjects/bridal-check/")</f>
        <v>https://luna-dr.com/subjects/bridal-check/</v>
      </c>
    </row>
    <row r="587">
      <c r="A587" s="31" t="str">
        <f>IFERROR(__xludf.DUMMYFUNCTION("""COMPUTED_VALUE"""),"ブライダルチェックの予約はどうすればいいですか？")</f>
        <v>ブライダルチェックの予約はどうすればいいですか？</v>
      </c>
      <c r="B587" s="31" t="str">
        <f>IFERROR(__xludf.DUMMYFUNCTION("""COMPUTED_VALUE"""),"ブライダルチェックは、公式LINEからご予約ください。ご予約は、LINE予約画面の「一般婦人科診療」のメニューからお取りください。LINEはこちら→https://cline-app.com/qr-codes/98ad6f149bfa20f4f2a9a2e91aac4187/previewLINEはこちら→https://cline-app.com/qr-codes/98ad6f149bfa20f4f2a9a2e91aac4187/preview　※当院では、不妊治療や妊活に関する専門的なご相談・治療は行"&amp;"っておりません。※当院では男性の院内への入室はできないため、パートナー様と一緒にご来院して検査を受けていただくことはできません。男性の方には、ご自宅で検査ができる郵送検査キット「FemCHECK（フェムチェック）」をご用意しております。詳細はこちらをご確認ください。https://luna-dr.com/femcheck/?utm_source=lunamedia&amp;utm_medium=banner&amp;utm_campaign=femcheck_article_hpseo")</f>
        <v>ブライダルチェックは、公式LINEからご予約ください。ご予約は、LINE予約画面の「一般婦人科診療」のメニューからお取りください。LINEはこちら→https://cline-app.com/qr-codes/98ad6f149bfa20f4f2a9a2e91aac4187/previewLINEはこちら→https://cline-app.com/qr-codes/98ad6f149bfa20f4f2a9a2e91aac4187/preview　※当院では、不妊治療や妊活に関する専門的なご相談・治療は行っておりません。※当院では男性の院内への入室はできないため、パートナー様と一緒にご来院して検査を受けていただくことはできません。男性の方には、ご自宅で検査ができる郵送検査キット「FemCHECK（フェムチェック）」をご用意しております。詳細はこちらをご確認ください。https://luna-dr.com/femcheck/?utm_source=lunamedia&amp;utm_medium=banner&amp;utm_campaign=femcheck_article_hpseo</v>
      </c>
      <c r="C587" s="31" t="str">
        <f>IFERROR(__xludf.DUMMYFUNCTION("""COMPUTED_VALUE"""),"ブライダルチェック")</f>
        <v>ブライダルチェック</v>
      </c>
      <c r="D587" s="31" t="str">
        <f>IFERROR(__xludf.DUMMYFUNCTION("""COMPUTED_VALUE"""),"ブライダルチェック,予約方法,LINE予約")</f>
        <v>ブライダルチェック,予約方法,LINE予約</v>
      </c>
      <c r="E587" s="32" t="str">
        <f>IFERROR(__xludf.DUMMYFUNCTION("""COMPUTED_VALUE"""),"https://luna-dr.com/subjects/bridal-check/")</f>
        <v>https://luna-dr.com/subjects/bridal-check/</v>
      </c>
    </row>
    <row r="588">
      <c r="A588" s="31" t="str">
        <f>IFERROR(__xludf.DUMMYFUNCTION("""COMPUTED_VALUE"""),"ブライダルチェック検査はどうやって予約しますか？")</f>
        <v>ブライダルチェック検査はどうやって予約しますか？</v>
      </c>
      <c r="B588" s="31" t="str">
        <f>IFERROR(__xludf.DUMMYFUNCTION("""COMPUTED_VALUE"""),"公式LINEからご予約をお取りできます。ご予約は、LINE予約画面の「一般婦人科診療」のメニューからお取りください。LINEはこちら→https://cline-app.com/qr-codes/98ad6f149bfa20f4f2a9a2e91aac4187/preview　※当院では、不妊治療や妊活に関する専門的なご相談・治療は行っておりません。※当院では男性の院内への入室はできないため、パートナー様と一緒にご来院して検査を受けていただくことはできません。男性の方には、ご自宅で検査ができる郵送検査キッ"&amp;"ト「FemCHECK（フェムチェック）」をご用意しております。詳細はこちらをご確認ください。https://luna-dr.com/femcheck/?utm_source=lunamedia&amp;utm_medium=banner&amp;utm_campaign=femcheck_article_hpseo")</f>
        <v>公式LINEからご予約をお取りできます。ご予約は、LINE予約画面の「一般婦人科診療」のメニューからお取りください。LINEはこちら→https://cline-app.com/qr-codes/98ad6f149bfa20f4f2a9a2e91aac4187/preview　※当院では、不妊治療や妊活に関する専門的なご相談・治療は行っておりません。※当院では男性の院内への入室はできないため、パートナー様と一緒にご来院して検査を受けていただくことはできません。男性の方には、ご自宅で検査ができる郵送検査キット「FemCHECK（フェムチェック）」をご用意しております。詳細はこちらをご確認ください。https://luna-dr.com/femcheck/?utm_source=lunamedia&amp;utm_medium=banner&amp;utm_campaign=femcheck_article_hpseo</v>
      </c>
      <c r="C588" s="31" t="str">
        <f>IFERROR(__xludf.DUMMYFUNCTION("""COMPUTED_VALUE"""),"ブライダルチェック")</f>
        <v>ブライダルチェック</v>
      </c>
      <c r="D588" s="31" t="str">
        <f>IFERROR(__xludf.DUMMYFUNCTION("""COMPUTED_VALUE"""),"予約方法,LINE,電話,ブライダルチェック")</f>
        <v>予約方法,LINE,電話,ブライダルチェック</v>
      </c>
      <c r="E588" s="32" t="str">
        <f>IFERROR(__xludf.DUMMYFUNCTION("""COMPUTED_VALUE"""),"https://luna-dr.com/subjects/bridal-check/")</f>
        <v>https://luna-dr.com/subjects/bridal-check/</v>
      </c>
    </row>
    <row r="589">
      <c r="A589" s="31" t="str">
        <f>IFERROR(__xludf.DUMMYFUNCTION("""COMPUTED_VALUE"""),"ブライダルチェックはLINEから予約できますか？")</f>
        <v>ブライダルチェックはLINEから予約できますか？</v>
      </c>
      <c r="B589" s="31" t="str">
        <f>IFERROR(__xludf.DUMMYFUNCTION("""COMPUTED_VALUE"""),"公式LINEから24時間いつでも予約できます。ご予約は、LINE予約画面の「一般婦人科診療」のメニューからお取りください。LINEはこちら→https://cline-app.com/qr-codes/98ad6f149bfa20f4f2a9a2e91aac4187/preview　※当院では、不妊治療や妊活に関する専門的なご相談・治療は行っておりません。※当院では男性の院内への入室はできないため、パートナー様と一緒にご来院して検査を受けていただくことはできません。男性の方には、ご自宅で検査ができる郵送検"&amp;"査キット「FemCHECK（フェムチェック）」をご用意しております。詳細はこちらをご確認ください。https://luna-dr.com/femcheck/?utm_source=lunamedia&amp;utm_medium=banner&amp;utm_campaign=femcheck_article_hpseo")</f>
        <v>公式LINEから24時間いつでも予約できます。ご予約は、LINE予約画面の「一般婦人科診療」のメニューからお取りください。LINEはこちら→https://cline-app.com/qr-codes/98ad6f149bfa20f4f2a9a2e91aac4187/preview　※当院では、不妊治療や妊活に関する専門的なご相談・治療は行っておりません。※当院では男性の院内への入室はできないため、パートナー様と一緒にご来院して検査を受けていただくことはできません。男性の方には、ご自宅で検査ができる郵送検査キット「FemCHECK（フェムチェック）」をご用意しております。詳細はこちらをご確認ください。https://luna-dr.com/femcheck/?utm_source=lunamedia&amp;utm_medium=banner&amp;utm_campaign=femcheck_article_hpseo</v>
      </c>
      <c r="C589" s="31" t="str">
        <f>IFERROR(__xludf.DUMMYFUNCTION("""COMPUTED_VALUE"""),"ブライダルチェック")</f>
        <v>ブライダルチェック</v>
      </c>
      <c r="D589" s="31" t="str">
        <f>IFERROR(__xludf.DUMMYFUNCTION("""COMPUTED_VALUE"""),"LINE予約,婦人科予約,ブライダルチェック")</f>
        <v>LINE予約,婦人科予約,ブライダルチェック</v>
      </c>
      <c r="E589" s="32" t="str">
        <f>IFERROR(__xludf.DUMMYFUNCTION("""COMPUTED_VALUE"""),"https://luna-dr.com/subjects/bridal-check/")</f>
        <v>https://luna-dr.com/subjects/bridal-check/</v>
      </c>
    </row>
    <row r="590">
      <c r="A590" s="31" t="str">
        <f>IFERROR(__xludf.DUMMYFUNCTION("""COMPUTED_VALUE"""),"ブライダルチェックは電話でも予約できますか？")</f>
        <v>ブライダルチェックは電話でも予約できますか？</v>
      </c>
      <c r="B590" s="31" t="str">
        <f>IFERROR(__xludf.DUMMYFUNCTION("""COMPUTED_VALUE"""),"LINEでの予約後、事前問診等もLINEから行うことができ、スムーズに受診ができるため、当院ではLINEでのご予約を推奨しております。ご予約は、LINE予約画面の「一般婦人科診療」のメニューからお取りください。
来院診療のご予約：こちらのLINEをご利用ください→https://cline-app.com/qr-codes/98ad6f149bfa20f4f2a9a2e91aac4187/preview
※当院では、不妊治療や妊活に関する専門的なご相談・治療は行っておりません。※当院では男性の院内への入"&amp;"室はできないため、パートナー様と一緒にご来院して検査を受けていただくことはできません。男性の方には、ご自宅で検査ができる郵送検査キット「FemCHECK（フェムチェック）」をご用意しております。詳細はこちらをご確認ください。https://luna-dr.com/femcheck/?utm_source=lunamedia&amp;utm_medium=banner&amp;utm_campaign=femcheck_article_hpseo")</f>
        <v>LINEでの予約後、事前問診等もLINEから行うことができ、スムーズに受診ができるため、当院ではLINEでのご予約を推奨しております。ご予約は、LINE予約画面の「一般婦人科診療」のメニューからお取りください。
来院診療のご予約：こちらのLINEをご利用ください→https://cline-app.com/qr-codes/98ad6f149bfa20f4f2a9a2e91aac4187/preview
※当院では、不妊治療や妊活に関する専門的なご相談・治療は行っておりません。※当院では男性の院内への入室はできないため、パートナー様と一緒にご来院して検査を受けていただくことはできません。男性の方には、ご自宅で検査ができる郵送検査キット「FemCHECK（フェムチェック）」をご用意しております。詳細はこちらをご確認ください。https://luna-dr.com/femcheck/?utm_source=lunamedia&amp;utm_medium=banner&amp;utm_campaign=femcheck_article_hpseo</v>
      </c>
      <c r="C590" s="31" t="str">
        <f>IFERROR(__xludf.DUMMYFUNCTION("""COMPUTED_VALUE"""),"ブライダルチェック")</f>
        <v>ブライダルチェック</v>
      </c>
      <c r="D590" s="31" t="str">
        <f>IFERROR(__xludf.DUMMYFUNCTION("""COMPUTED_VALUE"""),"電話予約,問い合わせ,ブライダルチェック")</f>
        <v>電話予約,問い合わせ,ブライダルチェック</v>
      </c>
      <c r="E590" s="32" t="str">
        <f>IFERROR(__xludf.DUMMYFUNCTION("""COMPUTED_VALUE"""),"https://luna-dr.com/subjects/bridal-check/")</f>
        <v>https://luna-dr.com/subjects/bridal-check/</v>
      </c>
    </row>
    <row r="591">
      <c r="A591" s="31" t="str">
        <f>IFERROR(__xludf.DUMMYFUNCTION("""COMPUTED_VALUE"""),"ブライダルチェックの予約前に準備しておくことはありますか？")</f>
        <v>ブライダルチェックの予約前に準備しておくことはありますか？</v>
      </c>
      <c r="B591" s="31" t="str">
        <f>IFERROR(__xludf.DUMMYFUNCTION("""COMPUTED_VALUE"""),"ルナレディースクリニックでは、診察前にWEB問診の入力をお願いしています。事前にご入力いただくと診察がスムーズです。")</f>
        <v>ルナレディースクリニックでは、診察前にWEB問診の入力をお願いしています。事前にご入力いただくと診察がスムーズです。</v>
      </c>
      <c r="C591" s="31" t="str">
        <f>IFERROR(__xludf.DUMMYFUNCTION("""COMPUTED_VALUE"""),"ブライダルチェック")</f>
        <v>ブライダルチェック</v>
      </c>
      <c r="D591" s="31" t="str">
        <f>IFERROR(__xludf.DUMMYFUNCTION("""COMPUTED_VALUE"""),"WEB問診,事前準備,ブライダルチェック")</f>
        <v>WEB問診,事前準備,ブライダルチェック</v>
      </c>
      <c r="E591" s="32" t="str">
        <f>IFERROR(__xludf.DUMMYFUNCTION("""COMPUTED_VALUE"""),"https://luna-dr.com/subjects/bridal-check/")</f>
        <v>https://luna-dr.com/subjects/bridal-check/</v>
      </c>
    </row>
    <row r="592">
      <c r="A592" s="31" t="str">
        <f>IFERROR(__xludf.DUMMYFUNCTION("""COMPUTED_VALUE"""),"ブライダルチェックは初診でも予約できますか？")</f>
        <v>ブライダルチェックは初診でも予約できますか？</v>
      </c>
      <c r="B592" s="31" t="str">
        <f>IFERROR(__xludf.DUMMYFUNCTION("""COMPUTED_VALUE"""),"ブライダルチェックは初診の方もご予約いただけます。ご予約は公式LINEから受け付けておりますので、友だち追加の上ご利用ください。ご予約は、LINE予約画面の「一般婦人科診療」のメニューからお取りください。
LINEはこちら→https://cline-app.com/qr-codes/98ad6f149bfa20f4f2a9a2e91aac4187/preview　※当院では、不妊治療や妊活に関する専門的なご相談・治療は行っておりません。※当院では男性の院内への入室はできないため、パートナー様と一緒にご来"&amp;"院して検査を受けていただくことはできません。男性の方には、ご自宅で検査ができる郵送検査キット「FemCHECK（フェムチェック）」をご用意しております。詳細はこちらをご確認ください。https://luna-dr.com/femcheck/?utm_source=lunamedia&amp;utm_medium=banner&amp;utm_campaign=femcheck_article_hpseo")</f>
        <v>ブライダルチェックは初診の方もご予約いただけます。ご予約は公式LINEから受け付けておりますので、友だち追加の上ご利用ください。ご予約は、LINE予約画面の「一般婦人科診療」のメニューからお取りください。
LINEはこちら→https://cline-app.com/qr-codes/98ad6f149bfa20f4f2a9a2e91aac4187/preview　※当院では、不妊治療や妊活に関する専門的なご相談・治療は行っておりません。※当院では男性の院内への入室はできないため、パートナー様と一緒にご来院して検査を受けていただくことはできません。男性の方には、ご自宅で検査ができる郵送検査キット「FemCHECK（フェムチェック）」をご用意しております。詳細はこちらをご確認ください。https://luna-dr.com/femcheck/?utm_source=lunamedia&amp;utm_medium=banner&amp;utm_campaign=femcheck_article_hpseo</v>
      </c>
      <c r="C592" s="31" t="str">
        <f>IFERROR(__xludf.DUMMYFUNCTION("""COMPUTED_VALUE"""),"ブライダルチェック")</f>
        <v>ブライダルチェック</v>
      </c>
      <c r="D592" s="31" t="str">
        <f>IFERROR(__xludf.DUMMYFUNCTION("""COMPUTED_VALUE"""),"初診,予約,ブライダルチェック")</f>
        <v>初診,予約,ブライダルチェック</v>
      </c>
      <c r="E592" s="32" t="str">
        <f>IFERROR(__xludf.DUMMYFUNCTION("""COMPUTED_VALUE"""),"https://luna-dr.com/subjects/bridal-check/")</f>
        <v>https://luna-dr.com/subjects/bridal-check/</v>
      </c>
    </row>
    <row r="593">
      <c r="A593" s="31" t="str">
        <f>IFERROR(__xludf.DUMMYFUNCTION("""COMPUTED_VALUE"""),"ブライダルチェックは来院とオンライン、どちらで予約できますか？")</f>
        <v>ブライダルチェックは来院とオンライン、どちらで予約できますか？</v>
      </c>
      <c r="B593" s="31" t="str">
        <f>IFERROR(__xludf.DUMMYFUNCTION("""COMPUTED_VALUE"""),"ルナレディースクリニックでは、婦人科健診のご相談は来院診療のみで承っています。
予約の際は、こちらのLINEをご利用ください→https://cline-app.com/qr-codes/98ad6f149bfa20f4f2a9a2e91aac4187/preview　ご予約は、LINE予約画面の「一般婦人科診療」のメニューからお取りください。　※当院では、不妊治療や妊活に関する専門的なご相談・治療は行っておりません。※当院では男性の院内への入室はできないため、パートナー様と一緒にご来院して検査を受けて"&amp;"いただくことはできません。男性の方には、ご自宅で検査ができる郵送検査キット「FemCHECK（フェムチェック）」をご用意しております。詳細はこちらをご確認ください。https://luna-dr.com/femcheck/?utm_source=lunamedia&amp;utm_medium=banner&amp;utm_campaign=femcheck_article_hpseo")</f>
        <v>ルナレディースクリニックでは、婦人科健診のご相談は来院診療のみで承っています。
予約の際は、こちらのLINEをご利用ください→https://cline-app.com/qr-codes/98ad6f149bfa20f4f2a9a2e91aac4187/preview　ご予約は、LINE予約画面の「一般婦人科診療」のメニューからお取りください。　※当院では、不妊治療や妊活に関する専門的なご相談・治療は行っておりません。※当院では男性の院内への入室はできないため、パートナー様と一緒にご来院して検査を受けていただくことはできません。男性の方には、ご自宅で検査ができる郵送検査キット「FemCHECK（フェムチェック）」をご用意しております。詳細はこちらをご確認ください。https://luna-dr.com/femcheck/?utm_source=lunamedia&amp;utm_medium=banner&amp;utm_campaign=femcheck_article_hpseo</v>
      </c>
      <c r="C593" s="31" t="str">
        <f>IFERROR(__xludf.DUMMYFUNCTION("""COMPUTED_VALUE"""),"ブライダルチェック")</f>
        <v>ブライダルチェック</v>
      </c>
      <c r="D593" s="31" t="str">
        <f>IFERROR(__xludf.DUMMYFUNCTION("""COMPUTED_VALUE"""),"来院診療,オンライン診療,ブライダルチェック")</f>
        <v>来院診療,オンライン診療,ブライダルチェック</v>
      </c>
      <c r="E593" s="32" t="str">
        <f>IFERROR(__xludf.DUMMYFUNCTION("""COMPUTED_VALUE"""),"https://luna-dr.com/subjects/bridal-check/")</f>
        <v>https://luna-dr.com/subjects/bridal-check/</v>
      </c>
    </row>
    <row r="594">
      <c r="A594" s="31" t="str">
        <f>IFERROR(__xludf.DUMMYFUNCTION("""COMPUTED_VALUE"""),"予約なしでもブライダルチェックは受けられますか？")</f>
        <v>予約なしでもブライダルチェックは受けられますか？</v>
      </c>
      <c r="B594" s="31" t="str">
        <f>IFERROR(__xludf.DUMMYFUNCTION("""COMPUTED_VALUE"""),"直接のご来院でも可能ですが、待ち時間が発生する場合があります。事前にご予約をいただくことでスムーズに診察に進むことができます。
ご予約は公式LINEからお取りください。ご予約は、LINE予約画面の「一般婦人科診療」のメニューからお取りください。LINEはこちら→https://cline-app.com/qr-codes/98ad6f149bfa20f4f2a9a2e91aac4187/preview　※当院では、不妊治療や妊活に関する専門的なご相談・治療は行っておりません。※当院では男性の院内への入室は"&amp;"できないため、パートナー様と一緒にご来院して検査を受けていただくことはできません。男性の方には、ご自宅で検査ができる郵送検査キット「FemCHECK（フェムチェック）」をご用意しております。詳細はこちらをご確認ください。https://luna-dr.com/femcheck/?utm_source=lunamedia&amp;utm_medium=banner&amp;utm_campaign=femcheck_article_hpseo")</f>
        <v>直接のご来院でも可能ですが、待ち時間が発生する場合があります。事前にご予約をいただくことでスムーズに診察に進むことができます。
ご予約は公式LINEからお取りください。ご予約は、LINE予約画面の「一般婦人科診療」のメニューからお取りください。LINEはこちら→https://cline-app.com/qr-codes/98ad6f149bfa20f4f2a9a2e91aac4187/preview　※当院では、不妊治療や妊活に関する専門的なご相談・治療は行っておりません。※当院では男性の院内への入室はできないため、パートナー様と一緒にご来院して検査を受けていただくことはできません。男性の方には、ご自宅で検査ができる郵送検査キット「FemCHECK（フェムチェック）」をご用意しております。詳細はこちらをご確認ください。https://luna-dr.com/femcheck/?utm_source=lunamedia&amp;utm_medium=banner&amp;utm_campaign=femcheck_article_hpseo</v>
      </c>
      <c r="C594" s="31" t="str">
        <f>IFERROR(__xludf.DUMMYFUNCTION("""COMPUTED_VALUE"""),"ブライダルチェック")</f>
        <v>ブライダルチェック</v>
      </c>
      <c r="D594" s="31" t="str">
        <f>IFERROR(__xludf.DUMMYFUNCTION("""COMPUTED_VALUE"""),"ブライダルチェック検査,予約なし")</f>
        <v>ブライダルチェック検査,予約なし</v>
      </c>
      <c r="E594" s="32" t="str">
        <f>IFERROR(__xludf.DUMMYFUNCTION("""COMPUTED_VALUE"""),"https://luna-dr.com/subjects/bridal-check/")</f>
        <v>https://luna-dr.com/subjects/bridal-check/</v>
      </c>
    </row>
    <row r="595">
      <c r="A595" s="31" t="str">
        <f>IFERROR(__xludf.DUMMYFUNCTION("""COMPUTED_VALUE"""),"ブライダルチェックの診察・検査の流れを教えてください")</f>
        <v>ブライダルチェックの診察・検査の流れを教えてください</v>
      </c>
      <c r="B595" s="31" t="str">
        <f>IFERROR(__xludf.DUMMYFUNCTION("""COMPUTED_VALUE"""),"当クリニックのブライダルチェックは、以下の流れで行います。
①ご予約・ご来院：公式LINEでご予約のうえご来院ください。事前にWEB問診をご入力いただくと受付がスムーズです。
②カウンセリング：看護師が検査内容や流れをご説明し、不安や疑問にお答えします。
③医師による診察：医師が各検査の目的や方法を詳しく説明し、必要に応じてオプション検査の追加もご相談いただけます。
④内診台での検査：エコー検査、子宮頸がん検査、クラミジア検査を行います。声かけをしながら進め、検査時間は数分程度です。
⑤採血：風疹抗体、甲"&amp;"状腺ホルモン、AMH検査のために採血を行います。
⑥結果のご説明：検査結果は、項目によって判明する時期やご説明方法が異なります。
・Webで確認できる検査（約4日～2週間後）：子宮頸がん検査、クラミジア検査
・ご来院いただき医師から説明する検査（約1週間後）：血液検査（風疹抗体、甲状腺ホルモン、AMH）")</f>
        <v>当クリニックのブライダルチェックは、以下の流れで行います。
①ご予約・ご来院：公式LINEでご予約のうえご来院ください。事前にWEB問診をご入力いただくと受付がスムーズです。
②カウンセリング：看護師が検査内容や流れをご説明し、不安や疑問にお答えします。
③医師による診察：医師が各検査の目的や方法を詳しく説明し、必要に応じてオプション検査の追加もご相談いただけます。
④内診台での検査：エコー検査、子宮頸がん検査、クラミジア検査を行います。声かけをしながら進め、検査時間は数分程度です。
⑤採血：風疹抗体、甲状腺ホルモン、AMH検査のために採血を行います。
⑥結果のご説明：検査結果は、項目によって判明する時期やご説明方法が異なります。
・Webで確認できる検査（約4日～2週間後）：子宮頸がん検査、クラミジア検査
・ご来院いただき医師から説明する検査（約1週間後）：血液検査（風疹抗体、甲状腺ホルモン、AMH）</v>
      </c>
      <c r="C595" s="31" t="str">
        <f>IFERROR(__xludf.DUMMYFUNCTION("""COMPUTED_VALUE"""),"ブライダルチェック")</f>
        <v>ブライダルチェック</v>
      </c>
      <c r="D595" s="31" t="str">
        <f>IFERROR(__xludf.DUMMYFUNCTION("""COMPUTED_VALUE"""),"ブライダルチェック,診察の流れ,検査の流れ,妊娠前検査,婦人科健診")</f>
        <v>ブライダルチェック,診察の流れ,検査の流れ,妊娠前検査,婦人科健診</v>
      </c>
      <c r="E595" s="32" t="str">
        <f>IFERROR(__xludf.DUMMYFUNCTION("""COMPUTED_VALUE"""),"https://luna-dr.com/subjects/bridal-check/")</f>
        <v>https://luna-dr.com/subjects/bridal-check/</v>
      </c>
    </row>
    <row r="596">
      <c r="A596" s="31" t="str">
        <f>IFERROR(__xludf.DUMMYFUNCTION("""COMPUTED_VALUE"""),"ブライダルチェックの検査結果はいつ分かりますか？/ブライダルチェックの結果はLINEで確認できますか？")</f>
        <v>ブライダルチェックの検査結果はいつ分かりますか？/ブライダルチェックの結果はLINEで確認できますか？</v>
      </c>
      <c r="B596" s="31" t="str">
        <f>IFERROR(__xludf.DUMMYFUNCTION("""COMPUTED_VALUE"""),"検査結果は、医師から直接ご説明します。「検査結果説明」のメニューでご予約ください。https://cline-app.com/qr-codes/98ad6f149bfa20f4f2a9a2e91aac4187/preview")</f>
        <v>検査結果は、医師から直接ご説明します。「検査結果説明」のメニューでご予約ください。https://cline-app.com/qr-codes/98ad6f149bfa20f4f2a9a2e91aac4187/preview</v>
      </c>
      <c r="C596" s="31" t="str">
        <f>IFERROR(__xludf.DUMMYFUNCTION("""COMPUTED_VALUE"""),"ブライダルチェック")</f>
        <v>ブライダルチェック</v>
      </c>
      <c r="D596" s="31" t="str">
        <f>IFERROR(__xludf.DUMMYFUNCTION("""COMPUTED_VALUE"""),"ブライダルチェック,検査結果,結果はいつ,妊娠前検査")</f>
        <v>ブライダルチェック,検査結果,結果はいつ,妊娠前検査</v>
      </c>
      <c r="E596" s="32" t="str">
        <f>IFERROR(__xludf.DUMMYFUNCTION("""COMPUTED_VALUE"""),"https://luna-dr.com/subjects/bridal-check/")</f>
        <v>https://luna-dr.com/subjects/bridal-check/</v>
      </c>
    </row>
    <row r="597">
      <c r="A597" s="31" t="str">
        <f>IFERROR(__xludf.DUMMYFUNCTION("""COMPUTED_VALUE"""),"ブライダルチェックはどのくらい時間がかかりますか？")</f>
        <v>ブライダルチェックはどのくらい時間がかかりますか？</v>
      </c>
      <c r="B597" s="31" t="str">
        <f>IFERROR(__xludf.DUMMYFUNCTION("""COMPUTED_VALUE"""),"受付からお会計まで、全体で約30分～1時間ほどで完了します。
お忙しい方でもお気軽にお受けいただけます。")</f>
        <v>受付からお会計まで、全体で約30分～1時間ほどで完了します。
お忙しい方でもお気軽にお受けいただけます。</v>
      </c>
      <c r="C597" s="31" t="str">
        <f>IFERROR(__xludf.DUMMYFUNCTION("""COMPUTED_VALUE"""),"ブライダルチェック")</f>
        <v>ブライダルチェック</v>
      </c>
      <c r="D597" s="31" t="str">
        <f>IFERROR(__xludf.DUMMYFUNCTION("""COMPUTED_VALUE"""),"ブライダルチェック,所要時間,検査時間,妊娠前検査")</f>
        <v>ブライダルチェック,所要時間,検査時間,妊娠前検査</v>
      </c>
      <c r="E597" s="32" t="str">
        <f>IFERROR(__xludf.DUMMYFUNCTION("""COMPUTED_VALUE"""),"https://luna-dr.com/subjects/bridal-check/")</f>
        <v>https://luna-dr.com/subjects/bridal-check/</v>
      </c>
    </row>
    <row r="598">
      <c r="A598" s="31" t="str">
        <f>IFERROR(__xludf.DUMMYFUNCTION("""COMPUTED_VALUE"""),"ブライダルチェックの検査は痛みがありますか？")</f>
        <v>ブライダルチェックの検査は痛みがありますか？</v>
      </c>
      <c r="B598" s="31" t="str">
        <f>IFERROR(__xludf.DUMMYFUNCTION("""COMPUTED_VALUE"""),"内診や採血で多少の違和感を感じることはあるかもしれませんが、強い痛みを感じることはほとんどありません。
子宮頸がんの検査後に、少量の出血がみられることがありますが、自然に止まりますのでご安心ください。
私たちは、患者様がリラックスできるよう、常に丁寧な声かけを心がけています。")</f>
        <v>内診や採血で多少の違和感を感じることはあるかもしれませんが、強い痛みを感じることはほとんどありません。
子宮頸がんの検査後に、少量の出血がみられることがありますが、自然に止まりますのでご安心ください。
私たちは、患者様がリラックスできるよう、常に丁寧な声かけを心がけています。</v>
      </c>
      <c r="C598" s="31" t="str">
        <f>IFERROR(__xludf.DUMMYFUNCTION("""COMPUTED_VALUE"""),"ブライダルチェック")</f>
        <v>ブライダルチェック</v>
      </c>
      <c r="D598" s="31" t="str">
        <f>IFERROR(__xludf.DUMMYFUNCTION("""COMPUTED_VALUE"""),"ブライダルチェック,検査の痛み,内診,子宮頸がん検査")</f>
        <v>ブライダルチェック,検査の痛み,内診,子宮頸がん検査</v>
      </c>
      <c r="E598" s="32" t="str">
        <f>IFERROR(__xludf.DUMMYFUNCTION("""COMPUTED_VALUE"""),"https://luna-dr.com/subjects/bridal-check/")</f>
        <v>https://luna-dr.com/subjects/bridal-check/</v>
      </c>
    </row>
    <row r="599">
      <c r="A599" s="31" t="str">
        <f>IFERROR(__xludf.DUMMYFUNCTION("""COMPUTED_VALUE"""),"生理中でもブライダルチェックは受けられますか？")</f>
        <v>生理中でもブライダルチェックは受けられますか？</v>
      </c>
      <c r="B599" s="31" t="str">
        <f>IFERROR(__xludf.DUMMYFUNCTION("""COMPUTED_VALUE"""),"経血量が多い時期は、子宮頸がん検査などの結果が不正確になる可能性があるため、生理期間中を避けてご予約いただくのがおすすめです。
ご予約日の調整など、お気軽にご相談ください。")</f>
        <v>経血量が多い時期は、子宮頸がん検査などの結果が不正確になる可能性があるため、生理期間中を避けてご予約いただくのがおすすめです。
ご予約日の調整など、お気軽にご相談ください。</v>
      </c>
      <c r="C599" s="31" t="str">
        <f>IFERROR(__xludf.DUMMYFUNCTION("""COMPUTED_VALUE"""),"ブライダルチェック")</f>
        <v>ブライダルチェック</v>
      </c>
      <c r="D599" s="31" t="str">
        <f>IFERROR(__xludf.DUMMYFUNCTION("""COMPUTED_VALUE"""),"ブライダルチェック,生理中,受診できる,妊娠前検査")</f>
        <v>ブライダルチェック,生理中,受診できる,妊娠前検査</v>
      </c>
      <c r="E599" s="32" t="str">
        <f>IFERROR(__xludf.DUMMYFUNCTION("""COMPUTED_VALUE"""),"https://luna-dr.com/subjects/bridal-check/")</f>
        <v>https://luna-dr.com/subjects/bridal-check/</v>
      </c>
    </row>
    <row r="600">
      <c r="A600" s="31" t="str">
        <f>IFERROR(__xludf.DUMMYFUNCTION("""COMPUTED_VALUE"""),"ブライダルチェックはパートナーも一緒に検査を受けたほうが良いですか？")</f>
        <v>ブライダルチェックはパートナーも一緒に検査を受けたほうが良いですか？</v>
      </c>
      <c r="B600" s="31" t="str">
        <f>IFERROR(__xludf.DUMMYFUNCTION("""COMPUTED_VALUE"""),"妊娠はパートナーと二人で考えていくもののため、ブライダルチェックではパートナー様も検査を受けていただくことをおすすめしています。
ただ、大変恐縮ではございますが、当院では男性の院内への入室はできないため、パートナー様と一緒にご来院して検査を受けていただくことはできません。
男性の方には、ご自宅で検査ができる郵送検査キット「FemCHECK（フェムチェック）」をご用意しております。
詳細はこちらをご確認ください。
https://luna-dr.com/femcheck/?utm_source=lunam"&amp;"edia&amp;utm_medium=banner&amp;utm_campaign=femcheck_article_hpseo")</f>
        <v>妊娠はパートナーと二人で考えていくもののため、ブライダルチェックではパートナー様も検査を受けていただくことをおすすめしています。
ただ、大変恐縮ではございますが、当院では男性の院内への入室はできないため、パートナー様と一緒にご来院して検査を受けていただくことはできません。
男性の方には、ご自宅で検査ができる郵送検査キット「FemCHECK（フェムチェック）」をご用意しております。
詳細はこちらをご確認ください。
https://luna-dr.com/femcheck/?utm_source=lunamedia&amp;utm_medium=banner&amp;utm_campaign=femcheck_article_hpseo</v>
      </c>
      <c r="C600" s="31" t="str">
        <f>IFERROR(__xludf.DUMMYFUNCTION("""COMPUTED_VALUE"""),"ブライダルチェック")</f>
        <v>ブライダルチェック</v>
      </c>
      <c r="D600" s="31" t="str">
        <f>IFERROR(__xludf.DUMMYFUNCTION("""COMPUTED_VALUE"""),"ブライダルチェック,パートナー検査,男性検査,性感染症")</f>
        <v>ブライダルチェック,パートナー検査,男性検査,性感染症</v>
      </c>
      <c r="E600" s="32" t="str">
        <f>IFERROR(__xludf.DUMMYFUNCTION("""COMPUTED_VALUE"""),"https://luna-dr.com/subjects/bridal-check/")</f>
        <v>https://luna-dr.com/subjects/bridal-check/</v>
      </c>
    </row>
    <row r="601">
      <c r="A601" s="31" t="str">
        <f>IFERROR(__xludf.DUMMYFUNCTION("""COMPUTED_VALUE"""),"ブライダルチェックで異常が見つかった場合はどうなりますか？")</f>
        <v>ブライダルチェックで異常が見つかった場合はどうなりますか？</v>
      </c>
      <c r="B601" s="31" t="str">
        <f>IFERROR(__xludf.DUMMYFUNCTION("""COMPUTED_VALUE"""),"万が一、治療が必要な疾患や感染症が見つかった場合は、当院でそのまま治療を開始することが可能です。
今後の妊娠に向け、最適な治療プランをご提案し、しっかりとサポートさせていただきますのでご安心ください。")</f>
        <v>万が一、治療が必要な疾患や感染症が見つかった場合は、当院でそのまま治療を開始することが可能です。
今後の妊娠に向け、最適な治療プランをご提案し、しっかりとサポートさせていただきますのでご安心ください。</v>
      </c>
      <c r="C601" s="31" t="str">
        <f>IFERROR(__xludf.DUMMYFUNCTION("""COMPUTED_VALUE"""),"ブライダルチェック")</f>
        <v>ブライダルチェック</v>
      </c>
      <c r="D601" s="31" t="str">
        <f>IFERROR(__xludf.DUMMYFUNCTION("""COMPUTED_VALUE"""),"ブライダルチェック,異常が見つかった,治療,妊娠前検査")</f>
        <v>ブライダルチェック,異常が見つかった,治療,妊娠前検査</v>
      </c>
      <c r="E601" s="32" t="str">
        <f>IFERROR(__xludf.DUMMYFUNCTION("""COMPUTED_VALUE"""),"https://luna-dr.com/subjects/bridal-check/")</f>
        <v>https://luna-dr.com/subjects/bridal-check/</v>
      </c>
    </row>
    <row r="602">
      <c r="A602" s="31" t="str">
        <f>IFERROR(__xludf.DUMMYFUNCTION("""COMPUTED_VALUE"""),"婦人科検診とは何ですか？")</f>
        <v>婦人科検診とは何ですか？</v>
      </c>
      <c r="B602" s="31" t="str">
        <f>IFERROR(__xludf.DUMMYFUNCTION("""COMPUTED_VALUE"""),"婦人科検診とは、子宮や卵巣など女性特有の臓器に起こる病気を、症状が出る前に早期発見するための検査です。特に子宮のがんは初期には自覚症状がほとんどないため、定期的な検診がご自身の体と将来の安心を守ることにつながります。ルナレディースクリニックでは、代表的な婦人科検診である「子宮頸がん検診」と、不正出血などの症状がある場合に推奨される「子宮体がん検査」を実施しています。")</f>
        <v>婦人科検診とは、子宮や卵巣など女性特有の臓器に起こる病気を、症状が出る前に早期発見するための検査です。特に子宮のがんは初期には自覚症状がほとんどないため、定期的な検診がご自身の体と将来の安心を守ることにつながります。ルナレディースクリニックでは、代表的な婦人科検診である「子宮頸がん検診」と、不正出血などの症状がある場合に推奨される「子宮体がん検査」を実施しています。</v>
      </c>
      <c r="C602" s="31" t="str">
        <f>IFERROR(__xludf.DUMMYFUNCTION("""COMPUTED_VALUE"""),"婦人科健診")</f>
        <v>婦人科健診</v>
      </c>
      <c r="D602" s="31" t="str">
        <f>IFERROR(__xludf.DUMMYFUNCTION("""COMPUTED_VALUE"""),"婦人科検診,子宮がん検診,定期検診")</f>
        <v>婦人科検診,子宮がん検診,定期検診</v>
      </c>
      <c r="E602" s="32" t="str">
        <f>IFERROR(__xludf.DUMMYFUNCTION("""COMPUTED_VALUE"""),"https://luna-dr.com/subjects/medical-checkup/")</f>
        <v>https://luna-dr.com/subjects/medical-checkup/</v>
      </c>
    </row>
    <row r="603">
      <c r="A603" s="31" t="str">
        <f>IFERROR(__xludf.DUMMYFUNCTION("""COMPUTED_VALUE"""),"どんな人が婦人科検診を受けたほうがいいですか？")</f>
        <v>どんな人が婦人科検診を受けたほうがいいですか？</v>
      </c>
      <c r="B603" s="31" t="str">
        <f>IFERROR(__xludf.DUMMYFUNCTION("""COMPUTED_VALUE"""),"何年も婦人科検診を受けていない方、不正出血がある方、生理以外の出血が心配な方、将来の妊娠や健康に不安がある方は、症状がなくても婦人科検診を受けることをおすすめします。")</f>
        <v>何年も婦人科検診を受けていない方、不正出血がある方、生理以外の出血が心配な方、将来の妊娠や健康に不安がある方は、症状がなくても婦人科検診を受けることをおすすめします。</v>
      </c>
      <c r="C603" s="31" t="str">
        <f>IFERROR(__xludf.DUMMYFUNCTION("""COMPUTED_VALUE"""),"婦人科健診")</f>
        <v>婦人科健診</v>
      </c>
      <c r="D603" s="31" t="str">
        <f>IFERROR(__xludf.DUMMYFUNCTION("""COMPUTED_VALUE"""),"婦人科検診,不正出血,検診対象")</f>
        <v>婦人科検診,不正出血,検診対象</v>
      </c>
      <c r="E603" s="32" t="str">
        <f>IFERROR(__xludf.DUMMYFUNCTION("""COMPUTED_VALUE"""),"https://luna-dr.com/subjects/medical-checkup/")</f>
        <v>https://luna-dr.com/subjects/medical-checkup/</v>
      </c>
    </row>
    <row r="604">
      <c r="A604" s="31" t="str">
        <f>IFERROR(__xludf.DUMMYFUNCTION("""COMPUTED_VALUE"""),"子宮頸がん検診とは何ですか？/HPV検査は受けられますか？/HPV検査はやっていますか？/HPVの検査をしたい")</f>
        <v>子宮頸がん検診とは何ですか？/HPV検査は受けられますか？/HPV検査はやっていますか？/HPVの検査をしたい</v>
      </c>
      <c r="B604" s="31" t="str">
        <f>IFERROR(__xludf.DUMMYFUNCTION("""COMPUTED_VALUE"""),"子宮の入り口部分（子宮頸部）にできるがんを調べる検査です。主な原因は、性交渉によって感染するヒトパピローマウイルス（HPV）です。20代〜30代の若い世代に発症のピークがあり、「マザーキラー」とも呼ばれ、お子さんが小さいお母さんの命を奪うこともある病気です。しかし、定期的な検診で早期発見すれば、子宮を温存した治療が可能です。")</f>
        <v>子宮の入り口部分（子宮頸部）にできるがんを調べる検査です。主な原因は、性交渉によって感染するヒトパピローマウイルス（HPV）です。20代〜30代の若い世代に発症のピークがあり、「マザーキラー」とも呼ばれ、お子さんが小さいお母さんの命を奪うこともある病気です。しかし、定期的な検診で早期発見すれば、子宮を温存した治療が可能です。</v>
      </c>
      <c r="C604" s="31" t="str">
        <f>IFERROR(__xludf.DUMMYFUNCTION("""COMPUTED_VALUE"""),"婦人科健診")</f>
        <v>婦人科健診</v>
      </c>
      <c r="D604" s="31" t="str">
        <f>IFERROR(__xludf.DUMMYFUNCTION("""COMPUTED_VALUE"""),"子宮頸がん検診,HPV,若い世代,HPV検査")</f>
        <v>子宮頸がん検診,HPV,若い世代,HPV検査</v>
      </c>
      <c r="E604" s="32" t="str">
        <f>IFERROR(__xludf.DUMMYFUNCTION("""COMPUTED_VALUE"""),"https://luna-dr.com/subjects/medical-checkup/")</f>
        <v>https://luna-dr.com/subjects/medical-checkup/</v>
      </c>
    </row>
    <row r="605">
      <c r="A605" s="31" t="str">
        <f>IFERROR(__xludf.DUMMYFUNCTION("""COMPUTED_VALUE"""),"子宮体がん検査とは何ですか？")</f>
        <v>子宮体がん検査とは何ですか？</v>
      </c>
      <c r="B605" s="31" t="str">
        <f>IFERROR(__xludf.DUMMYFUNCTION("""COMPUTED_VALUE"""),"子宮の奥（子宮体部）の内膜にできるがんを調べる検査です。女性ホルモン（エストロゲン）が深く関わっており、食生活の欧米化などを背景に、近年、子宮頸がんよりも患者数が増加しています。50代以降の閉経前後に多く発症しますが、ストレスや不規則な生活によるホルモンバランスの乱れから、20代や30代で発症する方も増えています。不正出血がサインとなることが多いのが特徴です。")</f>
        <v>子宮の奥（子宮体部）の内膜にできるがんを調べる検査です。女性ホルモン（エストロゲン）が深く関わっており、食生活の欧米化などを背景に、近年、子宮頸がんよりも患者数が増加しています。50代以降の閉経前後に多く発症しますが、ストレスや不規則な生活によるホルモンバランスの乱れから、20代や30代で発症する方も増えています。不正出血がサインとなることが多いのが特徴です。</v>
      </c>
      <c r="C605" s="31" t="str">
        <f>IFERROR(__xludf.DUMMYFUNCTION("""COMPUTED_VALUE"""),"婦人科健診")</f>
        <v>婦人科健診</v>
      </c>
      <c r="D605" s="31" t="str">
        <f>IFERROR(__xludf.DUMMYFUNCTION("""COMPUTED_VALUE"""),"子宮体がん検査,不正出血,ホルモンバランス")</f>
        <v>子宮体がん検査,不正出血,ホルモンバランス</v>
      </c>
      <c r="E605" s="32" t="str">
        <f>IFERROR(__xludf.DUMMYFUNCTION("""COMPUTED_VALUE"""),"https://luna-dr.com/subjects/medical-checkup/")</f>
        <v>https://luna-dr.com/subjects/medical-checkup/</v>
      </c>
    </row>
    <row r="606">
      <c r="A606" s="31" t="str">
        <f>IFERROR(__xludf.DUMMYFUNCTION("""COMPUTED_VALUE"""),"子宮頸がんと子宮体がんの違いは何ですか？")</f>
        <v>子宮頸がんと子宮体がんの違いは何ですか？</v>
      </c>
      <c r="B606" s="31" t="str">
        <f>IFERROR(__xludf.DUMMYFUNCTION("""COMPUTED_VALUE"""),"子宮頸がんは子宮の入り口にでき、主な原因はHPV感染で20〜30代に多くみられます。一方、子宮体がんは子宮の奥にでき、女性ホルモンの影響が強く、閉経前後に多いのが特徴です。")</f>
        <v>子宮頸がんは子宮の入り口にでき、主な原因はHPV感染で20〜30代に多くみられます。一方、子宮体がんは子宮の奥にでき、女性ホルモンの影響が強く、閉経前後に多いのが特徴です。</v>
      </c>
      <c r="C606" s="31" t="str">
        <f>IFERROR(__xludf.DUMMYFUNCTION("""COMPUTED_VALUE"""),"婦人科健診")</f>
        <v>婦人科健診</v>
      </c>
      <c r="D606" s="31" t="str">
        <f>IFERROR(__xludf.DUMMYFUNCTION("""COMPUTED_VALUE"""),"子宮頸がん,子宮体がん,違い")</f>
        <v>子宮頸がん,子宮体がん,違い</v>
      </c>
      <c r="E606" s="32" t="str">
        <f>IFERROR(__xludf.DUMMYFUNCTION("""COMPUTED_VALUE"""),"https://luna-dr.com/subjects/medical-checkup/")</f>
        <v>https://luna-dr.com/subjects/medical-checkup/</v>
      </c>
    </row>
    <row r="607">
      <c r="A607" s="31" t="str">
        <f>IFERROR(__xludf.DUMMYFUNCTION("""COMPUTED_VALUE"""),"子宮頸がんはどこにできるがんですか？")</f>
        <v>子宮頸がんはどこにできるがんですか？</v>
      </c>
      <c r="B607" s="31" t="str">
        <f>IFERROR(__xludf.DUMMYFUNCTION("""COMPUTED_VALUE"""),"子宮頸がんは、子宮の入り口部分（子宮頸部）にできるがんです。性交渉によって感染するヒトパピローマウイルス（HPV）が主な原因とされています。")</f>
        <v>子宮頸がんは、子宮の入り口部分（子宮頸部）にできるがんです。性交渉によって感染するヒトパピローマウイルス（HPV）が主な原因とされています。</v>
      </c>
      <c r="C607" s="31" t="str">
        <f>IFERROR(__xludf.DUMMYFUNCTION("""COMPUTED_VALUE"""),"婦人科健診")</f>
        <v>婦人科健診</v>
      </c>
      <c r="D607" s="31" t="str">
        <f>IFERROR(__xludf.DUMMYFUNCTION("""COMPUTED_VALUE"""),"子宮頸がん,検査対象,HPV")</f>
        <v>子宮頸がん,検査対象,HPV</v>
      </c>
      <c r="E607" s="32" t="str">
        <f>IFERROR(__xludf.DUMMYFUNCTION("""COMPUTED_VALUE"""),"https://luna-dr.com/subjects/medical-checkup/")</f>
        <v>https://luna-dr.com/subjects/medical-checkup/</v>
      </c>
    </row>
    <row r="608">
      <c r="A608" s="31" t="str">
        <f>IFERROR(__xludf.DUMMYFUNCTION("""COMPUTED_VALUE"""),"子宮体がんはどこにできるがんですか？")</f>
        <v>子宮体がんはどこにできるがんですか？</v>
      </c>
      <c r="B608" s="31" t="str">
        <f>IFERROR(__xludf.DUMMYFUNCTION("""COMPUTED_VALUE"""),"子宮体がんは、子宮の奥（子宮体部）の内膜にできるがんです。女性ホルモン（エストロゲン）の影響を強く受けることが特徴です。")</f>
        <v>子宮体がんは、子宮の奥（子宮体部）の内膜にできるがんです。女性ホルモン（エストロゲン）の影響を強く受けることが特徴です。</v>
      </c>
      <c r="C608" s="31" t="str">
        <f>IFERROR(__xludf.DUMMYFUNCTION("""COMPUTED_VALUE"""),"婦人科健診")</f>
        <v>婦人科健診</v>
      </c>
      <c r="D608" s="31" t="str">
        <f>IFERROR(__xludf.DUMMYFUNCTION("""COMPUTED_VALUE"""),"子宮体がん,検査対象,子宮内膜")</f>
        <v>子宮体がん,検査対象,子宮内膜</v>
      </c>
      <c r="E608" s="32" t="str">
        <f>IFERROR(__xludf.DUMMYFUNCTION("""COMPUTED_VALUE"""),"https://luna-dr.com/subjects/medical-checkup/")</f>
        <v>https://luna-dr.com/subjects/medical-checkup/</v>
      </c>
    </row>
    <row r="609">
      <c r="A609" s="31" t="str">
        <f>IFERROR(__xludf.DUMMYFUNCTION("""COMPUTED_VALUE"""),"子宮頸がんはどの年代に多いですか？")</f>
        <v>子宮頸がんはどの年代に多いですか？</v>
      </c>
      <c r="B609" s="31" t="str">
        <f>IFERROR(__xludf.DUMMYFUNCTION("""COMPUTED_VALUE"""),"子宮頸がんは20代〜30代の比較的若い世代に多くみられます。近年は若年化の傾向もあり、定期的な検診が重要です。")</f>
        <v>子宮頸がんは20代〜30代の比較的若い世代に多くみられます。近年は若年化の傾向もあり、定期的な検診が重要です。</v>
      </c>
      <c r="C609" s="31" t="str">
        <f>IFERROR(__xludf.DUMMYFUNCTION("""COMPUTED_VALUE"""),"婦人科健診")</f>
        <v>婦人科健診</v>
      </c>
      <c r="D609" s="31" t="str">
        <f>IFERROR(__xludf.DUMMYFUNCTION("""COMPUTED_VALUE"""),"子宮頸がん,20代,30代,婦人科検診")</f>
        <v>子宮頸がん,20代,30代,婦人科検診</v>
      </c>
      <c r="E609" s="32" t="str">
        <f>IFERROR(__xludf.DUMMYFUNCTION("""COMPUTED_VALUE"""),"https://luna-dr.com/subjects/medical-checkup/")</f>
        <v>https://luna-dr.com/subjects/medical-checkup/</v>
      </c>
    </row>
    <row r="610">
      <c r="A610" s="31" t="str">
        <f>IFERROR(__xludf.DUMMYFUNCTION("""COMPUTED_VALUE"""),"子宮体がんはどの年代に多いですか？")</f>
        <v>子宮体がんはどの年代に多いですか？</v>
      </c>
      <c r="B610" s="31" t="str">
        <f>IFERROR(__xludf.DUMMYFUNCTION("""COMPUTED_VALUE"""),"子宮体がんは50代以降の閉経前後に多くみられますが、ホルモンバランスの乱れにより若い年代で発症することもあります。")</f>
        <v>子宮体がんは50代以降の閉経前後に多くみられますが、ホルモンバランスの乱れにより若い年代で発症することもあります。</v>
      </c>
      <c r="C610" s="31" t="str">
        <f>IFERROR(__xludf.DUMMYFUNCTION("""COMPUTED_VALUE"""),"婦人科健診")</f>
        <v>婦人科健診</v>
      </c>
      <c r="D610" s="31" t="str">
        <f>IFERROR(__xludf.DUMMYFUNCTION("""COMPUTED_VALUE"""),"子宮体がん,閉経後,50代")</f>
        <v>子宮体がん,閉経後,50代</v>
      </c>
      <c r="E610" s="32" t="str">
        <f>IFERROR(__xludf.DUMMYFUNCTION("""COMPUTED_VALUE"""),"https://luna-dr.com/subjects/medical-checkup/")</f>
        <v>https://luna-dr.com/subjects/medical-checkup/</v>
      </c>
    </row>
    <row r="611">
      <c r="A611" s="31" t="str">
        <f>IFERROR(__xludf.DUMMYFUNCTION("""COMPUTED_VALUE"""),"子宮頸がん検診はどのような方法で行いますか？/HPV検査はどのような方法で行いますか？")</f>
        <v>子宮頸がん検診はどのような方法で行いますか？/HPV検査はどのような方法で行いますか？</v>
      </c>
      <c r="B611" s="31" t="str">
        <f>IFERROR(__xludf.DUMMYFUNCTION("""COMPUTED_VALUE"""),"子宮頸がん検診では、ブラシのような器具で子宮の入り口を優しくこすり、細胞を採取します。検査時間は短く、痛みはほとんどありません。")</f>
        <v>子宮頸がん検診では、ブラシのような器具で子宮の入り口を優しくこすり、細胞を採取します。検査時間は短く、痛みはほとんどありません。</v>
      </c>
      <c r="C611" s="31" t="str">
        <f>IFERROR(__xludf.DUMMYFUNCTION("""COMPUTED_VALUE"""),"婦人科健診")</f>
        <v>婦人科健診</v>
      </c>
      <c r="D611" s="31" t="str">
        <f>IFERROR(__xludf.DUMMYFUNCTION("""COMPUTED_VALUE"""),"子宮頸がん検診,検査方法,痛み,HPV検査,HPV")</f>
        <v>子宮頸がん検診,検査方法,痛み,HPV検査,HPV</v>
      </c>
      <c r="E611" s="32" t="str">
        <f>IFERROR(__xludf.DUMMYFUNCTION("""COMPUTED_VALUE"""),"https://luna-dr.com/subjects/medical-checkup/")</f>
        <v>https://luna-dr.com/subjects/medical-checkup/</v>
      </c>
    </row>
    <row r="612">
      <c r="A612" s="31" t="str">
        <f>IFERROR(__xludf.DUMMYFUNCTION("""COMPUTED_VALUE"""),"子宮体がん検査はどのような方法で行いますか？")</f>
        <v>子宮体がん検査はどのような方法で行いますか？</v>
      </c>
      <c r="B612" s="31" t="str">
        <f>IFERROR(__xludf.DUMMYFUNCTION("""COMPUTED_VALUE"""),"子宮体がん検査では、細いストロー状の器具を子宮の奥に挿入し、内膜の細胞を採取します。生理痛に似た痛みを感じることがありますが、短時間で終了します。")</f>
        <v>子宮体がん検査では、細いストロー状の器具を子宮の奥に挿入し、内膜の細胞を採取します。生理痛に似た痛みを感じることがありますが、短時間で終了します。</v>
      </c>
      <c r="C612" s="31" t="str">
        <f>IFERROR(__xludf.DUMMYFUNCTION("""COMPUTED_VALUE"""),"婦人科健診")</f>
        <v>婦人科健診</v>
      </c>
      <c r="D612" s="31" t="str">
        <f>IFERROR(__xludf.DUMMYFUNCTION("""COMPUTED_VALUE"""),"子宮体がん検査,検査方法,痛み")</f>
        <v>子宮体がん検査,検査方法,痛み</v>
      </c>
      <c r="E612" s="32" t="str">
        <f>IFERROR(__xludf.DUMMYFUNCTION("""COMPUTED_VALUE"""),"https://luna-dr.com/subjects/medical-checkup/")</f>
        <v>https://luna-dr.com/subjects/medical-checkup/</v>
      </c>
    </row>
    <row r="613">
      <c r="A613" s="31" t="str">
        <f>IFERROR(__xludf.DUMMYFUNCTION("""COMPUTED_VALUE"""),"子宮頸がん検診は痛みがありますか？/HPV検査は痛みがありますか？")</f>
        <v>子宮頸がん検診は痛みがありますか？/HPV検査は痛みがありますか？</v>
      </c>
      <c r="B613" s="31" t="str">
        <f>IFERROR(__xludf.DUMMYFUNCTION("""COMPUTED_VALUE"""),"子宮頸がん検診は、痛みをほとんど感じない方が多く、違和感があってもごくわずかです。")</f>
        <v>子宮頸がん検診は、痛みをほとんど感じない方が多く、違和感があってもごくわずかです。</v>
      </c>
      <c r="C613" s="31" t="str">
        <f>IFERROR(__xludf.DUMMYFUNCTION("""COMPUTED_VALUE"""),"婦人科健診")</f>
        <v>婦人科健診</v>
      </c>
      <c r="D613" s="31" t="str">
        <f>IFERROR(__xludf.DUMMYFUNCTION("""COMPUTED_VALUE"""),"子宮頸がん検診,痛み,HPV検査,HPV")</f>
        <v>子宮頸がん検診,痛み,HPV検査,HPV</v>
      </c>
      <c r="E613" s="32" t="str">
        <f>IFERROR(__xludf.DUMMYFUNCTION("""COMPUTED_VALUE"""),"https://luna-dr.com/subjects/medical-checkup/")</f>
        <v>https://luna-dr.com/subjects/medical-checkup/</v>
      </c>
    </row>
    <row r="614">
      <c r="A614" s="31" t="str">
        <f>IFERROR(__xludf.DUMMYFUNCTION("""COMPUTED_VALUE"""),"子宮体がん検査は痛みがありますか？")</f>
        <v>子宮体がん検査は痛みがありますか？</v>
      </c>
      <c r="B614" s="31" t="str">
        <f>IFERROR(__xludf.DUMMYFUNCTION("""COMPUTED_VALUE"""),"子宮体がん検査は、生理痛に似た痛みを感じることがありますが、検査は1〜2分程度で終わります。")</f>
        <v>子宮体がん検査は、生理痛に似た痛みを感じることがありますが、検査は1〜2分程度で終わります。</v>
      </c>
      <c r="C614" s="31" t="str">
        <f>IFERROR(__xludf.DUMMYFUNCTION("""COMPUTED_VALUE"""),"婦人科健診")</f>
        <v>婦人科健診</v>
      </c>
      <c r="D614" s="31" t="str">
        <f>IFERROR(__xludf.DUMMYFUNCTION("""COMPUTED_VALUE"""),"子宮体がん検査,痛み")</f>
        <v>子宮体がん検査,痛み</v>
      </c>
      <c r="E614" s="32" t="str">
        <f>IFERROR(__xludf.DUMMYFUNCTION("""COMPUTED_VALUE"""),"https://luna-dr.com/subjects/medical-checkup/")</f>
        <v>https://luna-dr.com/subjects/medical-checkup/</v>
      </c>
    </row>
    <row r="615">
      <c r="A615" s="31" t="str">
        <f>IFERROR(__xludf.DUMMYFUNCTION("""COMPUTED_VALUE"""),"子宮頸がんを予防する方法はありますか？/HPVを予防する方法はありますか？")</f>
        <v>子宮頸がんを予防する方法はありますか？/HPVを予防する方法はありますか？</v>
      </c>
      <c r="B615" s="31" t="str">
        <f>IFERROR(__xludf.DUMMYFUNCTION("""COMPUTED_VALUE"""),"子宮頸がんは、HPVワクチン接種と定期的な検診が最も有効な予防方法です。")</f>
        <v>子宮頸がんは、HPVワクチン接種と定期的な検診が最も有効な予防方法です。</v>
      </c>
      <c r="C615" s="31" t="str">
        <f>IFERROR(__xludf.DUMMYFUNCTION("""COMPUTED_VALUE"""),"婦人科健診")</f>
        <v>婦人科健診</v>
      </c>
      <c r="D615" s="31" t="str">
        <f>IFERROR(__xludf.DUMMYFUNCTION("""COMPUTED_VALUE"""),"子宮頸がん,HPVワクチン,予防,HPV検査,HPV")</f>
        <v>子宮頸がん,HPVワクチン,予防,HPV検査,HPV</v>
      </c>
      <c r="E615" s="32" t="str">
        <f>IFERROR(__xludf.DUMMYFUNCTION("""COMPUTED_VALUE"""),"https://luna-dr.com/subjects/medical-checkup/")</f>
        <v>https://luna-dr.com/subjects/medical-checkup/</v>
      </c>
    </row>
    <row r="616">
      <c r="A616" s="31" t="str">
        <f>IFERROR(__xludf.DUMMYFUNCTION("""COMPUTED_VALUE"""),"子宮体がんを予防する方法はありますか？")</f>
        <v>子宮体がんを予防する方法はありますか？</v>
      </c>
      <c r="B616" s="31" t="str">
        <f>IFERROR(__xludf.DUMMYFUNCTION("""COMPUTED_VALUE"""),"子宮体がんは、適正体重の維持やバランスの取れた食生活など、生活習慣を整えることが予防につながります。")</f>
        <v>子宮体がんは、適正体重の維持やバランスの取れた食生活など、生活習慣を整えることが予防につながります。</v>
      </c>
      <c r="C616" s="31" t="str">
        <f>IFERROR(__xludf.DUMMYFUNCTION("""COMPUTED_VALUE"""),"婦人科健診")</f>
        <v>婦人科健診</v>
      </c>
      <c r="D616" s="31" t="str">
        <f>IFERROR(__xludf.DUMMYFUNCTION("""COMPUTED_VALUE"""),"子宮体がん,予防,生活習慣")</f>
        <v>子宮体がん,予防,生活習慣</v>
      </c>
      <c r="E616" s="32" t="str">
        <f>IFERROR(__xludf.DUMMYFUNCTION("""COMPUTED_VALUE"""),"https://luna-dr.com/subjects/medical-checkup/")</f>
        <v>https://luna-dr.com/subjects/medical-checkup/</v>
      </c>
    </row>
    <row r="617">
      <c r="A617" s="31" t="str">
        <f>IFERROR(__xludf.DUMMYFUNCTION("""COMPUTED_VALUE"""),"婦人科検診の痛みはありますか？")</f>
        <v>婦人科検診の痛みはありますか？</v>
      </c>
      <c r="B617" s="31" t="str">
        <f>IFERROR(__xludf.DUMMYFUNCTION("""COMPUTED_VALUE"""),"子宮頸がん検診は、ブラシで軽くこする検査のため、痛みはほとんどないか、ごくわずかです。子宮体がん検査は、生理痛に似た痛みを感じることがありますが、短時間で終了します。")</f>
        <v>子宮頸がん検診は、ブラシで軽くこする検査のため、痛みはほとんどないか、ごくわずかです。子宮体がん検査は、生理痛に似た痛みを感じることがありますが、短時間で終了します。</v>
      </c>
      <c r="C617" s="31" t="str">
        <f>IFERROR(__xludf.DUMMYFUNCTION("""COMPUTED_VALUE"""),"婦人科健診")</f>
        <v>婦人科健診</v>
      </c>
      <c r="D617" s="31" t="str">
        <f>IFERROR(__xludf.DUMMYFUNCTION("""COMPUTED_VALUE"""),"婦人科検診,検査の痛み,内診")</f>
        <v>婦人科検診,検査の痛み,内診</v>
      </c>
      <c r="E617" s="32" t="str">
        <f>IFERROR(__xludf.DUMMYFUNCTION("""COMPUTED_VALUE"""),"https://luna-dr.com/subjects/medical-checkup/")</f>
        <v>https://luna-dr.com/subjects/medical-checkup/</v>
      </c>
    </row>
    <row r="618">
      <c r="A618" s="31" t="str">
        <f>IFERROR(__xludf.DUMMYFUNCTION("""COMPUTED_VALUE"""),"婦人科検診の費用はいくらですか？")</f>
        <v>婦人科検診の費用はいくらですか？</v>
      </c>
      <c r="B618" s="31" t="str">
        <f>IFERROR(__xludf.DUMMYFUNCTION("""COMPUTED_VALUE"""),"当院では、検査内容やご利用の制度（自費・自治体検診）によって費用が異なります。子宮頸がん検診は自費5,000円（税込）、子宮体がん検診は6,000円（税込）です。")</f>
        <v>当院では、検査内容やご利用の制度（自費・自治体検診）によって費用が異なります。子宮頸がん検診は自費5,000円（税込）、子宮体がん検診は6,000円（税込）です。</v>
      </c>
      <c r="C618" s="31" t="str">
        <f>IFERROR(__xludf.DUMMYFUNCTION("""COMPUTED_VALUE"""),"婦人科健診")</f>
        <v>婦人科健診</v>
      </c>
      <c r="D618" s="31" t="str">
        <f>IFERROR(__xludf.DUMMYFUNCTION("""COMPUTED_VALUE"""),"婦人科検診,費用,料金")</f>
        <v>婦人科検診,費用,料金</v>
      </c>
      <c r="E618" s="32" t="str">
        <f>IFERROR(__xludf.DUMMYFUNCTION("""COMPUTED_VALUE"""),"https://luna-dr.com/subjects/medical-checkup/")</f>
        <v>https://luna-dr.com/subjects/medical-checkup/</v>
      </c>
    </row>
    <row r="619">
      <c r="A619" s="31" t="str">
        <f>IFERROR(__xludf.DUMMYFUNCTION("""COMPUTED_VALUE"""),"子宮頸がん検診の費用はいくらですか？/HPV検査はいくらですか？/HPV検査の費用はいくらですか？")</f>
        <v>子宮頸がん検診の費用はいくらですか？/HPV検査はいくらですか？/HPV検査の費用はいくらですか？</v>
      </c>
      <c r="B619" s="31" t="str">
        <f>IFERROR(__xludf.DUMMYFUNCTION("""COMPUTED_VALUE"""),"当院の子宮頸がん検診（自費診療）の費用は5,000円（税込）です。")</f>
        <v>当院の子宮頸がん検診（自費診療）の費用は5,000円（税込）です。</v>
      </c>
      <c r="C619" s="31" t="str">
        <f>IFERROR(__xludf.DUMMYFUNCTION("""COMPUTED_VALUE"""),"婦人科健診")</f>
        <v>婦人科健診</v>
      </c>
      <c r="D619" s="31" t="str">
        <f>IFERROR(__xludf.DUMMYFUNCTION("""COMPUTED_VALUE"""),"子宮頸がん検診,費用,自費,HPV検査,HPV")</f>
        <v>子宮頸がん検診,費用,自費,HPV検査,HPV</v>
      </c>
      <c r="E619" s="32" t="str">
        <f>IFERROR(__xludf.DUMMYFUNCTION("""COMPUTED_VALUE"""),"https://luna-dr.com/subjects/medical-checkup/")</f>
        <v>https://luna-dr.com/subjects/medical-checkup/</v>
      </c>
    </row>
    <row r="620">
      <c r="A620" s="31" t="str">
        <f>IFERROR(__xludf.DUMMYFUNCTION("""COMPUTED_VALUE"""),"子宮体がん検診の費用はいくらですか？")</f>
        <v>子宮体がん検診の費用はいくらですか？</v>
      </c>
      <c r="B620" s="31" t="str">
        <f>IFERROR(__xludf.DUMMYFUNCTION("""COMPUTED_VALUE"""),"当院の子宮体がん検診（自費診療）の費用は6,000円（税込）です。")</f>
        <v>当院の子宮体がん検診（自費診療）の費用は6,000円（税込）です。</v>
      </c>
      <c r="C620" s="31" t="str">
        <f>IFERROR(__xludf.DUMMYFUNCTION("""COMPUTED_VALUE"""),"婦人科健診")</f>
        <v>婦人科健診</v>
      </c>
      <c r="D620" s="31" t="str">
        <f>IFERROR(__xludf.DUMMYFUNCTION("""COMPUTED_VALUE"""),"子宮体がん検診,費用,自費")</f>
        <v>子宮体がん検診,費用,自費</v>
      </c>
      <c r="E620" s="32" t="str">
        <f>IFERROR(__xludf.DUMMYFUNCTION("""COMPUTED_VALUE"""),"https://luna-dr.com/subjects/medical-checkup/")</f>
        <v>https://luna-dr.com/subjects/medical-checkup/</v>
      </c>
    </row>
    <row r="621">
      <c r="A621" s="31" t="str">
        <f>IFERROR(__xludf.DUMMYFUNCTION("""COMPUTED_VALUE"""),"横浜市のHPV検査単独法はいくらで受けられますか？")</f>
        <v>横浜市のHPV検査単独法はいくらで受けられますか？</v>
      </c>
      <c r="B621" s="31" t="str">
        <f>IFERROR(__xludf.DUMMYFUNCTION("""COMPUTED_VALUE"""),"横浜市のHPV検査単独法は、対象の方であれば2,000円（税込）で受診できます。")</f>
        <v>横浜市のHPV検査単独法は、対象の方であれば2,000円（税込）で受診できます。</v>
      </c>
      <c r="C621" s="31" t="str">
        <f>IFERROR(__xludf.DUMMYFUNCTION("""COMPUTED_VALUE"""),"婦人科健診")</f>
        <v>婦人科健診</v>
      </c>
      <c r="D621" s="31" t="str">
        <f>IFERROR(__xludf.DUMMYFUNCTION("""COMPUTED_VALUE"""),"横浜市,HPV検査,費用,子宮頸がん検査")</f>
        <v>横浜市,HPV検査,費用,子宮頸がん検査</v>
      </c>
      <c r="E621" s="32" t="str">
        <f>IFERROR(__xludf.DUMMYFUNCTION("""COMPUTED_VALUE"""),"https://luna-dr.com/subjects/medical-checkup/")</f>
        <v>https://luna-dr.com/subjects/medical-checkup/</v>
      </c>
    </row>
    <row r="622">
      <c r="A622" s="31" t="str">
        <f>IFERROR(__xludf.DUMMYFUNCTION("""COMPUTED_VALUE"""),"横浜市の子宮頸がん検診はいくらですか？")</f>
        <v>横浜市の子宮頸がん検診はいくらですか？</v>
      </c>
      <c r="B622" s="31" t="str">
        <f>IFERROR(__xludf.DUMMYFUNCTION("""COMPUTED_VALUE"""),"横浜市の子宮頸がん検診は、対象の方であれば1,360円（税込）で受診できます。")</f>
        <v>横浜市の子宮頸がん検診は、対象の方であれば1,360円（税込）で受診できます。</v>
      </c>
      <c r="C622" s="31" t="str">
        <f>IFERROR(__xludf.DUMMYFUNCTION("""COMPUTED_VALUE"""),"婦人科健診")</f>
        <v>婦人科健診</v>
      </c>
      <c r="D622" s="31" t="str">
        <f>IFERROR(__xludf.DUMMYFUNCTION("""COMPUTED_VALUE"""),"横浜市,子宮頸がん検診,費用,子宮頸がん健診")</f>
        <v>横浜市,子宮頸がん検診,費用,子宮頸がん健診</v>
      </c>
      <c r="E622" s="32" t="str">
        <f>IFERROR(__xludf.DUMMYFUNCTION("""COMPUTED_VALUE"""),"https://luna-dr.com/subjects/medical-checkup/")</f>
        <v>https://luna-dr.com/subjects/medical-checkup/</v>
      </c>
    </row>
    <row r="623">
      <c r="A623" s="31" t="str">
        <f>IFERROR(__xludf.DUMMYFUNCTION("""COMPUTED_VALUE"""),"町田市の子宮頸がん検診はいくらですか？")</f>
        <v>町田市の子宮頸がん検診はいくらですか？</v>
      </c>
      <c r="B623" s="31" t="str">
        <f>IFERROR(__xludf.DUMMYFUNCTION("""COMPUTED_VALUE"""),"町田市の子宮頸がん検診は、対象の方であれば1,000円（税込）で受診できます。")</f>
        <v>町田市の子宮頸がん検診は、対象の方であれば1,000円（税込）で受診できます。</v>
      </c>
      <c r="C623" s="31" t="str">
        <f>IFERROR(__xludf.DUMMYFUNCTION("""COMPUTED_VALUE"""),"婦人科健診")</f>
        <v>婦人科健診</v>
      </c>
      <c r="D623" s="31" t="str">
        <f>IFERROR(__xludf.DUMMYFUNCTION("""COMPUTED_VALUE"""),"町田市,子宮頸がん検診,費用")</f>
        <v>町田市,子宮頸がん検診,費用</v>
      </c>
      <c r="E623" s="32" t="str">
        <f>IFERROR(__xludf.DUMMYFUNCTION("""COMPUTED_VALUE"""),"https://luna-dr.com/subjects/medical-checkup/")</f>
        <v>https://luna-dr.com/subjects/medical-checkup/</v>
      </c>
    </row>
    <row r="624">
      <c r="A624" s="31" t="str">
        <f>IFERROR(__xludf.DUMMYFUNCTION("""COMPUTED_VALUE"""),"川崎市の子宮頸がん検診はいくらですか？")</f>
        <v>川崎市の子宮頸がん検診はいくらですか？</v>
      </c>
      <c r="B624" s="31" t="str">
        <f>IFERROR(__xludf.DUMMYFUNCTION("""COMPUTED_VALUE"""),"川崎市の子宮頸がん検診は、対象の方であれば1,000円（税込）で受診できます。")</f>
        <v>川崎市の子宮頸がん検診は、対象の方であれば1,000円（税込）で受診できます。</v>
      </c>
      <c r="C624" s="31" t="str">
        <f>IFERROR(__xludf.DUMMYFUNCTION("""COMPUTED_VALUE"""),"婦人科健診")</f>
        <v>婦人科健診</v>
      </c>
      <c r="D624" s="31" t="str">
        <f>IFERROR(__xludf.DUMMYFUNCTION("""COMPUTED_VALUE"""),"川崎市,子宮頸がん検診,費用,子宮頸がん健診")</f>
        <v>川崎市,子宮頸がん検診,費用,子宮頸がん健診</v>
      </c>
      <c r="E624" s="32" t="str">
        <f>IFERROR(__xludf.DUMMYFUNCTION("""COMPUTED_VALUE"""),"https://luna-dr.com/subjects/medical-checkup/")</f>
        <v>https://luna-dr.com/subjects/medical-checkup/</v>
      </c>
    </row>
    <row r="625">
      <c r="A625" s="31" t="str">
        <f>IFERROR(__xludf.DUMMYFUNCTION("""COMPUTED_VALUE"""),"川崎市の子宮体がん検診はいくらですか？")</f>
        <v>川崎市の子宮体がん検診はいくらですか？</v>
      </c>
      <c r="B625" s="31" t="str">
        <f>IFERROR(__xludf.DUMMYFUNCTION("""COMPUTED_VALUE"""),"川崎市の子宮頸がん＋子宮体がん検診は、対象の方であれば1,800円（税込）で受診できます。")</f>
        <v>川崎市の子宮頸がん＋子宮体がん検診は、対象の方であれば1,800円（税込）で受診できます。</v>
      </c>
      <c r="C625" s="31" t="str">
        <f>IFERROR(__xludf.DUMMYFUNCTION("""COMPUTED_VALUE"""),"婦人科健診")</f>
        <v>婦人科健診</v>
      </c>
      <c r="D625" s="31" t="str">
        <f>IFERROR(__xludf.DUMMYFUNCTION("""COMPUTED_VALUE"""),"川崎市,子宮体がん検診,子宮頸がん検診,費用")</f>
        <v>川崎市,子宮体がん検診,子宮頸がん検診,費用</v>
      </c>
      <c r="E625" s="32" t="str">
        <f>IFERROR(__xludf.DUMMYFUNCTION("""COMPUTED_VALUE"""),"https://luna-dr.com/subjects/medical-checkup/")</f>
        <v>https://luna-dr.com/subjects/medical-checkup/</v>
      </c>
    </row>
    <row r="626">
      <c r="A626" s="31" t="str">
        <f>IFERROR(__xludf.DUMMYFUNCTION("""COMPUTED_VALUE"""),"ホルモン検査の費用はいくらですか？/ホルモン検査はできますか？/ホルモン検査は行っていますか？/ホルモン検査について教えてください")</f>
        <v>ホルモン検査の費用はいくらですか？/ホルモン検査はできますか？/ホルモン検査は行っていますか？/ホルモン検査について教えてください</v>
      </c>
      <c r="B626" s="31" t="str">
        <f>IFERROR(__xludf.DUMMYFUNCTION("""COMPUTED_VALUE"""),"当院のホルモン検査は8,000円（税込）です。月経不順や体調不良の原因を調べる際に行います。")</f>
        <v>当院のホルモン検査は8,000円（税込）です。月経不順や体調不良の原因を調べる際に行います。</v>
      </c>
      <c r="C626" s="31" t="str">
        <f>IFERROR(__xludf.DUMMYFUNCTION("""COMPUTED_VALUE"""),"婦人科健診")</f>
        <v>婦人科健診</v>
      </c>
      <c r="D626" s="31" t="str">
        <f>IFERROR(__xludf.DUMMYFUNCTION("""COMPUTED_VALUE"""),"ホルモン検査,費用,婦人科")</f>
        <v>ホルモン検査,費用,婦人科</v>
      </c>
      <c r="E626" s="32" t="str">
        <f>IFERROR(__xludf.DUMMYFUNCTION("""COMPUTED_VALUE"""),"https://luna-dr.com/subjects/medical-checkup/")</f>
        <v>https://luna-dr.com/subjects/medical-checkup/</v>
      </c>
    </row>
    <row r="627">
      <c r="A627" s="31" t="str">
        <f>IFERROR(__xludf.DUMMYFUNCTION("""COMPUTED_VALUE"""),"AMH検査の費用はいくらですか？")</f>
        <v>AMH検査の費用はいくらですか？</v>
      </c>
      <c r="B627" s="31" t="str">
        <f>IFERROR(__xludf.DUMMYFUNCTION("""COMPUTED_VALUE"""),"当院のAMH検査（卵巣年齢の目安となる検査）の費用は10,000円（税込）です。")</f>
        <v>当院のAMH検査（卵巣年齢の目安となる検査）の費用は10,000円（税込）です。</v>
      </c>
      <c r="C627" s="31" t="str">
        <f>IFERROR(__xludf.DUMMYFUNCTION("""COMPUTED_VALUE"""),"婦人科健診")</f>
        <v>婦人科健診</v>
      </c>
      <c r="D627" s="31" t="str">
        <f>IFERROR(__xludf.DUMMYFUNCTION("""COMPUTED_VALUE"""),"AMH検査,費用,卵巣年齢")</f>
        <v>AMH検査,費用,卵巣年齢</v>
      </c>
      <c r="E627" s="32" t="str">
        <f>IFERROR(__xludf.DUMMYFUNCTION("""COMPUTED_VALUE"""),"https://luna-dr.com/subjects/medical-checkup/")</f>
        <v>https://luna-dr.com/subjects/medical-checkup/</v>
      </c>
    </row>
    <row r="628">
      <c r="A628" s="31" t="str">
        <f>IFERROR(__xludf.DUMMYFUNCTION("""COMPUTED_VALUE"""),"風疹の抗体検査の費用はいくらですか？")</f>
        <v>風疹の抗体検査の費用はいくらですか？</v>
      </c>
      <c r="B628" s="31" t="str">
        <f>IFERROR(__xludf.DUMMYFUNCTION("""COMPUTED_VALUE"""),"当院の風疹抗体検査の費用は4,000円（税込）です。")</f>
        <v>当院の風疹抗体検査の費用は4,000円（税込）です。</v>
      </c>
      <c r="C628" s="31" t="str">
        <f>IFERROR(__xludf.DUMMYFUNCTION("""COMPUTED_VALUE"""),"婦人科健診")</f>
        <v>婦人科健診</v>
      </c>
      <c r="D628" s="31" t="str">
        <f>IFERROR(__xludf.DUMMYFUNCTION("""COMPUTED_VALUE"""),"風疹抗体検査,費用,妊娠準備")</f>
        <v>風疹抗体検査,費用,妊娠準備</v>
      </c>
      <c r="E628" s="32" t="str">
        <f>IFERROR(__xludf.DUMMYFUNCTION("""COMPUTED_VALUE"""),"https://luna-dr.com/subjects/medical-checkup/")</f>
        <v>https://luna-dr.com/subjects/medical-checkup/</v>
      </c>
    </row>
    <row r="629">
      <c r="A629" s="31" t="str">
        <f>IFERROR(__xludf.DUMMYFUNCTION("""COMPUTED_VALUE"""),"妊娠中でも子宮頸がん検診は受けられますか？")</f>
        <v>妊娠中でも子宮頸がん検診は受けられますか？</v>
      </c>
      <c r="B629" s="31" t="str">
        <f>IFERROR(__xludf.DUMMYFUNCTION("""COMPUTED_VALUE"""),"子宮頸がん検診（自費・横浜市クーポン利用ともに）は、当院で妊娠10週までの経過を診ている場合に限り、妊娠中でも受けていただけます。")</f>
        <v>子宮頸がん検診（自費・横浜市クーポン利用ともに）は、当院で妊娠10週までの経過を診ている場合に限り、妊娠中でも受けていただけます。</v>
      </c>
      <c r="C629" s="31" t="str">
        <f>IFERROR(__xludf.DUMMYFUNCTION("""COMPUTED_VALUE"""),"婦人科健診")</f>
        <v>婦人科健診</v>
      </c>
      <c r="D629" s="31" t="str">
        <f>IFERROR(__xludf.DUMMYFUNCTION("""COMPUTED_VALUE"""),"妊娠中,子宮頸がん検診,条件")</f>
        <v>妊娠中,子宮頸がん検診,条件</v>
      </c>
      <c r="E629" s="32" t="str">
        <f>IFERROR(__xludf.DUMMYFUNCTION("""COMPUTED_VALUE"""),"https://luna-dr.com/subjects/medical-checkup/")</f>
        <v>https://luna-dr.com/subjects/medical-checkup/</v>
      </c>
    </row>
    <row r="630">
      <c r="A630" s="31" t="str">
        <f>IFERROR(__xludf.DUMMYFUNCTION("""COMPUTED_VALUE"""),"自治体の子宮がん検診は利用できますか？")</f>
        <v>自治体の子宮がん検診は利用できますか？</v>
      </c>
      <c r="B630" s="31" t="str">
        <f>IFERROR(__xludf.DUMMYFUNCTION("""COMPUTED_VALUE"""),"横浜市・町田市・川崎市の子宮頸がん検診、HPV検査単独法に対応しています。対象年齢や条件がありますので、詳細はご予約時にご確認ください。")</f>
        <v>横浜市・町田市・川崎市の子宮頸がん検診、HPV検査単独法に対応しています。対象年齢や条件がありますので、詳細はご予約時にご確認ください。</v>
      </c>
      <c r="C630" s="31" t="str">
        <f>IFERROR(__xludf.DUMMYFUNCTION("""COMPUTED_VALUE"""),"婦人科健診")</f>
        <v>婦人科健診</v>
      </c>
      <c r="D630" s="31" t="str">
        <f>IFERROR(__xludf.DUMMYFUNCTION("""COMPUTED_VALUE"""),"自治体検診,横浜市,町田市,川崎市")</f>
        <v>自治体検診,横浜市,町田市,川崎市</v>
      </c>
      <c r="E630" s="32" t="str">
        <f>IFERROR(__xludf.DUMMYFUNCTION("""COMPUTED_VALUE"""),"https://luna-dr.com/subjects/medical-checkup/")</f>
        <v>https://luna-dr.com/subjects/medical-checkup/</v>
      </c>
    </row>
    <row r="631">
      <c r="A631" s="31" t="str">
        <f>IFERROR(__xludf.DUMMYFUNCTION("""COMPUTED_VALUE"""),"婦人科健診の予約はどうすればいいですか？/子宮頸がん検査の予約はどうすればいいですか？/子宮体がん検査の予約はどうすればいいですか？")</f>
        <v>婦人科健診の予約はどうすればいいですか？/子宮頸がん検査の予約はどうすればいいですか？/子宮体がん検査の予約はどうすればいいですか？</v>
      </c>
      <c r="B631" s="31" t="str">
        <f>IFERROR(__xludf.DUMMYFUNCTION("""COMPUTED_VALUE"""),"婦人科健診（子宮頸がん・子宮体がん検査）のご予約は、公式LINEからお取りください。自治体のがん検診をご希望の場合は「市区町村のがん検診」のメニューでご予約ください。それ以外の婦人科検診は「一般婦人科診療」のメニューからお取りください。→https://cline-app.com/qr-codes/98ad6f149bfa20f4f2a9a2e91aac4187/preview")</f>
        <v>婦人科健診（子宮頸がん・子宮体がん検査）のご予約は、公式LINEからお取りください。自治体のがん検診をご希望の場合は「市区町村のがん検診」のメニューでご予約ください。それ以外の婦人科検診は「一般婦人科診療」のメニューからお取りください。→https://cline-app.com/qr-codes/98ad6f149bfa20f4f2a9a2e91aac4187/preview</v>
      </c>
      <c r="C631" s="31" t="str">
        <f>IFERROR(__xludf.DUMMYFUNCTION("""COMPUTED_VALUE"""),"婦人科健診")</f>
        <v>婦人科健診</v>
      </c>
      <c r="D631" s="31" t="str">
        <f>IFERROR(__xludf.DUMMYFUNCTION("""COMPUTED_VALUE"""),"婦人科健診,予約方法,LINE予約,子宮頸がん,子宮体がん検査")</f>
        <v>婦人科健診,予約方法,LINE予約,子宮頸がん,子宮体がん検査</v>
      </c>
      <c r="E631" s="32" t="str">
        <f>IFERROR(__xludf.DUMMYFUNCTION("""COMPUTED_VALUE"""),"https://luna-dr.com/subjects/medical-checkup/")</f>
        <v>https://luna-dr.com/subjects/medical-checkup/</v>
      </c>
    </row>
    <row r="632">
      <c r="A632" s="31" t="str">
        <f>IFERROR(__xludf.DUMMYFUNCTION("""COMPUTED_VALUE"""),"婦人科健診検査はどうやって予約しますか？/子宮頸がん検査はどうやって予約しますか？/子宮体がん検査はどうやって予約しますか？")</f>
        <v>婦人科健診検査はどうやって予約しますか？/子宮頸がん検査はどうやって予約しますか？/子宮体がん検査はどうやって予約しますか？</v>
      </c>
      <c r="B632" s="31" t="str">
        <f>IFERROR(__xludf.DUMMYFUNCTION("""COMPUTED_VALUE"""),"婦人科健診（子宮頸がん・子宮体がん検査）のご予約は、公式LINEからお取りください。自治体のがん検診をご希望の場合は「市区町村のがん検診」のメニューでご予約ください。それ以外の婦人科検診は「一般婦人科診療」のメニューからお取りください。→https://cline-app.com/qr-codes/98ad6f149bfa20f4f2a9a2e91aac4187/preview")</f>
        <v>婦人科健診（子宮頸がん・子宮体がん検査）のご予約は、公式LINEからお取りください。自治体のがん検診をご希望の場合は「市区町村のがん検診」のメニューでご予約ください。それ以外の婦人科検診は「一般婦人科診療」のメニューからお取りください。→https://cline-app.com/qr-codes/98ad6f149bfa20f4f2a9a2e91aac4187/preview</v>
      </c>
      <c r="C632" s="31" t="str">
        <f>IFERROR(__xludf.DUMMYFUNCTION("""COMPUTED_VALUE"""),"婦人科健診")</f>
        <v>婦人科健診</v>
      </c>
      <c r="D632" s="31" t="str">
        <f>IFERROR(__xludf.DUMMYFUNCTION("""COMPUTED_VALUE"""),"予約方法,LINE,電話,婦人科健診,子宮頸がん,子宮体がん検査")</f>
        <v>予約方法,LINE,電話,婦人科健診,子宮頸がん,子宮体がん検査</v>
      </c>
      <c r="E632" s="32" t="str">
        <f>IFERROR(__xludf.DUMMYFUNCTION("""COMPUTED_VALUE"""),"https://luna-dr.com/subjects/medical-checkup/")</f>
        <v>https://luna-dr.com/subjects/medical-checkup/</v>
      </c>
    </row>
    <row r="633">
      <c r="A633" s="31" t="str">
        <f>IFERROR(__xludf.DUMMYFUNCTION("""COMPUTED_VALUE"""),"婦人科健診はLINEから予約できますか？/子宮頸がん検査はLINEから予約できますか？/子宮体がん検査はLINEから予約できますか？")</f>
        <v>婦人科健診はLINEから予約できますか？/子宮頸がん検査はLINEから予約できますか？/子宮体がん検査はLINEから予約できますか？</v>
      </c>
      <c r="B633" s="31" t="str">
        <f>IFERROR(__xludf.DUMMYFUNCTION("""COMPUTED_VALUE"""),"公式LINEから24時間いつでも予約できます。自治体のがん検診をご希望の場合は「市区町村のがん検診」のメニューでご予約ください。それ以外の婦人科検診は「一般婦人科診療」のメニューからお取りください。→https://cline-app.com/qr-codes/98ad6f149bfa20f4f2a9a2e91aac4187/preview")</f>
        <v>公式LINEから24時間いつでも予約できます。自治体のがん検診をご希望の場合は「市区町村のがん検診」のメニューでご予約ください。それ以外の婦人科検診は「一般婦人科診療」のメニューからお取りください。→https://cline-app.com/qr-codes/98ad6f149bfa20f4f2a9a2e91aac4187/preview</v>
      </c>
      <c r="C633" s="31" t="str">
        <f>IFERROR(__xludf.DUMMYFUNCTION("""COMPUTED_VALUE"""),"婦人科健診")</f>
        <v>婦人科健診</v>
      </c>
      <c r="D633" s="31" t="str">
        <f>IFERROR(__xludf.DUMMYFUNCTION("""COMPUTED_VALUE"""),"LINE予約,婦人科予約,婦人科健診,子宮頸がん,子宮体がん検査")</f>
        <v>LINE予約,婦人科予約,婦人科健診,子宮頸がん,子宮体がん検査</v>
      </c>
      <c r="E633" s="32" t="str">
        <f>IFERROR(__xludf.DUMMYFUNCTION("""COMPUTED_VALUE"""),"https://luna-dr.com/subjects/medical-checkup/")</f>
        <v>https://luna-dr.com/subjects/medical-checkup/</v>
      </c>
    </row>
    <row r="634">
      <c r="A634" s="31" t="str">
        <f>IFERROR(__xludf.DUMMYFUNCTION("""COMPUTED_VALUE"""),"婦人科健診は電話でも予約できますか？/子宮頸がん検査は電話でも予約できますか？/子宮体がん検査は電話でも予約できますか？")</f>
        <v>婦人科健診は電話でも予約できますか？/子宮頸がん検査は電話でも予約できますか？/子宮体がん検査は電話でも予約できますか？</v>
      </c>
      <c r="B634" s="31" t="str">
        <f>IFERROR(__xludf.DUMMYFUNCTION("""COMPUTED_VALUE"""),"LINEでの予約後、事前問診等もLINEから行うことができ、スムーズに受診ができるため、当院ではLINEでのご予約を推奨しております。
自治体のがん検診をご希望の場合は「市区町村のがん検診」のメニューでご予約ください。それ以外の婦人科検診は「一般婦人科診療」のメニューからお取りください。→https://cline-app.com/qr-codes/98ad6f149bfa20f4f2a9a2e91aac4187/preview")</f>
        <v>LINEでの予約後、事前問診等もLINEから行うことができ、スムーズに受診ができるため、当院ではLINEでのご予約を推奨しております。
自治体のがん検診をご希望の場合は「市区町村のがん検診」のメニューでご予約ください。それ以外の婦人科検診は「一般婦人科診療」のメニューからお取りください。→https://cline-app.com/qr-codes/98ad6f149bfa20f4f2a9a2e91aac4187/preview</v>
      </c>
      <c r="C634" s="31" t="str">
        <f>IFERROR(__xludf.DUMMYFUNCTION("""COMPUTED_VALUE"""),"婦人科健診")</f>
        <v>婦人科健診</v>
      </c>
      <c r="D634" s="31" t="str">
        <f>IFERROR(__xludf.DUMMYFUNCTION("""COMPUTED_VALUE"""),"電話予約,問い合わせ,婦人科健診,子宮頸がん,子宮体がん検査")</f>
        <v>電話予約,問い合わせ,婦人科健診,子宮頸がん,子宮体がん検査</v>
      </c>
      <c r="E634" s="32" t="str">
        <f>IFERROR(__xludf.DUMMYFUNCTION("""COMPUTED_VALUE"""),"https://luna-dr.com/subjects/medical-checkup/")</f>
        <v>https://luna-dr.com/subjects/medical-checkup/</v>
      </c>
    </row>
    <row r="635">
      <c r="A635" s="31" t="str">
        <f>IFERROR(__xludf.DUMMYFUNCTION("""COMPUTED_VALUE"""),"婦人科健診の予約前に準備しておくことはありますか？/子宮頸がん検査の予約前に準備しておくことはありますか？/子宮体がん検査の予約前に準備しておくことはありますか？")</f>
        <v>婦人科健診の予約前に準備しておくことはありますか？/子宮頸がん検査の予約前に準備しておくことはありますか？/子宮体がん検査の予約前に準備しておくことはありますか？</v>
      </c>
      <c r="B635" s="31" t="str">
        <f>IFERROR(__xludf.DUMMYFUNCTION("""COMPUTED_VALUE"""),"ルナレディースクリニックでは、診察前にWEB問診の入力をお願いしています。事前にご入力いただくと診察がスムーズです。")</f>
        <v>ルナレディースクリニックでは、診察前にWEB問診の入力をお願いしています。事前にご入力いただくと診察がスムーズです。</v>
      </c>
      <c r="C635" s="31" t="str">
        <f>IFERROR(__xludf.DUMMYFUNCTION("""COMPUTED_VALUE"""),"婦人科健診")</f>
        <v>婦人科健診</v>
      </c>
      <c r="D635" s="31" t="str">
        <f>IFERROR(__xludf.DUMMYFUNCTION("""COMPUTED_VALUE"""),"WEB問診,事前準備,婦人科健診,子宮頸がん,子宮体がん検査")</f>
        <v>WEB問診,事前準備,婦人科健診,子宮頸がん,子宮体がん検査</v>
      </c>
      <c r="E635" s="32" t="str">
        <f>IFERROR(__xludf.DUMMYFUNCTION("""COMPUTED_VALUE"""),"https://luna-dr.com/subjects/medical-checkup/")</f>
        <v>https://luna-dr.com/subjects/medical-checkup/</v>
      </c>
    </row>
    <row r="636">
      <c r="A636" s="31" t="str">
        <f>IFERROR(__xludf.DUMMYFUNCTION("""COMPUTED_VALUE"""),"婦人科健診は初診でも予約できますか？/子宮頸がん検査は初診でも予約できますか？/子宮体がん検査は初診でも予約できますか？")</f>
        <v>婦人科健診は初診でも予約できますか？/子宮頸がん検査は初診でも予約できますか？/子宮体がん検査は初診でも予約できますか？</v>
      </c>
      <c r="B636" s="31" t="str">
        <f>IFERROR(__xludf.DUMMYFUNCTION("""COMPUTED_VALUE"""),"婦人科健診は初診の方もご予約いただけます。ご予約は公式LINEから受け付けておりますので、友だち追加の上ご利用ください。
自治体のがん検診をご希望の場合は「市区町村のがん検診」のメニューでご予約ください。それ以外の婦人科検診は「一般婦人科診療」のメニューからお取りください。→https://cline-app.com/qr-codes/98ad6f149bfa20f4f2a9a2e91aac4187/preview")</f>
        <v>婦人科健診は初診の方もご予約いただけます。ご予約は公式LINEから受け付けておりますので、友だち追加の上ご利用ください。
自治体のがん検診をご希望の場合は「市区町村のがん検診」のメニューでご予約ください。それ以外の婦人科検診は「一般婦人科診療」のメニューからお取りください。→https://cline-app.com/qr-codes/98ad6f149bfa20f4f2a9a2e91aac4187/preview</v>
      </c>
      <c r="C636" s="31" t="str">
        <f>IFERROR(__xludf.DUMMYFUNCTION("""COMPUTED_VALUE"""),"婦人科健診")</f>
        <v>婦人科健診</v>
      </c>
      <c r="D636" s="31" t="str">
        <f>IFERROR(__xludf.DUMMYFUNCTION("""COMPUTED_VALUE"""),"初診,予約,婦人科健診,子宮頸がん,子宮体がん検査")</f>
        <v>初診,予約,婦人科健診,子宮頸がん,子宮体がん検査</v>
      </c>
      <c r="E636" s="32" t="str">
        <f>IFERROR(__xludf.DUMMYFUNCTION("""COMPUTED_VALUE"""),"https://luna-dr.com/subjects/medical-checkup/")</f>
        <v>https://luna-dr.com/subjects/medical-checkup/</v>
      </c>
    </row>
    <row r="637">
      <c r="A637" s="31" t="str">
        <f>IFERROR(__xludf.DUMMYFUNCTION("""COMPUTED_VALUE"""),"婦人科健診は来院とオンライン、どちらで予約できますか？/子宮頸がん検査は来院とオンライン、どちらで予約できますか？子宮体がん検査は来院とオンライン、どちらで予約できますか？")</f>
        <v>婦人科健診は来院とオンライン、どちらで予約できますか？/子宮頸がん検査は来院とオンライン、どちらで予約できますか？子宮体がん検査は来院とオンライン、どちらで予約できますか？</v>
      </c>
      <c r="B637" s="31" t="str">
        <f>IFERROR(__xludf.DUMMYFUNCTION("""COMPUTED_VALUE"""),"ルナレディースクリニックでは、（子宮頸がん・子宮体がん検査）のご相談は来院診療のみで承っています。
自治体のがん検診をご希望の場合は「市区町村のがん検診」のメニューでご予約ください。それ以外の婦人科検診は「一般婦人科診療」のメニューからお取りください。→https://cline-app.com/qr-codes/98ad6f149bfa20f4f2a9a2e91aac4187/preview")</f>
        <v>ルナレディースクリニックでは、（子宮頸がん・子宮体がん検査）のご相談は来院診療のみで承っています。
自治体のがん検診をご希望の場合は「市区町村のがん検診」のメニューでご予約ください。それ以外の婦人科検診は「一般婦人科診療」のメニューからお取りください。→https://cline-app.com/qr-codes/98ad6f149bfa20f4f2a9a2e91aac4187/preview</v>
      </c>
      <c r="C637" s="31" t="str">
        <f>IFERROR(__xludf.DUMMYFUNCTION("""COMPUTED_VALUE"""),"婦人科健診")</f>
        <v>婦人科健診</v>
      </c>
      <c r="D637" s="31" t="str">
        <f>IFERROR(__xludf.DUMMYFUNCTION("""COMPUTED_VALUE"""),"来院診療,オンライン診療,婦人科健診,子宮頸がん,子宮体がん検査")</f>
        <v>来院診療,オンライン診療,婦人科健診,子宮頸がん,子宮体がん検査</v>
      </c>
      <c r="E637" s="32" t="str">
        <f>IFERROR(__xludf.DUMMYFUNCTION("""COMPUTED_VALUE"""),"https://luna-dr.com/subjects/medical-checkup/")</f>
        <v>https://luna-dr.com/subjects/medical-checkup/</v>
      </c>
    </row>
    <row r="638">
      <c r="A638" s="31" t="str">
        <f>IFERROR(__xludf.DUMMYFUNCTION("""COMPUTED_VALUE"""),"予約なしでも婦人科健診は受けられますか？/予約なしでも子宮頸がん検査は受けられますか？/予約なしでも子宮体がん検査は受けられますか？")</f>
        <v>予約なしでも婦人科健診は受けられますか？/予約なしでも子宮頸がん検査は受けられますか？/予約なしでも子宮体がん検査は受けられますか？</v>
      </c>
      <c r="B638" s="31" t="str">
        <f>IFERROR(__xludf.DUMMYFUNCTION("""COMPUTED_VALUE"""),"直接のご来院でも可能ですが、待ち時間が発生する場合があります。事前にご予約をいただくことでスムーズに診察に進むことができます。
ご予約は公式LINEからお取りください。自治体のがん検診をご希望の場合は「市区町村のがん検診」のメニューでご予約ください。それ以外の婦人科検診は「一般婦人科診療」のメニューからお取りください。→https://cline-app.com/qr-codes/98ad6f149bfa20f4f2a9a2e91aac4187/preview")</f>
        <v>直接のご来院でも可能ですが、待ち時間が発生する場合があります。事前にご予約をいただくことでスムーズに診察に進むことができます。
ご予約は公式LINEからお取りください。自治体のがん検診をご希望の場合は「市区町村のがん検診」のメニューでご予約ください。それ以外の婦人科検診は「一般婦人科診療」のメニューからお取りください。→https://cline-app.com/qr-codes/98ad6f149bfa20f4f2a9a2e91aac4187/preview</v>
      </c>
      <c r="C638" s="31" t="str">
        <f>IFERROR(__xludf.DUMMYFUNCTION("""COMPUTED_VALUE"""),"婦人科健診")</f>
        <v>婦人科健診</v>
      </c>
      <c r="D638" s="31" t="str">
        <f>IFERROR(__xludf.DUMMYFUNCTION("""COMPUTED_VALUE"""),"婦人科健診検査,予約なし,子宮頸がん,子宮体がん検査")</f>
        <v>婦人科健診検査,予約なし,子宮頸がん,子宮体がん検査</v>
      </c>
      <c r="E638" s="32" t="str">
        <f>IFERROR(__xludf.DUMMYFUNCTION("""COMPUTED_VALUE"""),"https://luna-dr.com/subjects/medical-checkup/")</f>
        <v>https://luna-dr.com/subjects/medical-checkup/</v>
      </c>
    </row>
    <row r="639">
      <c r="A639" s="31" t="str">
        <f>IFERROR(__xludf.DUMMYFUNCTION("""COMPUTED_VALUE"""),"不正出血がある場合も婦人科検診を受けられますか？")</f>
        <v>不正出血がある場合も婦人科検診を受けられますか？</v>
      </c>
      <c r="B639" s="31" t="str">
        <f>IFERROR(__xludf.DUMMYFUNCTION("""COMPUTED_VALUE"""),"不正出血がある場合は、子宮体がん検査や超音波検査を含めた詳しい検査をおすすめしています。自己判断せず、必ず婦人科を受診してください。")</f>
        <v>不正出血がある場合は、子宮体がん検査や超音波検査を含めた詳しい検査をおすすめしています。自己判断せず、必ず婦人科を受診してください。</v>
      </c>
      <c r="C639" s="31" t="str">
        <f>IFERROR(__xludf.DUMMYFUNCTION("""COMPUTED_VALUE"""),"婦人科健診")</f>
        <v>婦人科健診</v>
      </c>
      <c r="D639" s="31" t="str">
        <f>IFERROR(__xludf.DUMMYFUNCTION("""COMPUTED_VALUE"""),"不正出血,婦人科検診,子宮体がん")</f>
        <v>不正出血,婦人科検診,子宮体がん</v>
      </c>
      <c r="E639" s="32" t="str">
        <f>IFERROR(__xludf.DUMMYFUNCTION("""COMPUTED_VALUE"""),"https://luna-dr.com/subjects/medical-checkup/")</f>
        <v>https://luna-dr.com/subjects/medical-checkup/</v>
      </c>
    </row>
    <row r="640">
      <c r="A640" s="31" t="str">
        <f>IFERROR(__xludf.DUMMYFUNCTION("""COMPUTED_VALUE"""),"婦人科検診の流れはどのようになっていますか？/子宮頸がん検診の流れはどのようになっていますか？/子宮体がん検査の流れはどのようになっていますか？")</f>
        <v>婦人科検診の流れはどのようになっていますか？/子宮頸がん検診の流れはどのようになっていますか？/子宮体がん検査の流れはどのようになっていますか？</v>
      </c>
      <c r="B640" s="31" t="str">
        <f>IFERROR(__xludf.DUMMYFUNCTION("""COMPUTED_VALUE"""),"婦人科検診では、公式LINEまたはお電話でご予約のうえご来院いただきます。ご予約後にWEB問診をご入力いただくことで、受付時にデリケートな内容を口頭でお話しいただく必要がなく、スムーズに診察へ進めます。来院後は、医師が問診を行い、お体の状態や気になる症状を確認したうえで、必要な検査内容をご説明します。その後、内診台にて子宮頸がん検診や必要に応じて子宮体がん検査、超音波（エコー）検査を行います。検査結果は約2週間後にWebで確認でき、異常が見つかった場合は、今後の治療方針について丁寧にご説明します。")</f>
        <v>婦人科検診では、公式LINEまたはお電話でご予約のうえご来院いただきます。ご予約後にWEB問診をご入力いただくことで、受付時にデリケートな内容を口頭でお話しいただく必要がなく、スムーズに診察へ進めます。来院後は、医師が問診を行い、お体の状態や気になる症状を確認したうえで、必要な検査内容をご説明します。その後、内診台にて子宮頸がん検診や必要に応じて子宮体がん検査、超音波（エコー）検査を行います。検査結果は約2週間後にWebで確認でき、異常が見つかった場合は、今後の治療方針について丁寧にご説明します。</v>
      </c>
      <c r="C640" s="31" t="str">
        <f>IFERROR(__xludf.DUMMYFUNCTION("""COMPUTED_VALUE"""),"婦人科健診")</f>
        <v>婦人科健診</v>
      </c>
      <c r="D640" s="31" t="str">
        <f>IFERROR(__xludf.DUMMYFUNCTION("""COMPUTED_VALUE"""),"婦人科検診,検診の流れ,初めての婦人科検診,子宮頸がん検診,子宮体がん検査")</f>
        <v>婦人科検診,検診の流れ,初めての婦人科検診,子宮頸がん検診,子宮体がん検査</v>
      </c>
      <c r="E640" s="32" t="str">
        <f>IFERROR(__xludf.DUMMYFUNCTION("""COMPUTED_VALUE"""),"https://luna-dr.com/subjects/medical-checkup/")</f>
        <v>https://luna-dr.com/subjects/medical-checkup/</v>
      </c>
    </row>
    <row r="641">
      <c r="A641" s="31" t="str">
        <f>IFERROR(__xludf.DUMMYFUNCTION("""COMPUTED_VALUE"""),"婦人科検診ではどのような問診を行いますか？")</f>
        <v>婦人科検診ではどのような問診を行いますか？</v>
      </c>
      <c r="B641" s="31" t="str">
        <f>IFERROR(__xludf.DUMMYFUNCTION("""COMPUTED_VALUE"""),"婦人科検診では、医師が最終月経日、生理周期、不正出血の有無、下腹部痛やおりものの変化、妊娠・出産歴、既往歴などを確認します。これらの情報をもとに、子宮頸がん検診のみ行うか、子宮体がん検査や超音波検査を追加するかを判断します。")</f>
        <v>婦人科検診では、医師が最終月経日、生理周期、不正出血の有無、下腹部痛やおりものの変化、妊娠・出産歴、既往歴などを確認します。これらの情報をもとに、子宮頸がん検診のみ行うか、子宮体がん検査や超音波検査を追加するかを判断します。</v>
      </c>
      <c r="C641" s="31" t="str">
        <f>IFERROR(__xludf.DUMMYFUNCTION("""COMPUTED_VALUE"""),"婦人科健診")</f>
        <v>婦人科健診</v>
      </c>
      <c r="D641" s="31" t="str">
        <f>IFERROR(__xludf.DUMMYFUNCTION("""COMPUTED_VALUE"""),"婦人科検診,問診内容,不正出血,生理周期")</f>
        <v>婦人科検診,問診内容,不正出血,生理周期</v>
      </c>
      <c r="E641" s="32" t="str">
        <f>IFERROR(__xludf.DUMMYFUNCTION("""COMPUTED_VALUE"""),"https://luna-dr.com/subjects/medical-checkup/")</f>
        <v>https://luna-dr.com/subjects/medical-checkup/</v>
      </c>
    </row>
    <row r="642">
      <c r="A642" s="31" t="str">
        <f>IFERROR(__xludf.DUMMYFUNCTION("""COMPUTED_VALUE"""),"婦人科検診ではどんな検査をしますか？")</f>
        <v>婦人科検診ではどんな検査をしますか？</v>
      </c>
      <c r="B642" s="31" t="str">
        <f>IFERROR(__xludf.DUMMYFUNCTION("""COMPUTED_VALUE"""),"婦人科検診では、主に子宮頸がん検診を行います。症状がある場合や医師が必要と判断した場合には、子宮体がん検査や超音波（エコー）検査を追加します。子宮頸がん検診は痛みがほとんどなく、子宮体がん検査は生理痛に似た痛みを感じることがありますが、いずれも短時間で終了します。")</f>
        <v>婦人科検診では、主に子宮頸がん検診を行います。症状がある場合や医師が必要と判断した場合には、子宮体がん検査や超音波（エコー）検査を追加します。子宮頸がん検診は痛みがほとんどなく、子宮体がん検査は生理痛に似た痛みを感じることがありますが、いずれも短時間で終了します。</v>
      </c>
      <c r="C642" s="31" t="str">
        <f>IFERROR(__xludf.DUMMYFUNCTION("""COMPUTED_VALUE"""),"婦人科健診")</f>
        <v>婦人科健診</v>
      </c>
      <c r="D642" s="31" t="str">
        <f>IFERROR(__xludf.DUMMYFUNCTION("""COMPUTED_VALUE"""),"婦人科検診,検査内容,子宮頸がん検診,子宮体がん検査,エコー検査")</f>
        <v>婦人科検診,検査内容,子宮頸がん検診,子宮体がん検査,エコー検査</v>
      </c>
      <c r="E642" s="32" t="str">
        <f>IFERROR(__xludf.DUMMYFUNCTION("""COMPUTED_VALUE"""),"https://luna-dr.com/subjects/medical-checkup/")</f>
        <v>https://luna-dr.com/subjects/medical-checkup/</v>
      </c>
    </row>
    <row r="643">
      <c r="A643" s="31" t="str">
        <f>IFERROR(__xludf.DUMMYFUNCTION("""COMPUTED_VALUE"""),"婦人科検診の結果はいつ分かりますか？/子宮頸がん検診の結果はいつ分かりますか？/子宮体がん検査の結果はいつ分かりますか？")</f>
        <v>婦人科検診の結果はいつ分かりますか？/子宮頸がん検診の結果はいつ分かりますか？/子宮体がん検査の結果はいつ分かりますか？</v>
      </c>
      <c r="B643" s="31" t="str">
        <f>IFERROR(__xludf.DUMMYFUNCTION("""COMPUTED_VALUE"""),"婦人科検診の結果は、検査日から約2週間後にWebでご確認いただけます。精密検査や治療が必要な結果だった場合は、医師が改めて診察を行い、今後の治療方針について丁寧にご説明します。")</f>
        <v>婦人科検診の結果は、検査日から約2週間後にWebでご確認いただけます。精密検査や治療が必要な結果だった場合は、医師が改めて診察を行い、今後の治療方針について丁寧にご説明します。</v>
      </c>
      <c r="C643" s="31" t="str">
        <f>IFERROR(__xludf.DUMMYFUNCTION("""COMPUTED_VALUE"""),"婦人科健診")</f>
        <v>婦人科健診</v>
      </c>
      <c r="D643" s="31" t="str">
        <f>IFERROR(__xludf.DUMMYFUNCTION("""COMPUTED_VALUE"""),"婦人科検診,検査結果,結果の見方,精密検査")</f>
        <v>婦人科検診,検査結果,結果の見方,精密検査</v>
      </c>
      <c r="E643" s="32" t="str">
        <f>IFERROR(__xludf.DUMMYFUNCTION("""COMPUTED_VALUE"""),"https://luna-dr.com/subjects/medical-checkup/")</f>
        <v>https://luna-dr.com/subjects/medical-checkup/</v>
      </c>
    </row>
    <row r="644">
      <c r="A644" s="31" t="str">
        <f>IFERROR(__xludf.DUMMYFUNCTION("""COMPUTED_VALUE"""),"婦人科検診はどのように予約すればいいですか？/子宮頸がん検診はどのように予約すればいいですか？/子宮体がん検査はどのように予約すればいいですか？")</f>
        <v>婦人科検診はどのように予約すればいいですか？/子宮頸がん検診はどのように予約すればいいですか？/子宮体がん検査はどのように予約すればいいですか？</v>
      </c>
      <c r="B644" s="31" t="str">
        <f>IFERROR(__xludf.DUMMYFUNCTION("""COMPUTED_VALUE"""),"婦人科検診は公式LINEからご予約ください。自治体のがん検診をご希望の場合は「市区町村のがん検診」のメニューでご予約ください。それ以外の婦人科検診は「一般婦人科診療」のメニューからお取りください。→https://cline-app.com/qr-codes/98ad6f149bfa20f4f2a9a2e91aac4187/preview")</f>
        <v>婦人科検診は公式LINEからご予約ください。自治体のがん検診をご希望の場合は「市区町村のがん検診」のメニューでご予約ください。それ以外の婦人科検診は「一般婦人科診療」のメニューからお取りください。→https://cline-app.com/qr-codes/98ad6f149bfa20f4f2a9a2e91aac4187/preview</v>
      </c>
      <c r="C644" s="31" t="str">
        <f>IFERROR(__xludf.DUMMYFUNCTION("""COMPUTED_VALUE"""),"婦人科健診")</f>
        <v>婦人科健診</v>
      </c>
      <c r="D644" s="31" t="str">
        <f>IFERROR(__xludf.DUMMYFUNCTION("""COMPUTED_VALUE"""),"婦人科検診,予約,LINE予約,電話予約")</f>
        <v>婦人科検診,予約,LINE予約,電話予約</v>
      </c>
      <c r="E644" s="32" t="str">
        <f>IFERROR(__xludf.DUMMYFUNCTION("""COMPUTED_VALUE"""),"https://luna-dr.com/subjects/medical-checkup/")</f>
        <v>https://luna-dr.com/subjects/medical-checkup/</v>
      </c>
    </row>
    <row r="645">
      <c r="A645" s="31" t="str">
        <f>IFERROR(__xludf.DUMMYFUNCTION("""COMPUTED_VALUE"""),"婦人科検診の診察では何をしますか？/子宮頸がん検診の診察では何をしますか？/子宮体がん検査の診察では何をしますか？")</f>
        <v>婦人科検診の診察では何をしますか？/子宮頸がん検診の診察では何をしますか？/子宮体がん検査の診察では何をしますか？</v>
      </c>
      <c r="B645" s="31" t="str">
        <f>IFERROR(__xludf.DUMMYFUNCTION("""COMPUTED_VALUE"""),"診察では、医師が問診を行い、お体の状態や気になる症状についてお伺いします。その上で、必要な検査内容を丁寧にご説明します。")</f>
        <v>診察では、医師が問診を行い、お体の状態や気になる症状についてお伺いします。その上で、必要な検査内容を丁寧にご説明します。</v>
      </c>
      <c r="C645" s="31" t="str">
        <f>IFERROR(__xludf.DUMMYFUNCTION("""COMPUTED_VALUE"""),"婦人科健診")</f>
        <v>婦人科健診</v>
      </c>
      <c r="D645" s="31" t="str">
        <f>IFERROR(__xludf.DUMMYFUNCTION("""COMPUTED_VALUE"""),"婦人科検診,診察内容,問診")</f>
        <v>婦人科検診,診察内容,問診</v>
      </c>
      <c r="E645" s="32" t="str">
        <f>IFERROR(__xludf.DUMMYFUNCTION("""COMPUTED_VALUE"""),"https://luna-dr.com/subjects/medical-checkup/")</f>
        <v>https://luna-dr.com/subjects/medical-checkup/</v>
      </c>
    </row>
    <row r="646">
      <c r="A646" s="31" t="str">
        <f>IFERROR(__xludf.DUMMYFUNCTION("""COMPUTED_VALUE"""),"不正出血がある場合も婦人科検診を受けられますか？")</f>
        <v>不正出血がある場合も婦人科検診を受けられますか？</v>
      </c>
      <c r="B646" s="31" t="str">
        <f>IFERROR(__xludf.DUMMYFUNCTION("""COMPUTED_VALUE"""),"受けられます。不正出血がある場合は、子宮頸がん検診に加えて、子宮体がん検査を併せて行うことを推奨する場合があります。")</f>
        <v>受けられます。不正出血がある場合は、子宮頸がん検診に加えて、子宮体がん検査を併せて行うことを推奨する場合があります。</v>
      </c>
      <c r="C646" s="31" t="str">
        <f>IFERROR(__xludf.DUMMYFUNCTION("""COMPUTED_VALUE"""),"婦人科健診")</f>
        <v>婦人科健診</v>
      </c>
      <c r="D646" s="31" t="str">
        <f>IFERROR(__xludf.DUMMYFUNCTION("""COMPUTED_VALUE"""),"不正出血,婦人科検診,子宮体がん検査")</f>
        <v>不正出血,婦人科検診,子宮体がん検査</v>
      </c>
      <c r="E646" s="32" t="str">
        <f>IFERROR(__xludf.DUMMYFUNCTION("""COMPUTED_VALUE"""),"https://luna-dr.com/subjects/medical-checkup/")</f>
        <v>https://luna-dr.com/subjects/medical-checkup/</v>
      </c>
    </row>
    <row r="647">
      <c r="A647" s="31" t="str">
        <f>IFERROR(__xludf.DUMMYFUNCTION("""COMPUTED_VALUE"""),"子宮頸がん検診ではどんな検査をしますか？")</f>
        <v>子宮頸がん検診ではどんな検査をしますか？</v>
      </c>
      <c r="B647" s="31" t="str">
        <f>IFERROR(__xludf.DUMMYFUNCTION("""COMPUTED_VALUE"""),"子宮頸がん検診では、ブラシのような器具で子宮の入り口を優しくこすり、細胞を採取します。痛みはほとんどなく、数分で終了します。")</f>
        <v>子宮頸がん検診では、ブラシのような器具で子宮の入り口を優しくこすり、細胞を採取します。痛みはほとんどなく、数分で終了します。</v>
      </c>
      <c r="C647" s="31" t="str">
        <f>IFERROR(__xludf.DUMMYFUNCTION("""COMPUTED_VALUE"""),"婦人科健診")</f>
        <v>婦人科健診</v>
      </c>
      <c r="D647" s="31" t="str">
        <f>IFERROR(__xludf.DUMMYFUNCTION("""COMPUTED_VALUE"""),"子宮頸がん検診,検査方法,痛み")</f>
        <v>子宮頸がん検診,検査方法,痛み</v>
      </c>
      <c r="E647" s="32" t="str">
        <f>IFERROR(__xludf.DUMMYFUNCTION("""COMPUTED_VALUE"""),"https://luna-dr.com/subjects/medical-checkup/")</f>
        <v>https://luna-dr.com/subjects/medical-checkup/</v>
      </c>
    </row>
    <row r="648">
      <c r="A648" s="31" t="str">
        <f>IFERROR(__xludf.DUMMYFUNCTION("""COMPUTED_VALUE"""),"子宮体がん検査ではどんな検査をしますか？")</f>
        <v>子宮体がん検査ではどんな検査をしますか？</v>
      </c>
      <c r="B648" s="31" t="str">
        <f>IFERROR(__xludf.DUMMYFUNCTION("""COMPUTED_VALUE"""),"子宮体がん検査では、子宮の奥に細いストロー状の器具を挿入し、細胞を採取します。生理痛に似た痛みを感じることがありますが、1〜2分で終了します。")</f>
        <v>子宮体がん検査では、子宮の奥に細いストロー状の器具を挿入し、細胞を採取します。生理痛に似た痛みを感じることがありますが、1〜2分で終了します。</v>
      </c>
      <c r="C648" s="31" t="str">
        <f>IFERROR(__xludf.DUMMYFUNCTION("""COMPUTED_VALUE"""),"婦人科健診")</f>
        <v>婦人科健診</v>
      </c>
      <c r="D648" s="31" t="str">
        <f>IFERROR(__xludf.DUMMYFUNCTION("""COMPUTED_VALUE"""),"子宮体がん検査,検査方法,痛み")</f>
        <v>子宮体がん検査,検査方法,痛み</v>
      </c>
      <c r="E648" s="32" t="str">
        <f>IFERROR(__xludf.DUMMYFUNCTION("""COMPUTED_VALUE"""),"https://luna-dr.com/subjects/medical-checkup/")</f>
        <v>https://luna-dr.com/subjects/medical-checkup/</v>
      </c>
    </row>
    <row r="649">
      <c r="A649" s="31" t="str">
        <f>IFERROR(__xludf.DUMMYFUNCTION("""COMPUTED_VALUE"""),"婦人科検診でエコー検査は行いますか？")</f>
        <v>婦人科検診でエコー検査は行いますか？</v>
      </c>
      <c r="B649" s="31" t="str">
        <f>IFERROR(__xludf.DUMMYFUNCTION("""COMPUTED_VALUE"""),"症状や診察内容に応じて、超音波（エコー）検査で子宮や卵巣の状態を詳しく確認することがあります。")</f>
        <v>症状や診察内容に応じて、超音波（エコー）検査で子宮や卵巣の状態を詳しく確認することがあります。</v>
      </c>
      <c r="C649" s="31" t="str">
        <f>IFERROR(__xludf.DUMMYFUNCTION("""COMPUTED_VALUE"""),"婦人科健診")</f>
        <v>婦人科健診</v>
      </c>
      <c r="D649" s="31" t="str">
        <f>IFERROR(__xludf.DUMMYFUNCTION("""COMPUTED_VALUE"""),"婦人科検診,エコー検査,超音波")</f>
        <v>婦人科検診,エコー検査,超音波</v>
      </c>
      <c r="E649" s="32" t="str">
        <f>IFERROR(__xludf.DUMMYFUNCTION("""COMPUTED_VALUE"""),"https://luna-dr.com/subjects/medical-checkup/")</f>
        <v>https://luna-dr.com/subjects/medical-checkup/</v>
      </c>
    </row>
    <row r="650">
      <c r="A650" s="31" t="str">
        <f>IFERROR(__xludf.DUMMYFUNCTION("""COMPUTED_VALUE"""),"婦人科検診は痛みがありますか？")</f>
        <v>婦人科検診は痛みがありますか？</v>
      </c>
      <c r="B650" s="31" t="str">
        <f>IFERROR(__xludf.DUMMYFUNCTION("""COMPUTED_VALUE"""),"子宮頸がん検診は、痛みを感じない方がほとんどです。子宮体がん検査は、生理痛のような痛みを感じることがありますが、数分で終わります。いずれの検査も、痛みが不安な方には滑りを良くするゼリーを使用するなど、できる限り苦痛を和らげるよう配慮しますのでご安心ください。")</f>
        <v>子宮頸がん検診は、痛みを感じない方がほとんどです。子宮体がん検査は、生理痛のような痛みを感じることがありますが、数分で終わります。いずれの検査も、痛みが不安な方には滑りを良くするゼリーを使用するなど、できる限り苦痛を和らげるよう配慮しますのでご安心ください。</v>
      </c>
      <c r="C650" s="31" t="str">
        <f>IFERROR(__xludf.DUMMYFUNCTION("""COMPUTED_VALUE"""),"婦人科健診")</f>
        <v>婦人科健診</v>
      </c>
      <c r="D650" s="31" t="str">
        <f>IFERROR(__xludf.DUMMYFUNCTION("""COMPUTED_VALUE"""),"婦人科検診,痛み,検査の不安")</f>
        <v>婦人科検診,痛み,検査の不安</v>
      </c>
      <c r="E650" s="32" t="str">
        <f>IFERROR(__xludf.DUMMYFUNCTION("""COMPUTED_VALUE"""),"https://luna-dr.com/subjects/medical-checkup/")</f>
        <v>https://luna-dr.com/subjects/medical-checkup/</v>
      </c>
    </row>
    <row r="651">
      <c r="A651" s="31" t="str">
        <f>IFERROR(__xludf.DUMMYFUNCTION("""COMPUTED_VALUE"""),"子宮頸がん検診は痛みがありますか？")</f>
        <v>子宮頸がん検診は痛みがありますか？</v>
      </c>
      <c r="B651" s="31" t="str">
        <f>IFERROR(__xludf.DUMMYFUNCTION("""COMPUTED_VALUE"""),"子宮頸がん検診は、痛みを感じない方がほとんどです。痛みが不安な方には滑りを良くするゼリーを使用するなど、できる限り苦痛を和らげるよう配慮しますのでご安心ください。")</f>
        <v>子宮頸がん検診は、痛みを感じない方がほとんどです。痛みが不安な方には滑りを良くするゼリーを使用するなど、できる限り苦痛を和らげるよう配慮しますのでご安心ください。</v>
      </c>
      <c r="C651" s="31" t="str">
        <f>IFERROR(__xludf.DUMMYFUNCTION("""COMPUTED_VALUE"""),"婦人科健診")</f>
        <v>婦人科健診</v>
      </c>
      <c r="D651" s="31" t="str">
        <f>IFERROR(__xludf.DUMMYFUNCTION("""COMPUTED_VALUE"""),"婦人科検診,痛み,検査の不安")</f>
        <v>婦人科検診,痛み,検査の不安</v>
      </c>
      <c r="E651" s="32" t="str">
        <f>IFERROR(__xludf.DUMMYFUNCTION("""COMPUTED_VALUE"""),"https://luna-dr.com/subjects/medical-checkup/")</f>
        <v>https://luna-dr.com/subjects/medical-checkup/</v>
      </c>
    </row>
    <row r="652">
      <c r="A652" s="31" t="str">
        <f>IFERROR(__xludf.DUMMYFUNCTION("""COMPUTED_VALUE"""),"子宮体がん検査は痛みがありますか？")</f>
        <v>子宮体がん検査は痛みがありますか？</v>
      </c>
      <c r="B652" s="31" t="str">
        <f>IFERROR(__xludf.DUMMYFUNCTION("""COMPUTED_VALUE"""),"子宮体がん検査は、生理痛のような痛みを感じることがありますが、数分で終わります。い痛みが不安な方には滑りを良くするゼリーを使用するなど、できる限り苦痛を和らげるよう配慮しますのでご安心ください。")</f>
        <v>子宮体がん検査は、生理痛のような痛みを感じることがありますが、数分で終わります。い痛みが不安な方には滑りを良くするゼリーを使用するなど、できる限り苦痛を和らげるよう配慮しますのでご安心ください。</v>
      </c>
      <c r="C652" s="31" t="str">
        <f>IFERROR(__xludf.DUMMYFUNCTION("""COMPUTED_VALUE"""),"婦人科健診")</f>
        <v>婦人科健診</v>
      </c>
      <c r="D652" s="31" t="str">
        <f>IFERROR(__xludf.DUMMYFUNCTION("""COMPUTED_VALUE"""),"婦人科検診,痛み,検査の不安")</f>
        <v>婦人科検診,痛み,検査の不安</v>
      </c>
      <c r="E652" s="32" t="str">
        <f>IFERROR(__xludf.DUMMYFUNCTION("""COMPUTED_VALUE"""),"https://luna-dr.com/subjects/medical-checkup/")</f>
        <v>https://luna-dr.com/subjects/medical-checkup/</v>
      </c>
    </row>
    <row r="653">
      <c r="A653" s="31" t="str">
        <f>IFERROR(__xludf.DUMMYFUNCTION("""COMPUTED_VALUE"""),"不正出血があっても検査は受けたほうがいいですか？")</f>
        <v>不正出血があっても検査は受けたほうがいいですか？</v>
      </c>
      <c r="B653" s="31" t="str">
        <f>IFERROR(__xludf.DUMMYFUNCTION("""COMPUTED_VALUE"""),"はい。不正出血は子宮がんのサインである可能性もあるため、症状がある方こそ積極的に婦人科検診を受けていただくことをおすすめします。")</f>
        <v>はい。不正出血は子宮がんのサインである可能性もあるため、症状がある方こそ積極的に婦人科検診を受けていただくことをおすすめします。</v>
      </c>
      <c r="C653" s="31" t="str">
        <f>IFERROR(__xludf.DUMMYFUNCTION("""COMPUTED_VALUE"""),"婦人科健診")</f>
        <v>婦人科健診</v>
      </c>
      <c r="D653" s="31" t="str">
        <f>IFERROR(__xludf.DUMMYFUNCTION("""COMPUTED_VALUE"""),"不正出血,婦人科検診,受診目安")</f>
        <v>不正出血,婦人科検診,受診目安</v>
      </c>
      <c r="E653" s="32" t="str">
        <f>IFERROR(__xludf.DUMMYFUNCTION("""COMPUTED_VALUE"""),"https://luna-dr.com/subjects/medical-checkup/")</f>
        <v>https://luna-dr.com/subjects/medical-checkup/</v>
      </c>
    </row>
    <row r="654">
      <c r="A654" s="31" t="str">
        <f>IFERROR(__xludf.DUMMYFUNCTION("""COMPUTED_VALUE"""),"横浜市のがん検診クーポンは使えますか？/川崎市のがん検診クーポンは使えますか？/町田市のがん検診クーポンは使えますか？")</f>
        <v>横浜市のがん検診クーポンは使えますか？/川崎市のがん検診クーポンは使えますか？/町田市のがん検診クーポンは使えますか？</v>
      </c>
      <c r="B654" s="31" t="str">
        <f>IFERROR(__xludf.DUMMYFUNCTION("""COMPUTED_VALUE"""),"お住まいの市区町村が発行する子宮頸がん検診のクーポンをご利用いただけます。ただし、クーポンの対象となる検査項目やご利用条件（年齢など）は、各自治体によって異なります。「ご自身が対象かどうか」「どの検査までが無料（または一部負担）か」といった詳細につきましては、大変お手数ですが、お手元のクーポンをご確認いただくか、お住まいの市区町村の担当窓口（保健所など）へ直接お問い合わせくださいますようお願いいたします。")</f>
        <v>お住まいの市区町村が発行する子宮頸がん検診のクーポンをご利用いただけます。ただし、クーポンの対象となる検査項目やご利用条件（年齢など）は、各自治体によって異なります。「ご自身が対象かどうか」「どの検査までが無料（または一部負担）か」といった詳細につきましては、大変お手数ですが、お手元のクーポンをご確認いただくか、お住まいの市区町村の担当窓口（保健所など）へ直接お問い合わせくださいますようお願いいたします。</v>
      </c>
      <c r="C654" s="31" t="str">
        <f>IFERROR(__xludf.DUMMYFUNCTION("""COMPUTED_VALUE"""),"婦人科健診")</f>
        <v>婦人科健診</v>
      </c>
      <c r="D654" s="31" t="str">
        <f>IFERROR(__xludf.DUMMYFUNCTION("""COMPUTED_VALUE"""),"横浜市,川崎市,町田市,がん検診クーポン")</f>
        <v>横浜市,川崎市,町田市,がん検診クーポン</v>
      </c>
      <c r="E654" s="32" t="str">
        <f>IFERROR(__xludf.DUMMYFUNCTION("""COMPUTED_VALUE"""),"https://luna-dr.com/subjects/medical-checkup/")</f>
        <v>https://luna-dr.com/subjects/medical-checkup/</v>
      </c>
    </row>
    <row r="655">
      <c r="A655" s="31" t="str">
        <f>IFERROR(__xludf.DUMMYFUNCTION("""COMPUTED_VALUE"""),"がんを予防する方法はありますか？")</f>
        <v>がんを予防する方法はありますか？</v>
      </c>
      <c r="B655" s="31" t="str">
        <f>IFERROR(__xludf.DUMMYFUNCTION("""COMPUTED_VALUE"""),"子宮頸がんは、原因となるHPVウイルスの感染を予防する「HPVワクチン」の接種が最も有効な予防法です。子宮体がんは、高血圧や糖尿病、肥満がリスクを高めるため、血糖値のコントロールや健康的な体重の維持など、生活習慣を整えることが予防に繋がります。")</f>
        <v>子宮頸がんは、原因となるHPVウイルスの感染を予防する「HPVワクチン」の接種が最も有効な予防法です。子宮体がんは、高血圧や糖尿病、肥満がリスクを高めるため、血糖値のコントロールや健康的な体重の維持など、生活習慣を整えることが予防に繋がります。</v>
      </c>
      <c r="C655" s="31" t="str">
        <f>IFERROR(__xludf.DUMMYFUNCTION("""COMPUTED_VALUE"""),"婦人科健診")</f>
        <v>婦人科健診</v>
      </c>
      <c r="D655" s="31" t="str">
        <f>IFERROR(__xludf.DUMMYFUNCTION("""COMPUTED_VALUE"""),"子宮頸がん予防,子宮体がん予防,HPVワクチン")</f>
        <v>子宮頸がん予防,子宮体がん予防,HPVワクチン</v>
      </c>
      <c r="E655" s="32" t="str">
        <f>IFERROR(__xludf.DUMMYFUNCTION("""COMPUTED_VALUE"""),"https://luna-dr.com/subjects/medical-checkup/")</f>
        <v>https://luna-dr.com/subjects/medical-checkup/</v>
      </c>
    </row>
    <row r="656">
      <c r="A656" s="31" t="str">
        <f>IFERROR(__xludf.DUMMYFUNCTION("""COMPUTED_VALUE"""),"婦人科検診の後に注意することはありますか？")</f>
        <v>婦人科検診の後に注意することはありますか？</v>
      </c>
      <c r="B656" s="31" t="str">
        <f>IFERROR(__xludf.DUMMYFUNCTION("""COMPUTED_VALUE"""),"検査後の日常生活に制限はありません。少量の出血がみられることがありますが、数日で自然に収まりますのでご安心ください。")</f>
        <v>検査後の日常生活に制限はありません。少量の出血がみられることがありますが、数日で自然に収まりますのでご安心ください。</v>
      </c>
      <c r="C656" s="31" t="str">
        <f>IFERROR(__xludf.DUMMYFUNCTION("""COMPUTED_VALUE"""),"婦人科健診")</f>
        <v>婦人科健診</v>
      </c>
      <c r="D656" s="31" t="str">
        <f>IFERROR(__xludf.DUMMYFUNCTION("""COMPUTED_VALUE"""),"婦人科検診,検査後の注意")</f>
        <v>婦人科検診,検査後の注意</v>
      </c>
      <c r="E656" s="32" t="str">
        <f>IFERROR(__xludf.DUMMYFUNCTION("""COMPUTED_VALUE"""),"https://luna-dr.com/subjects/medical-checkup/")</f>
        <v>https://luna-dr.com/subjects/medical-checkup/</v>
      </c>
    </row>
    <row r="657">
      <c r="A657" s="31" t="str">
        <f>IFERROR(__xludf.DUMMYFUNCTION("""COMPUTED_VALUE"""),"子宮頸がんは予防できる病気ですか？")</f>
        <v>子宮頸がんは予防できる病気ですか？</v>
      </c>
      <c r="B657" s="31" t="str">
        <f>IFERROR(__xludf.DUMMYFUNCTION("""COMPUTED_VALUE"""),"子宮頸がんは、原因のほぼ100％がHPV（ヒトパピローマウイルス）感染であるため、HPVワクチンの接種によって予防が可能ながんです。特に9価ワクチンを接種することで、子宮頸がんの原因の約90％を防ぐことができます。")</f>
        <v>子宮頸がんは、原因のほぼ100％がHPV（ヒトパピローマウイルス）感染であるため、HPVワクチンの接種によって予防が可能ながんです。特に9価ワクチンを接種することで、子宮頸がんの原因の約90％を防ぐことができます。</v>
      </c>
      <c r="C657" s="31" t="str">
        <f>IFERROR(__xludf.DUMMYFUNCTION("""COMPUTED_VALUE"""),"HPVワクチン")</f>
        <v>HPVワクチン</v>
      </c>
      <c r="D657" s="31" t="str">
        <f>IFERROR(__xludf.DUMMYFUNCTION("""COMPUTED_VALUE"""),"子宮頸がん,HPVワクチン,予防できるがん,女性のがん")</f>
        <v>子宮頸がん,HPVワクチン,予防できるがん,女性のがん</v>
      </c>
      <c r="E657" s="32" t="str">
        <f>IFERROR(__xludf.DUMMYFUNCTION("""COMPUTED_VALUE"""),"https://luna-dr.com/subjects/hpv-vaccine/")</f>
        <v>https://luna-dr.com/subjects/hpv-vaccine/</v>
      </c>
    </row>
    <row r="658">
      <c r="A658" s="31" t="str">
        <f>IFERROR(__xludf.DUMMYFUNCTION("""COMPUTED_VALUE"""),"子宮頸がんはどの年代に多い病気ですか？")</f>
        <v>子宮頸がんはどの年代に多い病気ですか？</v>
      </c>
      <c r="B658" s="31" t="str">
        <f>IFERROR(__xludf.DUMMYFUNCTION("""COMPUTED_VALUE"""),"子宮頸がんは20代後半から40代の女性に多く、若い世代にとって非常に身近な病気です。近年は若年層での発症が増加しており、早い段階での予防が重要とされています。")</f>
        <v>子宮頸がんは20代後半から40代の女性に多く、若い世代にとって非常に身近な病気です。近年は若年層での発症が増加しており、早い段階での予防が重要とされています。</v>
      </c>
      <c r="C658" s="31" t="str">
        <f>IFERROR(__xludf.DUMMYFUNCTION("""COMPUTED_VALUE"""),"HPVワクチン")</f>
        <v>HPVワクチン</v>
      </c>
      <c r="D658" s="31" t="str">
        <f>IFERROR(__xludf.DUMMYFUNCTION("""COMPUTED_VALUE"""),"子宮頸がん,若い女性,20代,30代,40代")</f>
        <v>子宮頸がん,若い女性,20代,30代,40代</v>
      </c>
      <c r="E658" s="32" t="str">
        <f>IFERROR(__xludf.DUMMYFUNCTION("""COMPUTED_VALUE"""),"https://luna-dr.com/subjects/hpv-vaccine/")</f>
        <v>https://luna-dr.com/subjects/hpv-vaccine/</v>
      </c>
    </row>
    <row r="659">
      <c r="A659" s="31" t="str">
        <f>IFERROR(__xludf.DUMMYFUNCTION("""COMPUTED_VALUE"""),"HPVとは何ですか？")</f>
        <v>HPVとは何ですか？</v>
      </c>
      <c r="B659" s="31" t="str">
        <f>IFERROR(__xludf.DUMMYFUNCTION("""COMPUTED_VALUE"""),"HPV（ヒトパピローマウイルス）は、主に性交渉によって感染するウイルスです。性交渉の経験がある女性であれば誰でも感染する可能性があり、その中の一部の型が子宮頸がんの原因となります。")</f>
        <v>HPV（ヒトパピローマウイルス）は、主に性交渉によって感染するウイルスです。性交渉の経験がある女性であれば誰でも感染する可能性があり、その中の一部の型が子宮頸がんの原因となります。</v>
      </c>
      <c r="C659" s="31" t="str">
        <f>IFERROR(__xludf.DUMMYFUNCTION("""COMPUTED_VALUE"""),"HPVワクチン")</f>
        <v>HPVワクチン</v>
      </c>
      <c r="D659" s="31" t="str">
        <f>IFERROR(__xludf.DUMMYFUNCTION("""COMPUTED_VALUE"""),"HPV,ヒトパピローマウイルス,感染経路,子宮頸がん")</f>
        <v>HPV,ヒトパピローマウイルス,感染経路,子宮頸がん</v>
      </c>
      <c r="E659" s="32" t="str">
        <f>IFERROR(__xludf.DUMMYFUNCTION("""COMPUTED_VALUE"""),"https://luna-dr.com/subjects/hpv-vaccine/")</f>
        <v>https://luna-dr.com/subjects/hpv-vaccine/</v>
      </c>
    </row>
    <row r="660">
      <c r="A660" s="31" t="str">
        <f>IFERROR(__xludf.DUMMYFUNCTION("""COMPUTED_VALUE"""),"HPVワクチンにはどんな種類がありますか？/子宮頸がんワクチンにはどんな種類がありますか？")</f>
        <v>HPVワクチンにはどんな種類がありますか？/子宮頸がんワクチンにはどんな種類がありますか？</v>
      </c>
      <c r="B660" s="31" t="str">
        <f>IFERROR(__xludf.DUMMYFUNCTION("""COMPUTED_VALUE"""),"HPVワクチンには2価・4価・9価の3種類があります。2価は2種類、4価は4種類、9価ワクチン（シルガード9）は9種類のHPVを予防でき、子宮頸がん予防効果は約90％と最も高いのが特長です。当院では、子宮頸がんの原因の約90％を予防できる9価ワクチン（シルガード9）が、現時点で最も高い予防効果が期待できるため、積極的に推奨しています。")</f>
        <v>HPVワクチンには2価・4価・9価の3種類があります。2価は2種類、4価は4種類、9価ワクチン（シルガード9）は9種類のHPVを予防でき、子宮頸がん予防効果は約90％と最も高いのが特長です。当院では、子宮頸がんの原因の約90％を予防できる9価ワクチン（シルガード9）が、現時点で最も高い予防効果が期待できるため、積極的に推奨しています。</v>
      </c>
      <c r="C660" s="31" t="str">
        <f>IFERROR(__xludf.DUMMYFUNCTION("""COMPUTED_VALUE"""),"HPVワクチン")</f>
        <v>HPVワクチン</v>
      </c>
      <c r="D660" s="31" t="str">
        <f>IFERROR(__xludf.DUMMYFUNCTION("""COMPUTED_VALUE"""),"HPVワクチン種類,2価,4価,9価,シルガード9,子宮頸がん")</f>
        <v>HPVワクチン種類,2価,4価,9価,シルガード9,子宮頸がん</v>
      </c>
      <c r="E660" s="32" t="str">
        <f>IFERROR(__xludf.DUMMYFUNCTION("""COMPUTED_VALUE"""),"https://luna-dr.com/subjects/hpv-vaccine/")</f>
        <v>https://luna-dr.com/subjects/hpv-vaccine/</v>
      </c>
    </row>
    <row r="661">
      <c r="A661" s="31" t="str">
        <f>IFERROR(__xludf.DUMMYFUNCTION("""COMPUTED_VALUE"""),"ルナレディースクリニックではどのワクチンを接種できますか？")</f>
        <v>ルナレディースクリニックではどのワクチンを接種できますか？</v>
      </c>
      <c r="B661" s="31" t="str">
        <f>IFERROR(__xludf.DUMMYFUNCTION("""COMPUTED_VALUE"""),"当院では、子宮頸がん予防効果が最も高い9価ワクチン「シルガード9」を中心に接種を行っています。公費接種・自費接種のいずれにも対応しています。")</f>
        <v>当院では、子宮頸がん予防効果が最も高い9価ワクチン「シルガード9」を中心に接種を行っています。公費接種・自費接種のいずれにも対応しています。</v>
      </c>
      <c r="C661" s="31" t="str">
        <f>IFERROR(__xludf.DUMMYFUNCTION("""COMPUTED_VALUE"""),"HPVワクチン")</f>
        <v>HPVワクチン</v>
      </c>
      <c r="D661" s="31" t="str">
        <f>IFERROR(__xludf.DUMMYFUNCTION("""COMPUTED_VALUE"""),"シルガード9,9価ワクチン,接種対応,子宮頸がん")</f>
        <v>シルガード9,9価ワクチン,接種対応,子宮頸がん</v>
      </c>
      <c r="E661" s="32" t="str">
        <f>IFERROR(__xludf.DUMMYFUNCTION("""COMPUTED_VALUE"""),"https://luna-dr.com/subjects/hpv-vaccine/")</f>
        <v>https://luna-dr.com/subjects/hpv-vaccine/</v>
      </c>
    </row>
    <row r="662">
      <c r="A662" s="31" t="str">
        <f>IFERROR(__xludf.DUMMYFUNCTION("""COMPUTED_VALUE"""),"HPVワクチンは公費で接種できますか？/HPVワクチンは無料で接種できますか？/子宮頸がんワクチンは公費で接種できますか？/子宮頸がんワクチンは無料で接種できますか？")</f>
        <v>HPVワクチンは公費で接種できますか？/HPVワクチンは無料で接種できますか？/子宮頸がんワクチンは公費で接種できますか？/子宮頸がんワクチンは無料で接種できますか？</v>
      </c>
      <c r="B662" s="31" t="str">
        <f>IFERROR(__xludf.DUMMYFUNCTION("""COMPUTED_VALUE"""),"一定の年齢条件を満たす方は、公費（自己負担0円）でHPVワクチンを接種できます。対象は小学校6年生から高校1年生相当の女子、またはキャッチアップ接種の対象となる世代です。
※制度の詳細は自治体によって異なり、対象年齢や実施期間も変更される可能性があるため、必ずお住まいの市区町村の公式ホームページで最新の情報をご確認ください。")</f>
        <v>一定の年齢条件を満たす方は、公費（自己負担0円）でHPVワクチンを接種できます。対象は小学校6年生から高校1年生相当の女子、またはキャッチアップ接種の対象となる世代です。
※制度の詳細は自治体によって異なり、対象年齢や実施期間も変更される可能性があるため、必ずお住まいの市区町村の公式ホームページで最新の情報をご確認ください。</v>
      </c>
      <c r="C662" s="31" t="str">
        <f>IFERROR(__xludf.DUMMYFUNCTION("""COMPUTED_VALUE"""),"HPVワクチン")</f>
        <v>HPVワクチン</v>
      </c>
      <c r="D662" s="31" t="str">
        <f>IFERROR(__xludf.DUMMYFUNCTION("""COMPUTED_VALUE"""),"HPVワクチン,公費接種,無料,定期接種,キャッチアップ,子宮頸がん")</f>
        <v>HPVワクチン,公費接種,無料,定期接種,キャッチアップ,子宮頸がん</v>
      </c>
      <c r="E662" s="32" t="str">
        <f>IFERROR(__xludf.DUMMYFUNCTION("""COMPUTED_VALUE"""),"https://luna-dr.com/subjects/hpv-vaccine/")</f>
        <v>https://luna-dr.com/subjects/hpv-vaccine/</v>
      </c>
    </row>
    <row r="663">
      <c r="A663" s="31" t="str">
        <f>IFERROR(__xludf.DUMMYFUNCTION("""COMPUTED_VALUE"""),"キャッチアップ接種とは何ですか？")</f>
        <v>キャッチアップ接種とは何ですか？</v>
      </c>
      <c r="B663" s="31" t="str">
        <f>IFERROR(__xludf.DUMMYFUNCTION("""COMPUTED_VALUE"""),"キャッチアップ接種とは、過去にHPVワクチンの積極的勧奨が控えられていた時期に接種機会を逃した方を対象とした、期間限定の公費接種制度です。対象年齢や期限があるため、早めの確認が重要です。")</f>
        <v>キャッチアップ接種とは、過去にHPVワクチンの積極的勧奨が控えられていた時期に接種機会を逃した方を対象とした、期間限定の公費接種制度です。対象年齢や期限があるため、早めの確認が重要です。</v>
      </c>
      <c r="C663" s="31" t="str">
        <f>IFERROR(__xludf.DUMMYFUNCTION("""COMPUTED_VALUE"""),"HPVワクチン")</f>
        <v>HPVワクチン</v>
      </c>
      <c r="D663" s="31" t="str">
        <f>IFERROR(__xludf.DUMMYFUNCTION("""COMPUTED_VALUE"""),"キャッチアップ接種,HPVワクチン,救済措置,子宮頸がん")</f>
        <v>キャッチアップ接種,HPVワクチン,救済措置,子宮頸がん</v>
      </c>
      <c r="E663" s="32" t="str">
        <f>IFERROR(__xludf.DUMMYFUNCTION("""COMPUTED_VALUE"""),"https://luna-dr.com/subjects/hpv-vaccine/")</f>
        <v>https://luna-dr.com/subjects/hpv-vaccine/</v>
      </c>
    </row>
    <row r="664">
      <c r="A664" s="31" t="str">
        <f>IFERROR(__xludf.DUMMYFUNCTION("""COMPUTED_VALUE"""),"HPVワクチンの費用はいくらですか？/子宮頸がんワクチンの費用はいくらですか？")</f>
        <v>HPVワクチンの費用はいくらですか？/子宮頸がんワクチンの費用はいくらですか？</v>
      </c>
      <c r="B664" s="31" t="str">
        <f>IFERROR(__xludf.DUMMYFUNCTION("""COMPUTED_VALUE"""),"公費接種の対象となる方は自己負担0円です。自費接種の場合、当院では9価ワクチン（シルガード9）を1回33,000円（税込）でご提供しています。")</f>
        <v>公費接種の対象となる方は自己負担0円です。自費接種の場合、当院では9価ワクチン（シルガード9）を1回33,000円（税込）でご提供しています。</v>
      </c>
      <c r="C664" s="31" t="str">
        <f>IFERROR(__xludf.DUMMYFUNCTION("""COMPUTED_VALUE"""),"HPVワクチン")</f>
        <v>HPVワクチン</v>
      </c>
      <c r="D664" s="31" t="str">
        <f>IFERROR(__xludf.DUMMYFUNCTION("""COMPUTED_VALUE"""),"HPVワクチン費用,自費接種,価格,子宮頸がん")</f>
        <v>HPVワクチン費用,自費接種,価格,子宮頸がん</v>
      </c>
      <c r="E664" s="32" t="str">
        <f>IFERROR(__xludf.DUMMYFUNCTION("""COMPUTED_VALUE"""),"https://luna-dr.com/subjects/hpv-vaccine/")</f>
        <v>https://luna-dr.com/subjects/hpv-vaccine/</v>
      </c>
    </row>
    <row r="665">
      <c r="A665" s="31" t="str">
        <f>IFERROR(__xludf.DUMMYFUNCTION("""COMPUTED_VALUE"""),"ルナレディースクリニックがHPVワクチンで選ばれる理由は何ですか？/ルナレディースクリニックが子宮頸がんワクチンで選ばれる理由は何ですか？")</f>
        <v>ルナレディースクリニックがHPVワクチンで選ばれる理由は何ですか？/ルナレディースクリニックが子宮頸がんワクチンで選ばれる理由は何ですか？</v>
      </c>
      <c r="B665" s="31" t="str">
        <f>IFERROR(__xludf.DUMMYFUNCTION("""COMPUTED_VALUE"""),"ルナレディースクリニックでは、子宮頸がん予防に最も効果が高い9価ワクチンを中心に、価格・安全性・通いやすさのバランスを重視した体制を整えており、安心して接種いただける環境を提供しています。")</f>
        <v>ルナレディースクリニックでは、子宮頸がん予防に最も効果が高い9価ワクチンを中心に、価格・安全性・通いやすさのバランスを重視した体制を整えており、安心して接種いただける環境を提供しています。</v>
      </c>
      <c r="C665" s="31" t="str">
        <f>IFERROR(__xludf.DUMMYFUNCTION("""COMPUTED_VALUE"""),"HPVワクチン")</f>
        <v>HPVワクチン</v>
      </c>
      <c r="D665" s="31" t="str">
        <f>IFERROR(__xludf.DUMMYFUNCTION("""COMPUTED_VALUE"""),"ルナレディースクリニック,HPVワクチン,選ばれる理由,子宮頸がん")</f>
        <v>ルナレディースクリニック,HPVワクチン,選ばれる理由,子宮頸がん</v>
      </c>
      <c r="E665" s="32" t="str">
        <f>IFERROR(__xludf.DUMMYFUNCTION("""COMPUTED_VALUE"""),"https://luna-dr.com/subjects/hpv-vaccine/")</f>
        <v>https://luna-dr.com/subjects/hpv-vaccine/</v>
      </c>
    </row>
    <row r="666">
      <c r="A666" s="31" t="str">
        <f>IFERROR(__xludf.DUMMYFUNCTION("""COMPUTED_VALUE"""),"なぜ9価ワクチンを推奨しているのですか？")</f>
        <v>なぜ9価ワクチンを推奨しているのですか？</v>
      </c>
      <c r="B666" s="31" t="str">
        <f>IFERROR(__xludf.DUMMYFUNCTION("""COMPUTED_VALUE"""),"当院では、子宮頸がんの原因の約90％を予防できる9価ワクチン（シルガード9）が、現時点で最も高い予防効果が期待できるため、積極的に推奨しています。")</f>
        <v>当院では、子宮頸がんの原因の約90％を予防できる9価ワクチン（シルガード9）が、現時点で最も高い予防効果が期待できるため、積極的に推奨しています。</v>
      </c>
      <c r="C666" s="31" t="str">
        <f>IFERROR(__xludf.DUMMYFUNCTION("""COMPUTED_VALUE"""),"HPVワクチン")</f>
        <v>HPVワクチン</v>
      </c>
      <c r="D666" s="31" t="str">
        <f>IFERROR(__xludf.DUMMYFUNCTION("""COMPUTED_VALUE"""),"9価ワクチン,シルガード9,予防効果,子宮頸がん")</f>
        <v>9価ワクチン,シルガード9,予防効果,子宮頸がん</v>
      </c>
      <c r="E666" s="32" t="str">
        <f>IFERROR(__xludf.DUMMYFUNCTION("""COMPUTED_VALUE"""),"https://luna-dr.com/subjects/hpv-vaccine/")</f>
        <v>https://luna-dr.com/subjects/hpv-vaccine/</v>
      </c>
    </row>
    <row r="667">
      <c r="A667" s="31" t="str">
        <f>IFERROR(__xludf.DUMMYFUNCTION("""COMPUTED_VALUE"""),"自費でHPVワクチンを受ける場合、費用は高くありませんか？/自費で子宮頸がんワクチンを受ける場合、費用は高くありませんか？")</f>
        <v>自費でHPVワクチンを受ける場合、費用は高くありませんか？/自費で子宮頸がんワクチンを受ける場合、費用は高くありませんか？</v>
      </c>
      <c r="B667" s="31" t="str">
        <f>IFERROR(__xludf.DUMMYFUNCTION("""COMPUTED_VALUE"""),"当院では、自費接種の場合でも1回26,500円（税込）と、継続して通いやすい価格設定にしています。将来の健康への投資として、安心して選んでいただける費用を心がけています。")</f>
        <v>当院では、自費接種の場合でも1回26,500円（税込）と、継続して通いやすい価格設定にしています。将来の健康への投資として、安心して選んでいただける費用を心がけています。</v>
      </c>
      <c r="C667" s="31" t="str">
        <f>IFERROR(__xludf.DUMMYFUNCTION("""COMPUTED_VALUE"""),"HPVワクチン")</f>
        <v>HPVワクチン</v>
      </c>
      <c r="D667" s="31" t="str">
        <f>IFERROR(__xludf.DUMMYFUNCTION("""COMPUTED_VALUE"""),"HPVワクチン費用,自費接種,価格,子宮頸がん")</f>
        <v>HPVワクチン費用,自費接種,価格,子宮頸がん</v>
      </c>
      <c r="E667" s="32" t="str">
        <f>IFERROR(__xludf.DUMMYFUNCTION("""COMPUTED_VALUE"""),"https://luna-dr.com/subjects/hpv-vaccine/")</f>
        <v>https://luna-dr.com/subjects/hpv-vaccine/</v>
      </c>
    </row>
    <row r="668">
      <c r="A668" s="31" t="str">
        <f>IFERROR(__xludf.DUMMYFUNCTION("""COMPUTED_VALUE"""),"HPVワクチンは公費接種にも対応していますか？/子宮頸がんワクチンは公費接種にも対応していますか？")</f>
        <v>HPVワクチンは公費接種にも対応していますか？/子宮頸がんワクチンは公費接種にも対応していますか？</v>
      </c>
      <c r="B668" s="31" t="str">
        <f>IFERROR(__xludf.DUMMYFUNCTION("""COMPUTED_VALUE"""),"当院では定期接種およびキャッチアップ接種の対象となる方の公費接種に対応しています。対象の方は自己負担0円で接種が可能です。
※制度の詳細は自治体によって異なり、対象年齢や実施期間も変更される可能性があるため、必ずお住まいの市区町村の公式ホームページで最新の情報をご確認ください。")</f>
        <v>当院では定期接種およびキャッチアップ接種の対象となる方の公費接種に対応しています。対象の方は自己負担0円で接種が可能です。
※制度の詳細は自治体によって異なり、対象年齢や実施期間も変更される可能性があるため、必ずお住まいの市区町村の公式ホームページで最新の情報をご確認ください。</v>
      </c>
      <c r="C668" s="31" t="str">
        <f>IFERROR(__xludf.DUMMYFUNCTION("""COMPUTED_VALUE"""),"HPVワクチン")</f>
        <v>HPVワクチン</v>
      </c>
      <c r="D668" s="31" t="str">
        <f>IFERROR(__xludf.DUMMYFUNCTION("""COMPUTED_VALUE"""),"公費接種,定期接種,キャッチアップ接種")</f>
        <v>公費接種,定期接種,キャッチアップ接種</v>
      </c>
      <c r="E668" s="32" t="str">
        <f>IFERROR(__xludf.DUMMYFUNCTION("""COMPUTED_VALUE"""),"https://luna-dr.com/subjects/hpv-vaccine/")</f>
        <v>https://luna-dr.com/subjects/hpv-vaccine/</v>
      </c>
    </row>
    <row r="669">
      <c r="A669" s="31" t="str">
        <f>IFERROR(__xludf.DUMMYFUNCTION("""COMPUTED_VALUE"""),"接種後の相談やフォローは受けられますか？")</f>
        <v>接種後の相談やフォローは受けられますか？</v>
      </c>
      <c r="B669" s="31" t="str">
        <f>IFERROR(__xludf.DUMMYFUNCTION("""COMPUTED_VALUE"""),"当院では接種後の体調や副反応について、オンライン診療でのアフターフォローにも対応しています。不安な点があればいつでもご相談いただけます。")</f>
        <v>当院では接種後の体調や副反応について、オンライン診療でのアフターフォローにも対応しています。不安な点があればいつでもご相談いただけます。</v>
      </c>
      <c r="C669" s="31" t="str">
        <f>IFERROR(__xludf.DUMMYFUNCTION("""COMPUTED_VALUE"""),"HPVワクチン")</f>
        <v>HPVワクチン</v>
      </c>
      <c r="D669" s="31" t="str">
        <f>IFERROR(__xludf.DUMMYFUNCTION("""COMPUTED_VALUE"""),"オンライン診療,アフターフォロー,副反応相談")</f>
        <v>オンライン診療,アフターフォロー,副反応相談</v>
      </c>
      <c r="E669" s="32" t="str">
        <f>IFERROR(__xludf.DUMMYFUNCTION("""COMPUTED_VALUE"""),"https://luna-dr.com/subjects/hpv-vaccine/")</f>
        <v>https://luna-dr.com/subjects/hpv-vaccine/</v>
      </c>
    </row>
    <row r="670">
      <c r="A670" s="31" t="str">
        <f>IFERROR(__xludf.DUMMYFUNCTION("""COMPUTED_VALUE"""),"HPVワクチン接種の流れを教えてください/子宮頸がんワクチン接種の流れを教えてください")</f>
        <v>HPVワクチン接種の流れを教えてください/子宮頸がんワクチン接種の流れを教えてください</v>
      </c>
      <c r="B670" s="31" t="str">
        <f>IFERROR(__xludf.DUMMYFUNCTION("""COMPUTED_VALUE"""),"ルナレディースクリニックでは、①お電話でご予約、②ご来院後に医師がワクチンの効果や副反応について説明し予診票・母子健康手帳（お持ちの方）を確認、③腕の筋肉へのワクチン接種、④接種後30分間の院内待機とお会計、という流れでHPVワクチン接種を行います。急な副反応に備え、安全を最優先にご案内しています。")</f>
        <v>ルナレディースクリニックでは、①お電話でご予約、②ご来院後に医師がワクチンの効果や副反応について説明し予診票・母子健康手帳（お持ちの方）を確認、③腕の筋肉へのワクチン接種、④接種後30分間の院内待機とお会計、という流れでHPVワクチン接種を行います。急な副反応に備え、安全を最優先にご案内しています。</v>
      </c>
      <c r="C670" s="31" t="str">
        <f>IFERROR(__xludf.DUMMYFUNCTION("""COMPUTED_VALUE"""),"HPVワクチン")</f>
        <v>HPVワクチン</v>
      </c>
      <c r="D670" s="31" t="str">
        <f>IFERROR(__xludf.DUMMYFUNCTION("""COMPUTED_VALUE"""),"HPVワクチン,接種の流れ,予約,問診,接種後待機,子宮頸がん")</f>
        <v>HPVワクチン,接種の流れ,予約,問診,接種後待機,子宮頸がん</v>
      </c>
      <c r="E670" s="32" t="str">
        <f>IFERROR(__xludf.DUMMYFUNCTION("""COMPUTED_VALUE"""),"https://luna-dr.com/subjects/hpv-vaccine/")</f>
        <v>https://luna-dr.com/subjects/hpv-vaccine/</v>
      </c>
    </row>
    <row r="671">
      <c r="A671" s="31" t="str">
        <f>IFERROR(__xludf.DUMMYFUNCTION("""COMPUTED_VALUE"""),"HPVワクチン接種は予約が必要ですか？/子宮頸がんワクチン接種は予約が必要ですか？")</f>
        <v>HPVワクチン接種は予約が必要ですか？/子宮頸がんワクチン接種は予約が必要ですか？</v>
      </c>
      <c r="B671" s="31" t="str">
        <f>IFERROR(__xludf.DUMMYFUNCTION("""COMPUTED_VALUE"""),"HPVワクチンが限定出荷となり、ワクチン納品されないケースが発生しております。そのため、ワクチンのご予約を出来かねる場合もございますので、お電話でご予約が必要となります。お電話でご希望の日時をお伝えいただき、ご予約をお願いいたします。お電話は 050-1730-2768 までご連絡ください。電話受付時間は、平日9:45〜13:40・15:15〜19:40、土日祝9:45〜13:40・15:15〜18:40です。")</f>
        <v>HPVワクチンが限定出荷となり、ワクチン納品されないケースが発生しております。そのため、ワクチンのご予約を出来かねる場合もございますので、お電話でご予約が必要となります。お電話でご希望の日時をお伝えいただき、ご予約をお願いいたします。お電話は 050-1730-2768 までご連絡ください。電話受付時間は、平日9:45〜13:40・15:15〜19:40、土日祝9:45〜13:40・15:15〜18:40です。</v>
      </c>
      <c r="C671" s="31" t="str">
        <f>IFERROR(__xludf.DUMMYFUNCTION("""COMPUTED_VALUE"""),"HPVワクチン")</f>
        <v>HPVワクチン</v>
      </c>
      <c r="D671" s="31" t="str">
        <f>IFERROR(__xludf.DUMMYFUNCTION("""COMPUTED_VALUE"""),"HPVワクチン,予約方法,電話予約,子宮頸がん")</f>
        <v>HPVワクチン,予約方法,電話予約,子宮頸がん</v>
      </c>
      <c r="E671" s="32" t="str">
        <f>IFERROR(__xludf.DUMMYFUNCTION("""COMPUTED_VALUE"""),"https://luna-dr.com/subjects/hpv-vaccine/")</f>
        <v>https://luna-dr.com/subjects/hpv-vaccine/</v>
      </c>
    </row>
    <row r="672">
      <c r="A672" s="31" t="str">
        <f>IFERROR(__xludf.DUMMYFUNCTION("""COMPUTED_VALUE"""),"HPVワクチン接種はどのように予約すれば良いですか？/子宮頸がんワクチン接種はどのように予約すれば良いですか？")</f>
        <v>HPVワクチン接種はどのように予約すれば良いですか？/子宮頸がんワクチン接種はどのように予約すれば良いですか？</v>
      </c>
      <c r="B672" s="31" t="str">
        <f>IFERROR(__xludf.DUMMYFUNCTION("""COMPUTED_VALUE"""),"HPVワクチン接種はお電話（050-1730-2768）でご予約ください。電話受付時間は、平日9:45〜13:40・15:15〜19:40、土日祝9:45〜13:40・15:15〜18:40です。")</f>
        <v>HPVワクチン接種はお電話（050-1730-2768）でご予約ください。電話受付時間は、平日9:45〜13:40・15:15〜19:40、土日祝9:45〜13:40・15:15〜18:40です。</v>
      </c>
      <c r="C672" s="31" t="str">
        <f>IFERROR(__xludf.DUMMYFUNCTION("""COMPUTED_VALUE"""),"HPVワクチン")</f>
        <v>HPVワクチン</v>
      </c>
      <c r="D672" s="31" t="str">
        <f>IFERROR(__xludf.DUMMYFUNCTION("""COMPUTED_VALUE"""),"HPVワクチン,予約方法,予約,子宮頸がん")</f>
        <v>HPVワクチン,予約方法,予約,子宮頸がん</v>
      </c>
      <c r="E672" s="32" t="str">
        <f>IFERROR(__xludf.DUMMYFUNCTION("""COMPUTED_VALUE"""),"https://luna-dr.com/subjects/hpv-vaccine/")</f>
        <v>https://luna-dr.com/subjects/hpv-vaccine/</v>
      </c>
    </row>
    <row r="673">
      <c r="A673" s="31" t="str">
        <f>IFERROR(__xludf.DUMMYFUNCTION("""COMPUTED_VALUE"""),"HPVワクチン接種はLINEから予約できますか？/子宮頸がん予防ワクチン接種はLINEから予約できますか？")</f>
        <v>HPVワクチン接種はLINEから予約できますか？/子宮頸がん予防ワクチン接種はLINEから予約できますか？</v>
      </c>
      <c r="B673" s="31" t="str">
        <f>IFERROR(__xludf.DUMMYFUNCTION("""COMPUTED_VALUE"""),"HPVワクチン接種はお電話（050-1730-2768）のみでご予約を承っています。お手数をおかけしますが、お電話をお願いいたします。電話受付時間は、平日9:45〜13:40・15:15〜19:40、土日祝9:45〜13:40・15:15〜18:40です。")</f>
        <v>HPVワクチン接種はお電話（050-1730-2768）のみでご予約を承っています。お手数をおかけしますが、お電話をお願いいたします。電話受付時間は、平日9:45〜13:40・15:15〜19:40、土日祝9:45〜13:40・15:15〜18:40です。</v>
      </c>
      <c r="C673" s="31" t="str">
        <f>IFERROR(__xludf.DUMMYFUNCTION("""COMPUTED_VALUE"""),"HPVワクチン")</f>
        <v>HPVワクチン</v>
      </c>
      <c r="D673" s="31" t="str">
        <f>IFERROR(__xludf.DUMMYFUNCTION("""COMPUTED_VALUE"""),"LINE予約,婦人科予約,HPVワクチン,子宮頸がん予防")</f>
        <v>LINE予約,婦人科予約,HPVワクチン,子宮頸がん予防</v>
      </c>
      <c r="E673" s="32" t="str">
        <f>IFERROR(__xludf.DUMMYFUNCTION("""COMPUTED_VALUE"""),"https://luna-dr.com/subjects/hpv-vaccine/")</f>
        <v>https://luna-dr.com/subjects/hpv-vaccine/</v>
      </c>
    </row>
    <row r="674">
      <c r="A674" s="31" t="str">
        <f>IFERROR(__xludf.DUMMYFUNCTION("""COMPUTED_VALUE"""),"HPVワクチンは電話でも予約できますか？/子宮頸がん予防ワクチンは電話でも予約できますか？/HPVワクチンの電話対応時間を教えてください/HPVワクチンの電話受付時間は？")</f>
        <v>HPVワクチンは電話でも予約できますか？/子宮頸がん予防ワクチンは電話でも予約できますか？/HPVワクチンの電話対応時間を教えてください/HPVワクチンの電話受付時間は？</v>
      </c>
      <c r="B674" s="31" t="str">
        <f>IFERROR(__xludf.DUMMYFUNCTION("""COMPUTED_VALUE"""),"HPVワクチンのご予約はお電話（050-1730-2768）での受付となります。電話受付時間は、平日9:45〜13:40・15:15〜19:40、土日祝9:45〜13:40・15:15〜18:40です。")</f>
        <v>HPVワクチンのご予約はお電話（050-1730-2768）での受付となります。電話受付時間は、平日9:45〜13:40・15:15〜19:40、土日祝9:45〜13:40・15:15〜18:40です。</v>
      </c>
      <c r="C674" s="31" t="str">
        <f>IFERROR(__xludf.DUMMYFUNCTION("""COMPUTED_VALUE"""),"HPVワクチン")</f>
        <v>HPVワクチン</v>
      </c>
      <c r="D674" s="31" t="str">
        <f>IFERROR(__xludf.DUMMYFUNCTION("""COMPUTED_VALUE"""),"電話予約,問い合わせ,HPVワクチン,子宮頸がん予防")</f>
        <v>電話予約,問い合わせ,HPVワクチン,子宮頸がん予防</v>
      </c>
      <c r="E674" s="32" t="str">
        <f>IFERROR(__xludf.DUMMYFUNCTION("""COMPUTED_VALUE"""),"https://luna-dr.com/subjects/hpv-vaccine/")</f>
        <v>https://luna-dr.com/subjects/hpv-vaccine/</v>
      </c>
    </row>
    <row r="675">
      <c r="A675" s="31" t="str">
        <f>IFERROR(__xludf.DUMMYFUNCTION("""COMPUTED_VALUE"""),"HPVワクチンの予約前に準備しておくことはありますか？/子宮頸がん予防ワクチンの予約前に準備しておくことはありますか？")</f>
        <v>HPVワクチンの予約前に準備しておくことはありますか？/子宮頸がん予防ワクチンの予約前に準備しておくことはありますか？</v>
      </c>
      <c r="B675" s="31" t="str">
        <f>IFERROR(__xludf.DUMMYFUNCTION("""COMPUTED_VALUE"""),"ルナレディースクリニックでは、診察前にWEB問診の入力をお願いしています。事前にご入力いただくと診察がスムーズです。")</f>
        <v>ルナレディースクリニックでは、診察前にWEB問診の入力をお願いしています。事前にご入力いただくと診察がスムーズです。</v>
      </c>
      <c r="C675" s="31" t="str">
        <f>IFERROR(__xludf.DUMMYFUNCTION("""COMPUTED_VALUE"""),"HPVワクチン")</f>
        <v>HPVワクチン</v>
      </c>
      <c r="D675" s="31" t="str">
        <f>IFERROR(__xludf.DUMMYFUNCTION("""COMPUTED_VALUE"""),"WEB問診,事前準備,HPVワクチン,子宮頸がん予防")</f>
        <v>WEB問診,事前準備,HPVワクチン,子宮頸がん予防</v>
      </c>
      <c r="E675" s="32" t="str">
        <f>IFERROR(__xludf.DUMMYFUNCTION("""COMPUTED_VALUE"""),"https://luna-dr.com/subjects/hpv-vaccine/")</f>
        <v>https://luna-dr.com/subjects/hpv-vaccine/</v>
      </c>
    </row>
    <row r="676">
      <c r="A676" s="31" t="str">
        <f>IFERROR(__xludf.DUMMYFUNCTION("""COMPUTED_VALUE"""),"HPVワクチンは初診でも予約できますか？/子宮頸がん予防ワクチンは初診でも予約できますか？")</f>
        <v>HPVワクチンは初診でも予約できますか？/子宮頸がん予防ワクチンは初診でも予約できますか？</v>
      </c>
      <c r="B676" s="31" t="str">
        <f>IFERROR(__xludf.DUMMYFUNCTION("""COMPUTED_VALUE"""),"ルナレディースクリニックでは、初診の方もご予約いただけます。HPVワクチン接種のご予約はお電話（050-1730-2768）のみで承っています。お手数をおかけしますが、お電話をお願いいたします。")</f>
        <v>ルナレディースクリニックでは、初診の方もご予約いただけます。HPVワクチン接種のご予約はお電話（050-1730-2768）のみで承っています。お手数をおかけしますが、お電話をお願いいたします。</v>
      </c>
      <c r="C676" s="31" t="str">
        <f>IFERROR(__xludf.DUMMYFUNCTION("""COMPUTED_VALUE"""),"HPVワクチン")</f>
        <v>HPVワクチン</v>
      </c>
      <c r="D676" s="31" t="str">
        <f>IFERROR(__xludf.DUMMYFUNCTION("""COMPUTED_VALUE"""),"初診,予約,HPVワクチン,子宮頸がん予防")</f>
        <v>初診,予約,HPVワクチン,子宮頸がん予防</v>
      </c>
      <c r="E676" s="32" t="str">
        <f>IFERROR(__xludf.DUMMYFUNCTION("""COMPUTED_VALUE"""),"https://luna-dr.com/subjects/hpv-vaccine/")</f>
        <v>https://luna-dr.com/subjects/hpv-vaccine/</v>
      </c>
    </row>
    <row r="677">
      <c r="A677" s="31" t="str">
        <f>IFERROR(__xludf.DUMMYFUNCTION("""COMPUTED_VALUE"""),"HPVワクチンは来院とオンライン、どちらで予約できますか？/子宮頸がん予防ワクチンは来院とオンライン、どちらで予約できますか？")</f>
        <v>HPVワクチンは来院とオンライン、どちらで予約できますか？/子宮頸がん予防ワクチンは来院とオンライン、どちらで予約できますか？</v>
      </c>
      <c r="B677" s="31" t="str">
        <f>IFERROR(__xludf.DUMMYFUNCTION("""COMPUTED_VALUE"""),"ルナレディースクリニックでは、HPVワクチンのご相談は来院診療のみで承っています。HPVワクチン接種のご予約はお電話（050-1730-2768）のみで承っています。お手数をおかけしますが、お電話をお願いいたします。")</f>
        <v>ルナレディースクリニックでは、HPVワクチンのご相談は来院診療のみで承っています。HPVワクチン接種のご予約はお電話（050-1730-2768）のみで承っています。お手数をおかけしますが、お電話をお願いいたします。</v>
      </c>
      <c r="C677" s="31" t="str">
        <f>IFERROR(__xludf.DUMMYFUNCTION("""COMPUTED_VALUE"""),"HPVワクチン")</f>
        <v>HPVワクチン</v>
      </c>
      <c r="D677" s="31" t="str">
        <f>IFERROR(__xludf.DUMMYFUNCTION("""COMPUTED_VALUE"""),"来院診療,オンライン診療,HPVワクチン,子宮頸がん予防")</f>
        <v>来院診療,オンライン診療,HPVワクチン,子宮頸がん予防</v>
      </c>
      <c r="E677" s="32" t="str">
        <f>IFERROR(__xludf.DUMMYFUNCTION("""COMPUTED_VALUE"""),"https://luna-dr.com/subjects/hpv-vaccine/")</f>
        <v>https://luna-dr.com/subjects/hpv-vaccine/</v>
      </c>
    </row>
    <row r="678">
      <c r="A678" s="31" t="str">
        <f>IFERROR(__xludf.DUMMYFUNCTION("""COMPUTED_VALUE"""),"予約なしでもHPVワクチンは受けられますか？/予約なしでも子宮頸がん予防は受けられますか？")</f>
        <v>予約なしでもHPVワクチンは受けられますか？/予約なしでも子宮頸がん予防は受けられますか？</v>
      </c>
      <c r="B678" s="31" t="str">
        <f>IFERROR(__xludf.DUMMYFUNCTION("""COMPUTED_VALUE"""),"HPVワクチンが限定出荷となり、ワクチン納品されないケースが発生しております。そのため、ワクチンのご予約を出来かねる場合もございますので、お電話でご予約の上ご来院をお願いいたします。")</f>
        <v>HPVワクチンが限定出荷となり、ワクチン納品されないケースが発生しております。そのため、ワクチンのご予約を出来かねる場合もございますので、お電話でご予約の上ご来院をお願いいたします。</v>
      </c>
      <c r="C678" s="31" t="str">
        <f>IFERROR(__xludf.DUMMYFUNCTION("""COMPUTED_VALUE"""),"ブライダルチェック")</f>
        <v>ブライダルチェック</v>
      </c>
      <c r="D678" s="31" t="str">
        <f>IFERROR(__xludf.DUMMYFUNCTION("""COMPUTED_VALUE"""),"ブライダルチェック検査,予約なし,子宮頸がん予防")</f>
        <v>ブライダルチェック検査,予約なし,子宮頸がん予防</v>
      </c>
      <c r="E678" s="32" t="str">
        <f>IFERROR(__xludf.DUMMYFUNCTION("""COMPUTED_VALUE"""),"https://luna-dr.com/subjects/hpv-vaccine/")</f>
        <v>https://luna-dr.com/subjects/hpv-vaccine/</v>
      </c>
    </row>
    <row r="679">
      <c r="A679" s="31" t="str">
        <f>IFERROR(__xludf.DUMMYFUNCTION("""COMPUTED_VALUE"""),"HPVワクチン接種当日は何をしますか？/子宮頸がんワクチン接種当日は何をしますか？")</f>
        <v>HPVワクチン接種当日は何をしますか？/子宮頸がんワクチン接種当日は何をしますか？</v>
      </c>
      <c r="B679" s="31" t="str">
        <f>IFERROR(__xludf.DUMMYFUNCTION("""COMPUTED_VALUE"""),"ご来院後、医師がワクチンの効果や副反応について丁寧に説明し、ご不安や疑問にお答えします。予診票や母子健康手帳（お持ちの方）を確認した上で、接種が可能か判断します。")</f>
        <v>ご来院後、医師がワクチンの効果や副反応について丁寧に説明し、ご不安や疑問にお答えします。予診票や母子健康手帳（お持ちの方）を確認した上で、接種が可能か判断します。</v>
      </c>
      <c r="C679" s="31" t="str">
        <f>IFERROR(__xludf.DUMMYFUNCTION("""COMPUTED_VALUE"""),"HPVワクチン")</f>
        <v>HPVワクチン</v>
      </c>
      <c r="D679" s="31" t="str">
        <f>IFERROR(__xludf.DUMMYFUNCTION("""COMPUTED_VALUE"""),"HPVワクチン,問診,当日の流れ,子宮頸がん")</f>
        <v>HPVワクチン,問診,当日の流れ,子宮頸がん</v>
      </c>
      <c r="E679" s="32" t="str">
        <f>IFERROR(__xludf.DUMMYFUNCTION("""COMPUTED_VALUE"""),"https://luna-dr.com/subjects/hpv-vaccine/")</f>
        <v>https://luna-dr.com/subjects/hpv-vaccine/</v>
      </c>
    </row>
    <row r="680">
      <c r="A680" s="31" t="str">
        <f>IFERROR(__xludf.DUMMYFUNCTION("""COMPUTED_VALUE"""),"HPVワクチンはどのように接種しますか？/子宮頸がんワクチンはどのように接種しますか？")</f>
        <v>HPVワクチンはどのように接種しますか？/子宮頸がんワクチンはどのように接種しますか？</v>
      </c>
      <c r="B680" s="31" t="str">
        <f>IFERROR(__xludf.DUMMYFUNCTION("""COMPUTED_VALUE"""),"HPVワクチンは腕の筋肉に注射します。接種自体は短時間で終了しますのでご安心ください。")</f>
        <v>HPVワクチンは腕の筋肉に注射します。接種自体は短時間で終了しますのでご安心ください。</v>
      </c>
      <c r="C680" s="31" t="str">
        <f>IFERROR(__xludf.DUMMYFUNCTION("""COMPUTED_VALUE"""),"HPVワクチン")</f>
        <v>HPVワクチン</v>
      </c>
      <c r="D680" s="31" t="str">
        <f>IFERROR(__xludf.DUMMYFUNCTION("""COMPUTED_VALUE"""),"HPVワクチン,注射,接種方法,子宮頸がん")</f>
        <v>HPVワクチン,注射,接種方法,子宮頸がん</v>
      </c>
      <c r="E680" s="32" t="str">
        <f>IFERROR(__xludf.DUMMYFUNCTION("""COMPUTED_VALUE"""),"https://luna-dr.com/subjects/hpv-vaccine/")</f>
        <v>https://luna-dr.com/subjects/hpv-vaccine/</v>
      </c>
    </row>
    <row r="681">
      <c r="A681" s="31" t="str">
        <f>IFERROR(__xludf.DUMMYFUNCTION("""COMPUTED_VALUE"""),"HPVワクチン接種後はすぐに帰れますか？/子宮頸がんワクチン接種後はすぐに帰れますか？")</f>
        <v>HPVワクチン接種後はすぐに帰れますか？/子宮頸がんワクチン接種後はすぐに帰れますか？</v>
      </c>
      <c r="B681" s="31" t="str">
        <f>IFERROR(__xludf.DUMMYFUNCTION("""COMPUTED_VALUE"""),"接種後は、急な副反応に備えて30分間院内で安静にお過ごしいただきます。問題がなければ、お会計後にご帰宅いただけます。")</f>
        <v>接種後は、急な副反応に備えて30分間院内で安静にお過ごしいただきます。問題がなければ、お会計後にご帰宅いただけます。</v>
      </c>
      <c r="C681" s="31" t="str">
        <f>IFERROR(__xludf.DUMMYFUNCTION("""COMPUTED_VALUE"""),"HPVワクチン")</f>
        <v>HPVワクチン</v>
      </c>
      <c r="D681" s="31" t="str">
        <f>IFERROR(__xludf.DUMMYFUNCTION("""COMPUTED_VALUE"""),"HPVワクチン,接種後,待機時間,子宮頸がん")</f>
        <v>HPVワクチン,接種後,待機時間,子宮頸がん</v>
      </c>
      <c r="E681" s="32" t="str">
        <f>IFERROR(__xludf.DUMMYFUNCTION("""COMPUTED_VALUE"""),"https://luna-dr.com/subjects/hpv-vaccine/")</f>
        <v>https://luna-dr.com/subjects/hpv-vaccine/</v>
      </c>
    </row>
    <row r="682">
      <c r="A682" s="31" t="str">
        <f>IFERROR(__xludf.DUMMYFUNCTION("""COMPUTED_VALUE"""),"HPVワクチンの副反応は危険ではありませんか？/子宮頸がんワクチンの副反応は危険ではありませんか？")</f>
        <v>HPVワクチンの副反応は危険ではありませんか？/子宮頸がんワクチンの副反応は危険ではありませんか？</v>
      </c>
      <c r="B682" s="31" t="str">
        <f>IFERROR(__xludf.DUMMYFUNCTION("""COMPUTED_VALUE"""),"HPVワクチンは、世界保健機関（WHO）も一貫して安全性を認めており、これまでの数多くの研究から、その有効性と安全性が科学的に確認されています。主な副反応は、接種した部位の痛みや腫れ、赤みなどで、これらは数日で自然に軽快します。重い症状（アナフィラキシーなど）は極めて稀ですが、万が一に備え、接種後30分は院内で待機していただくなど、安全対策を徹底していますのでご安心ください。")</f>
        <v>HPVワクチンは、世界保健機関（WHO）も一貫して安全性を認めており、これまでの数多くの研究から、その有効性と安全性が科学的に確認されています。主な副反応は、接種した部位の痛みや腫れ、赤みなどで、これらは数日で自然に軽快します。重い症状（アナフィラキシーなど）は極めて稀ですが、万が一に備え、接種後30分は院内で待機していただくなど、安全対策を徹底していますのでご安心ください。</v>
      </c>
      <c r="C682" s="31" t="str">
        <f>IFERROR(__xludf.DUMMYFUNCTION("""COMPUTED_VALUE"""),"HPVワクチン")</f>
        <v>HPVワクチン</v>
      </c>
      <c r="D682" s="31" t="str">
        <f>IFERROR(__xludf.DUMMYFUNCTION("""COMPUTED_VALUE"""),"HPVワクチン,副反応,安全性,子宮頸がん")</f>
        <v>HPVワクチン,副反応,安全性,子宮頸がん</v>
      </c>
      <c r="E682" s="32" t="str">
        <f>IFERROR(__xludf.DUMMYFUNCTION("""COMPUTED_VALUE"""),"https://luna-dr.com/subjects/hpv-vaccine/")</f>
        <v>https://luna-dr.com/subjects/hpv-vaccine/</v>
      </c>
    </row>
    <row r="683">
      <c r="A683" s="31" t="str">
        <f>IFERROR(__xludf.DUMMYFUNCTION("""COMPUTED_VALUE"""),"すでに性交渉の経験がありますが、HPVワクチンは効果がありますか？/すでに性交渉の経験がありますが、子宮頸がんワクチンは効果がありますか？")</f>
        <v>すでに性交渉の経験がありますが、HPVワクチンは効果がありますか？/すでに性交渉の経験がありますが、子宮頸がんワクチンは効果がありますか？</v>
      </c>
      <c r="B683" s="31" t="str">
        <f>IFERROR(__xludf.DUMMYFUNCTION("""COMPUTED_VALUE"""),"効果は期待できます。HPVには複数の型があり、すでに特定の型に感染していても、ワクチンを接種することで、まだ感染していない他の型のウイルスへの感染を防ぐことができます。そのため、性交渉の経験がある方でも接種する価値は十分にあります。")</f>
        <v>効果は期待できます。HPVには複数の型があり、すでに特定の型に感染していても、ワクチンを接種することで、まだ感染していない他の型のウイルスへの感染を防ぐことができます。そのため、性交渉の経験がある方でも接種する価値は十分にあります。</v>
      </c>
      <c r="C683" s="31" t="str">
        <f>IFERROR(__xludf.DUMMYFUNCTION("""COMPUTED_VALUE"""),"HPVワクチン")</f>
        <v>HPVワクチン</v>
      </c>
      <c r="D683" s="31" t="str">
        <f>IFERROR(__xludf.DUMMYFUNCTION("""COMPUTED_VALUE"""),"HPVワクチン,性交渉後,効果,子宮頸がん")</f>
        <v>HPVワクチン,性交渉後,効果,子宮頸がん</v>
      </c>
      <c r="E683" s="32" t="str">
        <f>IFERROR(__xludf.DUMMYFUNCTION("""COMPUTED_VALUE"""),"https://luna-dr.com/subjects/hpv-vaccine/")</f>
        <v>https://luna-dr.com/subjects/hpv-vaccine/</v>
      </c>
    </row>
    <row r="684">
      <c r="A684" s="31" t="str">
        <f>IFERROR(__xludf.DUMMYFUNCTION("""COMPUTED_VALUE"""),"HPVワクチンを接種すれば子宮頸がん検診は不要ですか？/子宮頸がんワクチンを接種すれば子宮頸がん検診は不要ですか？")</f>
        <v>HPVワクチンを接種すれば子宮頸がん検診は不要ですか？/子宮頸がんワクチンを接種すれば子宮頸がん検診は不要ですか？</v>
      </c>
      <c r="B684" s="31" t="str">
        <f>IFERROR(__xludf.DUMMYFUNCTION("""COMPUTED_VALUE"""),"検診は必ず受けてください。9価ワクチンは子宮頸がんの原因の約90%を防ぎますが、すべての型のHPV感染を防ぐものではありません。ワクチンで感染リスクを大幅に減らし、定期的な子宮頸がん検診で万が一の病変を早期発見する。この「両方」を受けることが、あなた自身の体を守るために非常に重要です。")</f>
        <v>検診は必ず受けてください。9価ワクチンは子宮頸がんの原因の約90%を防ぎますが、すべての型のHPV感染を防ぐものではありません。ワクチンで感染リスクを大幅に減らし、定期的な子宮頸がん検診で万が一の病変を早期発見する。この「両方」を受けることが、あなた自身の体を守るために非常に重要です。</v>
      </c>
      <c r="C684" s="31" t="str">
        <f>IFERROR(__xludf.DUMMYFUNCTION("""COMPUTED_VALUE"""),"HPVワクチン")</f>
        <v>HPVワクチン</v>
      </c>
      <c r="D684" s="31" t="str">
        <f>IFERROR(__xludf.DUMMYFUNCTION("""COMPUTED_VALUE"""),"HPVワクチン,子宮頸がん検診,予防,子宮頸がん")</f>
        <v>HPVワクチン,子宮頸がん検診,予防,子宮頸がん</v>
      </c>
      <c r="E684" s="32" t="str">
        <f>IFERROR(__xludf.DUMMYFUNCTION("""COMPUTED_VALUE"""),"https://luna-dr.com/subjects/hpv-vaccine/")</f>
        <v>https://luna-dr.com/subjects/hpv-vaccine/</v>
      </c>
    </row>
    <row r="685">
      <c r="A685" s="31" t="str">
        <f>IFERROR(__xludf.DUMMYFUNCTION("""COMPUTED_VALUE"""),"男性もHPVワクチンを接種できますか？/男性も子宮頸がんワクチンを接種できますか？")</f>
        <v>男性もHPVワクチンを接種できますか？/男性も子宮頸がんワクチンを接種できますか？</v>
      </c>
      <c r="B685" s="31" t="str">
        <f>IFERROR(__xludf.DUMMYFUNCTION("""COMPUTED_VALUE"""),"申し訳ございませんが、当院は女性専用のため、男性の接種には対応しておりません。ご理解のほどよろしくお願いいたします。")</f>
        <v>申し訳ございませんが、当院は女性専用のため、男性の接種には対応しておりません。ご理解のほどよろしくお願いいたします。</v>
      </c>
      <c r="C685" s="31" t="str">
        <f>IFERROR(__xludf.DUMMYFUNCTION("""COMPUTED_VALUE"""),"HPVワクチン")</f>
        <v>HPVワクチン</v>
      </c>
      <c r="D685" s="31" t="str">
        <f>IFERROR(__xludf.DUMMYFUNCTION("""COMPUTED_VALUE"""),"HPVワクチン,男性接種,対象者,子宮頸がん")</f>
        <v>HPVワクチン,男性接種,対象者,子宮頸がん</v>
      </c>
      <c r="E685" s="32" t="str">
        <f>IFERROR(__xludf.DUMMYFUNCTION("""COMPUTED_VALUE"""),"https://luna-dr.com/subjects/hpv-vaccine/")</f>
        <v>https://luna-dr.com/subjects/hpv-vaccine/</v>
      </c>
    </row>
    <row r="686">
      <c r="A686" s="31" t="str">
        <f>IFERROR(__xludf.DUMMYFUNCTION("""COMPUTED_VALUE"""),"HPVワクチン接種と他の保険診療を同日に受けられますか？/子宮頸がんワクチン接種と他の保険診療を同日に受けられますか？/ピル処方とがん検診を同日に受けられますか？/公費の検診と保険診療は同時にできますか？")</f>
        <v>HPVワクチン接種と他の保険診療を同日に受けられますか？/子宮頸がんワクチン接種と他の保険診療を同日に受けられますか？/ピル処方とがん検診を同日に受けられますか？/公費の検診と保険診療は同時にできますか？</v>
      </c>
      <c r="B686" s="31" t="str">
        <f>IFERROR(__xludf.DUMMYFUNCTION("""COMPUTED_VALUE"""),"申し訳ありませんが、同日に行うことはできません。HPVワクチン（公費）と、病気の治療を目的とした保険診療は、国のルール（混合診療の禁止）により、同じ日に行うことが原則として認められていません。患者様にご不便をおかけしないための大切なルールですので、ご理解いただけますと幸いです。お手数ですが、保険診療をご希望の場合は、ワクチン接種日とは別の日をご予約ください。")</f>
        <v>申し訳ありませんが、同日に行うことはできません。HPVワクチン（公費）と、病気の治療を目的とした保険診療は、国のルール（混合診療の禁止）により、同じ日に行うことが原則として認められていません。患者様にご不便をおかけしないための大切なルールですので、ご理解いただけますと幸いです。お手数ですが、保険診療をご希望の場合は、ワクチン接種日とは別の日をご予約ください。</v>
      </c>
      <c r="C686" s="31" t="str">
        <f>IFERROR(__xludf.DUMMYFUNCTION("""COMPUTED_VALUE"""),"HPVワクチン")</f>
        <v>HPVワクチン</v>
      </c>
      <c r="D686" s="31" t="str">
        <f>IFERROR(__xludf.DUMMYFUNCTION("""COMPUTED_VALUE"""),"HPVワクチン,混合診療,同日診療不可,子宮頸がん")</f>
        <v>HPVワクチン,混合診療,同日診療不可,子宮頸がん</v>
      </c>
      <c r="E686" s="32" t="str">
        <f>IFERROR(__xludf.DUMMYFUNCTION("""COMPUTED_VALUE"""),"https://luna-dr.com/subjects/hpv-vaccine/")</f>
        <v>https://luna-dr.com/subjects/hpv-vaccine/</v>
      </c>
    </row>
    <row r="687">
      <c r="A687" s="31" t="str">
        <f>IFERROR(__xludf.DUMMYFUNCTION("""COMPUTED_VALUE"""),"提携医療機関はありますか？/連携している病院はありますか？/紹介先の病院を教えてください")</f>
        <v>提携医療機関はありますか？/連携している病院はありますか？/紹介先の病院を教えてください</v>
      </c>
      <c r="B687" s="31" t="str">
        <f>IFERROR(__xludf.DUMMYFUNCTION("""COMPUTED_VALUE"""),"当院では特定の連携医療機関はございません。紹介状（診療情報提供書）の発行は可能ですが、紹介先の医療機関は患者さまご自身でお探しいただいております。紹介状の発行をご希望の場合は、診察時に医師へご相談ください。")</f>
        <v>当院では特定の連携医療機関はございません。紹介状（診療情報提供書）の発行は可能ですが、紹介先の医療機関は患者さまご自身でお探しいただいております。紹介状の発行をご希望の場合は、診察時に医師へご相談ください。</v>
      </c>
      <c r="C687" s="31" t="str">
        <f>IFERROR(__xludf.DUMMYFUNCTION("""COMPUTED_VALUE"""),"医療連携,受診案内")</f>
        <v>医療連携,受診案内</v>
      </c>
      <c r="D687" s="31" t="str">
        <f>IFERROR(__xludf.DUMMYFUNCTION("""COMPUTED_VALUE"""),"提携,連携,紹介先,紹介状,病院")</f>
        <v>提携,連携,紹介先,紹介状,病院</v>
      </c>
      <c r="E687" s="31"/>
    </row>
    <row r="688">
      <c r="A688" s="31" t="str">
        <f>IFERROR(__xludf.DUMMYFUNCTION("""COMPUTED_VALUE"""),"郵送検査とはどのようなサービスですか？/FemCHECKとはどのようなサービスですか？/おりもの検査とはどのようなサービスですか？")</f>
        <v>郵送検査とはどのようなサービスですか？/FemCHECKとはどのようなサービスですか？/おりもの検査とはどのようなサービスですか？</v>
      </c>
      <c r="B688" s="31" t="str">
        <f>IFERROR(__xludf.DUMMYFUNCTION("""COMPUTED_VALUE"""),"FemCHECK（フェムチェック）は、婦人科医が監修した女性のためのおりもの・性感染症の郵送検査キットです。検査キットの購入から検体採取、結果確認まですべてご自宅で完結し、検体はポスト投函で返送できます。結果はWEBで確認でき、陽性の場合もオンライン診療で治療までサポートします。")</f>
        <v>FemCHECK（フェムチェック）は、婦人科医が監修した女性のためのおりもの・性感染症の郵送検査キットです。検査キットの購入から検体採取、結果確認まですべてご自宅で完結し、検体はポスト投函で返送できます。結果はWEBで確認でき、陽性の場合もオンライン診療で治療までサポートします。</v>
      </c>
      <c r="C688" s="31" t="str">
        <f>IFERROR(__xludf.DUMMYFUNCTION("""COMPUTED_VALUE"""),"郵送検査/FemCHECK")</f>
        <v>郵送検査/FemCHECK</v>
      </c>
      <c r="D688" s="31" t="str">
        <f>IFERROR(__xludf.DUMMYFUNCTION("""COMPUTED_VALUE"""),"FemCHECK,郵送検査,おりもの検査,性感染症検査,自宅検査")</f>
        <v>FemCHECK,郵送検査,おりもの検査,性感染症検査,自宅検査</v>
      </c>
      <c r="E688" s="32" t="str">
        <f>IFERROR(__xludf.DUMMYFUNCTION("""COMPUTED_VALUE"""),"https://luna-dr.com/femcheck/begginer/")</f>
        <v>https://luna-dr.com/femcheck/begginer/</v>
      </c>
    </row>
    <row r="689">
      <c r="A689" s="31" t="str">
        <f>IFERROR(__xludf.DUMMYFUNCTION("""COMPUTED_VALUE"""),"郵送検査は他の性病検査キットと何が違いますか？/FemCHECKは他の性病検査キットと何が違いますか？/おりもの検査は他の性病検査キットと何が違いますか？")</f>
        <v>郵送検査は他の性病検査キットと何が違いますか？/FemCHECKは他の性病検査キットと何が違いますか？/おりもの検査は他の性病検査キットと何が違いますか？</v>
      </c>
      <c r="B689" s="31" t="str">
        <f>IFERROR(__xludf.DUMMYFUNCTION("""COMPUTED_VALUE"""),"FemCHECKは産婦人科医が女性の膣内環境・おりものの状態を総合的に評価する目的で開発した検査キットです。一般的な性感染症の有無だけでなく、膣内の炎症や臭いのリスク、治療方針の判断に役立つ情報まで確認できる点が特長です。")</f>
        <v>FemCHECKは産婦人科医が女性の膣内環境・おりものの状態を総合的に評価する目的で開発した検査キットです。一般的な性感染症の有無だけでなく、膣内の炎症や臭いのリスク、治療方針の判断に役立つ情報まで確認できる点が特長です。</v>
      </c>
      <c r="C689" s="31" t="str">
        <f>IFERROR(__xludf.DUMMYFUNCTION("""COMPUTED_VALUE"""),"郵送検査/FemCHECK")</f>
        <v>郵送検査/FemCHECK</v>
      </c>
      <c r="D689" s="31" t="str">
        <f>IFERROR(__xludf.DUMMYFUNCTION("""COMPUTED_VALUE"""),"FemCHECK,性病検査キット,おりもの異常,婦人科医監修")</f>
        <v>FemCHECK,性病検査キット,おりもの異常,婦人科医監修</v>
      </c>
      <c r="E689" s="32" t="str">
        <f>IFERROR(__xludf.DUMMYFUNCTION("""COMPUTED_VALUE"""),"https://luna-dr.com/femcheck/begginer/")</f>
        <v>https://luna-dr.com/femcheck/begginer/</v>
      </c>
    </row>
    <row r="690">
      <c r="A690" s="31" t="str">
        <f>IFERROR(__xludf.DUMMYFUNCTION("""COMPUTED_VALUE"""),"郵送検査はどのような流れで行いますか？/FemCHECKはどのような流れで行いますか？/おりもの検査はどのような流れで行いますか？")</f>
        <v>郵送検査はどのような流れで行いますか？/FemCHECKはどのような流れで行いますか？/おりもの検査はどのような流れで行いますか？</v>
      </c>
      <c r="B690" s="31" t="str">
        <f>IFERROR(__xludf.DUMMYFUNCTION("""COMPUTED_VALUE"""),"FemCHECKでは、①自宅に検査キットが届く、②説明動画に従って検体を採取し24時間以内にポスト投函、③検査機関で解析、④WEBで結果確認、⑤陽性の場合はオンライン診療、という流れで進みます。検体到着後、最短当日に結果が確認できます。※すべての検査結果が揃うまでに、最大で6営業日程度かかる場合があります。")</f>
        <v>FemCHECKでは、①自宅に検査キットが届く、②説明動画に従って検体を採取し24時間以内にポスト投函、③検査機関で解析、④WEBで結果確認、⑤陽性の場合はオンライン診療、という流れで進みます。検体到着後、最短当日に結果が確認できます。※すべての検査結果が揃うまでに、最大で6営業日程度かかる場合があります。</v>
      </c>
      <c r="C690" s="31" t="str">
        <f>IFERROR(__xludf.DUMMYFUNCTION("""COMPUTED_VALUE"""),"郵送検査/FemCHECK")</f>
        <v>郵送検査/FemCHECK</v>
      </c>
      <c r="D690" s="31" t="str">
        <f>IFERROR(__xludf.DUMMYFUNCTION("""COMPUTED_VALUE"""),"検査の流れ,郵送検査,オンライン診療")</f>
        <v>検査の流れ,郵送検査,オンライン診療</v>
      </c>
      <c r="E690" s="32" t="str">
        <f>IFERROR(__xludf.DUMMYFUNCTION("""COMPUTED_VALUE"""),"https://luna-dr.com/femcheck/begginer/")</f>
        <v>https://luna-dr.com/femcheck/begginer/</v>
      </c>
    </row>
    <row r="691">
      <c r="A691" s="31" t="str">
        <f>IFERROR(__xludf.DUMMYFUNCTION("""COMPUTED_VALUE"""),"郵送検査の結果が陽性だった場合はどうなりますか？/FemCHECKの結果が陽性だった場合はどうなりますか？/おりもの検査の結果が陽性だった場合はどうなりますか？")</f>
        <v>郵送検査の結果が陽性だった場合はどうなりますか？/FemCHECKの結果が陽性だった場合はどうなりますか？/おりもの検査の結果が陽性だった場合はどうなりますか？</v>
      </c>
      <c r="B691" s="31" t="str">
        <f>IFERROR(__xludf.DUMMYFUNCTION("""COMPUTED_VALUE"""),"検査結果が陽性だった場合は、WEB上の案内からオンライン診療を受診できます。医師の判断によりお薬が処方され、決済後にご自宅へ郵送されます。通院不要で治療まで完結しますが、症状によっては来院をお願いする場合があります。")</f>
        <v>検査結果が陽性だった場合は、WEB上の案内からオンライン診療を受診できます。医師の判断によりお薬が処方され、決済後にご自宅へ郵送されます。通院不要で治療まで完結しますが、症状によっては来院をお願いする場合があります。</v>
      </c>
      <c r="C691" s="31" t="str">
        <f>IFERROR(__xludf.DUMMYFUNCTION("""COMPUTED_VALUE"""),"郵送検査/FemCHECK")</f>
        <v>郵送検査/FemCHECK</v>
      </c>
      <c r="D691" s="31" t="str">
        <f>IFERROR(__xludf.DUMMYFUNCTION("""COMPUTED_VALUE"""),"陽性,オンライン診療,薬の処方,自宅治療")</f>
        <v>陽性,オンライン診療,薬の処方,自宅治療</v>
      </c>
      <c r="E691" s="32" t="str">
        <f>IFERROR(__xludf.DUMMYFUNCTION("""COMPUTED_VALUE"""),"https://luna-dr.com/femcheck/begginer/")</f>
        <v>https://luna-dr.com/femcheck/begginer/</v>
      </c>
    </row>
    <row r="692">
      <c r="A692" s="31" t="str">
        <f>IFERROR(__xludf.DUMMYFUNCTION("""COMPUTED_VALUE"""),"郵送検査はプライバシーは守られますか？/FemCHECKはプライバシーは守られますか？/おりもの検査はプライバシーは守られますか？")</f>
        <v>郵送検査はプライバシーは守られますか？/FemCHECKはプライバシーは守られますか？/おりもの検査はプライバシーは守られますか？</v>
      </c>
      <c r="B692" s="31" t="str">
        <f>IFERROR(__xludf.DUMMYFUNCTION("""COMPUTED_VALUE"""),"FemCHECKでは、性感染症検査という特性を踏まえ、外見から中身が分からないプライバシーに配慮した梱包・配送を行っています。ご家族や同居人、周囲の方に知られる心配なくご利用いただけます。")</f>
        <v>FemCHECKでは、性感染症検査という特性を踏まえ、外見から中身が分からないプライバシーに配慮した梱包・配送を行っています。ご家族や同居人、周囲の方に知られる心配なくご利用いただけます。</v>
      </c>
      <c r="C692" s="31" t="str">
        <f>IFERROR(__xludf.DUMMYFUNCTION("""COMPUTED_VALUE"""),"郵送検査/FemCHECK")</f>
        <v>郵送検査/FemCHECK</v>
      </c>
      <c r="D692" s="31" t="str">
        <f>IFERROR(__xludf.DUMMYFUNCTION("""COMPUTED_VALUE"""),"プライバシー,匿名配送,郵送検査")</f>
        <v>プライバシー,匿名配送,郵送検査</v>
      </c>
      <c r="E692" s="32" t="str">
        <f>IFERROR(__xludf.DUMMYFUNCTION("""COMPUTED_VALUE"""),"https://luna-dr.com/femcheck/begginer/")</f>
        <v>https://luna-dr.com/femcheck/begginer/</v>
      </c>
    </row>
    <row r="693">
      <c r="A693" s="31" t="str">
        <f>IFERROR(__xludf.DUMMYFUNCTION("""COMPUTED_VALUE"""),"郵送検査は注文してからどのくらいで結果が分かりますか？/FemCHECKは注文してからどのくらいで結果が分かりますか？/おりもの検査は注文してからどのくらいで結果が分かりますか？")</f>
        <v>郵送検査は注文してからどのくらいで結果が分かりますか？/FemCHECKは注文してからどのくらいで結果が分かりますか？/おりもの検査は注文してからどのくらいで結果が分かりますか？</v>
      </c>
      <c r="B693" s="31" t="str">
        <f>IFERROR(__xludf.DUMMYFUNCTION("""COMPUTED_VALUE"""),"返送された検体が検査機関に到着後、最短当日に検査結果をWEBで確認できます。すべての検査結果が揃うまでに、最大で6営業日程度かかる場合があります。検査結果は、当院の検査結果確認サイトからご確認いただけます。こちらのURLにアクセスしてください。https://result.luna-dr.com/clinic_login 患者番号は、会計時にお渡ししている領収書に記載のある10桁の番号となります。")</f>
        <v>返送された検体が検査機関に到着後、最短当日に検査結果をWEBで確認できます。すべての検査結果が揃うまでに、最大で6営業日程度かかる場合があります。検査結果は、当院の検査結果確認サイトからご確認いただけます。こちらのURLにアクセスしてください。https://result.luna-dr.com/clinic_login 患者番号は、会計時にお渡ししている領収書に記載のある10桁の番号となります。</v>
      </c>
      <c r="C693" s="31" t="str">
        <f>IFERROR(__xludf.DUMMYFUNCTION("""COMPUTED_VALUE"""),"郵送検査/FemCHECK")</f>
        <v>郵送検査/FemCHECK</v>
      </c>
      <c r="D693" s="31" t="str">
        <f>IFERROR(__xludf.DUMMYFUNCTION("""COMPUTED_VALUE"""),"検査結果,所要日数,郵送検査")</f>
        <v>検査結果,所要日数,郵送検査</v>
      </c>
      <c r="E693" s="32" t="str">
        <f>IFERROR(__xludf.DUMMYFUNCTION("""COMPUTED_VALUE"""),"https://luna-dr.com/femcheck/begginer/")</f>
        <v>https://luna-dr.com/femcheck/begginer/</v>
      </c>
    </row>
    <row r="694">
      <c r="A694" s="31" t="str">
        <f>IFERROR(__xludf.DUMMYFUNCTION("""COMPUTED_VALUE"""),"郵送検査は生理中でも検査は受けられますか？/FemCHECKは生理中でも検査は受けられますか？/おりもの検査は生理中でも検査は受けられますか？")</f>
        <v>郵送検査は生理中でも検査は受けられますか？/FemCHECKは生理中でも検査は受けられますか？/おりもの検査は生理中でも検査は受けられますか？</v>
      </c>
      <c r="B694" s="31" t="str">
        <f>IFERROR(__xludf.DUMMYFUNCTION("""COMPUTED_VALUE"""),"生理中でも検査は可能ですが、経血量が多い時期は検査精度に影響する可能性があるため、可能な限り避けていただくことをおすすめしています。")</f>
        <v>生理中でも検査は可能ですが、経血量が多い時期は検査精度に影響する可能性があるため、可能な限り避けていただくことをおすすめしています。</v>
      </c>
      <c r="C694" s="31" t="str">
        <f>IFERROR(__xludf.DUMMYFUNCTION("""COMPUTED_VALUE"""),"郵送検査/FemCHECK")</f>
        <v>郵送検査/FemCHECK</v>
      </c>
      <c r="D694" s="31" t="str">
        <f>IFERROR(__xludf.DUMMYFUNCTION("""COMPUTED_VALUE"""),"生理中,おりもの検査,郵送検査")</f>
        <v>生理中,おりもの検査,郵送検査</v>
      </c>
      <c r="E694" s="32" t="str">
        <f>IFERROR(__xludf.DUMMYFUNCTION("""COMPUTED_VALUE"""),"https://luna-dr.com/femcheck/begginer/")</f>
        <v>https://luna-dr.com/femcheck/begginer/</v>
      </c>
    </row>
    <row r="695">
      <c r="A695" s="31" t="str">
        <f>IFERROR(__xludf.DUMMYFUNCTION("""COMPUTED_VALUE"""),"郵送検査の検体の採取方法が分かりません/FemCHECKの検体の採取方法が分かりません/おりもの検査の検体の採取方法が分かりません")</f>
        <v>郵送検査の検体の採取方法が分かりません/FemCHECKの検体の採取方法が分かりません/おりもの検査の検体の採取方法が分かりません</v>
      </c>
      <c r="B695" s="31" t="str">
        <f>IFERROR(__xludf.DUMMYFUNCTION("""COMPUTED_VALUE"""),"FemCHECKでは、検査キットに同封された案内および採取方法の説明動画をご用意しています。初めての方でも分かりやすく、簡単に採取できる内容となっています。")</f>
        <v>FemCHECKでは、検査キットに同封された案内および採取方法の説明動画をご用意しています。初めての方でも分かりやすく、簡単に採取できる内容となっています。</v>
      </c>
      <c r="C695" s="31" t="str">
        <f>IFERROR(__xludf.DUMMYFUNCTION("""COMPUTED_VALUE"""),"郵送検査/FemCHECK")</f>
        <v>郵送検査/FemCHECK</v>
      </c>
      <c r="D695" s="31" t="str">
        <f>IFERROR(__xludf.DUMMYFUNCTION("""COMPUTED_VALUE"""),"検体採取,使い方,FemCHECK")</f>
        <v>検体採取,使い方,FemCHECK</v>
      </c>
      <c r="E695" s="32" t="str">
        <f>IFERROR(__xludf.DUMMYFUNCTION("""COMPUTED_VALUE"""),"https://luna-dr.com/femcheck/begginer/")</f>
        <v>https://luna-dr.com/femcheck/begginer/</v>
      </c>
    </row>
    <row r="696">
      <c r="A696" s="31" t="str">
        <f>IFERROR(__xludf.DUMMYFUNCTION("""COMPUTED_VALUE"""),"郵送検査の検査キットに使用期限はありますか？/FemCHECKの検査キットに使用期限はありますか？/おりもの検査の検査キットに使用期限はありますか？")</f>
        <v>郵送検査の検査キットに使用期限はありますか？/FemCHECKの検査キットに使用期限はありますか？/おりもの検査の検査キットに使用期限はありますか？</v>
      </c>
      <c r="B696" s="31" t="str">
        <f>IFERROR(__xludf.DUMMYFUNCTION("""COMPUTED_VALUE"""),"検査キットには使用期限が設定されており、期限は検体に記載されています。必ず使用期限内に採取・返送を行ってください。")</f>
        <v>検査キットには使用期限が設定されており、期限は検体に記載されています。必ず使用期限内に採取・返送を行ってください。</v>
      </c>
      <c r="C696" s="31" t="str">
        <f>IFERROR(__xludf.DUMMYFUNCTION("""COMPUTED_VALUE"""),"郵送検査/FemCHECK")</f>
        <v>郵送検査/FemCHECK</v>
      </c>
      <c r="D696" s="31" t="str">
        <f>IFERROR(__xludf.DUMMYFUNCTION("""COMPUTED_VALUE"""),"使用期限,検査キット,FemCHECK")</f>
        <v>使用期限,検査キット,FemCHECK</v>
      </c>
      <c r="E696" s="32" t="str">
        <f>IFERROR(__xludf.DUMMYFUNCTION("""COMPUTED_VALUE"""),"https://luna-dr.com/femcheck/begginer/")</f>
        <v>https://luna-dr.com/femcheck/begginer/</v>
      </c>
    </row>
    <row r="697">
      <c r="A697" s="31" t="str">
        <f>IFERROR(__xludf.DUMMYFUNCTION("""COMPUTED_VALUE"""),"男性もFemCHECKで検査できますか？")</f>
        <v>男性もFemCHECKで検査できますか？</v>
      </c>
      <c r="B697" s="31" t="str">
        <f>IFERROR(__xludf.DUMMYFUNCTION("""COMPUTED_VALUE"""),"FemCHECKは女性向け検査キットですが、男性向けの性感染症郵送検査キットも別途ご用意しています。詳細はこちらをご確認ください→https://shop.luna-dr.com/?_gl=1*1gzqy87*_gcl_au*MTc3MTM0OTMwNy4xNzY1NTA2ODQx*_ga*OTc3MTM3ODY4LjE3NjU1MDY3NzE.*_ga_5LWNWXJSB3*czE3NjcyNzY3MDQkbzYkZzEkdDE3NjcyNzcwOTckajYwJGwwJGgxNDE3MTIwNTY.")</f>
        <v>FemCHECKは女性向け検査キットですが、男性向けの性感染症郵送検査キットも別途ご用意しています。詳細はこちらをご確認ください→https://shop.luna-dr.com/?_gl=1*1gzqy87*_gcl_au*MTc3MTM0OTMwNy4xNzY1NTA2ODQx*_ga*OTc3MTM3ODY4LjE3NjU1MDY3NzE.*_ga_5LWNWXJSB3*czE3NjcyNzY3MDQkbzYkZzEkdDE3NjcyNzcwOTckajYwJGwwJGgxNDE3MTIwNTY.</v>
      </c>
      <c r="C697" s="31" t="str">
        <f>IFERROR(__xludf.DUMMYFUNCTION("""COMPUTED_VALUE"""),"郵送検査/FemCHECK")</f>
        <v>郵送検査/FemCHECK</v>
      </c>
      <c r="D697" s="31" t="str">
        <f>IFERROR(__xludf.DUMMYFUNCTION("""COMPUTED_VALUE"""),"男性検査,性感染症,郵送検査")</f>
        <v>男性検査,性感染症,郵送検査</v>
      </c>
      <c r="E697" s="32" t="str">
        <f>IFERROR(__xludf.DUMMYFUNCTION("""COMPUTED_VALUE"""),"https://luna-dr.com/femcheck/begginer/")</f>
        <v>https://luna-dr.com/femcheck/begginer/</v>
      </c>
    </row>
    <row r="698">
      <c r="A698" s="31" t="str">
        <f>IFERROR(__xludf.DUMMYFUNCTION("""COMPUTED_VALUE"""),"おりものが多く下腹部が痛みます。考えられる病気はありますか？")</f>
        <v>おりものが多く下腹部が痛みます。考えられる病気はありますか？</v>
      </c>
      <c r="B698" s="31" t="str">
        <f>IFERROR(__xludf.DUMMYFUNCTION("""COMPUTED_VALUE"""),"おりものが多く下腹部痛がある場合、淋病感染症（淋菌）、クラミジアの可能性があります。淋病感染症は、淋菌が子宮頸部に感染して起こる性感染症で、女性は無症状のことも多く、放置すると子宮外妊娠や不妊の原因になることがあります。クラミジアは約80％が無症状で気づきにくく、放置すると卵管炎や卵管障害、着床障害などを引き起こし、不妊の原因となることがあります。個別の症状やお体のご状況については診察にてご確認いただくことをおすすめいたします。当院でのご受診をご希望の場合は、ご予約をお取りの上、クリニックにご受診ください"&amp;"。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f>
        <v>おりものが多く下腹部痛がある場合、淋病感染症（淋菌）、クラミジアの可能性があります。淋病感染症は、淋菌が子宮頸部に感染して起こる性感染症で、女性は無症状のことも多く、放置すると子宮外妊娠や不妊の原因になることがあります。クラミジアは約80％が無症状で気づきにくく、放置すると卵管炎や卵管障害、着床障害などを引き起こし、不妊の原因となることがありま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698" s="31" t="str">
        <f>IFERROR(__xludf.DUMMYFUNCTION("""COMPUTED_VALUE"""),"郵送検査/FemCHECK")</f>
        <v>郵送検査/FemCHECK</v>
      </c>
      <c r="D698" s="31" t="str">
        <f>IFERROR(__xludf.DUMMYFUNCTION("""COMPUTED_VALUE"""),"おりもの多い,下腹部痛,淋病,淋菌,性感染症")</f>
        <v>おりもの多い,下腹部痛,淋病,淋菌,性感染症</v>
      </c>
      <c r="E698" s="32" t="str">
        <f>IFERROR(__xludf.DUMMYFUNCTION("""COMPUTED_VALUE"""),"https://luna-dr.com/femcheck/about/")</f>
        <v>https://luna-dr.com/femcheck/about/</v>
      </c>
    </row>
    <row r="699">
      <c r="A699" s="31" t="str">
        <f>IFERROR(__xludf.DUMMYFUNCTION("""COMPUTED_VALUE"""),"チーズ状のおりものが出ます。考えられる病気は？")</f>
        <v>チーズ状のおりものが出ます。考えられる病気は？</v>
      </c>
      <c r="B699" s="31" t="str">
        <f>IFERROR(__xludf.DUMMYFUNCTION("""COMPUTED_VALUE"""),"おりものの状態の変化は、体からのサインである可能性がありま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amp;"障害の治療、不妊治療、体重100kg以上の方への診療、救急対応（緊急搬送・急性期対応）は行っておりませんのであらかじめご了承くださいませ。")</f>
        <v>おりものの状態の変化は、体からのサインである可能性がありま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699" s="31" t="str">
        <f>IFERROR(__xludf.DUMMYFUNCTION("""COMPUTED_VALUE"""),"郵送検査/FemCHECK")</f>
        <v>郵送検査/FemCHECK</v>
      </c>
      <c r="D699" s="31" t="str">
        <f>IFERROR(__xludf.DUMMYFUNCTION("""COMPUTED_VALUE"""),"チーズ状おりもの,カンジダ,かゆみ,膣炎")</f>
        <v>チーズ状おりもの,カンジダ,かゆみ,膣炎</v>
      </c>
      <c r="E699" s="32" t="str">
        <f>IFERROR(__xludf.DUMMYFUNCTION("""COMPUTED_VALUE"""),"https://luna-dr.com/femcheck/about/")</f>
        <v>https://luna-dr.com/femcheck/about/</v>
      </c>
    </row>
    <row r="700">
      <c r="A700" s="31" t="str">
        <f>IFERROR(__xludf.DUMMYFUNCTION("""COMPUTED_VALUE"""),"性器周辺にかゆみや痛みがあります。何が考えられますか？")</f>
        <v>性器周辺にかゆみや痛みがあります。何が考えられますか？</v>
      </c>
      <c r="B700" s="31" t="str">
        <f>IFERROR(__xludf.DUMMYFUNCTION("""COMPUTED_VALUE"""),"性器周辺のかゆみや痛みは、さまざまな原因が考えられま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amp;"治療、不妊治療、体重100kg以上の方への診療、救急対応（緊急搬送・急性期対応）は行っておりませんのであらかじめご了承くださいませ。")</f>
        <v>性器周辺のかゆみや痛みは、さまざまな原因が考えられま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700" s="31" t="str">
        <f>IFERROR(__xludf.DUMMYFUNCTION("""COMPUTED_VALUE"""),"郵送検査/FemCHECK")</f>
        <v>郵送検査/FemCHECK</v>
      </c>
      <c r="D700" s="31" t="str">
        <f>IFERROR(__xludf.DUMMYFUNCTION("""COMPUTED_VALUE"""),"かゆみ,痛み,細菌性膣症,膣炎")</f>
        <v>かゆみ,痛み,細菌性膣症,膣炎</v>
      </c>
      <c r="E700" s="32" t="str">
        <f>IFERROR(__xludf.DUMMYFUNCTION("""COMPUTED_VALUE"""),"https://luna-dr.com/femcheck/about/")</f>
        <v>https://luna-dr.com/femcheck/about/</v>
      </c>
    </row>
    <row r="701">
      <c r="A701" s="31" t="str">
        <f>IFERROR(__xludf.DUMMYFUNCTION("""COMPUTED_VALUE"""),"下半身が熱く感じます。考えられる性感染症は？")</f>
        <v>下半身が熱く感じます。考えられる性感染症は？</v>
      </c>
      <c r="B701" s="31" t="str">
        <f>IFERROR(__xludf.DUMMYFUNCTION("""COMPUTED_VALUE"""),"下半身の熱感や違和感は、さまざまな原因が考えられま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amp;"療、不妊治療、体重100kg以上の方への診療、救急対応（緊急搬送・急性期対応）は行っておりませんのであらかじめご了承くださいませ。")</f>
        <v>下半身の熱感や違和感は、さまざまな原因が考えられま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701" s="31" t="str">
        <f>IFERROR(__xludf.DUMMYFUNCTION("""COMPUTED_VALUE"""),"郵送検査/FemCHECK")</f>
        <v>郵送検査/FemCHECK</v>
      </c>
      <c r="D701" s="31" t="str">
        <f>IFERROR(__xludf.DUMMYFUNCTION("""COMPUTED_VALUE"""),"下半身が熱い,クラミジア,性感染症")</f>
        <v>下半身が熱い,クラミジア,性感染症</v>
      </c>
      <c r="E701" s="32" t="str">
        <f>IFERROR(__xludf.DUMMYFUNCTION("""COMPUTED_VALUE"""),"https://luna-dr.com/femcheck/about/")</f>
        <v>https://luna-dr.com/femcheck/about/</v>
      </c>
    </row>
    <row r="702">
      <c r="A702" s="31" t="str">
        <f>IFERROR(__xludf.DUMMYFUNCTION("""COMPUTED_VALUE"""),"高熱が出ています。性感染症が原因のことはありますか？")</f>
        <v>高熱が出ています。性感染症が原因のことはありますか？</v>
      </c>
      <c r="B702" s="31" t="str">
        <f>IFERROR(__xludf.DUMMYFUNCTION("""COMPUTED_VALUE"""),"高熱が続く場合は、早めにご受診ください。個別の症状やお体のご状況については診察にてご確認いただくことをおすすめいたします。当院でのご受診をご希望の場合は、ご予約をお取りの上、クリニックにご受診ください。ただし、当院は37.5℃以上の熱がある場合は受診ができませんので、熱が一度下がってからご予約くださいませ。ご予約はLINEで受け付けています。LINEはこちら→https://cline-app.com/qr-codes/98ad6f149bfa20f4f2a9a2e91aac4187/preview　なお"&amp;"、恐れ入りますが、当院では乳房に関する診療（乳がん検診・乳腺外来など）、更年期障害の治療、不妊治療、体重100kg以上の方への診療、救急対応（緊急搬送・急性期対応）は行っておりませんのであらかじめご了承くださいませ。")</f>
        <v>高熱が続く場合は、早めにご受診ください。個別の症状やお体のご状況については診察にてご確認いただくことをおすすめいたします。当院でのご受診をご希望の場合は、ご予約をお取りの上、クリニックにご受診ください。ただし、当院は37.5℃以上の熱がある場合は受診ができませんので、熱が一度下がってからご予約くださいませ。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702" s="31" t="str">
        <f>IFERROR(__xludf.DUMMYFUNCTION("""COMPUTED_VALUE"""),"郵送検査/FemCHECK")</f>
        <v>郵送検査/FemCHECK</v>
      </c>
      <c r="D702" s="31" t="str">
        <f>IFERROR(__xludf.DUMMYFUNCTION("""COMPUTED_VALUE"""),"高熱,クラミジア,性感染症")</f>
        <v>高熱,クラミジア,性感染症</v>
      </c>
      <c r="E702" s="32" t="str">
        <f>IFERROR(__xludf.DUMMYFUNCTION("""COMPUTED_VALUE"""),"https://luna-dr.com/femcheck/about/")</f>
        <v>https://luna-dr.com/femcheck/about/</v>
      </c>
    </row>
    <row r="703">
      <c r="A703" s="31" t="str">
        <f>IFERROR(__xludf.DUMMYFUNCTION("""COMPUTED_VALUE"""),"クラミジアとは何ですか？")</f>
        <v>クラミジアとは何ですか？</v>
      </c>
      <c r="B703" s="31" t="str">
        <f>IFERROR(__xludf.DUMMYFUNCTION("""COMPUTED_VALUE"""),"クラミジアとは、クラミジア・トラコマティスという細菌が原因で起こる性感染症です。主に性交渉によって感染し、女性では無症状のまま進行することが多いのが特徴です。")</f>
        <v>クラミジアとは、クラミジア・トラコマティスという細菌が原因で起こる性感染症です。主に性交渉によって感染し、女性では無症状のまま進行することが多いのが特徴です。</v>
      </c>
      <c r="C703" s="31" t="str">
        <f>IFERROR(__xludf.DUMMYFUNCTION("""COMPUTED_VALUE"""),"郵送検査/FemCHECK")</f>
        <v>郵送検査/FemCHECK</v>
      </c>
      <c r="D703" s="31" t="str">
        <f>IFERROR(__xludf.DUMMYFUNCTION("""COMPUTED_VALUE"""),"クラミジア,性器クラミジア,性感染症,STD")</f>
        <v>クラミジア,性器クラミジア,性感染症,STD</v>
      </c>
      <c r="E703" s="32" t="str">
        <f>IFERROR(__xludf.DUMMYFUNCTION("""COMPUTED_VALUE"""),"https://luna-dr.com/femcheck/about/")</f>
        <v>https://luna-dr.com/femcheck/about/</v>
      </c>
    </row>
    <row r="704">
      <c r="A704" s="31" t="str">
        <f>IFERROR(__xludf.DUMMYFUNCTION("""COMPUTED_VALUE"""),"クラミジアはどんな症状が出ますか？")</f>
        <v>クラミジアはどんな症状が出ますか？</v>
      </c>
      <c r="B704" s="31" t="str">
        <f>IFERROR(__xludf.DUMMYFUNCTION("""COMPUTED_VALUE"""),"クラミジアは女性では約80％が無症状といわれています。症状が出る場合は、おりものの増加、下腹部痛、性交時の痛み、不正出血などがあります。")</f>
        <v>クラミジアは女性では約80％が無症状といわれています。症状が出る場合は、おりものの増加、下腹部痛、性交時の痛み、不正出血などがあります。</v>
      </c>
      <c r="C704" s="31" t="str">
        <f>IFERROR(__xludf.DUMMYFUNCTION("""COMPUTED_VALUE"""),"郵送検査/FemCHECK")</f>
        <v>郵送検査/FemCHECK</v>
      </c>
      <c r="D704" s="31" t="str">
        <f>IFERROR(__xludf.DUMMYFUNCTION("""COMPUTED_VALUE"""),"クラミジア,症状,おりもの,下腹部痛")</f>
        <v>クラミジア,症状,おりもの,下腹部痛</v>
      </c>
      <c r="E704" s="32" t="str">
        <f>IFERROR(__xludf.DUMMYFUNCTION("""COMPUTED_VALUE"""),"https://luna-dr.com/femcheck/about/")</f>
        <v>https://luna-dr.com/femcheck/about/</v>
      </c>
    </row>
    <row r="705">
      <c r="A705" s="31" t="str">
        <f>IFERROR(__xludf.DUMMYFUNCTION("""COMPUTED_VALUE"""),"クラミジアを放置するとどうなりますか？")</f>
        <v>クラミジアを放置するとどうなりますか？</v>
      </c>
      <c r="B705" s="31" t="str">
        <f>IFERROR(__xludf.DUMMYFUNCTION("""COMPUTED_VALUE"""),"クラミジアを放置すると、卵管炎や卵管閉塞を起こし、不妊症や子宮外妊娠の原因になることがあります。")</f>
        <v>クラミジアを放置すると、卵管炎や卵管閉塞を起こし、不妊症や子宮外妊娠の原因になることがあります。</v>
      </c>
      <c r="C705" s="31" t="str">
        <f>IFERROR(__xludf.DUMMYFUNCTION("""COMPUTED_VALUE"""),"郵送検査/FemCHECK")</f>
        <v>郵送検査/FemCHECK</v>
      </c>
      <c r="D705" s="31" t="str">
        <f>IFERROR(__xludf.DUMMYFUNCTION("""COMPUTED_VALUE"""),"クラミジア,放置,不妊,子宮外妊娠")</f>
        <v>クラミジア,放置,不妊,子宮外妊娠</v>
      </c>
      <c r="E705" s="32" t="str">
        <f>IFERROR(__xludf.DUMMYFUNCTION("""COMPUTED_VALUE"""),"https://luna-dr.com/femcheck/about/")</f>
        <v>https://luna-dr.com/femcheck/about/</v>
      </c>
    </row>
    <row r="706">
      <c r="A706" s="31" t="str">
        <f>IFERROR(__xludf.DUMMYFUNCTION("""COMPUTED_VALUE"""),"クラミジアの検査方法を教えてください。")</f>
        <v>クラミジアの検査方法を教えてください。</v>
      </c>
      <c r="B706" s="31" t="str">
        <f>IFERROR(__xludf.DUMMYFUNCTION("""COMPUTED_VALUE"""),"クラミジアの検査は、おりもの検査や尿検査、郵送検査キットなどで行います。症状や状況に応じて適切な方法を選択します。")</f>
        <v>クラミジアの検査は、おりもの検査や尿検査、郵送検査キットなどで行います。症状や状況に応じて適切な方法を選択します。</v>
      </c>
      <c r="C706" s="31" t="str">
        <f>IFERROR(__xludf.DUMMYFUNCTION("""COMPUTED_VALUE"""),"郵送検査/FemCHECK")</f>
        <v>郵送検査/FemCHECK</v>
      </c>
      <c r="D706" s="31" t="str">
        <f>IFERROR(__xludf.DUMMYFUNCTION("""COMPUTED_VALUE"""),"クラミジア検査,おりもの検査,郵送検査")</f>
        <v>クラミジア検査,おりもの検査,郵送検査</v>
      </c>
      <c r="E706" s="32" t="str">
        <f>IFERROR(__xludf.DUMMYFUNCTION("""COMPUTED_VALUE"""),"https://luna-dr.com/femcheck/about/")</f>
        <v>https://luna-dr.com/femcheck/about/</v>
      </c>
    </row>
    <row r="707">
      <c r="A707" s="31" t="str">
        <f>IFERROR(__xludf.DUMMYFUNCTION("""COMPUTED_VALUE"""),"クラミジアは治りますか？")</f>
        <v>クラミジアは治りますか？</v>
      </c>
      <c r="B707" s="31" t="str">
        <f>IFERROR(__xludf.DUMMYFUNCTION("""COMPUTED_VALUE"""),"クラミジアは抗菌薬の内服治療で完治します。ただし、治療後の確認検査を受けることが重要で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amp;"検診・乳腺外来など）、更年期障害の治療、不妊治療、体重100kg以上の方への診療、救急対応（緊急搬送・急性期対応）は行っておりませんのであらかじめご了承くださいませ。")</f>
        <v>クラミジアは抗菌薬の内服治療で完治します。ただし、治療後の確認検査を受けることが重要で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707" s="31" t="str">
        <f>IFERROR(__xludf.DUMMYFUNCTION("""COMPUTED_VALUE"""),"郵送検査/FemCHECK")</f>
        <v>郵送検査/FemCHECK</v>
      </c>
      <c r="D707" s="31" t="str">
        <f>IFERROR(__xludf.DUMMYFUNCTION("""COMPUTED_VALUE"""),"クラミジア,治療,抗菌薬,完治")</f>
        <v>クラミジア,治療,抗菌薬,完治</v>
      </c>
      <c r="E707" s="32" t="str">
        <f>IFERROR(__xludf.DUMMYFUNCTION("""COMPUTED_VALUE"""),"https://luna-dr.com/femcheck/about/")</f>
        <v>https://luna-dr.com/femcheck/about/</v>
      </c>
    </row>
    <row r="708">
      <c r="A708" s="31" t="str">
        <f>IFERROR(__xludf.DUMMYFUNCTION("""COMPUTED_VALUE"""),"クラミジアは自然に治りますか？")</f>
        <v>クラミジアは自然に治りますか？</v>
      </c>
      <c r="B708" s="31" t="str">
        <f>IFERROR(__xludf.DUMMYFUNCTION("""COMPUTED_VALUE"""),"クラミジアは自然に治ることはほとんどありません。適切な抗菌薬による治療が必要です。症状が軽くても、必ず治療を受けることが重要で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amp;"ますが、当院では乳房に関する診療（乳がん検診・乳腺外来など）、更年期障害の治療、不妊治療、体重100kg以上の方への診療、救急対応（緊急搬送・急性期対応）は行っておりませんのであらかじめご了承くださいませ。")</f>
        <v>クラミジアは自然に治ることはほとんどありません。適切な抗菌薬による治療が必要です。症状が軽くても、必ず治療を受けることが重要で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708" s="31" t="str">
        <f>IFERROR(__xludf.DUMMYFUNCTION("""COMPUTED_VALUE"""),"郵送検査/FemCHECK")</f>
        <v>郵送検査/FemCHECK</v>
      </c>
      <c r="D708" s="31" t="str">
        <f>IFERROR(__xludf.DUMMYFUNCTION("""COMPUTED_VALUE"""),"クラミジア,自然治癒,治療")</f>
        <v>クラミジア,自然治癒,治療</v>
      </c>
      <c r="E708" s="32" t="str">
        <f>IFERROR(__xludf.DUMMYFUNCTION("""COMPUTED_VALUE"""),"https://luna-dr.com/femcheck/about/")</f>
        <v>https://luna-dr.com/femcheck/about/</v>
      </c>
    </row>
    <row r="709">
      <c r="A709" s="31" t="str">
        <f>IFERROR(__xludf.DUMMYFUNCTION("""COMPUTED_VALUE"""),"クラミジアは郵送検査でも調べられますか？")</f>
        <v>クラミジアは郵送検査でも調べられますか？</v>
      </c>
      <c r="B709" s="31" t="str">
        <f>IFERROR(__xludf.DUMMYFUNCTION("""COMPUTED_VALUE"""),"クラミジアは郵送検査キットでも調べることが可能です。ご自宅で検体を採取し、結果をWEBで確認できます。陽性の場合はオンライン診療で治療まで対応できます。")</f>
        <v>クラミジアは郵送検査キットでも調べることが可能です。ご自宅で検体を採取し、結果をWEBで確認できます。陽性の場合はオンライン診療で治療まで対応できます。</v>
      </c>
      <c r="C709" s="31" t="str">
        <f>IFERROR(__xludf.DUMMYFUNCTION("""COMPUTED_VALUE"""),"郵送検査/FemCHECK")</f>
        <v>郵送検査/FemCHECK</v>
      </c>
      <c r="D709" s="31" t="str">
        <f>IFERROR(__xludf.DUMMYFUNCTION("""COMPUTED_VALUE"""),"クラミジア,郵送検査,FemCHECK")</f>
        <v>クラミジア,郵送検査,FemCHECK</v>
      </c>
      <c r="E709" s="32" t="str">
        <f>IFERROR(__xludf.DUMMYFUNCTION("""COMPUTED_VALUE"""),"https://luna-dr.com/femcheck/about/")</f>
        <v>https://luna-dr.com/femcheck/about/</v>
      </c>
    </row>
    <row r="710">
      <c r="A710" s="31" t="str">
        <f>IFERROR(__xludf.DUMMYFUNCTION("""COMPUTED_VALUE"""),"クラミジアの治療方法を教えてください。")</f>
        <v>クラミジアの治療方法を教えてください。</v>
      </c>
      <c r="B710" s="31" t="str">
        <f>IFERROR(__xludf.DUMMYFUNCTION("""COMPUTED_VALUE"""),"クラミジアの治療は抗菌薬の内服が基本です。医師の指示通りに服用することで、多くの場合完治します。治療後は治癒確認の検査が重要です。")</f>
        <v>クラミジアの治療は抗菌薬の内服が基本です。医師の指示通りに服用することで、多くの場合完治します。治療後は治癒確認の検査が重要です。</v>
      </c>
      <c r="C710" s="31" t="str">
        <f>IFERROR(__xludf.DUMMYFUNCTION("""COMPUTED_VALUE"""),"郵送検査/FemCHECK")</f>
        <v>郵送検査/FemCHECK</v>
      </c>
      <c r="D710" s="31" t="str">
        <f>IFERROR(__xludf.DUMMYFUNCTION("""COMPUTED_VALUE"""),"クラミジア,治療,抗菌薬")</f>
        <v>クラミジア,治療,抗菌薬</v>
      </c>
      <c r="E710" s="32" t="str">
        <f>IFERROR(__xludf.DUMMYFUNCTION("""COMPUTED_VALUE"""),"https://luna-dr.com/femcheck/about/")</f>
        <v>https://luna-dr.com/femcheck/about/</v>
      </c>
    </row>
    <row r="711">
      <c r="A711" s="31" t="str">
        <f>IFERROR(__xludf.DUMMYFUNCTION("""COMPUTED_VALUE"""),"クラミジアはパートナーも治療が必要ですか？")</f>
        <v>クラミジアはパートナーも治療が必要ですか？</v>
      </c>
      <c r="B711" s="31" t="str">
        <f>IFERROR(__xludf.DUMMYFUNCTION("""COMPUTED_VALUE"""),"クラミジアと診断された場合は、パートナーも同時に検査・治療を受けることが非常に重要です。治療しないと再感染（ピンポン感染）の原因になります。")</f>
        <v>クラミジアと診断された場合は、パートナーも同時に検査・治療を受けることが非常に重要です。治療しないと再感染（ピンポン感染）の原因になります。</v>
      </c>
      <c r="C711" s="31" t="str">
        <f>IFERROR(__xludf.DUMMYFUNCTION("""COMPUTED_VALUE"""),"郵送検査/FemCHECK")</f>
        <v>郵送検査/FemCHECK</v>
      </c>
      <c r="D711" s="31" t="str">
        <f>IFERROR(__xludf.DUMMYFUNCTION("""COMPUTED_VALUE"""),"クラミジア,パートナー,再感染")</f>
        <v>クラミジア,パートナー,再感染</v>
      </c>
      <c r="E711" s="32" t="str">
        <f>IFERROR(__xludf.DUMMYFUNCTION("""COMPUTED_VALUE"""),"https://luna-dr.com/femcheck/about/")</f>
        <v>https://luna-dr.com/femcheck/about/</v>
      </c>
    </row>
    <row r="712">
      <c r="A712" s="31" t="str">
        <f>IFERROR(__xludf.DUMMYFUNCTION("""COMPUTED_VALUE"""),"クラミジアは完治しますか？")</f>
        <v>クラミジアは完治しますか？</v>
      </c>
      <c r="B712" s="31" t="str">
        <f>IFERROR(__xludf.DUMMYFUNCTION("""COMPUTED_VALUE"""),"クラミジアは適切な治療を行えば完治します。ただし、治療後の確認検査を受けずに放置すると、治りきっていない場合がありま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amp;"院では乳房に関する診療（乳がん検診・乳腺外来など）、更年期障害の治療、不妊治療、体重100kg以上の方への診療、救急対応（緊急搬送・急性期対応）は行っておりませんのであらかじめご了承くださいませ。")</f>
        <v>クラミジアは適切な治療を行えば完治します。ただし、治療後の確認検査を受けずに放置すると、治りきっていない場合がありま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712" s="31" t="str">
        <f>IFERROR(__xludf.DUMMYFUNCTION("""COMPUTED_VALUE"""),"郵送検査/FemCHECK")</f>
        <v>郵送検査/FemCHECK</v>
      </c>
      <c r="D712" s="31" t="str">
        <f>IFERROR(__xludf.DUMMYFUNCTION("""COMPUTED_VALUE"""),"クラミジア,完治,治癒確認")</f>
        <v>クラミジア,完治,治癒確認</v>
      </c>
      <c r="E712" s="32" t="str">
        <f>IFERROR(__xludf.DUMMYFUNCTION("""COMPUTED_VALUE"""),"https://luna-dr.com/femcheck/about/")</f>
        <v>https://luna-dr.com/femcheck/about/</v>
      </c>
    </row>
    <row r="713">
      <c r="A713" s="31" t="str">
        <f>IFERROR(__xludf.DUMMYFUNCTION("""COMPUTED_VALUE"""),"淋病とは何ですか？")</f>
        <v>淋病とは何ですか？</v>
      </c>
      <c r="B713" s="31" t="str">
        <f>IFERROR(__xludf.DUMMYFUNCTION("""COMPUTED_VALUE"""),"淋病とは、淋菌という細菌が原因で起こる性感染症です。クラミジアに次いで多い性感染症で、女性では症状が出にくいことがあります。")</f>
        <v>淋病とは、淋菌という細菌が原因で起こる性感染症です。クラミジアに次いで多い性感染症で、女性では症状が出にくいことがあります。</v>
      </c>
      <c r="C713" s="31" t="str">
        <f>IFERROR(__xludf.DUMMYFUNCTION("""COMPUTED_VALUE"""),"郵送検査/FemCHECK")</f>
        <v>郵送検査/FemCHECK</v>
      </c>
      <c r="D713" s="31" t="str">
        <f>IFERROR(__xludf.DUMMYFUNCTION("""COMPUTED_VALUE"""),"淋病,淋菌,性感染症,STD")</f>
        <v>淋病,淋菌,性感染症,STD</v>
      </c>
      <c r="E713" s="32" t="str">
        <f>IFERROR(__xludf.DUMMYFUNCTION("""COMPUTED_VALUE"""),"https://luna-dr.com/femcheck/about/")</f>
        <v>https://luna-dr.com/femcheck/about/</v>
      </c>
    </row>
    <row r="714">
      <c r="A714" s="31" t="str">
        <f>IFERROR(__xludf.DUMMYFUNCTION("""COMPUTED_VALUE"""),"淋病はどんな症状がありますか？")</f>
        <v>淋病はどんな症状がありますか？</v>
      </c>
      <c r="B714" s="31" t="str">
        <f>IFERROR(__xludf.DUMMYFUNCTION("""COMPUTED_VALUE"""),"淋病では、おりものの増加、下腹部痛、排尿時の違和感などがみられることがありますが、女性では無症状のことも少なくありません。")</f>
        <v>淋病では、おりものの増加、下腹部痛、排尿時の違和感などがみられることがありますが、女性では無症状のことも少なくありません。</v>
      </c>
      <c r="C714" s="31" t="str">
        <f>IFERROR(__xludf.DUMMYFUNCTION("""COMPUTED_VALUE"""),"郵送検査/FemCHECK")</f>
        <v>郵送検査/FemCHECK</v>
      </c>
      <c r="D714" s="31" t="str">
        <f>IFERROR(__xludf.DUMMYFUNCTION("""COMPUTED_VALUE"""),"淋病,症状,おりもの,下腹部痛")</f>
        <v>淋病,症状,おりもの,下腹部痛</v>
      </c>
      <c r="E714" s="32" t="str">
        <f>IFERROR(__xludf.DUMMYFUNCTION("""COMPUTED_VALUE"""),"https://luna-dr.com/femcheck/about/")</f>
        <v>https://luna-dr.com/femcheck/about/</v>
      </c>
    </row>
    <row r="715">
      <c r="A715" s="31" t="str">
        <f>IFERROR(__xludf.DUMMYFUNCTION("""COMPUTED_VALUE"""),"淋病を放置するとどうなりますか？")</f>
        <v>淋病を放置するとどうなりますか？</v>
      </c>
      <c r="B715" s="31" t="str">
        <f>IFERROR(__xludf.DUMMYFUNCTION("""COMPUTED_VALUE"""),"淋病を放置すると、子宮や卵管に炎症が広がり、不妊症や子宮外妊娠の原因になることがあります。")</f>
        <v>淋病を放置すると、子宮や卵管に炎症が広がり、不妊症や子宮外妊娠の原因になることがあります。</v>
      </c>
      <c r="C715" s="31" t="str">
        <f>IFERROR(__xludf.DUMMYFUNCTION("""COMPUTED_VALUE"""),"郵送検査/FemCHECK")</f>
        <v>郵送検査/FemCHECK</v>
      </c>
      <c r="D715" s="31" t="str">
        <f>IFERROR(__xludf.DUMMYFUNCTION("""COMPUTED_VALUE"""),"淋病,放置,不妊,子宮外妊娠")</f>
        <v>淋病,放置,不妊,子宮外妊娠</v>
      </c>
      <c r="E715" s="32" t="str">
        <f>IFERROR(__xludf.DUMMYFUNCTION("""COMPUTED_VALUE"""),"https://luna-dr.com/femcheck/about/")</f>
        <v>https://luna-dr.com/femcheck/about/</v>
      </c>
    </row>
    <row r="716">
      <c r="A716" s="31" t="str">
        <f>IFERROR(__xludf.DUMMYFUNCTION("""COMPUTED_VALUE"""),"淋病の検査方法を教えてください。")</f>
        <v>淋病の検査方法を教えてください。</v>
      </c>
      <c r="B716" s="31" t="str">
        <f>IFERROR(__xludf.DUMMYFUNCTION("""COMPUTED_VALUE"""),"淋病の検査は、おりもの検査や尿検査で行います。クラミジアと同時に検査することが一般的です。")</f>
        <v>淋病の検査は、おりもの検査や尿検査で行います。クラミジアと同時に検査することが一般的です。</v>
      </c>
      <c r="C716" s="31" t="str">
        <f>IFERROR(__xludf.DUMMYFUNCTION("""COMPUTED_VALUE"""),"郵送検査/FemCHECK")</f>
        <v>郵送検査/FemCHECK</v>
      </c>
      <c r="D716" s="31" t="str">
        <f>IFERROR(__xludf.DUMMYFUNCTION("""COMPUTED_VALUE"""),"淋病検査,淋菌検査,おりもの検査")</f>
        <v>淋病検査,淋菌検査,おりもの検査</v>
      </c>
      <c r="E716" s="32" t="str">
        <f>IFERROR(__xludf.DUMMYFUNCTION("""COMPUTED_VALUE"""),"https://luna-dr.com/femcheck/about/")</f>
        <v>https://luna-dr.com/femcheck/about/</v>
      </c>
    </row>
    <row r="717">
      <c r="A717" s="31" t="str">
        <f>IFERROR(__xludf.DUMMYFUNCTION("""COMPUTED_VALUE"""),"淋病は治りますか？")</f>
        <v>淋病は治りますか？</v>
      </c>
      <c r="B717" s="31" t="str">
        <f>IFERROR(__xludf.DUMMYFUNCTION("""COMPUTED_VALUE"""),"淋病は適切な抗菌薬による治療で完治します。医師の指示に従って治療を受けることが重要で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amp;"診・乳腺外来など）、更年期障害の治療、不妊治療、体重100kg以上の方への診療、救急対応（緊急搬送・急性期対応）は行っておりませんのであらかじめご了承くださいませ。")</f>
        <v>淋病は適切な抗菌薬による治療で完治します。医師の指示に従って治療を受けることが重要で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717" s="31" t="str">
        <f>IFERROR(__xludf.DUMMYFUNCTION("""COMPUTED_VALUE"""),"郵送検査/FemCHECK")</f>
        <v>郵送検査/FemCHECK</v>
      </c>
      <c r="D717" s="31" t="str">
        <f>IFERROR(__xludf.DUMMYFUNCTION("""COMPUTED_VALUE"""),"淋病,治療,抗菌薬,完治")</f>
        <v>淋病,治療,抗菌薬,完治</v>
      </c>
      <c r="E717" s="32" t="str">
        <f>IFERROR(__xludf.DUMMYFUNCTION("""COMPUTED_VALUE"""),"https://luna-dr.com/femcheck/about/")</f>
        <v>https://luna-dr.com/femcheck/about/</v>
      </c>
    </row>
    <row r="718">
      <c r="A718" s="31" t="str">
        <f>IFERROR(__xludf.DUMMYFUNCTION("""COMPUTED_VALUE"""),"性器カンジダ症とは何ですか？")</f>
        <v>性器カンジダ症とは何ですか？</v>
      </c>
      <c r="B718" s="31" t="str">
        <f>IFERROR(__xludf.DUMMYFUNCTION("""COMPUTED_VALUE"""),"性器カンジダ症とは、膣内に存在するカンジダ菌が異常に増殖して起こる膣の炎症です。性感染症ではありません。")</f>
        <v>性器カンジダ症とは、膣内に存在するカンジダ菌が異常に増殖して起こる膣の炎症です。性感染症ではありません。</v>
      </c>
      <c r="C718" s="31" t="str">
        <f>IFERROR(__xludf.DUMMYFUNCTION("""COMPUTED_VALUE"""),"郵送検査/FemCHECK")</f>
        <v>郵送検査/FemCHECK</v>
      </c>
      <c r="D718" s="31" t="str">
        <f>IFERROR(__xludf.DUMMYFUNCTION("""COMPUTED_VALUE"""),"カンジダ,性器カンジダ,カンジダ膣炎")</f>
        <v>カンジダ,性器カンジダ,カンジダ膣炎</v>
      </c>
      <c r="E718" s="32" t="str">
        <f>IFERROR(__xludf.DUMMYFUNCTION("""COMPUTED_VALUE"""),"https://luna-dr.com/femcheck/about/")</f>
        <v>https://luna-dr.com/femcheck/about/</v>
      </c>
    </row>
    <row r="719">
      <c r="A719" s="31" t="str">
        <f>IFERROR(__xludf.DUMMYFUNCTION("""COMPUTED_VALUE"""),"カンジダ症の症状を教えてください。")</f>
        <v>カンジダ症の症状を教えてください。</v>
      </c>
      <c r="B719" s="31" t="str">
        <f>IFERROR(__xludf.DUMMYFUNCTION("""COMPUTED_VALUE"""),"カンジダ症では、強いかゆみや、白くポロポロしたチーズ状のおりものが出ることがあります。")</f>
        <v>カンジダ症では、強いかゆみや、白くポロポロしたチーズ状のおりものが出ることがあります。</v>
      </c>
      <c r="C719" s="31" t="str">
        <f>IFERROR(__xludf.DUMMYFUNCTION("""COMPUTED_VALUE"""),"郵送検査/FemCHECK")</f>
        <v>郵送検査/FemCHECK</v>
      </c>
      <c r="D719" s="31" t="str">
        <f>IFERROR(__xludf.DUMMYFUNCTION("""COMPUTED_VALUE"""),"カンジダ,症状,かゆみ,おりもの")</f>
        <v>カンジダ,症状,かゆみ,おりもの</v>
      </c>
      <c r="E719" s="32" t="str">
        <f>IFERROR(__xludf.DUMMYFUNCTION("""COMPUTED_VALUE"""),"https://luna-dr.com/femcheck/about/")</f>
        <v>https://luna-dr.com/femcheck/about/</v>
      </c>
    </row>
    <row r="720">
      <c r="A720" s="31" t="str">
        <f>IFERROR(__xludf.DUMMYFUNCTION("""COMPUTED_VALUE"""),"カンジダはなぜ起こりますか？")</f>
        <v>カンジダはなぜ起こりますか？</v>
      </c>
      <c r="B720" s="31" t="str">
        <f>IFERROR(__xludf.DUMMYFUNCTION("""COMPUTED_VALUE"""),"疲労やストレス、抗生物質の使用などで免疫力が低下すると、常在菌であるカンジダが増殖して発症します。")</f>
        <v>疲労やストレス、抗生物質の使用などで免疫力が低下すると、常在菌であるカンジダが増殖して発症します。</v>
      </c>
      <c r="C720" s="31" t="str">
        <f>IFERROR(__xludf.DUMMYFUNCTION("""COMPUTED_VALUE"""),"郵送検査/FemCHECK")</f>
        <v>郵送検査/FemCHECK</v>
      </c>
      <c r="D720" s="31" t="str">
        <f>IFERROR(__xludf.DUMMYFUNCTION("""COMPUTED_VALUE"""),"カンジダ,原因,免疫低下")</f>
        <v>カンジダ,原因,免疫低下</v>
      </c>
      <c r="E720" s="32" t="str">
        <f>IFERROR(__xludf.DUMMYFUNCTION("""COMPUTED_VALUE"""),"https://luna-dr.com/femcheck/about/")</f>
        <v>https://luna-dr.com/femcheck/about/</v>
      </c>
    </row>
    <row r="721">
      <c r="A721" s="31" t="str">
        <f>IFERROR(__xludf.DUMMYFUNCTION("""COMPUTED_VALUE"""),"カンジダ症の検査方法を教えてください。")</f>
        <v>カンジダ症の検査方法を教えてください。</v>
      </c>
      <c r="B721" s="31" t="str">
        <f>IFERROR(__xludf.DUMMYFUNCTION("""COMPUTED_VALUE"""),"カンジダ症は、おりものを採取して顕微鏡検査などで診断します。")</f>
        <v>カンジダ症は、おりものを採取して顕微鏡検査などで診断します。</v>
      </c>
      <c r="C721" s="31" t="str">
        <f>IFERROR(__xludf.DUMMYFUNCTION("""COMPUTED_VALUE"""),"郵送検査/FemCHECK")</f>
        <v>郵送検査/FemCHECK</v>
      </c>
      <c r="D721" s="31" t="str">
        <f>IFERROR(__xludf.DUMMYFUNCTION("""COMPUTED_VALUE"""),"カンジダ検査,おりもの検査")</f>
        <v>カンジダ検査,おりもの検査</v>
      </c>
      <c r="E721" s="32" t="str">
        <f>IFERROR(__xludf.DUMMYFUNCTION("""COMPUTED_VALUE"""),"https://luna-dr.com/femcheck/about/")</f>
        <v>https://luna-dr.com/femcheck/about/</v>
      </c>
    </row>
    <row r="722">
      <c r="A722" s="31" t="str">
        <f>IFERROR(__xludf.DUMMYFUNCTION("""COMPUTED_VALUE"""),"カンジダ症は治りますか？")</f>
        <v>カンジダ症は治りますか？</v>
      </c>
      <c r="B722" s="31" t="str">
        <f>IFERROR(__xludf.DUMMYFUNCTION("""COMPUTED_VALUE"""),"膣錠や内服薬による治療で改善します。再発しやすいため、再発時は早めの受診が大切で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amp;"乳腺外来など）、更年期障害の治療、不妊治療、体重100kg以上の方への診療、救急対応（緊急搬送・急性期対応）は行っておりませんのであらかじめご了承くださいませ。")</f>
        <v>膣錠や内服薬による治療で改善します。再発しやすいため、再発時は早めの受診が大切で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722" s="31" t="str">
        <f>IFERROR(__xludf.DUMMYFUNCTION("""COMPUTED_VALUE"""),"郵送検査/FemCHECK")</f>
        <v>郵送検査/FemCHECK</v>
      </c>
      <c r="D722" s="31" t="str">
        <f>IFERROR(__xludf.DUMMYFUNCTION("""COMPUTED_VALUE"""),"カンジダ,治療,膣錠,再発")</f>
        <v>カンジダ,治療,膣錠,再発</v>
      </c>
      <c r="E722" s="32" t="str">
        <f>IFERROR(__xludf.DUMMYFUNCTION("""COMPUTED_VALUE"""),"https://luna-dr.com/femcheck/about/")</f>
        <v>https://luna-dr.com/femcheck/about/</v>
      </c>
    </row>
    <row r="723">
      <c r="A723" s="31" t="str">
        <f>IFERROR(__xludf.DUMMYFUNCTION("""COMPUTED_VALUE"""),"細菌性膣症とは何ですか？")</f>
        <v>細菌性膣症とは何ですか？</v>
      </c>
      <c r="B723" s="31" t="str">
        <f>IFERROR(__xludf.DUMMYFUNCTION("""COMPUTED_VALUE"""),"細菌性膣症とは、膣内の善玉菌が減少し、雑菌が増えることで起こる膣内環境の乱れです。性感染症ではありません。")</f>
        <v>細菌性膣症とは、膣内の善玉菌が減少し、雑菌が増えることで起こる膣内環境の乱れです。性感染症ではありません。</v>
      </c>
      <c r="C723" s="31" t="str">
        <f>IFERROR(__xludf.DUMMYFUNCTION("""COMPUTED_VALUE"""),"郵送検査/FemCHECK")</f>
        <v>郵送検査/FemCHECK</v>
      </c>
      <c r="D723" s="31" t="str">
        <f>IFERROR(__xludf.DUMMYFUNCTION("""COMPUTED_VALUE"""),"細菌性膣症,細菌性膣炎,膣内環境")</f>
        <v>細菌性膣症,細菌性膣炎,膣内環境</v>
      </c>
      <c r="E723" s="32" t="str">
        <f>IFERROR(__xludf.DUMMYFUNCTION("""COMPUTED_VALUE"""),"https://luna-dr.com/femcheck/about/")</f>
        <v>https://luna-dr.com/femcheck/about/</v>
      </c>
    </row>
    <row r="724">
      <c r="A724" s="31" t="str">
        <f>IFERROR(__xludf.DUMMYFUNCTION("""COMPUTED_VALUE"""),"細菌性膣症の症状を教えてください。")</f>
        <v>細菌性膣症の症状を教えてください。</v>
      </c>
      <c r="B724" s="31" t="str">
        <f>IFERROR(__xludf.DUMMYFUNCTION("""COMPUTED_VALUE"""),"細菌性膣症では、灰色や白色のおりものや、魚が腐ったような生臭いにおいがすることがあります。")</f>
        <v>細菌性膣症では、灰色や白色のおりものや、魚が腐ったような生臭いにおいがすることがあります。</v>
      </c>
      <c r="C724" s="31" t="str">
        <f>IFERROR(__xludf.DUMMYFUNCTION("""COMPUTED_VALUE"""),"郵送検査/FemCHECK")</f>
        <v>郵送検査/FemCHECK</v>
      </c>
      <c r="D724" s="31" t="str">
        <f>IFERROR(__xludf.DUMMYFUNCTION("""COMPUTED_VALUE"""),"細菌性膣症,症状,おりもの,臭い")</f>
        <v>細菌性膣症,症状,おりもの,臭い</v>
      </c>
      <c r="E724" s="32" t="str">
        <f>IFERROR(__xludf.DUMMYFUNCTION("""COMPUTED_VALUE"""),"https://luna-dr.com/femcheck/about/")</f>
        <v>https://luna-dr.com/femcheck/about/</v>
      </c>
    </row>
    <row r="725">
      <c r="A725" s="31" t="str">
        <f>IFERROR(__xludf.DUMMYFUNCTION("""COMPUTED_VALUE"""),"細菌性膣症は放置するとどうなりますか？")</f>
        <v>細菌性膣症は放置するとどうなりますか？</v>
      </c>
      <c r="B725" s="31" t="str">
        <f>IFERROR(__xludf.DUMMYFUNCTION("""COMPUTED_VALUE"""),"細菌性膣症を放置すると、流産や早産のリスクが高まることがありま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amp;"年期障害の治療、不妊治療、体重100kg以上の方への診療、救急対応（緊急搬送・急性期対応）は行っておりませんのであらかじめご了承くださいませ。")</f>
        <v>細菌性膣症を放置すると、流産や早産のリスクが高まることがありま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725" s="31" t="str">
        <f>IFERROR(__xludf.DUMMYFUNCTION("""COMPUTED_VALUE"""),"郵送検査/FemCHECK")</f>
        <v>郵送検査/FemCHECK</v>
      </c>
      <c r="D725" s="31" t="str">
        <f>IFERROR(__xludf.DUMMYFUNCTION("""COMPUTED_VALUE"""),"細菌性膣症,放置,早産,流産")</f>
        <v>細菌性膣症,放置,早産,流産</v>
      </c>
      <c r="E725" s="32" t="str">
        <f>IFERROR(__xludf.DUMMYFUNCTION("""COMPUTED_VALUE"""),"https://luna-dr.com/femcheck/about/")</f>
        <v>https://luna-dr.com/femcheck/about/</v>
      </c>
    </row>
    <row r="726">
      <c r="A726" s="31" t="str">
        <f>IFERROR(__xludf.DUMMYFUNCTION("""COMPUTED_VALUE"""),"細菌性膣症の検査方法を教えてください。")</f>
        <v>細菌性膣症の検査方法を教えてください。</v>
      </c>
      <c r="B726" s="31" t="str">
        <f>IFERROR(__xludf.DUMMYFUNCTION("""COMPUTED_VALUE"""),"細菌性膣症は、おりもの検査により膣内の細菌バランスを調べて診断します。")</f>
        <v>細菌性膣症は、おりもの検査により膣内の細菌バランスを調べて診断します。</v>
      </c>
      <c r="C726" s="31" t="str">
        <f>IFERROR(__xludf.DUMMYFUNCTION("""COMPUTED_VALUE"""),"郵送検査/FemCHECK")</f>
        <v>郵送検査/FemCHECK</v>
      </c>
      <c r="D726" s="31" t="str">
        <f>IFERROR(__xludf.DUMMYFUNCTION("""COMPUTED_VALUE"""),"細菌性膣症検査,おりもの検査")</f>
        <v>細菌性膣症検査,おりもの検査</v>
      </c>
      <c r="E726" s="32" t="str">
        <f>IFERROR(__xludf.DUMMYFUNCTION("""COMPUTED_VALUE"""),"https://luna-dr.com/femcheck/about/")</f>
        <v>https://luna-dr.com/femcheck/about/</v>
      </c>
    </row>
    <row r="727">
      <c r="A727" s="31" t="str">
        <f>IFERROR(__xludf.DUMMYFUNCTION("""COMPUTED_VALUE"""),"細菌性膣症は治りますか？")</f>
        <v>細菌性膣症は治りますか？</v>
      </c>
      <c r="B727" s="31" t="str">
        <f>IFERROR(__xludf.DUMMYFUNCTION("""COMPUTED_VALUE"""),"抗菌薬による治療で改善します。再発しやすいため、生活習慣の見直しも重要で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amp;"など）、更年期障害の治療、不妊治療、体重100kg以上の方への診療、救急対応（緊急搬送・急性期対応）は行っておりませんのであらかじめご了承くださいませ。")</f>
        <v>抗菌薬による治療で改善します。再発しやすいため、生活習慣の見直しも重要で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727" s="31" t="str">
        <f>IFERROR(__xludf.DUMMYFUNCTION("""COMPUTED_VALUE"""),"郵送検査/FemCHECK")</f>
        <v>郵送検査/FemCHECK</v>
      </c>
      <c r="D727" s="31" t="str">
        <f>IFERROR(__xludf.DUMMYFUNCTION("""COMPUTED_VALUE"""),"細菌性膣症,治療,抗菌薬,再発")</f>
        <v>細菌性膣症,治療,抗菌薬,再発</v>
      </c>
      <c r="E727" s="32" t="str">
        <f>IFERROR(__xludf.DUMMYFUNCTION("""COMPUTED_VALUE"""),"https://luna-dr.com/femcheck/about/")</f>
        <v>https://luna-dr.com/femcheck/about/</v>
      </c>
    </row>
    <row r="728">
      <c r="A728" s="31" t="str">
        <f>IFERROR(__xludf.DUMMYFUNCTION("""COMPUTED_VALUE"""),"おりものの様子がいつもと違います。病気でしょうか？")</f>
        <v>おりものの様子がいつもと違います。病気でしょうか？</v>
      </c>
      <c r="B728" s="31" t="str">
        <f>IFERROR(__xludf.DUMMYFUNCTION("""COMPUTED_VALUE"""),"おりものの変化は体からのサインである場合がありま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amp;"、不妊治療、体重100kg以上の方への診療、救急対応（緊急搬送・急性期対応）は行っておりませんのであらかじめご了承くださいませ。")</f>
        <v>おりものの変化は体からのサインである場合がありま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728" s="31" t="str">
        <f>IFERROR(__xludf.DUMMYFUNCTION("""COMPUTED_VALUE"""),"郵送検査/FemCHECK")</f>
        <v>郵送検査/FemCHECK</v>
      </c>
      <c r="D728" s="31" t="str">
        <f>IFERROR(__xludf.DUMMYFUNCTION("""COMPUTED_VALUE"""),"おりもの異常,おりもの 色,おりもの かゆみ,性感染症")</f>
        <v>おりもの異常,おりもの 色,おりもの かゆみ,性感染症</v>
      </c>
      <c r="E728" s="32" t="str">
        <f>IFERROR(__xludf.DUMMYFUNCTION("""COMPUTED_VALUE"""),"https://luna-dr.com/femcheck/about/")</f>
        <v>https://luna-dr.com/femcheck/about/</v>
      </c>
    </row>
    <row r="729">
      <c r="A729" s="31" t="str">
        <f>IFERROR(__xludf.DUMMYFUNCTION("""COMPUTED_VALUE"""),"いろいろな性感染症について詳しく知りたいです。")</f>
        <v>いろいろな性感染症について詳しく知りたいです。</v>
      </c>
      <c r="B729" s="31" t="str">
        <f>IFERROR(__xludf.DUMMYFUNCTION("""COMPUTED_VALUE"""),"性感染症は正しい知識を知ることで、早期発見や予防につなげることができます。当院では、クラミジアや淋菌などの性感染症や関連する病気について、分かりやすく解説しています。")</f>
        <v>性感染症は正しい知識を知ることで、早期発見や予防につなげることができます。当院では、クラミジアや淋菌などの性感染症や関連する病気について、分かりやすく解説しています。</v>
      </c>
      <c r="C729" s="31" t="str">
        <f>IFERROR(__xludf.DUMMYFUNCTION("""COMPUTED_VALUE"""),"郵送検査/FemCHECK")</f>
        <v>郵送検査/FemCHECK</v>
      </c>
      <c r="D729" s="31" t="str">
        <f>IFERROR(__xludf.DUMMYFUNCTION("""COMPUTED_VALUE"""),"性感染症,性病 種類,STD 解説")</f>
        <v>性感染症,性病 種類,STD 解説</v>
      </c>
      <c r="E729" s="32" t="str">
        <f>IFERROR(__xludf.DUMMYFUNCTION("""COMPUTED_VALUE"""),"https://luna-dr.com/femcheck/about/")</f>
        <v>https://luna-dr.com/femcheck/about/</v>
      </c>
    </row>
    <row r="730">
      <c r="A730" s="31" t="str">
        <f>IFERROR(__xludf.DUMMYFUNCTION("""COMPUTED_VALUE"""),"症状がなければ、性感染症の検査は必要ないですか？")</f>
        <v>症状がなければ、性感染症の検査は必要ないですか？</v>
      </c>
      <c r="B730" s="31" t="str">
        <f>IFERROR(__xludf.DUMMYFUNCTION("""COMPUTED_VALUE"""),"性感染症は、感染していても症状が出にくいことが多く、自覚がないまま進行する場合があります。気づかないうちにパートナーへ感染させたり、不妊症の原因になることもあるため、感染の機会があった場合は症状がなくても検査を受けることが大切で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amp;"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f>
        <v>性感染症は、感染していても症状が出にくいことが多く、自覚がないまま進行する場合があります。気づかないうちにパートナーへ感染させたり、不妊症の原因になることもあるため、感染の機会があった場合は症状がなくても検査を受けることが大切で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730" s="31" t="str">
        <f>IFERROR(__xludf.DUMMYFUNCTION("""COMPUTED_VALUE"""),"郵送検査/FemCHECK")</f>
        <v>郵送検査/FemCHECK</v>
      </c>
      <c r="D730" s="31" t="str">
        <f>IFERROR(__xludf.DUMMYFUNCTION("""COMPUTED_VALUE"""),"性感染症 検査,無症状 性病,STD 検査")</f>
        <v>性感染症 検査,無症状 性病,STD 検査</v>
      </c>
      <c r="E730" s="32" t="str">
        <f>IFERROR(__xludf.DUMMYFUNCTION("""COMPUTED_VALUE"""),"https://luna-dr.com/femcheck/about/")</f>
        <v>https://luna-dr.com/femcheck/about/</v>
      </c>
    </row>
    <row r="731">
      <c r="A731" s="31" t="str">
        <f>IFERROR(__xludf.DUMMYFUNCTION("""COMPUTED_VALUE"""),"パートナーが性感染症に感染しました。自分はどうすればよいですか？")</f>
        <v>パートナーが性感染症に感染しました。自分はどうすればよいですか？</v>
      </c>
      <c r="B731" s="31" t="str">
        <f>IFERROR(__xludf.DUMMYFUNCTION("""COMPUTED_VALUE"""),"性感染症は、精液や腟分泌液、血液などを介して感染します。コンドームなどの予防をしていなかった場合は、ご自身も感染している可能性があるため、検査を受けることをおすすめします。")</f>
        <v>性感染症は、精液や腟分泌液、血液などを介して感染します。コンドームなどの予防をしていなかった場合は、ご自身も感染している可能性があるため、検査を受けることをおすすめします。</v>
      </c>
      <c r="C731" s="31" t="str">
        <f>IFERROR(__xludf.DUMMYFUNCTION("""COMPUTED_VALUE"""),"郵送検査/FemCHECK")</f>
        <v>郵送検査/FemCHECK</v>
      </c>
      <c r="D731" s="31" t="str">
        <f>IFERROR(__xludf.DUMMYFUNCTION("""COMPUTED_VALUE"""),"パートナー 性病,性感染症 感染,検査")</f>
        <v>パートナー 性病,性感染症 感染,検査</v>
      </c>
      <c r="E731" s="32" t="str">
        <f>IFERROR(__xludf.DUMMYFUNCTION("""COMPUTED_VALUE"""),"https://luna-dr.com/femcheck/about/")</f>
        <v>https://luna-dr.com/femcheck/about/</v>
      </c>
    </row>
    <row r="732">
      <c r="A732" s="31" t="str">
        <f>IFERROR(__xludf.DUMMYFUNCTION("""COMPUTED_VALUE"""),"陽性だった場合、検査結果を病院に持参すれば再検査は不要ですか？")</f>
        <v>陽性だった場合、検査結果を病院に持参すれば再検査は不要ですか？</v>
      </c>
      <c r="B732" s="31" t="str">
        <f>IFERROR(__xludf.DUMMYFUNCTION("""COMPUTED_VALUE"""),"FemCHECKがご紹介する提携医療機関で診療を受ける場合、原則として再検査は不要です。ただし、他の医療機関で治療を受ける場合は、医師の判断により再検査を行うことがあります。")</f>
        <v>FemCHECKがご紹介する提携医療機関で診療を受ける場合、原則として再検査は不要です。ただし、他の医療機関で治療を受ける場合は、医師の判断により再検査を行うことがあります。</v>
      </c>
      <c r="C732" s="31" t="str">
        <f>IFERROR(__xludf.DUMMYFUNCTION("""COMPUTED_VALUE"""),"郵送検査/FemCHECK")</f>
        <v>郵送検査/FemCHECK</v>
      </c>
      <c r="D732" s="31" t="str">
        <f>IFERROR(__xludf.DUMMYFUNCTION("""COMPUTED_VALUE"""),"性病 陽性,再検査,検査結果")</f>
        <v>性病 陽性,再検査,検査結果</v>
      </c>
      <c r="E732" s="32" t="str">
        <f>IFERROR(__xludf.DUMMYFUNCTION("""COMPUTED_VALUE"""),"https://luna-dr.com/femcheck/about/")</f>
        <v>https://luna-dr.com/femcheck/about/</v>
      </c>
    </row>
    <row r="733">
      <c r="A733" s="31" t="str">
        <f>IFERROR(__xludf.DUMMYFUNCTION("""COMPUTED_VALUE"""),"共同浴場の椅子で性感染症にうつることはありますか？")</f>
        <v>共同浴場の椅子で性感染症にうつることはありますか？</v>
      </c>
      <c r="B733" s="31" t="str">
        <f>IFERROR(__xludf.DUMMYFUNCTION("""COMPUTED_VALUE"""),"性感染症は、病原体を含む精液や腟分泌液、血液などが粘膜や皮膚に接触することで感染します。そのため、一般的に共同浴場の椅子で感染することは考えられていません。")</f>
        <v>性感染症は、病原体を含む精液や腟分泌液、血液などが粘膜や皮膚に接触することで感染します。そのため、一般的に共同浴場の椅子で感染することは考えられていません。</v>
      </c>
      <c r="C733" s="31" t="str">
        <f>IFERROR(__xludf.DUMMYFUNCTION("""COMPUTED_VALUE"""),"郵送検査/FemCHECK")</f>
        <v>郵送検査/FemCHECK</v>
      </c>
      <c r="D733" s="31" t="str">
        <f>IFERROR(__xludf.DUMMYFUNCTION("""COMPUTED_VALUE"""),"性感染症 うつる,温泉 性病,感染経路")</f>
        <v>性感染症 うつる,温泉 性病,感染経路</v>
      </c>
      <c r="E733" s="32" t="str">
        <f>IFERROR(__xludf.DUMMYFUNCTION("""COMPUTED_VALUE"""),"https://luna-dr.com/femcheck/about/")</f>
        <v>https://luna-dr.com/femcheck/about/</v>
      </c>
    </row>
    <row r="734">
      <c r="A734" s="31" t="str">
        <f>IFERROR(__xludf.DUMMYFUNCTION("""COMPUTED_VALUE"""),"使用したホテルの玩具が消毒されていなかったら感染しますか？")</f>
        <v>使用したホテルの玩具が消毒されていなかったら感染しますか？</v>
      </c>
      <c r="B734" s="31" t="str">
        <f>IFERROR(__xludf.DUMMYFUNCTION("""COMPUTED_VALUE"""),"性感染症は、精液や腟分泌液などが粘膜に直接触れることで感染します。一般的には、消毒されていない玩具から感染する可能性は低いと考えられますが、気になる場合は使用前に洗浄することをおすすめします。")</f>
        <v>性感染症は、精液や腟分泌液などが粘膜に直接触れることで感染します。一般的には、消毒されていない玩具から感染する可能性は低いと考えられますが、気になる場合は使用前に洗浄することをおすすめします。</v>
      </c>
      <c r="C734" s="31" t="str">
        <f>IFERROR(__xludf.DUMMYFUNCTION("""COMPUTED_VALUE"""),"郵送検査/FemCHECK")</f>
        <v>郵送検査/FemCHECK</v>
      </c>
      <c r="D734" s="31" t="str">
        <f>IFERROR(__xludf.DUMMYFUNCTION("""COMPUTED_VALUE"""),"性病 感染経路,玩具 性病,STD")</f>
        <v>性病 感染経路,玩具 性病,STD</v>
      </c>
      <c r="E734" s="32" t="str">
        <f>IFERROR(__xludf.DUMMYFUNCTION("""COMPUTED_VALUE"""),"https://luna-dr.com/femcheck/about/")</f>
        <v>https://luna-dr.com/femcheck/about/</v>
      </c>
    </row>
    <row r="735">
      <c r="A735" s="31" t="str">
        <f>IFERROR(__xludf.DUMMYFUNCTION("""COMPUTED_VALUE"""),"感染を予防するためには何をすればいいですか？")</f>
        <v>感染を予防するためには何をすればいいですか？</v>
      </c>
      <c r="B735" s="31" t="str">
        <f>IFERROR(__xludf.DUMMYFUNCTION("""COMPUTED_VALUE"""),"最も現実的で効果的な予防方法は、コンドームを正しく使用することです。また、性行為の相手を限定することも感染リスクを下げることにつながります。")</f>
        <v>最も現実的で効果的な予防方法は、コンドームを正しく使用することです。また、性行為の相手を限定することも感染リスクを下げることにつながります。</v>
      </c>
      <c r="C735" s="31" t="str">
        <f>IFERROR(__xludf.DUMMYFUNCTION("""COMPUTED_VALUE"""),"郵送検査/FemCHECK")</f>
        <v>郵送検査/FemCHECK</v>
      </c>
      <c r="D735" s="31" t="str">
        <f>IFERROR(__xludf.DUMMYFUNCTION("""COMPUTED_VALUE"""),"性感染症 予防,コンドーム,性病 防止")</f>
        <v>性感染症 予防,コンドーム,性病 防止</v>
      </c>
      <c r="E735" s="32" t="str">
        <f>IFERROR(__xludf.DUMMYFUNCTION("""COMPUTED_VALUE"""),"https://luna-dr.com/femcheck/about/")</f>
        <v>https://luna-dr.com/femcheck/about/</v>
      </c>
    </row>
    <row r="736">
      <c r="A736" s="31" t="str">
        <f>IFERROR(__xludf.DUMMYFUNCTION("""COMPUTED_VALUE"""),"妊娠したら子どもにも感染しますか？")</f>
        <v>妊娠したら子どもにも感染しますか？</v>
      </c>
      <c r="B736" s="31" t="str">
        <f>IFERROR(__xludf.DUMMYFUNCTION("""COMPUTED_VALUE"""),"妊娠中に性感染症に感染している場合、赤ちゃんに感染することがあります。妊婦健診では性感染症の検査も行われますので、必ず定期的に健診を受けましょう。")</f>
        <v>妊娠中に性感染症に感染している場合、赤ちゃんに感染することがあります。妊婦健診では性感染症の検査も行われますので、必ず定期的に健診を受けましょう。</v>
      </c>
      <c r="C736" s="31" t="str">
        <f>IFERROR(__xludf.DUMMYFUNCTION("""COMPUTED_VALUE"""),"郵送検査/FemCHECK")</f>
        <v>郵送検査/FemCHECK</v>
      </c>
      <c r="D736" s="31" t="str">
        <f>IFERROR(__xludf.DUMMYFUNCTION("""COMPUTED_VALUE"""),"妊娠 性感染症,母子感染,妊婦健診")</f>
        <v>妊娠 性感染症,母子感染,妊婦健診</v>
      </c>
      <c r="E736" s="32" t="str">
        <f>IFERROR(__xludf.DUMMYFUNCTION("""COMPUTED_VALUE"""),"https://luna-dr.com/femcheck/about/")</f>
        <v>https://luna-dr.com/femcheck/about/</v>
      </c>
    </row>
    <row r="737">
      <c r="A737" s="31" t="str">
        <f>IFERROR(__xludf.DUMMYFUNCTION("""COMPUTED_VALUE"""),"同性との性行為でも感染することはありますか？")</f>
        <v>同性との性行為でも感染することはありますか？</v>
      </c>
      <c r="B737" s="31" t="str">
        <f>IFERROR(__xludf.DUMMYFUNCTION("""COMPUTED_VALUE"""),"あります。性感染症は粘膜同士の接触や体液を介して感染するため、男性同士・女性同士の性行為であっても感染する可能性がありま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amp;"、当院では乳房に関する診療（乳がん検診・乳腺外来など）、更年期障害の治療、不妊治療、体重100kg以上の方への診療、救急対応（緊急搬送・急性期対応）は行っておりませんのであらかじめご了承くださいませ。")</f>
        <v>あります。性感染症は粘膜同士の接触や体液を介して感染するため、男性同士・女性同士の性行為であっても感染する可能性がありま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737" s="31" t="str">
        <f>IFERROR(__xludf.DUMMYFUNCTION("""COMPUTED_VALUE"""),"郵送検査/FemCHECK")</f>
        <v>郵送検査/FemCHECK</v>
      </c>
      <c r="D737" s="31" t="str">
        <f>IFERROR(__xludf.DUMMYFUNCTION("""COMPUTED_VALUE"""),"同性 性病,性感染症 同性,STD")</f>
        <v>同性 性病,性感染症 同性,STD</v>
      </c>
      <c r="E737" s="32" t="str">
        <f>IFERROR(__xludf.DUMMYFUNCTION("""COMPUTED_VALUE"""),"https://luna-dr.com/femcheck/about/")</f>
        <v>https://luna-dr.com/femcheck/about/</v>
      </c>
    </row>
    <row r="738">
      <c r="A738" s="31" t="str">
        <f>IFERROR(__xludf.DUMMYFUNCTION("""COMPUTED_VALUE"""),"パートナーが1人だけでも性感染症に感染することはありますか？")</f>
        <v>パートナーが1人だけでも性感染症に感染することはありますか？</v>
      </c>
      <c r="B738" s="31" t="str">
        <f>IFERROR(__xludf.DUMMYFUNCTION("""COMPUTED_VALUE"""),"お互いに検査を受け、感染していないことが確認できていれば感染の可能性は低いですが、確認ができていない場合は、パートナーが1人でも感染する可能性はありま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amp;"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f>
        <v>お互いに検査を受け、感染していないことが確認できていれば感染の可能性は低いですが、確認ができていない場合は、パートナーが1人でも感染する可能性はありま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738" s="31" t="str">
        <f>IFERROR(__xludf.DUMMYFUNCTION("""COMPUTED_VALUE"""),"郵送検査/FemCHECK")</f>
        <v>郵送検査/FemCHECK</v>
      </c>
      <c r="D738" s="31" t="str">
        <f>IFERROR(__xludf.DUMMYFUNCTION("""COMPUTED_VALUE"""),"性病 パートナー1人,性感染症 リスク")</f>
        <v>性病 パートナー1人,性感染症 リスク</v>
      </c>
      <c r="E738" s="32" t="str">
        <f>IFERROR(__xludf.DUMMYFUNCTION("""COMPUTED_VALUE"""),"https://luna-dr.com/femcheck/about/")</f>
        <v>https://luna-dr.com/femcheck/about/</v>
      </c>
    </row>
    <row r="739">
      <c r="A739" s="31" t="str">
        <f>IFERROR(__xludf.DUMMYFUNCTION("""COMPUTED_VALUE"""),"郵送検査はいつ発送されますか？/FemCHECKはいつ発送されますか？/おりもの検査はいつ発送されますか？")</f>
        <v>郵送検査はいつ発送されますか？/FemCHECKはいつ発送されますか？/おりもの検査はいつ発送されますか？</v>
      </c>
      <c r="B739" s="31" t="str">
        <f>IFERROR(__xludf.DUMMYFUNCTION("""COMPUTED_VALUE"""),"14時までにご注文いただいた場合は、当日中に発送いたします。14時以降のご注文は翌日の発送となります。なお、年末年始は発送を行っておりませんので、あらかじめご了承ください。")</f>
        <v>14時までにご注文いただいた場合は、当日中に発送いたします。14時以降のご注文は翌日の発送となります。なお、年末年始は発送を行っておりませんので、あらかじめご了承ください。</v>
      </c>
      <c r="C739" s="31" t="str">
        <f>IFERROR(__xludf.DUMMYFUNCTION("""COMPUTED_VALUE"""),"郵送検査/FemCHECK")</f>
        <v>郵送検査/FemCHECK</v>
      </c>
      <c r="D739" s="31" t="str">
        <f>IFERROR(__xludf.DUMMYFUNCTION("""COMPUTED_VALUE"""),"郵送検査 発送,FemCHECK 発送,おりもの検査 配送")</f>
        <v>郵送検査 発送,FemCHECK 発送,おりもの検査 配送</v>
      </c>
      <c r="E739" s="32" t="str">
        <f>IFERROR(__xludf.DUMMYFUNCTION("""COMPUTED_VALUE"""),"https://luna-dr.com/femcheck/deliver/")</f>
        <v>https://luna-dr.com/femcheck/deliver/</v>
      </c>
    </row>
    <row r="740">
      <c r="A740" s="31" t="str">
        <f>IFERROR(__xludf.DUMMYFUNCTION("""COMPUTED_VALUE"""),"郵送検査を土日や祝日に注文した場合はどうなりますか？/FemCHECKを土日や祝日に注文した場合はどうなりますか？/おりもの検査を土日や祝日に注文した場合はどうなりますか？")</f>
        <v>郵送検査を土日や祝日に注文した場合はどうなりますか？/FemCHECKを土日や祝日に注文した場合はどうなりますか？/おりもの検査を土日や祝日に注文した場合はどうなりますか？</v>
      </c>
      <c r="B740" s="31" t="str">
        <f>IFERROR(__xludf.DUMMYFUNCTION("""COMPUTED_VALUE"""),"土日・祝日に14時までにご注文いただいた場合も、原則として当日発送となります。14時以降のご注文は翌日の発送となります。")</f>
        <v>土日・祝日に14時までにご注文いただいた場合も、原則として当日発送となります。14時以降のご注文は翌日の発送となります。</v>
      </c>
      <c r="C740" s="31" t="str">
        <f>IFERROR(__xludf.DUMMYFUNCTION("""COMPUTED_VALUE"""),"郵送検査/FemCHECK")</f>
        <v>郵送検査/FemCHECK</v>
      </c>
      <c r="D740" s="31" t="str">
        <f>IFERROR(__xludf.DUMMYFUNCTION("""COMPUTED_VALUE"""),"土日 発送,祝日 発送,検査キット 配送")</f>
        <v>土日 発送,祝日 発送,検査キット 配送</v>
      </c>
      <c r="E740" s="32" t="str">
        <f>IFERROR(__xludf.DUMMYFUNCTION("""COMPUTED_VALUE"""),"https://luna-dr.com/femcheck/deliver/")</f>
        <v>https://luna-dr.com/femcheck/deliver/</v>
      </c>
    </row>
    <row r="741">
      <c r="A741" s="31" t="str">
        <f>IFERROR(__xludf.DUMMYFUNCTION("""COMPUTED_VALUE"""),"郵送検査を14時以降に注文した場合はどうなりますか？/FemCHECKを14時以降に注文した場合はどうなりますか？/おりもの検査を14時以降に注文した場合はどうなりますか？")</f>
        <v>郵送検査を14時以降に注文した場合はどうなりますか？/FemCHECKを14時以降に注文した場合はどうなりますか？/おりもの検査を14時以降に注文した場合はどうなりますか？</v>
      </c>
      <c r="B741" s="31" t="str">
        <f>IFERROR(__xludf.DUMMYFUNCTION("""COMPUTED_VALUE"""),"14時以降にご注文いただいた場合は、翌日の発送となります。お急ぎの場合は、14時までのご注文をおすすめします。")</f>
        <v>14時以降にご注文いただいた場合は、翌日の発送となります。お急ぎの場合は、14時までのご注文をおすすめします。</v>
      </c>
      <c r="C741" s="31" t="str">
        <f>IFERROR(__xludf.DUMMYFUNCTION("""COMPUTED_VALUE"""),"郵送検査/FemCHECK")</f>
        <v>郵送検査/FemCHECK</v>
      </c>
      <c r="D741" s="31" t="str">
        <f>IFERROR(__xludf.DUMMYFUNCTION("""COMPUTED_VALUE"""),"14時以降 注文,翌日発送")</f>
        <v>14時以降 注文,翌日発送</v>
      </c>
      <c r="E741" s="32" t="str">
        <f>IFERROR(__xludf.DUMMYFUNCTION("""COMPUTED_VALUE"""),"https://luna-dr.com/femcheck/deliver/")</f>
        <v>https://luna-dr.com/femcheck/deliver/</v>
      </c>
    </row>
    <row r="742">
      <c r="A742" s="31" t="str">
        <f>IFERROR(__xludf.DUMMYFUNCTION("""COMPUTED_VALUE"""),"郵送検査の支払い方法を教えてください。/FemCHECKの支払い方法を教えてください。/おりもの検査の支払い方法を教えてください。")</f>
        <v>郵送検査の支払い方法を教えてください。/FemCHECKの支払い方法を教えてください。/おりもの検査の支払い方法を教えてください。</v>
      </c>
      <c r="B742" s="31" t="str">
        <f>IFERROR(__xludf.DUMMYFUNCTION("""COMPUTED_VALUE"""),"お支払い方法はクレジットカード決済のみ対応しております。
※「リボ払い」「ボーナス一括払い」のお取り扱いはございません。")</f>
        <v>お支払い方法はクレジットカード決済のみ対応しております。
※「リボ払い」「ボーナス一括払い」のお取り扱いはございません。</v>
      </c>
      <c r="C742" s="31" t="str">
        <f>IFERROR(__xludf.DUMMYFUNCTION("""COMPUTED_VALUE"""),"郵送検査/FemCHECK")</f>
        <v>郵送検査/FemCHECK</v>
      </c>
      <c r="D742" s="31" t="str">
        <f>IFERROR(__xludf.DUMMYFUNCTION("""COMPUTED_VALUE"""),"支払い方法,クレジットカード決済,FemCHECK,郵送検査,検査キット")</f>
        <v>支払い方法,クレジットカード決済,FemCHECK,郵送検査,検査キット</v>
      </c>
      <c r="E742" s="32" t="str">
        <f>IFERROR(__xludf.DUMMYFUNCTION("""COMPUTED_VALUE"""),"https://luna-dr.com/femcheck/deliver/")</f>
        <v>https://luna-dr.com/femcheck/deliver/</v>
      </c>
    </row>
    <row r="743">
      <c r="A743" s="31" t="str">
        <f>IFERROR(__xludf.DUMMYFUNCTION("""COMPUTED_VALUE"""),"郵送検査のカード決済に手数料はかかりますか？/FemCHECKのカード決済に手数料はかかりますか？/おりもの検査のカード決済に手数料はかかりますか？")</f>
        <v>郵送検査のカード決済に手数料はかかりますか？/FemCHECKのカード決済に手数料はかかりますか？/おりもの検査のカード決済に手数料はかかりますか？</v>
      </c>
      <c r="B743" s="31" t="str">
        <f>IFERROR(__xludf.DUMMYFUNCTION("""COMPUTED_VALUE"""),"クレジットカード決済に手数料はかかりません。表示されている金額のみでご利用いただけます。")</f>
        <v>クレジットカード決済に手数料はかかりません。表示されている金額のみでご利用いただけます。</v>
      </c>
      <c r="C743" s="31" t="str">
        <f>IFERROR(__xludf.DUMMYFUNCTION("""COMPUTED_VALUE"""),"郵送検査/FemCHECK")</f>
        <v>郵送検査/FemCHECK</v>
      </c>
      <c r="D743" s="31" t="str">
        <f>IFERROR(__xludf.DUMMYFUNCTION("""COMPUTED_VALUE"""),"カード決済 手数料,無料")</f>
        <v>カード決済 手数料,無料</v>
      </c>
      <c r="E743" s="32" t="str">
        <f>IFERROR(__xludf.DUMMYFUNCTION("""COMPUTED_VALUE"""),"https://luna-dr.com/femcheck/deliver/")</f>
        <v>https://luna-dr.com/femcheck/deliver/</v>
      </c>
    </row>
    <row r="744">
      <c r="A744" s="31" t="str">
        <f>IFERROR(__xludf.DUMMYFUNCTION("""COMPUTED_VALUE"""),"郵送検査で使えるクレジットカード会社を教えてください。/FemCHECKで使えるクレジットカード会社を教えてください。/おりもの検査で使えるクレジットカード会社を教えてください。")</f>
        <v>郵送検査で使えるクレジットカード会社を教えてください。/FemCHECKで使えるクレジットカード会社を教えてください。/おりもの検査で使えるクレジットカード会社を教えてください。</v>
      </c>
      <c r="B744" s="31" t="str">
        <f>IFERROR(__xludf.DUMMYFUNCTION("""COMPUTED_VALUE"""),"VISA、Mastercard、JCB、American Express（AMEX）のクレジットカードをご利用いただけます。")</f>
        <v>VISA、Mastercard、JCB、American Express（AMEX）のクレジットカードをご利用いただけます。</v>
      </c>
      <c r="C744" s="31" t="str">
        <f>IFERROR(__xludf.DUMMYFUNCTION("""COMPUTED_VALUE"""),"郵送検査/FemCHECK")</f>
        <v>郵送検査/FemCHECK</v>
      </c>
      <c r="D744" s="31" t="str">
        <f>IFERROR(__xludf.DUMMYFUNCTION("""COMPUTED_VALUE"""),"対応カード,VISA,MASTER,JCB,AMEX")</f>
        <v>対応カード,VISA,MASTER,JCB,AMEX</v>
      </c>
      <c r="E744" s="32" t="str">
        <f>IFERROR(__xludf.DUMMYFUNCTION("""COMPUTED_VALUE"""),"https://luna-dr.com/femcheck/deliver/")</f>
        <v>https://luna-dr.com/femcheck/deliver/</v>
      </c>
    </row>
    <row r="745">
      <c r="A745" s="31" t="str">
        <f>IFERROR(__xludf.DUMMYFUNCTION("""COMPUTED_VALUE"""),"郵送検査は分割払いできますか？/FemCHECKは分割払いできますか？/おりもの検査は分割払いできますか？")</f>
        <v>郵送検査は分割払いできますか？/FemCHECKは分割払いできますか？/おりもの検査は分割払いできますか？</v>
      </c>
      <c r="B745" s="31" t="str">
        <f>IFERROR(__xludf.DUMMYFUNCTION("""COMPUTED_VALUE"""),"お支払いは一括払いのみ対応しております。リボ払い・ボーナス一括払いはご利用いただけませんので、ご了承ください。")</f>
        <v>お支払いは一括払いのみ対応しております。リボ払い・ボーナス一括払いはご利用いただけませんので、ご了承ください。</v>
      </c>
      <c r="C745" s="31" t="str">
        <f>IFERROR(__xludf.DUMMYFUNCTION("""COMPUTED_VALUE"""),"郵送検査/FemCHECK")</f>
        <v>郵送検査/FemCHECK</v>
      </c>
      <c r="D745" s="31" t="str">
        <f>IFERROR(__xludf.DUMMYFUNCTION("""COMPUTED_VALUE"""),"一括払い,分割不可,支払い回数")</f>
        <v>一括払い,分割不可,支払い回数</v>
      </c>
      <c r="E745" s="32" t="str">
        <f>IFERROR(__xludf.DUMMYFUNCTION("""COMPUTED_VALUE"""),"https://luna-dr.com/femcheck/deliver/")</f>
        <v>https://luna-dr.com/femcheck/deliver/</v>
      </c>
    </row>
    <row r="746">
      <c r="A746" s="31" t="str">
        <f>IFERROR(__xludf.DUMMYFUNCTION("""COMPUTED_VALUE"""),"郵送検査の送料はかかりますか？/FemCHECKの送料はかかりますか？/おりもの検査の送料はかかりますか？")</f>
        <v>郵送検査の送料はかかりますか？/FemCHECKの送料はかかりますか？/おりもの検査の送料はかかりますか？</v>
      </c>
      <c r="B746" s="31" t="str">
        <f>IFERROR(__xludf.DUMMYFUNCTION("""COMPUTED_VALUE"""),"送料はかかりません。全国どこでも送料無料でお届けいたします。")</f>
        <v>送料はかかりません。全国どこでも送料無料でお届けいたします。</v>
      </c>
      <c r="C746" s="31" t="str">
        <f>IFERROR(__xludf.DUMMYFUNCTION("""COMPUTED_VALUE"""),"郵送検査/FemCHECK")</f>
        <v>郵送検査/FemCHECK</v>
      </c>
      <c r="D746" s="31" t="str">
        <f>IFERROR(__xludf.DUMMYFUNCTION("""COMPUTED_VALUE"""),"送料無料,送料 無料,検査キット 配送")</f>
        <v>送料無料,送料 無料,検査キット 配送</v>
      </c>
      <c r="E746" s="32" t="str">
        <f>IFERROR(__xludf.DUMMYFUNCTION("""COMPUTED_VALUE"""),"https://luna-dr.com/femcheck/faq/")</f>
        <v>https://luna-dr.com/femcheck/faq/</v>
      </c>
    </row>
    <row r="747">
      <c r="A747" s="31" t="str">
        <f>IFERROR(__xludf.DUMMYFUNCTION("""COMPUTED_VALUE"""),"郵送検査は電話で注文できますか？/FemCHECKは電話で注文できますか？/おりもの検査は電話で注文できますか？")</f>
        <v>郵送検査は電話で注文できますか？/FemCHECKは電話で注文できますか？/おりもの検査は電話で注文できますか？</v>
      </c>
      <c r="B747" s="31" t="str">
        <f>IFERROR(__xludf.DUMMYFUNCTION("""COMPUTED_VALUE"""),"申し訳ございませんが、お電話でのご注文は承っておりません。ご注文はインターネットからのみ可能です。")</f>
        <v>申し訳ございませんが、お電話でのご注文は承っておりません。ご注文はインターネットからのみ可能です。</v>
      </c>
      <c r="C747" s="31" t="str">
        <f>IFERROR(__xludf.DUMMYFUNCTION("""COMPUTED_VALUE"""),"郵送検査/FemCHECK")</f>
        <v>郵送検査/FemCHECK</v>
      </c>
      <c r="D747" s="31" t="str">
        <f>IFERROR(__xludf.DUMMYFUNCTION("""COMPUTED_VALUE"""),"電話注文 不可,ネット注文")</f>
        <v>電話注文 不可,ネット注文</v>
      </c>
      <c r="E747" s="32" t="str">
        <f>IFERROR(__xludf.DUMMYFUNCTION("""COMPUTED_VALUE"""),"https://luna-dr.com/femcheck/faq/")</f>
        <v>https://luna-dr.com/femcheck/faq/</v>
      </c>
    </row>
    <row r="748">
      <c r="A748" s="31" t="str">
        <f>IFERROR(__xludf.DUMMYFUNCTION("""COMPUTED_VALUE"""),"郵送検査の返品や不良品はどうすればよいですか？/FemCHECKの返品や不良品はどうすればよいですか？/おりもの検査の返品や不良品はどうすればよいですか？")</f>
        <v>郵送検査の返品や不良品はどうすればよいですか？/FemCHECKの返品や不良品はどうすればよいですか？/おりもの検査の返品や不良品はどうすればよいですか？</v>
      </c>
      <c r="B748" s="31" t="str">
        <f>IFERROR(__xludf.DUMMYFUNCTION("""COMPUTED_VALUE"""),"配送による破損やご注文内容と異なる商品が届いた場合は、商品到着後7日以内にお問い合わせください。商品に欠陥がある場合の返品送料は当方で負担いたします。なお、お客様都合による返品・交換はお受けできません。")</f>
        <v>配送による破損やご注文内容と異なる商品が届いた場合は、商品到着後7日以内にお問い合わせください。商品に欠陥がある場合の返品送料は当方で負担いたします。なお、お客様都合による返品・交換はお受けできません。</v>
      </c>
      <c r="C748" s="31" t="str">
        <f>IFERROR(__xludf.DUMMYFUNCTION("""COMPUTED_VALUE"""),"郵送検査/FemCHECK")</f>
        <v>郵送検査/FemCHECK</v>
      </c>
      <c r="D748" s="31" t="str">
        <f>IFERROR(__xludf.DUMMYFUNCTION("""COMPUTED_VALUE"""),"返品,不良品,交換不可")</f>
        <v>返品,不良品,交換不可</v>
      </c>
      <c r="E748" s="32" t="str">
        <f>IFERROR(__xludf.DUMMYFUNCTION("""COMPUTED_VALUE"""),"https://luna-dr.com/femcheck/faq/")</f>
        <v>https://luna-dr.com/femcheck/faq/</v>
      </c>
    </row>
    <row r="749">
      <c r="A749" s="31" t="str">
        <f>IFERROR(__xludf.DUMMYFUNCTION("""COMPUTED_VALUE"""),"郵送検査で返品できないケースはありますか？/FemCHECKで返品できないケースはありますか？/おりもの検査で返品できないケースはありますか？")</f>
        <v>郵送検査で返品できないケースはありますか？/FemCHECKで返品できないケースはありますか？/おりもの検査で返品できないケースはありますか？</v>
      </c>
      <c r="B749" s="31" t="str">
        <f>IFERROR(__xludf.DUMMYFUNCTION("""COMPUTED_VALUE"""),"商品到着後8日以上経過した商品、開封済み・使用済みの商品、お客様による汚損・破損が生じた商品については、返品をお受けできません。")</f>
        <v>商品到着後8日以上経過した商品、開封済み・使用済みの商品、お客様による汚損・破損が生じた商品については、返品をお受けできません。</v>
      </c>
      <c r="C749" s="31" t="str">
        <f>IFERROR(__xludf.DUMMYFUNCTION("""COMPUTED_VALUE"""),"郵送検査/FemCHECK")</f>
        <v>郵送検査/FemCHECK</v>
      </c>
      <c r="D749" s="31" t="str">
        <f>IFERROR(__xludf.DUMMYFUNCTION("""COMPUTED_VALUE"""),"返品不可,使用済み,開封済み")</f>
        <v>返品不可,使用済み,開封済み</v>
      </c>
      <c r="E749" s="32" t="str">
        <f>IFERROR(__xludf.DUMMYFUNCTION("""COMPUTED_VALUE"""),"https://luna-dr.com/femcheck/faq/")</f>
        <v>https://luna-dr.com/femcheck/faq/</v>
      </c>
    </row>
    <row r="750">
      <c r="A750" s="31" t="str">
        <f>IFERROR(__xludf.DUMMYFUNCTION("""COMPUTED_VALUE"""),"郵送検査のプライバシーは守られていますか？/FemCHECKのプライバシーは守られていますか？/おりもの検査のプライバシーは守られていますか？")</f>
        <v>郵送検査のプライバシーは守られていますか？/FemCHECKのプライバシーは守られていますか？/おりもの検査のプライバシーは守られていますか？</v>
      </c>
      <c r="B750" s="31" t="str">
        <f>IFERROR(__xludf.DUMMYFUNCTION("""COMPUTED_VALUE"""),"検査キットは中身が分からない梱包と伝票でお届けします。また、病院のカルテ管理と同様のセキュリティ体制で個人情報を管理し、検体検査はID管理で行うなど、プライバシーに最大限配慮しています。")</f>
        <v>検査キットは中身が分からない梱包と伝票でお届けします。また、病院のカルテ管理と同様のセキュリティ体制で個人情報を管理し、検体検査はID管理で行うなど、プライバシーに最大限配慮しています。</v>
      </c>
      <c r="C750" s="31" t="str">
        <f>IFERROR(__xludf.DUMMYFUNCTION("""COMPUTED_VALUE"""),"郵送検査/FemCHECK")</f>
        <v>郵送検査/FemCHECK</v>
      </c>
      <c r="D750" s="31" t="str">
        <f>IFERROR(__xludf.DUMMYFUNCTION("""COMPUTED_VALUE"""),"匿名,プライバシー,梱包 配慮")</f>
        <v>匿名,プライバシー,梱包 配慮</v>
      </c>
      <c r="E750" s="32" t="str">
        <f>IFERROR(__xludf.DUMMYFUNCTION("""COMPUTED_VALUE"""),"https://luna-dr.com/femcheck/faq/")</f>
        <v>https://luna-dr.com/femcheck/faq/</v>
      </c>
    </row>
    <row r="751">
      <c r="A751" s="31" t="str">
        <f>IFERROR(__xludf.DUMMYFUNCTION("""COMPUTED_VALUE"""),"郵送検査で入力した個人情報は守られていますか？/FemCHECKで入力した個人情報は守られていますか？/おりもの検査で入力した個人情報は守られていますか？")</f>
        <v>郵送検査で入力した個人情報は守られていますか？/FemCHECKで入力した個人情報は守られていますか？/おりもの検査で入力した個人情報は守られていますか？</v>
      </c>
      <c r="B751" s="31" t="str">
        <f>IFERROR(__xludf.DUMMYFUNCTION("""COMPUTED_VALUE"""),"当社では個人情報の重要性を認識し、漏洩防止のため厳重な管理体制を整えています。詳細はプライバシーポリシーをご確認ください。")</f>
        <v>当社では個人情報の重要性を認識し、漏洩防止のため厳重な管理体制を整えています。詳細はプライバシーポリシーをご確認ください。</v>
      </c>
      <c r="C751" s="31" t="str">
        <f>IFERROR(__xludf.DUMMYFUNCTION("""COMPUTED_VALUE"""),"郵送検査/FemCHECK")</f>
        <v>郵送検査/FemCHECK</v>
      </c>
      <c r="D751" s="31" t="str">
        <f>IFERROR(__xludf.DUMMYFUNCTION("""COMPUTED_VALUE"""),"個人情報,セキュリティ")</f>
        <v>個人情報,セキュリティ</v>
      </c>
      <c r="E751" s="32" t="str">
        <f>IFERROR(__xludf.DUMMYFUNCTION("""COMPUTED_VALUE"""),"https://luna-dr.com/femcheck/faq/")</f>
        <v>https://luna-dr.com/femcheck/faq/</v>
      </c>
    </row>
    <row r="752">
      <c r="A752" s="31" t="str">
        <f>IFERROR(__xludf.DUMMYFUNCTION("""COMPUTED_VALUE"""),"郵送検査で陽性だった場合、結果は他の機関に報告されますか？/FemCHECKで陽性だった場合、結果は他の機関に報告されますか？/おりもの検査で陽性だった場合、結果は他の機関に報告されますか？")</f>
        <v>郵送検査で陽性だった場合、結果は他の機関に報告されますか？/FemCHECKで陽性だった場合、結果は他の機関に報告されますか？/おりもの検査で陽性だった場合、結果は他の機関に報告されますか？</v>
      </c>
      <c r="B752" s="31" t="str">
        <f>IFERROR(__xludf.DUMMYFUNCTION("""COMPUTED_VALUE"""),"検査結果を国や医療機関など第三者に報告することは一切ありません。検査は匿名で実施していますのでご安心ください。")</f>
        <v>検査結果を国や医療機関など第三者に報告することは一切ありません。検査は匿名で実施していますのでご安心ください。</v>
      </c>
      <c r="C752" s="31" t="str">
        <f>IFERROR(__xludf.DUMMYFUNCTION("""COMPUTED_VALUE"""),"郵送検査/FemCHECK")</f>
        <v>郵送検査/FemCHECK</v>
      </c>
      <c r="D752" s="31" t="str">
        <f>IFERROR(__xludf.DUMMYFUNCTION("""COMPUTED_VALUE"""),"匿名検査,結果 共有なし")</f>
        <v>匿名検査,結果 共有なし</v>
      </c>
      <c r="E752" s="32" t="str">
        <f>IFERROR(__xludf.DUMMYFUNCTION("""COMPUTED_VALUE"""),"https://luna-dr.com/femcheck/faq/")</f>
        <v>https://luna-dr.com/femcheck/faq/</v>
      </c>
    </row>
    <row r="753">
      <c r="A753" s="31" t="str">
        <f>IFERROR(__xludf.DUMMYFUNCTION("""COMPUTED_VALUE"""),"郵送検査の「匿名検査」とは何ですか？/FemCHECKの「匿名検査」とは何ですか？/おりもの検査の「匿名検査」とは何ですか？")</f>
        <v>郵送検査の「匿名検査」とは何ですか？/FemCHECKの「匿名検査」とは何ですか？/おりもの検査の「匿名検査」とは何ですか？</v>
      </c>
      <c r="B753" s="31" t="str">
        <f>IFERROR(__xludf.DUMMYFUNCTION("""COMPUTED_VALUE"""),"検査申込時にお名前やご住所の記入は不要です。検体採取器具に貼付するIDコードで管理し、個人を特定せずに検査を行います。")</f>
        <v>検査申込時にお名前やご住所の記入は不要です。検体採取器具に貼付するIDコードで管理し、個人を特定せずに検査を行います。</v>
      </c>
      <c r="C753" s="31" t="str">
        <f>IFERROR(__xludf.DUMMYFUNCTION("""COMPUTED_VALUE"""),"郵送検査/FemCHECK")</f>
        <v>郵送検査/FemCHECK</v>
      </c>
      <c r="D753" s="31" t="str">
        <f>IFERROR(__xludf.DUMMYFUNCTION("""COMPUTED_VALUE"""),"匿名検査,ID管理")</f>
        <v>匿名検査,ID管理</v>
      </c>
      <c r="E753" s="32" t="str">
        <f>IFERROR(__xludf.DUMMYFUNCTION("""COMPUTED_VALUE"""),"https://luna-dr.com/femcheck/faq/")</f>
        <v>https://luna-dr.com/femcheck/faq/</v>
      </c>
    </row>
    <row r="754">
      <c r="A754" s="31" t="str">
        <f>IFERROR(__xludf.DUMMYFUNCTION("""COMPUTED_VALUE"""),"郵送検査の検査精度は信頼できますか？/FemCHECKの検査精度は信頼できますか？/おりもの検査の検査精度は信頼できますか？")</f>
        <v>郵送検査の検査精度は信頼できますか？/FemCHECKの検査精度は信頼できますか？/おりもの検査の検査精度は信頼できますか？</v>
      </c>
      <c r="B754" s="31" t="str">
        <f>IFERROR(__xludf.DUMMYFUNCTION("""COMPUTED_VALUE"""),"検査は医療機関や保健所と同様に、認可を受けた登録衛生検査所で実施しています。安心してご利用ください。")</f>
        <v>検査は医療機関や保健所と同様に、認可を受けた登録衛生検査所で実施しています。安心してご利用ください。</v>
      </c>
      <c r="C754" s="31" t="str">
        <f>IFERROR(__xludf.DUMMYFUNCTION("""COMPUTED_VALUE"""),"郵送検査/FemCHECK")</f>
        <v>郵送検査/FemCHECK</v>
      </c>
      <c r="D754" s="31" t="str">
        <f>IFERROR(__xludf.DUMMYFUNCTION("""COMPUTED_VALUE"""),"検査精度,登録衛生検査所")</f>
        <v>検査精度,登録衛生検査所</v>
      </c>
      <c r="E754" s="32" t="str">
        <f>IFERROR(__xludf.DUMMYFUNCTION("""COMPUTED_VALUE"""),"https://luna-dr.com/femcheck/faq/")</f>
        <v>https://luna-dr.com/femcheck/faq/</v>
      </c>
    </row>
    <row r="755">
      <c r="A755" s="31" t="str">
        <f>IFERROR(__xludf.DUMMYFUNCTION("""COMPUTED_VALUE"""),"郵送検査で陽性だった場合、病院を紹介してもらえますか？/FemCHECKで陽性だった場合、病院を紹介してもらえますか？/おりもの検査で陽性だった場合、病院を紹介してもらえますか？")</f>
        <v>郵送検査で陽性だった場合、病院を紹介してもらえますか？/FemCHECKで陽性だった場合、病院を紹介してもらえますか？/おりもの検査で陽性だった場合、病院を紹介してもらえますか？</v>
      </c>
      <c r="B755" s="31" t="str">
        <f>IFERROR(__xludf.DUMMYFUNCTION("""COMPUTED_VALUE"""),"提携クリニックでのオンライン診療をご利用いただけます。対面診療をご希望の場合は、提携医療機関のご紹介も可能です。")</f>
        <v>提携クリニックでのオンライン診療をご利用いただけます。対面診療をご希望の場合は、提携医療機関のご紹介も可能です。</v>
      </c>
      <c r="C755" s="31" t="str">
        <f>IFERROR(__xludf.DUMMYFUNCTION("""COMPUTED_VALUE"""),"郵送検査/FemCHECK")</f>
        <v>郵送検査/FemCHECK</v>
      </c>
      <c r="D755" s="31" t="str">
        <f>IFERROR(__xludf.DUMMYFUNCTION("""COMPUTED_VALUE"""),"陽性,病院 紹介,オンライン診療")</f>
        <v>陽性,病院 紹介,オンライン診療</v>
      </c>
      <c r="E755" s="32" t="str">
        <f>IFERROR(__xludf.DUMMYFUNCTION("""COMPUTED_VALUE"""),"https://luna-dr.com/femcheck/faq/")</f>
        <v>https://luna-dr.com/femcheck/faq/</v>
      </c>
    </row>
    <row r="756">
      <c r="A756" s="31" t="str">
        <f>IFERROR(__xludf.DUMMYFUNCTION("""COMPUTED_VALUE"""),"郵送検査で陽性だった場合、オンライン診療はどうやって受けますか？/FemCHECKで陽性だった場合、オンライン診療はどうやって受けますか？/おりもの検査で陽性だった場合、オンライン診療はどうやって受けますか？")</f>
        <v>郵送検査で陽性だった場合、オンライン診療はどうやって受けますか？/FemCHECKで陽性だった場合、オンライン診療はどうやって受けますか？/おりもの検査で陽性だった場合、オンライン診療はどうやって受けますか？</v>
      </c>
      <c r="B756" s="31" t="str">
        <f>IFERROR(__xludf.DUMMYFUNCTION("""COMPUTED_VALUE"""),"検査結果ページから、オンライン診療のご案内をご確認いただけます。案内に沿ってご予約ください。検査結果は、[【こちら】](https://result.luna-dr.com/clinic_login?clinic_id=10001)よりご確認いただけます。
※必ず受診クリニックを正しくご選択の上、ご確認ください。")</f>
        <v>検査結果ページから、オンライン診療のご案内をご確認いただけます。案内に沿ってご予約ください。検査結果は、[【こちら】](https://result.luna-dr.com/clinic_login?clinic_id=10001)よりご確認いただけます。
※必ず受診クリニックを正しくご選択の上、ご確認ください。</v>
      </c>
      <c r="C756" s="31" t="str">
        <f>IFERROR(__xludf.DUMMYFUNCTION("""COMPUTED_VALUE"""),"郵送検査/FemCHECK")</f>
        <v>郵送検査/FemCHECK</v>
      </c>
      <c r="D756" s="31" t="str">
        <f>IFERROR(__xludf.DUMMYFUNCTION("""COMPUTED_VALUE"""),"オンライン診療 予約,陽性")</f>
        <v>オンライン診療 予約,陽性</v>
      </c>
      <c r="E756" s="32" t="str">
        <f>IFERROR(__xludf.DUMMYFUNCTION("""COMPUTED_VALUE"""),"https://luna-dr.com/femcheck/faq/")</f>
        <v>https://luna-dr.com/femcheck/faq/</v>
      </c>
    </row>
    <row r="757">
      <c r="A757" s="31" t="str">
        <f>IFERROR(__xludf.DUMMYFUNCTION("""COMPUTED_VALUE"""),"郵送検査で陽性だった場合、薬はもらえますか？/FemCHECKで陽性だった場合、薬はもらえますか？/おりもの検査で陽性だった場合、薬はもらえますか？")</f>
        <v>郵送検査で陽性だった場合、薬はもらえますか？/FemCHECKで陽性だった場合、薬はもらえますか？/おりもの検査で陽性だった場合、薬はもらえますか？</v>
      </c>
      <c r="B757" s="31" t="str">
        <f>IFERROR(__xludf.DUMMYFUNCTION("""COMPUTED_VALUE"""),"オンライン診療にて医師が判断し、必要に応じてお薬を処方します。お薬はご自宅へ郵送されます。")</f>
        <v>オンライン診療にて医師が判断し、必要に応じてお薬を処方します。お薬はご自宅へ郵送されます。</v>
      </c>
      <c r="C757" s="31" t="str">
        <f>IFERROR(__xludf.DUMMYFUNCTION("""COMPUTED_VALUE"""),"郵送検査/FemCHECK")</f>
        <v>郵送検査/FemCHECK</v>
      </c>
      <c r="D757" s="31" t="str">
        <f>IFERROR(__xludf.DUMMYFUNCTION("""COMPUTED_VALUE"""),"薬 処方,郵送")</f>
        <v>薬 処方,郵送</v>
      </c>
      <c r="E757" s="32" t="str">
        <f>IFERROR(__xludf.DUMMYFUNCTION("""COMPUTED_VALUE"""),"https://luna-dr.com/femcheck/faq/")</f>
        <v>https://luna-dr.com/femcheck/faq/</v>
      </c>
    </row>
    <row r="758">
      <c r="A758" s="31" t="str">
        <f>IFERROR(__xludf.DUMMYFUNCTION("""COMPUTED_VALUE"""),"郵送検査で陰性でもオンライン診療は受けられますか？/FemCHECKで陰性でもオンライン診療は受けられますか？/おりもの検査で陰性でもオンライン診療は受けられますか？")</f>
        <v>郵送検査で陰性でもオンライン診療は受けられますか？/FemCHECKで陰性でもオンライン診療は受けられますか？/おりもの検査で陰性でもオンライン診療は受けられますか？</v>
      </c>
      <c r="B758" s="31" t="str">
        <f>IFERROR(__xludf.DUMMYFUNCTION("""COMPUTED_VALUE"""),"可能です。検査結果画面よりオンライン診療のご案内をご確認いただけます。検査結果は、[【こちら】](https://result.luna-dr.com/clinic_login)よりご確認いただけます。
※必ず受診クリニックを正しくご選択の上、ご確認ください。患者番号は、会計時にお渡ししている領収書に記載のある10桁の番号となります。")</f>
        <v>可能です。検査結果画面よりオンライン診療のご案内をご確認いただけます。検査結果は、[【こちら】](https://result.luna-dr.com/clinic_login)よりご確認いただけます。
※必ず受診クリニックを正しくご選択の上、ご確認ください。患者番号は、会計時にお渡ししている領収書に記載のある10桁の番号となります。</v>
      </c>
      <c r="C758" s="31" t="str">
        <f>IFERROR(__xludf.DUMMYFUNCTION("""COMPUTED_VALUE"""),"郵送検査/FemCHECK")</f>
        <v>郵送検査/FemCHECK</v>
      </c>
      <c r="D758" s="31" t="str">
        <f>IFERROR(__xludf.DUMMYFUNCTION("""COMPUTED_VALUE"""),"陰性,オンライン相談")</f>
        <v>陰性,オンライン相談</v>
      </c>
      <c r="E758" s="32" t="str">
        <f>IFERROR(__xludf.DUMMYFUNCTION("""COMPUTED_VALUE"""),"https://luna-dr.com/femcheck/faq/")</f>
        <v>https://luna-dr.com/femcheck/faq/</v>
      </c>
    </row>
    <row r="759">
      <c r="A759" s="31" t="str">
        <f>IFERROR(__xludf.DUMMYFUNCTION("""COMPUTED_VALUE"""),"郵送検査ではパートナーの治療も必要ですか？/FemCHECKではパートナーの治療も必要ですか？/おりもの検査ではパートナーの治療も必要ですか？")</f>
        <v>郵送検査ではパートナーの治療も必要ですか？/FemCHECKではパートナーの治療も必要ですか？/おりもの検査ではパートナーの治療も必要ですか？</v>
      </c>
      <c r="B759" s="31" t="str">
        <f>IFERROR(__xludf.DUMMYFUNCTION("""COMPUTED_VALUE"""),"精液、腟分泌液、血液、患部組織などには原因となる細菌やウイルスが含まれることがあり、コンドームなどで予防していない性行為があった場合は、パートナーにも感染している可能性があります。そのため、この場合はパートナーの方も検査を受けることをおすすめします。")</f>
        <v>精液、腟分泌液、血液、患部組織などには原因となる細菌やウイルスが含まれることがあり、コンドームなどで予防していない性行為があった場合は、パートナーにも感染している可能性があります。そのため、この場合はパートナーの方も検査を受けることをおすすめします。</v>
      </c>
      <c r="C759" s="31" t="str">
        <f>IFERROR(__xludf.DUMMYFUNCTION("""COMPUTED_VALUE"""),"郵送検査/FemCHECK")</f>
        <v>郵送検査/FemCHECK</v>
      </c>
      <c r="D759" s="31" t="str">
        <f>IFERROR(__xludf.DUMMYFUNCTION("""COMPUTED_VALUE"""),"パートナー治療,再感染,ピンポン感染")</f>
        <v>パートナー治療,再感染,ピンポン感染</v>
      </c>
      <c r="E759" s="32" t="str">
        <f>IFERROR(__xludf.DUMMYFUNCTION("""COMPUTED_VALUE"""),"https://luna-dr.com/femcheck/faq/")</f>
        <v>https://luna-dr.com/femcheck/faq/</v>
      </c>
    </row>
    <row r="760">
      <c r="A760" s="31" t="str">
        <f>IFERROR(__xludf.DUMMYFUNCTION("""COMPUTED_VALUE"""),"郵送検査の検査結果は正しいですか？/FemCHECKの検査結果は正しいですか？/おりもの検査の検査結果は正しいですか？")</f>
        <v>郵送検査の検査結果は正しいですか？/FemCHECKの検査結果は正しいですか？/おりもの検査の検査結果は正しいですか？</v>
      </c>
      <c r="B760" s="31" t="str">
        <f>IFERROR(__xludf.DUMMYFUNCTION("""COMPUTED_VALUE"""),"検査は、医療機関や保健所と同様に、国の認可を受けた登録衛生検査所で実施しています。適切な精度管理のもとで行われているため、安心してご利用いただけます。")</f>
        <v>検査は、医療機関や保健所と同様に、国の認可を受けた登録衛生検査所で実施しています。適切な精度管理のもとで行われているため、安心してご利用いただけます。</v>
      </c>
      <c r="C760" s="31" t="str">
        <f>IFERROR(__xludf.DUMMYFUNCTION("""COMPUTED_VALUE"""),"郵送検査/FemCHECK")</f>
        <v>郵送検査/FemCHECK</v>
      </c>
      <c r="D760" s="31" t="str">
        <f>IFERROR(__xludf.DUMMYFUNCTION("""COMPUTED_VALUE"""),"検査精度,登録衛生検査所,信頼性")</f>
        <v>検査精度,登録衛生検査所,信頼性</v>
      </c>
      <c r="E760" s="32" t="str">
        <f>IFERROR(__xludf.DUMMYFUNCTION("""COMPUTED_VALUE"""),"https://luna-dr.com/femcheck/faq/")</f>
        <v>https://luna-dr.com/femcheck/faq/</v>
      </c>
    </row>
    <row r="761">
      <c r="A761" s="31" t="str">
        <f>IFERROR(__xludf.DUMMYFUNCTION("""COMPUTED_VALUE"""),"ルナレディースクリニックの医師を教えてください")</f>
        <v>ルナレディースクリニックの医師を教えてください</v>
      </c>
      <c r="B761" s="31" t="str">
        <f>IFERROR(__xludf.DUMMYFUNCTION("""COMPUTED_VALUE"""),"ルナレディースクリニックでは、産婦人科の専門知識と豊富な臨床経験を持つ医師が診療を担当しています。院長の川原正行医師は、岡山大学医学部卒業後、大学病院や総合病院での産婦人科研修を経て、医薬品医療機器総合機構（PMDA）にて医薬品・医療機器の承認審査に従事しました。その後、こうのとりレディースクリニック、新宿レディースクリニックでの勤務を経て、2021年よりルナレディースクリニック院長として診療を行っています。また、近都真侑医師は近畿大学医学部卒業後、名戸ケ谷病院での初期研修、千葉西総合病院・昭和大学での産"&amp;"婦人科勤務を経験し、産業医としても多数の企業での実績があります。")</f>
        <v>ルナレディースクリニックでは、産婦人科の専門知識と豊富な臨床経験を持つ医師が診療を担当しています。院長の川原正行医師は、岡山大学医学部卒業後、大学病院や総合病院での産婦人科研修を経て、医薬品医療機器総合機構（PMDA）にて医薬品・医療機器の承認審査に従事しました。その後、こうのとりレディースクリニック、新宿レディースクリニックでの勤務を経て、2021年よりルナレディースクリニック院長として診療を行っています。また、近都真侑医師は近畿大学医学部卒業後、名戸ケ谷病院での初期研修、千葉西総合病院・昭和大学での産婦人科勤務を経験し、産業医としても多数の企業での実績があります。</v>
      </c>
      <c r="C761" s="31" t="str">
        <f>IFERROR(__xludf.DUMMYFUNCTION("""COMPUTED_VALUE"""),"医師紹介")</f>
        <v>医師紹介</v>
      </c>
      <c r="D761" s="31" t="str">
        <f>IFERROR(__xludf.DUMMYFUNCTION("""COMPUTED_VALUE"""),"医師紹介,院長,産婦人科医,川原正行,近都真侑")</f>
        <v>医師紹介,院長,産婦人科医,川原正行,近都真侑</v>
      </c>
      <c r="E761" s="32" t="str">
        <f>IFERROR(__xludf.DUMMYFUNCTION("""COMPUTED_VALUE"""),"https://luna-dr.com/")</f>
        <v>https://luna-dr.com/</v>
      </c>
    </row>
    <row r="762">
      <c r="A762" s="31" t="str">
        <f>IFERROR(__xludf.DUMMYFUNCTION("""COMPUTED_VALUE"""),"低用量ピルの定期配送を申し込みたいです/ピルの定期便を申し込みたい/ピルの定期購入をしたい/ピルのサブスクを始めたい")</f>
        <v>低用量ピルの定期配送を申し込みたいです/ピルの定期便を申し込みたい/ピルの定期購入をしたい/ピルのサブスクを始めたい</v>
      </c>
      <c r="B762" s="31" t="str">
        <f>IFERROR(__xludf.DUMMYFUNCTION("""COMPUTED_VALUE"""),"【当院もしくはオンライン診療で処方歴のある方】
当院でラベルフィーユ・ファボワールの処方歴がある場合、低用量ピルの定期配送をご利用いただけます。
定期配送の購入はこちら：
https://shop.luna-dr.com/collections/low_dose_pill_subscription
※カルテ確認の結果、処方が難しいと判断した場合は別途ご連絡することがあります。
※保険ピルの定期配送は対応しておりません。
【当院のご利用が初めての方】
まずは診察が必要となります。
オンライン診療はこちら"&amp;"のLINEからご予約ください。
https://liff-gateway.lineml.jp/landing?follow=%40590gpxrd&amp;lp=rJHUjK&amp;liff_id=1657094566-LmjNPPbV
またはこちらのLINEからクリニック診察をご予約ください
https://cline-app.com/qr-codes/98ad6f149bfa20f4f2a9a2e91aac4187/preview")</f>
        <v>【当院もしくはオンライン診療で処方歴のある方】
当院でラベルフィーユ・ファボワールの処方歴がある場合、低用量ピルの定期配送をご利用いただけます。
定期配送の購入はこちら：
https://shop.luna-dr.com/collections/low_dose_pill_subscription
※カルテ確認の結果、処方が難しいと判断した場合は別途ご連絡することがあります。
※保険ピルの定期配送は対応しておりません。
【当院のご利用が初めての方】
まずは診察が必要となります。
オンライン診療はこちらのLINEからご予約ください。
https://liff-gateway.lineml.jp/landing?follow=%40590gpxrd&amp;lp=rJHUjK&amp;liff_id=1657094566-LmjNPPbV
またはこちらのLINEからクリニック診察をご予約ください
https://cline-app.com/qr-codes/98ad6f149bfa20f4f2a9a2e91aac4187/preview</v>
      </c>
      <c r="C762" s="31" t="str">
        <f>IFERROR(__xludf.DUMMYFUNCTION("""COMPUTED_VALUE"""),"低用量ピル")</f>
        <v>低用量ピル</v>
      </c>
      <c r="D762" s="31" t="str">
        <f>IFERROR(__xludf.DUMMYFUNCTION("""COMPUTED_VALUE"""),"ピル,定期配送,サブスク,ラベルフィーユ,ファボワール,定期便,定期購入,サブスク")</f>
        <v>ピル,定期配送,サブスク,ラベルフィーユ,ファボワール,定期便,定期購入,サブスク</v>
      </c>
      <c r="E762" s="32" t="str">
        <f>IFERROR(__xludf.DUMMYFUNCTION("""COMPUTED_VALUE"""),"https://shop.luna-dr.com/collections/low_dose_pill_subscription")</f>
        <v>https://shop.luna-dr.com/collections/low_dose_pill_subscription</v>
      </c>
    </row>
    <row r="763">
      <c r="A763" s="31" t="str">
        <f>IFERROR(__xludf.DUMMYFUNCTION("""COMPUTED_VALUE"""),"クリニック受け取りから低用量ピルの定期配送に変更できますか？/来院からピルの定期便に切り替えたい/ピルの定期購入に変更したい")</f>
        <v>クリニック受け取りから低用量ピルの定期配送に変更できますか？/来院からピルの定期便に切り替えたい/ピルの定期購入に変更したい</v>
      </c>
      <c r="B763" s="31" t="str">
        <f>IFERROR(__xludf.DUMMYFUNCTION("""COMPUTED_VALUE"""),"当院またはオンライン診療でラベルフィーユ・ファボワールの処方歴がある場合、定期配送への変更が可能です。定期配送の購入はこちら（https://shop.luna-dr.com/collections/low_dose_pill_subscription）。
※保険ピルの定期配送は対応しておりません。")</f>
        <v>当院またはオンライン診療でラベルフィーユ・ファボワールの処方歴がある場合、定期配送への変更が可能です。定期配送の購入はこちら（https://shop.luna-dr.com/collections/low_dose_pill_subscription）。
※保険ピルの定期配送は対応しておりません。</v>
      </c>
      <c r="C763" s="31" t="str">
        <f>IFERROR(__xludf.DUMMYFUNCTION("""COMPUTED_VALUE"""),"低用量ピル")</f>
        <v>低用量ピル</v>
      </c>
      <c r="D763" s="31" t="str">
        <f>IFERROR(__xludf.DUMMYFUNCTION("""COMPUTED_VALUE"""),"ピル,定期配送,変更,サブスク,定期便,定期購入,サブスク")</f>
        <v>ピル,定期配送,変更,サブスク,定期便,定期購入,サブスク</v>
      </c>
      <c r="E763" s="32" t="str">
        <f>IFERROR(__xludf.DUMMYFUNCTION("""COMPUTED_VALUE"""),"https://shop.luna-dr.com/collections/low_dose_pill_subscription")</f>
        <v>https://shop.luna-dr.com/collections/low_dose_pill_subscription</v>
      </c>
    </row>
    <row r="764">
      <c r="A764" s="31" t="str">
        <f>IFERROR(__xludf.DUMMYFUNCTION("""COMPUTED_VALUE"""),"低用量ピルの定期配送を再開したいです/ピルの定期便を再開したい/ピルの定期購入を再開したい")</f>
        <v>低用量ピルの定期配送を再開したいです/ピルの定期便を再開したい/ピルの定期購入を再開したい</v>
      </c>
      <c r="B764" s="31" t="str">
        <f>IFERROR(__xludf.DUMMYFUNCTION("""COMPUTED_VALUE"""),"当院またはオンライン診療でラベルフィーユ・ファボワールの処方歴がある方は、再度定期配送をご利用いただけます。定期配送の購入はこちら（https://shop.luna-dr.com/collections/low_dose_pill_subscription）。")</f>
        <v>当院またはオンライン診療でラベルフィーユ・ファボワールの処方歴がある方は、再度定期配送をご利用いただけます。定期配送の購入はこちら（https://shop.luna-dr.com/collections/low_dose_pill_subscription）。</v>
      </c>
      <c r="C764" s="31" t="str">
        <f>IFERROR(__xludf.DUMMYFUNCTION("""COMPUTED_VALUE"""),"低用量ピル")</f>
        <v>低用量ピル</v>
      </c>
      <c r="D764" s="31" t="str">
        <f>IFERROR(__xludf.DUMMYFUNCTION("""COMPUTED_VALUE"""),"ピル,定期配送,再開,定期便,定期購入,サブスク")</f>
        <v>ピル,定期配送,再開,定期便,定期購入,サブスク</v>
      </c>
      <c r="E764" s="32" t="str">
        <f>IFERROR(__xludf.DUMMYFUNCTION("""COMPUTED_VALUE"""),"https://shop.luna-dr.com/collections/low_dose_pill_subscription")</f>
        <v>https://shop.luna-dr.com/collections/low_dose_pill_subscription</v>
      </c>
    </row>
    <row r="765">
      <c r="A765" s="31" t="str">
        <f>IFERROR(__xludf.DUMMYFUNCTION("""COMPUTED_VALUE"""),"低用量ピルを使わなくなったので返品できますか？/ピルの定期便を返品したい/定期購入のピルを返品できますか")</f>
        <v>低用量ピルを使わなくなったので返品できますか？/ピルの定期便を返品したい/定期購入のピルを返品できますか</v>
      </c>
      <c r="B765" s="31" t="str">
        <f>IFERROR(__xludf.DUMMYFUNCTION("""COMPUTED_VALUE"""),"申し訳ございませんが、配送後の商品は返品・キャンセルを承ることができません。あらかじめご了承ください。定期配送の解約をご希望の場合は、こちらのフォーム（https://docs.google.com/forms/d/e/1FAIpQLSe41t1VsvN-rfcwsRSkalz89S2yqQc4zpWrbdcrwPo95Iif-Q/viewform）よりご連絡ください。")</f>
        <v>申し訳ございませんが、配送後の商品は返品・キャンセルを承ることができません。あらかじめご了承ください。定期配送の解約をご希望の場合は、こちらのフォーム（https://docs.google.com/forms/d/e/1FAIpQLSe41t1VsvN-rfcwsRSkalz89S2yqQc4zpWrbdcrwPo95Iif-Q/viewform）よりご連絡ください。</v>
      </c>
      <c r="C765" s="31" t="str">
        <f>IFERROR(__xludf.DUMMYFUNCTION("""COMPUTED_VALUE"""),"低用量ピル")</f>
        <v>低用量ピル</v>
      </c>
      <c r="D765" s="31" t="str">
        <f>IFERROR(__xludf.DUMMYFUNCTION("""COMPUTED_VALUE"""),"ピル,返品,定期便,定期購入,サブスク")</f>
        <v>ピル,返品,定期便,定期購入,サブスク</v>
      </c>
      <c r="E765" s="32" t="str">
        <f>IFERROR(__xludf.DUMMYFUNCTION("""COMPUTED_VALUE"""),"https://shop.luna-dr.com/")</f>
        <v>https://shop.luna-dr.com/</v>
      </c>
    </row>
    <row r="766">
      <c r="A766" s="31" t="str">
        <f>IFERROR(__xludf.DUMMYFUNCTION("""COMPUTED_VALUE"""),"乳酸桿菌の定期配送を購入したいです/ラクトフローラの定期配送を購入したいです/ラクトフローラについて知りたい/ラクトフローラとは何ですか？/ラクトフローラについて教えてください")</f>
        <v>乳酸桿菌の定期配送を購入したいです/ラクトフローラの定期配送を購入したいです/ラクトフローラについて知りたい/ラクトフローラとは何ですか？/ラクトフローラについて教えてください</v>
      </c>
      <c r="B766" s="31" t="str">
        <f>IFERROR(__xludf.DUMMYFUNCTION("""COMPUTED_VALUE"""),"乳酸桿菌（ラクトフローラ）は膣内環境を整えるための製品で、継続的な使用により予防効果が期待できます。購入はこちら（https://shop.luna-dr.com/products/lactobacillus）。")</f>
        <v>乳酸桿菌（ラクトフローラ）は膣内環境を整えるための製品で、継続的な使用により予防効果が期待できます。購入はこちら（https://shop.luna-dr.com/products/lactobacillus）。</v>
      </c>
      <c r="C766" s="31" t="str">
        <f>IFERROR(__xludf.DUMMYFUNCTION("""COMPUTED_VALUE"""),"フェムケア")</f>
        <v>フェムケア</v>
      </c>
      <c r="D766" s="31" t="str">
        <f>IFERROR(__xludf.DUMMYFUNCTION("""COMPUTED_VALUE"""),"乳酸桿菌,ラクトフローラ,おりもの,カンジダ,定期便,定期購入,サブスク")</f>
        <v>乳酸桿菌,ラクトフローラ,おりもの,カンジダ,定期便,定期購入,サブスク</v>
      </c>
      <c r="E766" s="32" t="str">
        <f>IFERROR(__xludf.DUMMYFUNCTION("""COMPUTED_VALUE"""),"https://shop.luna-dr.com/products/lactobacillus")</f>
        <v>https://shop.luna-dr.com/products/lactobacillus</v>
      </c>
    </row>
    <row r="767">
      <c r="A767" s="31" t="str">
        <f>IFERROR(__xludf.DUMMYFUNCTION("""COMPUTED_VALUE"""),"定期配送の配送先住所を変更したいです/定期便の届け先を変更したい/定期購入の住所変更")</f>
        <v>定期配送の配送先住所を変更したいです/定期便の届け先を変更したい/定期購入の住所変更</v>
      </c>
      <c r="B767" s="31" t="str">
        <f>IFERROR(__xludf.DUMMYFUNCTION("""COMPUTED_VALUE"""),"お手数ですが、こちらのフォーム（https://docs.google.com/forms/d/e/1FAIpQLSe41t1VsvN-rfcwsRSkalz89S2yqQc4zpWrbdcrwPo95Iif-Q/viewform）よりご連絡ください。内容確認後、3日以内にカウンセラーよりメールでご連絡いたします。")</f>
        <v>お手数ですが、こちらのフォーム（https://docs.google.com/forms/d/e/1FAIpQLSe41t1VsvN-rfcwsRSkalz89S2yqQc4zpWrbdcrwPo95Iif-Q/viewform）よりご連絡ください。内容確認後、3日以内にカウンセラーよりメールでご連絡いたします。</v>
      </c>
      <c r="C767" s="31" t="str">
        <f>IFERROR(__xludf.DUMMYFUNCTION("""COMPUTED_VALUE"""),"定期配送")</f>
        <v>定期配送</v>
      </c>
      <c r="D767" s="31" t="str">
        <f>IFERROR(__xludf.DUMMYFUNCTION("""COMPUTED_VALUE"""),"住所変更,配送先,定期便,定期購入,サブスク")</f>
        <v>住所変更,配送先,定期便,定期購入,サブスク</v>
      </c>
      <c r="E767" s="32" t="str">
        <f>IFERROR(__xludf.DUMMYFUNCTION("""COMPUTED_VALUE"""),"https://docs.google.com/forms/d/e/1FAIpQLSe41t1VsvN-rfcwsRSkalz89S2yqQc4zpWrbdcrwPo95Iif-Q/viewform")</f>
        <v>https://docs.google.com/forms/d/e/1FAIpQLSe41t1VsvN-rfcwsRSkalz89S2yqQc4zpWrbdcrwPo95Iif-Q/viewform</v>
      </c>
    </row>
    <row r="768">
      <c r="A768" s="31" t="str">
        <f>IFERROR(__xludf.DUMMYFUNCTION("""COMPUTED_VALUE"""),"氏名を変更したいです/名前が変わったのですが変更できますか？/改姓の手続きをしたい/苗字が変わりました/定期配送の氏名を変更したい/定期便の氏名を変更したい/定期購入の名前変更/登録情報の変更/登録情報を変更したい/個人情報の変更")</f>
        <v>氏名を変更したいです/名前が変わったのですが変更できますか？/改姓の手続きをしたい/苗字が変わりました/定期配送の氏名を変更したい/定期便の氏名を変更したい/定期購入の名前変更/登録情報の変更/登録情報を変更したい/個人情報の変更</v>
      </c>
      <c r="B768" s="31" t="str">
        <f>IFERROR(__xludf.DUMMYFUNCTION("""COMPUTED_VALUE"""),"【定期配送をご利用の方】お手数ですが、こちらのフォーム（https://docs.google.com/forms/d/e/1FAIpQLSe41t1VsvN-rfcwsRSkalz89S2yqQc4zpWrbdcrwPo95Iif-Q/viewform）よりご連絡ください。内容確認後、3日以内にカウンセラーよりメールでご連絡いたします。【クリニックにご来院の方】次回ご来院の際に受付にてお申し付けください。")</f>
        <v>【定期配送をご利用の方】お手数ですが、こちらのフォーム（https://docs.google.com/forms/d/e/1FAIpQLSe41t1VsvN-rfcwsRSkalz89S2yqQc4zpWrbdcrwPo95Iif-Q/viewform）よりご連絡ください。内容確認後、3日以内にカウンセラーよりメールでご連絡いたします。【クリニックにご来院の方】次回ご来院の際に受付にてお申し付けください。</v>
      </c>
      <c r="C768" s="31" t="str">
        <f>IFERROR(__xludf.DUMMYFUNCTION("""COMPUTED_VALUE"""),"受診案内・手続き")</f>
        <v>受診案内・手続き</v>
      </c>
      <c r="D768" s="31" t="str">
        <f>IFERROR(__xludf.DUMMYFUNCTION("""COMPUTED_VALUE"""),"氏名変更,名前変更,改姓,苗字,名義変更,定期便,定期購入,サブスク")</f>
        <v>氏名変更,名前変更,改姓,苗字,名義変更,定期便,定期購入,サブスク</v>
      </c>
      <c r="E768" s="32" t="str">
        <f>IFERROR(__xludf.DUMMYFUNCTION("""COMPUTED_VALUE"""),"https://docs.google.com/forms/d/e/1FAIpQLSe41t1VsvN-rfcwsRSkalz89S2yqQc4zpWrbdcrwPo95Iif-Q/viewform")</f>
        <v>https://docs.google.com/forms/d/e/1FAIpQLSe41t1VsvN-rfcwsRSkalz89S2yqQc4zpWrbdcrwPo95Iif-Q/viewform</v>
      </c>
    </row>
    <row r="769">
      <c r="A769" s="31" t="str">
        <f>IFERROR(__xludf.DUMMYFUNCTION("""COMPUTED_VALUE"""),"定期配送の次回配送日を変更したいです/定期便の届く日を変更したい/定期購入の配送日変更")</f>
        <v>定期配送の次回配送日を変更したいです/定期便の届く日を変更したい/定期購入の配送日変更</v>
      </c>
      <c r="B769" s="31" t="str">
        <f>IFERROR(__xludf.DUMMYFUNCTION("""COMPUTED_VALUE"""),"お手数ですが、こちらのフォーム（https://docs.google.com/forms/d/e/1FAIpQLSe41t1VsvN-rfcwsRSkalz89S2yqQc4zpWrbdcrwPo95Iif-Q/viewform）よりご連絡ください。内容確認後、3日以内にカウンセラーよりメールでご連絡いたします。")</f>
        <v>お手数ですが、こちらのフォーム（https://docs.google.com/forms/d/e/1FAIpQLSe41t1VsvN-rfcwsRSkalz89S2yqQc4zpWrbdcrwPo95Iif-Q/viewform）よりご連絡ください。内容確認後、3日以内にカウンセラーよりメールでご連絡いたします。</v>
      </c>
      <c r="C769" s="31" t="str">
        <f>IFERROR(__xludf.DUMMYFUNCTION("""COMPUTED_VALUE"""),"定期配送")</f>
        <v>定期配送</v>
      </c>
      <c r="D769" s="31" t="str">
        <f>IFERROR(__xludf.DUMMYFUNCTION("""COMPUTED_VALUE"""),"配送日変更,定期便,定期購入,サブスク")</f>
        <v>配送日変更,定期便,定期購入,サブスク</v>
      </c>
      <c r="E769" s="32" t="str">
        <f>IFERROR(__xludf.DUMMYFUNCTION("""COMPUTED_VALUE"""),"https://docs.google.com/forms/d/e/1FAIpQLSe41t1VsvN-rfcwsRSkalz89S2yqQc4zpWrbdcrwPo95Iif-Q/viewform")</f>
        <v>https://docs.google.com/forms/d/e/1FAIpQLSe41t1VsvN-rfcwsRSkalz89S2yqQc4zpWrbdcrwPo95Iif-Q/viewform</v>
      </c>
    </row>
    <row r="770">
      <c r="A770" s="31" t="str">
        <f>IFERROR(__xludf.DUMMYFUNCTION("""COMPUTED_VALUE"""),"定期配送を解約したいです/定期購入を解約したい/定期便を解約したい/サブスクを解約したい/定期購入をやめたい/ピルの定期購入を解約したい/ピルの定期配送を解約したいです/ピルの定期便を解約したい/ピルのサブスクを解約したい/ピルの定期購入をやめたい/定期購入をキャンセルしたい/定期購入のキャンセル方法/定期購入2回目のキャンセル")</f>
        <v>定期配送を解約したいです/定期購入を解約したい/定期便を解約したい/サブスクを解約したい/定期購入をやめたい/ピルの定期購入を解約したい/ピルの定期配送を解約したいです/ピルの定期便を解約したい/ピルのサブスクを解約したい/ピルの定期購入をやめたい/定期購入をキャンセルしたい/定期購入のキャンセル方法/定期購入2回目のキャンセル</v>
      </c>
      <c r="B770" s="31" t="str">
        <f>IFERROR(__xludf.DUMMYFUNCTION("""COMPUTED_VALUE"""),"お手数ですが、こちらのフォーム（https://docs.google.com/forms/d/e/1FAIpQLSe41t1VsvN-rfcwsRSkalz89S2yqQc4zpWrbdcrwPo95Iif-Q/viewform）よりご連絡ください。内容確認後、3日以内にカウンセラーよりメールでご連絡いたします。")</f>
        <v>お手数ですが、こちらのフォーム（https://docs.google.com/forms/d/e/1FAIpQLSe41t1VsvN-rfcwsRSkalz89S2yqQc4zpWrbdcrwPo95Iif-Q/viewform）よりご連絡ください。内容確認後、3日以内にカウンセラーよりメールでご連絡いたします。</v>
      </c>
      <c r="C770" s="31" t="str">
        <f>IFERROR(__xludf.DUMMYFUNCTION("""COMPUTED_VALUE"""),"定期配送")</f>
        <v>定期配送</v>
      </c>
      <c r="D770" s="31" t="str">
        <f>IFERROR(__xludf.DUMMYFUNCTION("""COMPUTED_VALUE"""),"解約,サブスク,定期購入,定期便,定期便,定期購入,サブスク")</f>
        <v>解約,サブスク,定期購入,定期便,定期便,定期購入,サブスク</v>
      </c>
      <c r="E770" s="32" t="str">
        <f>IFERROR(__xludf.DUMMYFUNCTION("""COMPUTED_VALUE"""),"https://docs.google.com/forms/d/e/1FAIpQLSe41t1VsvN-rfcwsRSkalz89S2yqQc4zpWrbdcrwPo95Iif-Q/viewform")</f>
        <v>https://docs.google.com/forms/d/e/1FAIpQLSe41t1VsvN-rfcwsRSkalz89S2yqQc4zpWrbdcrwPo95Iif-Q/viewform</v>
      </c>
    </row>
    <row r="771">
      <c r="A771" s="31" t="str">
        <f>IFERROR(__xludf.DUMMYFUNCTION("""COMPUTED_VALUE"""),"定期配送の契約プランを変更したいです/定期便のプランを変更したい/定期購入のコース変更/現在の自分の契約コースを知りたい")</f>
        <v>定期配送の契約プランを変更したいです/定期便のプランを変更したい/定期購入のコース変更/現在の自分の契約コースを知りたい</v>
      </c>
      <c r="B771" s="31" t="str">
        <f>IFERROR(__xludf.DUMMYFUNCTION("""COMPUTED_VALUE"""),"お手数ですが、こちらのフォーム（https://docs.google.com/forms/d/e/1FAIpQLSe41t1VsvN-rfcwsRSkalz89S2yqQc4zpWrbdcrwPo95Iif-Q/viewform）よりご連絡ください。内容確認後、3日以内にカウンセラーよりメールでご連絡いたします。")</f>
        <v>お手数ですが、こちらのフォーム（https://docs.google.com/forms/d/e/1FAIpQLSe41t1VsvN-rfcwsRSkalz89S2yqQc4zpWrbdcrwPo95Iif-Q/viewform）よりご連絡ください。内容確認後、3日以内にカウンセラーよりメールでご連絡いたします。</v>
      </c>
      <c r="C771" s="31" t="str">
        <f>IFERROR(__xludf.DUMMYFUNCTION("""COMPUTED_VALUE"""),"定期配送")</f>
        <v>定期配送</v>
      </c>
      <c r="D771" s="31" t="str">
        <f>IFERROR(__xludf.DUMMYFUNCTION("""COMPUTED_VALUE"""),"契約プラン,変更,サブスク,定期配送,定期便,定期購入,サブスク")</f>
        <v>契約プラン,変更,サブスク,定期配送,定期便,定期購入,サブスク</v>
      </c>
      <c r="E771" s="32" t="str">
        <f>IFERROR(__xludf.DUMMYFUNCTION("""COMPUTED_VALUE"""),"https://docs.google.com/forms/d/e/1FAIpQLSe41t1VsvN-rfcwsRSkalz89S2yqQc4zpWrbdcrwPo95Iif-Q/viewform")</f>
        <v>https://docs.google.com/forms/d/e/1FAIpQLSe41t1VsvN-rfcwsRSkalz89S2yqQc4zpWrbdcrwPo95Iif-Q/viewform</v>
      </c>
    </row>
    <row r="772">
      <c r="A772" s="31" t="str">
        <f>IFERROR(__xludf.DUMMYFUNCTION("""COMPUTED_VALUE"""),"定期配送の次回配送日がいつか確認したい/定期便の次回発送日はいつ/定期購入の次はいつ届く/定期便の次回発送日はいつですか？/次の定期便はいつ届きますか？/定期購入の次回発送日を確認したい/次回の定期発送/契約済みのピルの配送日を知りたい/次回のピル配送")</f>
        <v>定期配送の次回配送日がいつか確認したい/定期便の次回発送日はいつ/定期購入の次はいつ届く/定期便の次回発送日はいつですか？/次の定期便はいつ届きますか？/定期購入の次回発送日を確認したい/次回の定期発送/契約済みのピルの配送日を知りたい/次回のピル配送</v>
      </c>
      <c r="B772" s="31" t="str">
        <f>IFERROR(__xludf.DUMMYFUNCTION("""COMPUTED_VALUE"""),"お手数ですが、こちらのフォーム（https://docs.google.com/forms/d/e/1FAIpQLSe41t1VsvN-rfcwsRSkalz89S2yqQc4zpWrbdcrwPo95Iif-Q/viewform）よりご連絡ください。内容確認後、3日以内にカウンセラーよりメールでご連絡いたします。")</f>
        <v>お手数ですが、こちらのフォーム（https://docs.google.com/forms/d/e/1FAIpQLSe41t1VsvN-rfcwsRSkalz89S2yqQc4zpWrbdcrwPo95Iif-Q/viewform）よりご連絡ください。内容確認後、3日以内にカウンセラーよりメールでご連絡いたします。</v>
      </c>
      <c r="C772" s="31" t="str">
        <f>IFERROR(__xludf.DUMMYFUNCTION("""COMPUTED_VALUE"""),"定期配送")</f>
        <v>定期配送</v>
      </c>
      <c r="D772" s="31" t="str">
        <f>IFERROR(__xludf.DUMMYFUNCTION("""COMPUTED_VALUE"""),"次回配送日,定期配送,サブスク,定期便,定期購入,サブスク,次回発送,発送日")</f>
        <v>次回配送日,定期配送,サブスク,定期便,定期購入,サブスク,次回発送,発送日</v>
      </c>
      <c r="E772" s="32" t="str">
        <f>IFERROR(__xludf.DUMMYFUNCTION("""COMPUTED_VALUE"""),"https://docs.google.com/forms/d/e/1FAIpQLSe41t1VsvN-rfcwsRSkalz89S2yqQc4zpWrbdcrwPo95Iif-Q/viewform")</f>
        <v>https://docs.google.com/forms/d/e/1FAIpQLSe41t1VsvN-rfcwsRSkalz89S2yqQc4zpWrbdcrwPo95Iif-Q/viewform</v>
      </c>
    </row>
    <row r="773">
      <c r="A773" s="31" t="str">
        <f>IFERROR(__xludf.DUMMYFUNCTION("""COMPUTED_VALUE"""),"定期配送の配購入回数に制限はありますか？/定期便に回数制限はある？/定期購入は何回まで？")</f>
        <v>定期配送の配購入回数に制限はありますか？/定期便に回数制限はある？/定期購入は何回まで？</v>
      </c>
      <c r="B773" s="31" t="str">
        <f>IFERROR(__xludf.DUMMYFUNCTION("""COMPUTED_VALUE"""),"定期配送のご利用に回数制限はございません。ただし、配送後の返品・キャンセルはできませんのでご了承ください。")</f>
        <v>定期配送のご利用に回数制限はございません。ただし、配送後の返品・キャンセルはできませんのでご了承ください。</v>
      </c>
      <c r="C773" s="31" t="str">
        <f>IFERROR(__xludf.DUMMYFUNCTION("""COMPUTED_VALUE"""),"定期配送")</f>
        <v>定期配送</v>
      </c>
      <c r="D773" s="31" t="str">
        <f>IFERROR(__xludf.DUMMYFUNCTION("""COMPUTED_VALUE"""),"回数制限,購入条件,定期便,定期購入,サブスク")</f>
        <v>回数制限,購入条件,定期便,定期購入,サブスク</v>
      </c>
      <c r="E773" s="32" t="str">
        <f>IFERROR(__xludf.DUMMYFUNCTION("""COMPUTED_VALUE"""),"https://shop.luna-dr.com/collections/low_dose_pill_subscription")</f>
        <v>https://shop.luna-dr.com/collections/low_dose_pill_subscription</v>
      </c>
    </row>
    <row r="774">
      <c r="A774" s="31" t="str">
        <f>IFERROR(__xludf.DUMMYFUNCTION("""COMPUTED_VALUE"""),"定期配送のクレジットカード決済でエラーの連絡が来た/定期便の決済エラー/定期購入のカードエラー")</f>
        <v>定期配送のクレジットカード決済でエラーの連絡が来た/定期便の決済エラー/定期購入のカードエラー</v>
      </c>
      <c r="B774" s="31" t="str">
        <f>IFERROR(__xludf.DUMMYFUNCTION("""COMPUTED_VALUE"""),"定期配送は自動決済のため再購入は不要です。カード変更や限度額超過の場合は、カード情報の更新が必要です。エラー時は登録メール宛にご連絡しております。不明点はフォーム（https://docs.google.com/forms/d/e/1FAIpQLSe41t1VsvN-rfcwsRSkalz89S2yqQc4zpWrbdcrwPo95Iif-Q/viewform）よりお問い合わせください。")</f>
        <v>定期配送は自動決済のため再購入は不要です。カード変更や限度額超過の場合は、カード情報の更新が必要です。エラー時は登録メール宛にご連絡しております。不明点はフォーム（https://docs.google.com/forms/d/e/1FAIpQLSe41t1VsvN-rfcwsRSkalz89S2yqQc4zpWrbdcrwPo95Iif-Q/viewform）よりお問い合わせください。</v>
      </c>
      <c r="C774" s="31" t="str">
        <f>IFERROR(__xludf.DUMMYFUNCTION("""COMPUTED_VALUE"""),"支払い")</f>
        <v>支払い</v>
      </c>
      <c r="D774" s="31" t="str">
        <f>IFERROR(__xludf.DUMMYFUNCTION("""COMPUTED_VALUE"""),"クレジットカード,決済エラー,定期便,定期購入,サブスク")</f>
        <v>クレジットカード,決済エラー,定期便,定期購入,サブスク</v>
      </c>
      <c r="E774" s="32" t="str">
        <f>IFERROR(__xludf.DUMMYFUNCTION("""COMPUTED_VALUE"""),"https://docs.google.com/forms/d/e/1FAIpQLSe41t1VsvN-rfcwsRSkalz89S2yqQc4zpWrbdcrwPo95Iif-Q/viewform")</f>
        <v>https://docs.google.com/forms/d/e/1FAIpQLSe41t1VsvN-rfcwsRSkalz89S2yqQc4zpWrbdcrwPo95Iif-Q/viewform</v>
      </c>
    </row>
    <row r="775">
      <c r="A775" s="31" t="str">
        <f>IFERROR(__xludf.DUMMYFUNCTION("""COMPUTED_VALUE"""),"定期配送は毎回申し込みが必要ですか？/定期配送は再登録が必要ですか/定期便は毎回注文が必要？/定期購入は自動更新？")</f>
        <v>定期配送は毎回申し込みが必要ですか？/定期配送は再登録が必要ですか/定期便は毎回注文が必要？/定期購入は自動更新？</v>
      </c>
      <c r="B775" s="31" t="str">
        <f>IFERROR(__xludf.DUMMYFUNCTION("""COMPUTED_VALUE"""),"再登録は不要です。契約コースごとに自動で決済・配送されます。決済エラーが発生した場合のみカード情報の更新が必要です。不明点はフォーム（https://docs.google.com/forms/d/e/1FAIpQLSe41t1VsvN-rfcwsRSkalz89S2yqQc4zpWrbdcrwPo95Iif-Q/viewform）よりお問い合わせください。")</f>
        <v>再登録は不要です。契約コースごとに自動で決済・配送されます。決済エラーが発生した場合のみカード情報の更新が必要です。不明点はフォーム（https://docs.google.com/forms/d/e/1FAIpQLSe41t1VsvN-rfcwsRSkalz89S2yqQc4zpWrbdcrwPo95Iif-Q/viewform）よりお問い合わせください。</v>
      </c>
      <c r="C775" s="31" t="str">
        <f>IFERROR(__xludf.DUMMYFUNCTION("""COMPUTED_VALUE"""),"定期配送")</f>
        <v>定期配送</v>
      </c>
      <c r="D775" s="31" t="str">
        <f>IFERROR(__xludf.DUMMYFUNCTION("""COMPUTED_VALUE"""),"自動更新,サブスク,定期便,定期購入")</f>
        <v>自動更新,サブスク,定期便,定期購入</v>
      </c>
      <c r="E775" s="32" t="str">
        <f>IFERROR(__xludf.DUMMYFUNCTION("""COMPUTED_VALUE"""),"https://shop.luna-dr.com/collections/low_dose_pill_subscription")</f>
        <v>https://shop.luna-dr.com/collections/low_dose_pill_subscription</v>
      </c>
    </row>
    <row r="776">
      <c r="A776" s="31" t="str">
        <f>IFERROR(__xludf.DUMMYFUNCTION("""COMPUTED_VALUE"""),"定期配送の返品はできますか？/定期配送のキャンセルはできますか？/定期便の返品/定期購入をキャンセルしたい")</f>
        <v>定期配送の返品はできますか？/定期配送のキャンセルはできますか？/定期便の返品/定期購入をキャンセルしたい</v>
      </c>
      <c r="B776" s="31" t="str">
        <f>IFERROR(__xludf.DUMMYFUNCTION("""COMPUTED_VALUE"""),"配送前のキャンセル・解約をご希望の場合は、こちらのフォーム（https://docs.google.com/forms/d/e/1FAIpQLSe41t1VsvN-rfcwsRSkalz89S2yqQc4zpWrbdcrwPo95Iif-Q/viewform）よりご連絡ください。決済後の返品・キャンセルはできませんので、あらかじめご了承ください。なお、定期配送のご利用に制限はございません。")</f>
        <v>配送前のキャンセル・解約をご希望の場合は、こちらのフォーム（https://docs.google.com/forms/d/e/1FAIpQLSe41t1VsvN-rfcwsRSkalz89S2yqQc4zpWrbdcrwPo95Iif-Q/viewform）よりご連絡ください。決済後の返品・キャンセルはできませんので、あらかじめご了承ください。なお、定期配送のご利用に制限はございません。</v>
      </c>
      <c r="C776" s="31" t="str">
        <f>IFERROR(__xludf.DUMMYFUNCTION("""COMPUTED_VALUE"""),"定期配送")</f>
        <v>定期配送</v>
      </c>
      <c r="D776" s="31" t="str">
        <f>IFERROR(__xludf.DUMMYFUNCTION("""COMPUTED_VALUE"""),"定期配送,キャンセル,返品,定期便,定期購入,サブスク")</f>
        <v>定期配送,キャンセル,返品,定期便,定期購入,サブスク</v>
      </c>
      <c r="E776" s="32" t="str">
        <f>IFERROR(__xludf.DUMMYFUNCTION("""COMPUTED_VALUE"""),"https://shop.luna-dr.com/collections/low_dose_pill_subscription")</f>
        <v>https://shop.luna-dr.com/collections/low_dose_pill_subscription</v>
      </c>
    </row>
    <row r="777">
      <c r="A777" s="31" t="str">
        <f>IFERROR(__xludf.DUMMYFUNCTION("""COMPUTED_VALUE"""),"オンライン診療の料金を知りたい")</f>
        <v>オンライン診療の料金を知りたい</v>
      </c>
      <c r="B777" s="31" t="str">
        <f>IFERROR(__xludf.DUMMYFUNCTION("""COMPUTED_VALUE"""),"お薬の費用、送料、診察料はこちらのページをご確認ください→https://luna-dr.notion.site/1962f1eed8ff817497d6e727d9c32c73")</f>
        <v>お薬の費用、送料、診察料はこちらのページをご確認ください→https://luna-dr.notion.site/1962f1eed8ff817497d6e727d9c32c73</v>
      </c>
      <c r="C777" s="31" t="str">
        <f>IFERROR(__xludf.DUMMYFUNCTION("""COMPUTED_VALUE"""),"オンライン診療")</f>
        <v>オンライン診療</v>
      </c>
      <c r="D777" s="31" t="str">
        <f>IFERROR(__xludf.DUMMYFUNCTION("""COMPUTED_VALUE"""),"オンライン診療,料金")</f>
        <v>オンライン診療,料金</v>
      </c>
      <c r="E777" s="32" t="str">
        <f>IFERROR(__xludf.DUMMYFUNCTION("""COMPUTED_VALUE"""),"https://luna-dr.notion.site/1962f1eed8ff817497d6e727d9c32c73")</f>
        <v>https://luna-dr.notion.site/1962f1eed8ff817497d6e727d9c32c73</v>
      </c>
    </row>
    <row r="778">
      <c r="A778" s="31" t="str">
        <f>IFERROR(__xludf.DUMMYFUNCTION("""COMPUTED_VALUE"""),"オンライン診療は何歳から利用できますか？")</f>
        <v>オンライン診療は何歳から利用できますか？</v>
      </c>
      <c r="B778" s="31" t="str">
        <f>IFERROR(__xludf.DUMMYFUNCTION("""COMPUTED_VALUE"""),"オンライン診療は18歳以上が対象です。低用量ピルは初回処方が18歳以上40歳未満、定期配送は45歳までご利用いただけます。")</f>
        <v>オンライン診療は18歳以上が対象です。低用量ピルは初回処方が18歳以上40歳未満、定期配送は45歳までご利用いただけます。</v>
      </c>
      <c r="C778" s="31" t="str">
        <f>IFERROR(__xludf.DUMMYFUNCTION("""COMPUTED_VALUE"""),"オンライン診療")</f>
        <v>オンライン診療</v>
      </c>
      <c r="D778" s="31" t="str">
        <f>IFERROR(__xludf.DUMMYFUNCTION("""COMPUTED_VALUE"""),"オンライン診療,年齢制限,ピル")</f>
        <v>オンライン診療,年齢制限,ピル</v>
      </c>
      <c r="E778" s="32" t="str">
        <f>IFERROR(__xludf.DUMMYFUNCTION("""COMPUTED_VALUE"""),"https://luna-dr.com/")</f>
        <v>https://luna-dr.com/</v>
      </c>
    </row>
    <row r="779">
      <c r="A779" s="31" t="str">
        <f>IFERROR(__xludf.DUMMYFUNCTION("""COMPUTED_VALUE"""),"オンライン診療の診療時間を教えてください")</f>
        <v>オンライン診療の診療時間を教えてください</v>
      </c>
      <c r="B779" s="31" t="str">
        <f>IFERROR(__xludf.DUMMYFUNCTION("""COMPUTED_VALUE"""),"オンライン診療は年中無休で診療を行っております。医師とのオンライン診療は11時～18時にご利用いただけます。
診療申し込みやご質問などは24時間受付けておりますので、お気軽にご相談ください。年末年始の休診は公式HPをご確認ください。")</f>
        <v>オンライン診療は年中無休で診療を行っております。医師とのオンライン診療は11時～18時にご利用いただけます。
診療申し込みやご質問などは24時間受付けておりますので、お気軽にご相談ください。年末年始の休診は公式HPをご確認ください。</v>
      </c>
      <c r="C779" s="31" t="str">
        <f>IFERROR(__xludf.DUMMYFUNCTION("""COMPUTED_VALUE"""),"オンライン診療")</f>
        <v>オンライン診療</v>
      </c>
      <c r="D779" s="31" t="str">
        <f>IFERROR(__xludf.DUMMYFUNCTION("""COMPUTED_VALUE"""),"オンライン診療,診療時間")</f>
        <v>オンライン診療,診療時間</v>
      </c>
      <c r="E779" s="32" t="str">
        <f>IFERROR(__xludf.DUMMYFUNCTION("""COMPUTED_VALUE"""),"https://luna-dr.com/")</f>
        <v>https://luna-dr.com/</v>
      </c>
    </row>
    <row r="780">
      <c r="A780" s="31" t="str">
        <f>IFERROR(__xludf.DUMMYFUNCTION("""COMPUTED_VALUE"""),"オンライン診療は保険適用ですか？費用はいくらですか？")</f>
        <v>オンライン診療は保険適用ですか？費用はいくらですか？</v>
      </c>
      <c r="B780" s="31" t="str">
        <f>IFERROR(__xludf.DUMMYFUNCTION("""COMPUTED_VALUE"""),"オンライン診療はすべて自費診療となり、保険は適用されません。")</f>
        <v>オンライン診療はすべて自費診療となり、保険は適用されません。</v>
      </c>
      <c r="C780" s="31" t="str">
        <f>IFERROR(__xludf.DUMMYFUNCTION("""COMPUTED_VALUE"""),"オンライン診療")</f>
        <v>オンライン診療</v>
      </c>
      <c r="D780" s="31" t="str">
        <f>IFERROR(__xludf.DUMMYFUNCTION("""COMPUTED_VALUE"""),"保険,費用,自費診療")</f>
        <v>保険,費用,自費診療</v>
      </c>
      <c r="E780" s="32" t="str">
        <f>IFERROR(__xludf.DUMMYFUNCTION("""COMPUTED_VALUE"""),"https://luna-dr.com/")</f>
        <v>https://luna-dr.com/</v>
      </c>
    </row>
    <row r="781">
      <c r="A781" s="31" t="str">
        <f>IFERROR(__xludf.DUMMYFUNCTION("""COMPUTED_VALUE"""),"診察番号が分かりません/診察番号を教えてください/診察番号はどこで確認できますか？")</f>
        <v>診察番号が分かりません/診察番号を教えてください/診察番号はどこで確認できますか？</v>
      </c>
      <c r="B781" s="31" t="str">
        <f>IFERROR(__xludf.DUMMYFUNCTION("""COMPUTED_VALUE"""),"診察番号（患者番号）の確認方法についてご案内します。診察番号はLINEまたは領収書からご確認いただけます。詳しい確認手順はこちらのページをご参照ください。→https://luna-dr.notion.site/f0a26ab231534d8fa9cb069193c411a4")</f>
        <v>診察番号（患者番号）の確認方法についてご案内します。診察番号はLINEまたは領収書からご確認いただけます。詳しい確認手順はこちらのページをご参照ください。→https://luna-dr.notion.site/f0a26ab231534d8fa9cb069193c411a4</v>
      </c>
      <c r="C781" s="31" t="str">
        <f>IFERROR(__xludf.DUMMYFUNCTION("""COMPUTED_VALUE"""),"オンライン診療｜各種手続き")</f>
        <v>オンライン診療｜各種手続き</v>
      </c>
      <c r="D781" s="31" t="str">
        <f>IFERROR(__xludf.DUMMYFUNCTION("""COMPUTED_VALUE"""),"診察番号,確認方法,オンライン診療")</f>
        <v>診察番号,確認方法,オンライン診療</v>
      </c>
      <c r="E781" s="32" t="str">
        <f>IFERROR(__xludf.DUMMYFUNCTION("""COMPUTED_VALUE"""),"https://luna-dr.notion.site/f0a26ab231534d8fa9cb069193c411a4")</f>
        <v>https://luna-dr.notion.site/f0a26ab231534d8fa9cb069193c411a4</v>
      </c>
    </row>
    <row r="782">
      <c r="A782" s="31" t="str">
        <f>IFERROR(__xludf.DUMMYFUNCTION("""COMPUTED_VALUE"""),"オンライン診療ではレシートを発行してもらえますか？")</f>
        <v>オンライン診療ではレシートを発行してもらえますか？</v>
      </c>
      <c r="B782" s="31" t="str">
        <f>IFERROR(__xludf.DUMMYFUNCTION("""COMPUTED_VALUE"""),"オンライン診療の決済確認後、メールアドレスまたはSMS宛に電子レシートを送信することが可能です。ご希望の場合は、オンラインチャットでカウンセラーへご相談ください。")</f>
        <v>オンライン診療の決済確認後、メールアドレスまたはSMS宛に電子レシートを送信することが可能です。ご希望の場合は、オンラインチャットでカウンセラーへご相談ください。</v>
      </c>
      <c r="C782" s="31" t="str">
        <f>IFERROR(__xludf.DUMMYFUNCTION("""COMPUTED_VALUE"""),"オンライン診療｜支払い・書類")</f>
        <v>オンライン診療｜支払い・書類</v>
      </c>
      <c r="D782" s="31" t="str">
        <f>IFERROR(__xludf.DUMMYFUNCTION("""COMPUTED_VALUE"""),"レシート,電子レシート,支払い")</f>
        <v>レシート,電子レシート,支払い</v>
      </c>
      <c r="E782" s="31"/>
    </row>
    <row r="783">
      <c r="A783" s="31" t="str">
        <f>IFERROR(__xludf.DUMMYFUNCTION("""COMPUTED_VALUE"""),"オンライン診療では領収書を発行してもらえますか？")</f>
        <v>オンライン診療では領収書を発行してもらえますか？</v>
      </c>
      <c r="B783" s="31" t="str">
        <f>IFERROR(__xludf.DUMMYFUNCTION("""COMPUTED_VALUE"""),"オンライン診療の決済確認後、PDF形式にて領収書の発行が可能です。オンラインチャットでカウンセラーへご相談ください。")</f>
        <v>オンライン診療の決済確認後、PDF形式にて領収書の発行が可能です。オンラインチャットでカウンセラーへご相談ください。</v>
      </c>
      <c r="C783" s="31" t="str">
        <f>IFERROR(__xludf.DUMMYFUNCTION("""COMPUTED_VALUE"""),"オンライン診療｜支払い・書類")</f>
        <v>オンライン診療｜支払い・書類</v>
      </c>
      <c r="D783" s="31" t="str">
        <f>IFERROR(__xludf.DUMMYFUNCTION("""COMPUTED_VALUE"""),"領収書,PDF,支払い")</f>
        <v>領収書,PDF,支払い</v>
      </c>
      <c r="E783" s="31"/>
    </row>
    <row r="784">
      <c r="A784" s="31" t="str">
        <f>IFERROR(__xludf.DUMMYFUNCTION("""COMPUTED_VALUE"""),"マイナンバーがなくても受診できますか？")</f>
        <v>マイナンバーがなくても受診できますか？</v>
      </c>
      <c r="B784" s="31" t="str">
        <f>IFERROR(__xludf.DUMMYFUNCTION("""COMPUTED_VALUE"""),"マイナンバーカードがない場合のご対応は受診内容や保険診療の有無によって異なります。詳しくはお電話にてお問い合わせください。お電話は 050-1730-2768 となります。オンライン診療の場合は、ご本人様であることが確認できるものであれば、マイナンバー（顔写真付きの身分証明書）でなくてもオンライン診療が可能です。利用できるもの：運転免許証、保険証、パスポート、在留カード 等")</f>
        <v>マイナンバーカードがない場合のご対応は受診内容や保険診療の有無によって異なります。詳しくはお電話にてお問い合わせください。お電話は 050-1730-2768 となります。オンライン診療の場合は、ご本人様であることが確認できるものであれば、マイナンバー（顔写真付きの身分証明書）でなくてもオンライン診療が可能です。利用できるもの：運転免許証、保険証、パスポート、在留カード 等</v>
      </c>
      <c r="C784" s="31" t="str">
        <f>IFERROR(__xludf.DUMMYFUNCTION("""COMPUTED_VALUE"""),"受診案内・本人確認")</f>
        <v>受診案内・本人確認</v>
      </c>
      <c r="D784" s="31" t="str">
        <f>IFERROR(__xludf.DUMMYFUNCTION("""COMPUTED_VALUE"""),"マイナンバー,本人確認,身分証,受診,来院,オンライン診療,持ち物,受診方法")</f>
        <v>マイナンバー,本人確認,身分証,受診,来院,オンライン診療,持ち物,受診方法</v>
      </c>
      <c r="E784" s="31"/>
    </row>
    <row r="785">
      <c r="A785" s="31" t="str">
        <f>IFERROR(__xludf.DUMMYFUNCTION("""COMPUTED_VALUE"""),"マイナンバーがなくてもオンライン診療は受けられますか？")</f>
        <v>マイナンバーがなくてもオンライン診療は受けられますか？</v>
      </c>
      <c r="B785" s="31" t="str">
        <f>IFERROR(__xludf.DUMMYFUNCTION("""COMPUTED_VALUE"""),"ルナレディースクリニックでは、ご本人様であることが確認できるものであれば、マイナンバー（顔写真付きの身分証明書）でなくてもオンライン診療が可能です。利用できるもの：運転免許証、保険証、パスポート、在留カード 等")</f>
        <v>ルナレディースクリニックでは、ご本人様であることが確認できるものであれば、マイナンバー（顔写真付きの身分証明書）でなくてもオンライン診療が可能です。利用できるもの：運転免許証、保険証、パスポート、在留カード 等</v>
      </c>
      <c r="C785" s="31" t="str">
        <f>IFERROR(__xludf.DUMMYFUNCTION("""COMPUTED_VALUE"""),"オンライン診療｜本人確認")</f>
        <v>オンライン診療｜本人確認</v>
      </c>
      <c r="D785" s="31" t="str">
        <f>IFERROR(__xludf.DUMMYFUNCTION("""COMPUTED_VALUE"""),"オンライン診療,本人確認,身分証,マイナンバー,免許証,保険証,パスポート,在留カード")</f>
        <v>オンライン診療,本人確認,身分証,マイナンバー,免許証,保険証,パスポート,在留カード</v>
      </c>
      <c r="E785" s="31"/>
    </row>
    <row r="786">
      <c r="A786" s="31" t="str">
        <f>IFERROR(__xludf.DUMMYFUNCTION("""COMPUTED_VALUE"""),"健康保険証は必要ですか？/保険証はいりますか？/受診に必要な持ち物は？/何を持っていけばいいですか？	")</f>
        <v>健康保険証は必要ですか？/保険証はいりますか？/受診に必要な持ち物は？/何を持っていけばいいですか？	</v>
      </c>
      <c r="B786" s="31" t="str">
        <f>IFERROR(__xludf.DUMMYFUNCTION("""COMPUTED_VALUE"""),"受診に必要な持ち物は「来院」か「オンライン診療」かで異なる場合があります。
来院の場合：
・保険証またはマイナンバーカード
・お薬手帳（お持ちの方）
・筆記用具（説明内容をメモしたい方）
オンライン診療の場合の持ち物：
ご本人様であることが確認できるもの　※顔写真付きの身分証明書でなくても可能です
・運転免許証
・マイナンバー
・保険証
・パスポート
・在留カード　等")</f>
        <v>受診に必要な持ち物は「来院」か「オンライン診療」かで異なる場合があります。
来院の場合：
・保険証またはマイナンバーカード
・お薬手帳（お持ちの方）
・筆記用具（説明内容をメモしたい方）
オンライン診療の場合の持ち物：
ご本人様であることが確認できるもの　※顔写真付きの身分証明書でなくても可能です
・運転免許証
・マイナンバー
・保険証
・パスポート
・在留カード　等</v>
      </c>
      <c r="C786" s="31" t="str">
        <f>IFERROR(__xludf.DUMMYFUNCTION("""COMPUTED_VALUE"""),"受診案内・持ち物")</f>
        <v>受診案内・持ち物</v>
      </c>
      <c r="D786" s="31" t="str">
        <f>IFERROR(__xludf.DUMMYFUNCTION("""COMPUTED_VALUE"""),"持ち物,受診,本人確認,身分証,オンライン診療,来院,マイナンバー")</f>
        <v>持ち物,受診,本人確認,身分証,オンライン診療,来院,マイナンバー</v>
      </c>
      <c r="E786" s="31"/>
    </row>
    <row r="787">
      <c r="A787" s="31" t="str">
        <f>IFERROR(__xludf.DUMMYFUNCTION("""COMPUTED_VALUE"""),"顔写真付きの身分証明書がありませんが、オンライン診療は受けられますか？")</f>
        <v>顔写真付きの身分証明書がありませんが、オンライン診療は受けられますか？</v>
      </c>
      <c r="B787" s="31" t="str">
        <f>IFERROR(__xludf.DUMMYFUNCTION("""COMPUTED_VALUE"""),"ご本人様であることが確認できるものであれば、顔写真付きの身分証明書でなくてもオンライン診療が可能です。
- 運転免許証
- マイナンバー
- 保険証
- パスポート
- 在留カード　等")</f>
        <v>ご本人様であることが確認できるものであれば、顔写真付きの身分証明書でなくてもオンライン診療が可能です。
- 運転免許証
- マイナンバー
- 保険証
- パスポート
- 在留カード　等</v>
      </c>
      <c r="C787" s="31" t="str">
        <f>IFERROR(__xludf.DUMMYFUNCTION("""COMPUTED_VALUE"""),"オンライン診療｜本人確認")</f>
        <v>オンライン診療｜本人確認</v>
      </c>
      <c r="D787" s="31" t="str">
        <f>IFERROR(__xludf.DUMMYFUNCTION("""COMPUTED_VALUE"""),"身分証,本人確認,オンライン診療")</f>
        <v>身分証,本人確認,オンライン診療</v>
      </c>
      <c r="E787" s="31"/>
    </row>
    <row r="788">
      <c r="A788" s="31" t="str">
        <f>IFERROR(__xludf.DUMMYFUNCTION("""COMPUTED_VALUE"""),"マイナンバーカードを忘れた場合は受診できますか？/マイナンバーカードわすれた")</f>
        <v>マイナンバーカードを忘れた場合は受診できますか？/マイナンバーカードわすれた</v>
      </c>
      <c r="B788" s="31" t="str">
        <f>IFERROR(__xludf.DUMMYFUNCTION("""COMPUTED_VALUE"""),"マイナンバーカードをお忘れの場合のご対応は受診内容や保険診療の有無によって異なります。詳しくはお電話にてお問い合わせください。お電話は 050-1730-2768 となります。")</f>
        <v>マイナンバーカードをお忘れの場合のご対応は受診内容や保険診療の有無によって異なります。詳しくはお電話にてお問い合わせください。お電話は 050-1730-2768 となります。</v>
      </c>
      <c r="C788" s="31" t="str">
        <f>IFERROR(__xludf.DUMMYFUNCTION("""COMPUTED_VALUE"""),"受診案内・本人確認")</f>
        <v>受診案内・本人確認</v>
      </c>
      <c r="D788" s="31" t="str">
        <f>IFERROR(__xludf.DUMMYFUNCTION("""COMPUTED_VALUE"""),"マイナンバー忘れ,マイナンバーカード,保険証,10割負担,本人確認,受診可否,電話問い合わせ")</f>
        <v>マイナンバー忘れ,マイナンバーカード,保険証,10割負担,本人確認,受診可否,電話問い合わせ</v>
      </c>
      <c r="E788" s="31"/>
    </row>
    <row r="789">
      <c r="A789" s="31" t="str">
        <f>IFERROR(__xludf.DUMMYFUNCTION("""COMPUTED_VALUE"""),"BMIとは")</f>
        <v>BMIとは</v>
      </c>
      <c r="B789" s="31" t="str">
        <f>IFERROR(__xludf.DUMMYFUNCTION("""COMPUTED_VALUE"""),"体重（kg）÷｛身長（m）×2乗｝で計算された数字です。
[【こちら】](https://keisan.casio.jp/exec/system/1161228732)のサイトにて自動計算が可能でございます。")</f>
        <v>体重（kg）÷｛身長（m）×2乗｝で計算された数字です。
[【こちら】](https://keisan.casio.jp/exec/system/1161228732)のサイトにて自動計算が可能でございます。</v>
      </c>
      <c r="C789" s="31" t="str">
        <f>IFERROR(__xludf.DUMMYFUNCTION("""COMPUTED_VALUE"""),"オンライン診療")</f>
        <v>オンライン診療</v>
      </c>
      <c r="D789" s="31" t="str">
        <f>IFERROR(__xludf.DUMMYFUNCTION("""COMPUTED_VALUE"""),"オンライン診療,BMI,BMI計算")</f>
        <v>オンライン診療,BMI,BMI計算</v>
      </c>
      <c r="E789" s="31"/>
    </row>
    <row r="790">
      <c r="A790" s="31" t="str">
        <f>IFERROR(__xludf.DUMMYFUNCTION("""COMPUTED_VALUE"""),"オンライン診療で処方されるお薬を教えて下さい/オンライン診療で処方されるお薬と費用を教えてください。")</f>
        <v>オンライン診療で処方されるお薬を教えて下さい/オンライン診療で処方されるお薬と費用を教えてください。</v>
      </c>
      <c r="B790" s="31" t="str">
        <f>IFERROR(__xludf.DUMMYFUNCTION("""COMPUTED_VALUE"""),"診療費は0円です。
低用量ピル（ラベルフィーユ28・ファボワール28）は1シート3,000円〜（定期配送割引あり）です。
月経移動ピル（中用量ピル：プラノバール）は1シート21錠5,000円（別途吐き気止め200円〜）です。
アフターピルは、レボノルゲストレル（72時間以内）12,000円、ウリプリスタル酢酸エステル（120時間以内）14,000円です。
※別途送料500円〜がかかります。
※診療後、処方を希望されない場合は診療代3,000円がかかります。")</f>
        <v>診療費は0円です。
低用量ピル（ラベルフィーユ28・ファボワール28）は1シート3,000円〜（定期配送割引あり）です。
月経移動ピル（中用量ピル：プラノバール）は1シート21錠5,000円（別途吐き気止め200円〜）です。
アフターピルは、レボノルゲストレル（72時間以内）12,000円、ウリプリスタル酢酸エステル（120時間以内）14,000円です。
※別途送料500円〜がかかります。
※診療後、処方を希望されない場合は診療代3,000円がかかります。</v>
      </c>
      <c r="C790" s="31" t="str">
        <f>IFERROR(__xludf.DUMMYFUNCTION("""COMPUTED_VALUE"""),"オンライン診療｜料金・薬剤")</f>
        <v>オンライン診療｜料金・薬剤</v>
      </c>
      <c r="D790" s="31" t="str">
        <f>IFERROR(__xludf.DUMMYFUNCTION("""COMPUTED_VALUE"""),"薬の種類,料金,オンライン診療")</f>
        <v>薬の種類,料金,オンライン診療</v>
      </c>
      <c r="E790" s="31"/>
    </row>
    <row r="791">
      <c r="A791" s="31" t="str">
        <f>IFERROR(__xludf.DUMMYFUNCTION("""COMPUTED_VALUE"""),"オンライン診療の配送お届け日時についておしえてください/オンライン診療の配送お届け日についておしえてください/いつ配送されますか？")</f>
        <v>オンライン診療の配送お届け日時についておしえてください/オンライン診療の配送お届け日についておしえてください/いつ配送されますか？</v>
      </c>
      <c r="B791" s="31" t="str">
        <f>IFERROR(__xludf.DUMMYFUNCTION("""COMPUTED_VALUE"""),"【通常配送】
16時までのお支払いで当日発送し、ポスト投函にてお届けします。到着までは最短翌日〜7日程度です。日付・時間指定はできません。
※お急ぎ便をご希望の患者様は、決済完了前にチャットにてカウンセラーへご相談ください。
※定期配送は配送方法の変更ができない為、配送日を早める等で患者様ご自身で調節をお願いいたします。
配送日変更はこちら
https://docs.google.com/forms/d/e/1FAIpQLSe41t1VsvN-rfcwsRSkalz89S2yqQc4zpWrbdcrwPo"&amp;"95Iif-Q/viewform
【お急ぎ便】（別途500円）
16時までにお支払いが完了したご注文は、一部地域を除き翌日に対面受け取りにてお届けいたします。
※日付・時間指定ご希望の患者様は、決済完了前にチャットにてカウンセラーへご相談ください。
アフターピルをご注文の患者様に限り、追加料金なしでご利用いただけます。")</f>
        <v>【通常配送】
16時までのお支払いで当日発送し、ポスト投函にてお届けします。到着までは最短翌日〜7日程度です。日付・時間指定はできません。
※お急ぎ便をご希望の患者様は、決済完了前にチャットにてカウンセラーへご相談ください。
※定期配送は配送方法の変更ができない為、配送日を早める等で患者様ご自身で調節をお願いいたします。
配送日変更はこちら
https://docs.google.com/forms/d/e/1FAIpQLSe41t1VsvN-rfcwsRSkalz89S2yqQc4zpWrbdcrwPo95Iif-Q/viewform
【お急ぎ便】（別途500円）
16時までにお支払いが完了したご注文は、一部地域を除き翌日に対面受け取りにてお届けいたします。
※日付・時間指定ご希望の患者様は、決済完了前にチャットにてカウンセラーへご相談ください。
アフターピルをご注文の患者様に限り、追加料金なしでご利用いただけます。</v>
      </c>
      <c r="C791" s="31" t="str">
        <f>IFERROR(__xludf.DUMMYFUNCTION("""COMPUTED_VALUE"""),"オンライン診療｜配送")</f>
        <v>オンライン診療｜配送</v>
      </c>
      <c r="D791" s="31" t="str">
        <f>IFERROR(__xludf.DUMMYFUNCTION("""COMPUTED_VALUE"""),"配送,梱包,お急ぎ便")</f>
        <v>配送,梱包,お急ぎ便</v>
      </c>
      <c r="E791" s="31"/>
    </row>
    <row r="792">
      <c r="A792" s="31" t="str">
        <f>IFERROR(__xludf.DUMMYFUNCTION("""COMPUTED_VALUE"""),"オンライン診療で処方された薬はどこで受け取れますか？")</f>
        <v>オンライン診療で処方された薬はどこで受け取れますか？</v>
      </c>
      <c r="B792" s="31" t="str">
        <f>IFERROR(__xludf.DUMMYFUNCTION("""COMPUTED_VALUE"""),"当院より、ご自宅へ配送いたします。※オンライン診療で処方された薬が対象となります")</f>
        <v>当院より、ご自宅へ配送いたします。※オンライン診療で処方された薬が対象となります</v>
      </c>
      <c r="C792" s="31" t="str">
        <f>IFERROR(__xludf.DUMMYFUNCTION("""COMPUTED_VALUE"""),"オンライン診療｜受け取り")</f>
        <v>オンライン診療｜受け取り</v>
      </c>
      <c r="D792" s="31" t="str">
        <f>IFERROR(__xludf.DUMMYFUNCTION("""COMPUTED_VALUE"""),"薬の受け取り,配送")</f>
        <v>薬の受け取り,配送</v>
      </c>
      <c r="E792" s="31"/>
    </row>
    <row r="793">
      <c r="A793" s="31" t="str">
        <f>IFERROR(__xludf.DUMMYFUNCTION("""COMPUTED_VALUE"""),"オンライン診療で本人以外の住所で薬を受け取れますか？")</f>
        <v>オンライン診療で本人以外の住所で薬を受け取れますか？</v>
      </c>
      <c r="B793" s="31" t="str">
        <f>IFERROR(__xludf.DUMMYFUNCTION("""COMPUTED_VALUE"""),"原則としてご本人様のご自宅でのお受け取りとなりますので、ご了承くださいませ。特別なご事情がある場合、決済前にカウンセラーへご相談ください。")</f>
        <v>原則としてご本人様のご自宅でのお受け取りとなりますので、ご了承くださいませ。特別なご事情がある場合、決済前にカウンセラーへご相談ください。</v>
      </c>
      <c r="C793" s="31" t="str">
        <f>IFERROR(__xludf.DUMMYFUNCTION("""COMPUTED_VALUE"""),"オンライン診療｜受け取り")</f>
        <v>オンライン診療｜受け取り</v>
      </c>
      <c r="D793" s="31" t="str">
        <f>IFERROR(__xludf.DUMMYFUNCTION("""COMPUTED_VALUE"""),"本人以外,営業所受け取り")</f>
        <v>本人以外,営業所受け取り</v>
      </c>
      <c r="E793" s="31"/>
    </row>
    <row r="794">
      <c r="A794" s="31" t="str">
        <f>IFERROR(__xludf.DUMMYFUNCTION("""COMPUTED_VALUE"""),"オンライン診療でコンビニで薬を受け取ることはできますか？")</f>
        <v>オンライン診療でコンビニで薬を受け取ることはできますか？</v>
      </c>
      <c r="B794" s="31" t="str">
        <f>IFERROR(__xludf.DUMMYFUNCTION("""COMPUTED_VALUE"""),"申し訳ありませんが、コンビニでのお受け取りはできません。原則ご自宅への配送とさせていただいております。特別なご事情がある場合は、決済前にカウンセラーへご相談ください。※追加料金が発生する場合がございます。")</f>
        <v>申し訳ありませんが、コンビニでのお受け取りはできません。原則ご自宅への配送とさせていただいております。特別なご事情がある場合は、決済前にカウンセラーへご相談ください。※追加料金が発生する場合がございます。</v>
      </c>
      <c r="C794" s="31" t="str">
        <f>IFERROR(__xludf.DUMMYFUNCTION("""COMPUTED_VALUE"""),"オンライン診療｜受け取り")</f>
        <v>オンライン診療｜受け取り</v>
      </c>
      <c r="D794" s="31" t="str">
        <f>IFERROR(__xludf.DUMMYFUNCTION("""COMPUTED_VALUE"""),"コンビニ受取,配送")</f>
        <v>コンビニ受取,配送</v>
      </c>
      <c r="E794" s="31"/>
    </row>
    <row r="795">
      <c r="A795" s="31" t="str">
        <f>IFERROR(__xludf.DUMMYFUNCTION("""COMPUTED_VALUE"""),"低用量ピルとはどのような薬ですか？")</f>
        <v>低用量ピルとはどのような薬ですか？</v>
      </c>
      <c r="B795" s="31" t="str">
        <f>IFERROR(__xludf.DUMMYFUNCTION("""COMPUTED_VALUE"""),"低用量ピルは、毎日1錠服用することで生理周期を安定させるお薬です。避妊を目的とした自費ピル（OC）と、治療目的で保険適用となるLEPがありますが、オンライン診療ではOCのみを取り扱っています。")</f>
        <v>低用量ピルは、毎日1錠服用することで生理周期を安定させるお薬です。避妊を目的とした自費ピル（OC）と、治療目的で保険適用となるLEPがありますが、オンライン診療ではOCのみを取り扱っています。</v>
      </c>
      <c r="C795" s="31" t="str">
        <f>IFERROR(__xludf.DUMMYFUNCTION("""COMPUTED_VALUE"""),"オンライン診療｜ピル基礎知識")</f>
        <v>オンライン診療｜ピル基礎知識</v>
      </c>
      <c r="D795" s="31" t="str">
        <f>IFERROR(__xludf.DUMMYFUNCTION("""COMPUTED_VALUE"""),"低用量ピル,OC,LEP")</f>
        <v>低用量ピル,OC,LEP</v>
      </c>
      <c r="E795" s="31"/>
    </row>
    <row r="796">
      <c r="A796" s="31" t="str">
        <f>IFERROR(__xludf.DUMMYFUNCTION("""COMPUTED_VALUE"""),"低用量ピルのメリットとデメリットを教えてください。")</f>
        <v>低用量ピルのメリットとデメリットを教えてください。</v>
      </c>
      <c r="B796" s="31" t="str">
        <f>IFERROR(__xludf.DUMMYFUNCTION("""COMPUTED_VALUE"""),"低用量ピルのメリットとして避妊・肌荒れ改善・PMS・生理痛緩和などが挙げられます。
デメリットとしては、服用開始時に吐き気やむくみなどが多少気になる方もいらっしゃいます。
また、血栓症のリスクやご本人様またはご家族に乳がんの既往歴がある場合は、服用されていない方に比べリスクが上がります。
服用中は1年に1度、婦人科にて定期健診をお願いいたします。")</f>
        <v>低用量ピルのメリットとして避妊・肌荒れ改善・PMS・生理痛緩和などが挙げられます。
デメリットとしては、服用開始時に吐き気やむくみなどが多少気になる方もいらっしゃいます。
また、血栓症のリスクやご本人様またはご家族に乳がんの既往歴がある場合は、服用されていない方に比べリスクが上がります。
服用中は1年に1度、婦人科にて定期健診をお願いいたします。</v>
      </c>
      <c r="C796" s="31" t="str">
        <f>IFERROR(__xludf.DUMMYFUNCTION("""COMPUTED_VALUE"""),"オンライン診療｜ピル")</f>
        <v>オンライン診療｜ピル</v>
      </c>
      <c r="D796" s="31" t="str">
        <f>IFERROR(__xludf.DUMMYFUNCTION("""COMPUTED_VALUE"""),"メリット,デメリット,副作用")</f>
        <v>メリット,デメリット,副作用</v>
      </c>
      <c r="E796" s="31"/>
    </row>
    <row r="797">
      <c r="A797" s="31" t="str">
        <f>IFERROR(__xludf.DUMMYFUNCTION("""COMPUTED_VALUE"""),"ラベルフィーユとファボワールの違い")</f>
        <v>ラベルフィーユとファボワールの違い</v>
      </c>
      <c r="B797" s="31" t="str">
        <f>IFERROR(__xludf.DUMMYFUNCTION("""COMPUTED_VALUE"""),"ラベルフィーユは3相性、ファボワールは1相性のお薬です。
ラベルフィーユは避妊、月経痛・生理不順、ファボワールは避妊、ニキビ、肌荒れ、抜け毛、PMSに効果があると言われています。
ピルの種類でご希望がございましたら、問診回答時に記載をお願いいたします。
※医師の判断でご希望に添えない場合がございます。ご了承ください。")</f>
        <v>ラベルフィーユは3相性、ファボワールは1相性のお薬です。
ラベルフィーユは避妊、月経痛・生理不順、ファボワールは避妊、ニキビ、肌荒れ、抜け毛、PMSに効果があると言われています。
ピルの種類でご希望がございましたら、問診回答時に記載をお願いいたします。
※医師の判断でご希望に添えない場合がございます。ご了承ください。</v>
      </c>
      <c r="C797" s="31" t="str">
        <f>IFERROR(__xludf.DUMMYFUNCTION("""COMPUTED_VALUE"""),"オンライン診療｜ピル")</f>
        <v>オンライン診療｜ピル</v>
      </c>
      <c r="D797" s="31" t="str">
        <f>IFERROR(__xludf.DUMMYFUNCTION("""COMPUTED_VALUE"""),"ピル,種類,ラベルフィーユ,ファボワール,違い")</f>
        <v>ピル,種類,ラベルフィーユ,ファボワール,違い</v>
      </c>
      <c r="E797" s="31"/>
    </row>
    <row r="798">
      <c r="A798" s="31" t="str">
        <f>IFERROR(__xludf.DUMMYFUNCTION("""COMPUTED_VALUE"""),"低用量ピルの副作用にはどんなものがありますか？")</f>
        <v>低用量ピルの副作用にはどんなものがありますか？</v>
      </c>
      <c r="B798" s="31" t="str">
        <f>IFERROR(__xludf.DUMMYFUNCTION("""COMPUTED_VALUE"""),"低用量ピルには副作用がいくつかあり、特に飲み始めに起こりやすいとされています。
主に、吐き気・頭痛・下腹部痛・乳房の張り・むくみ・眠気・不正出血・下痢などの症状が挙げられます。
どの副作用も飲み続けることで改善されていくことがほとんどのため、無理のない範囲で飲み続けることが大切です。
ですが、3カ月以上低用量ピルの服用を継続しても副作用が軽減されない場合は、ピルが体に合っていない可能性があります。
無理せずに低用量ピルの変更をご検討ください。
変更した場合は、また3カ月のホルモンバランスは1から開始となり"&amp;"ます。")</f>
        <v>低用量ピルには副作用がいくつかあり、特に飲み始めに起こりやすいとされています。
主に、吐き気・頭痛・下腹部痛・乳房の張り・むくみ・眠気・不正出血・下痢などの症状が挙げられます。
どの副作用も飲み続けることで改善されていくことがほとんどのため、無理のない範囲で飲み続けることが大切です。
ですが、3カ月以上低用量ピルの服用を継続しても副作用が軽減されない場合は、ピルが体に合っていない可能性があります。
無理せずに低用量ピルの変更をご検討ください。
変更した場合は、また3カ月のホルモンバランスは1から開始となります。</v>
      </c>
      <c r="C798" s="31" t="str">
        <f>IFERROR(__xludf.DUMMYFUNCTION("""COMPUTED_VALUE"""),"オンライン診療｜ピル")</f>
        <v>オンライン診療｜ピル</v>
      </c>
      <c r="D798" s="31" t="str">
        <f>IFERROR(__xludf.DUMMYFUNCTION("""COMPUTED_VALUE"""),"副作用,不正出血,吐き気")</f>
        <v>副作用,不正出血,吐き気</v>
      </c>
      <c r="E798" s="31"/>
    </row>
    <row r="799">
      <c r="A799" s="31" t="str">
        <f>IFERROR(__xludf.DUMMYFUNCTION("""COMPUTED_VALUE"""),"ピルを飲み始めてPMSが悪化した")</f>
        <v>ピルを飲み始めてPMSが悪化した</v>
      </c>
      <c r="B799" s="31" t="str">
        <f>IFERROR(__xludf.DUMMYFUNCTION("""COMPUTED_VALUE"""),"ピルを飲み始めて最初の頃は、気分の落ち込みや情緒の不安定が出現する事があります。
ピルの内服を3シート継続すると、症状が落ち着く事が多いです。
ピルの飲み始めよりもPMSの症状が強くなっていたり、日常生活に支障をきたしている場合は一度ご相談ください。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amp;"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f>
        <v>ピルを飲み始めて最初の頃は、気分の落ち込みや情緒の不安定が出現する事があります。
ピルの内服を3シート継続すると、症状が落ち着く事が多いです。
ピルの飲み始めよりもPMSの症状が強くなっていたり、日常生活に支障をきたしている場合は一度ご相談ください。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799" s="31" t="str">
        <f>IFERROR(__xludf.DUMMYFUNCTION("""COMPUTED_VALUE"""),"オンライン診療｜ピル")</f>
        <v>オンライン診療｜ピル</v>
      </c>
      <c r="D799" s="31" t="str">
        <f>IFERROR(__xludf.DUMMYFUNCTION("""COMPUTED_VALUE"""),"PMS,情緒不安定")</f>
        <v>PMS,情緒不安定</v>
      </c>
      <c r="E799" s="31"/>
    </row>
    <row r="800">
      <c r="A800" s="31" t="str">
        <f>IFERROR(__xludf.DUMMYFUNCTION("""COMPUTED_VALUE"""),"低用量ピルは誰でも服用できますか？")</f>
        <v>低用量ピルは誰でも服用できますか？</v>
      </c>
      <c r="B800" s="31" t="str">
        <f>IFERROR(__xludf.DUMMYFUNCTION("""COMPUTED_VALUE"""),"低用量ピルの処方は、年齢、既往歴、喫煙の有無、BMI、高血圧などの健康状態によって異なります。
オンラインの申し込みをいただき、その内容をもとに医師が処方の可否を判断いたします。")</f>
        <v>低用量ピルの処方は、年齢、既往歴、喫煙の有無、BMI、高血圧などの健康状態によって異なります。
オンラインの申し込みをいただき、その内容をもとに医師が処方の可否を判断いたします。</v>
      </c>
      <c r="C800" s="31" t="str">
        <f>IFERROR(__xludf.DUMMYFUNCTION("""COMPUTED_VALUE"""),"オンライン診療｜ピル")</f>
        <v>オンライン診療｜ピル</v>
      </c>
      <c r="D800" s="31" t="str">
        <f>IFERROR(__xludf.DUMMYFUNCTION("""COMPUTED_VALUE"""),"服用条件,処方基準")</f>
        <v>服用条件,処方基準</v>
      </c>
      <c r="E800" s="31"/>
    </row>
    <row r="801">
      <c r="A801" s="31" t="str">
        <f>IFERROR(__xludf.DUMMYFUNCTION("""COMPUTED_VALUE"""),"ヤーズフレックスなど保険ピルをオンラインで定期購入できますか？")</f>
        <v>ヤーズフレックスなど保険ピルをオンラインで定期購入できますか？</v>
      </c>
      <c r="B801" s="31" t="str">
        <f>IFERROR(__xludf.DUMMYFUNCTION("""COMPUTED_VALUE"""),"保険適用ピル（ヤーズフレックス等）は、オンライン診療や定期配送では処方できません。ご希望の場合はクリニック受診をご検討ください。
受診のご予約はLINEから受け付けております→https://cline-app.com/qr-codes/98ad6f149bfa20f4f2a9a2e91aac4187/preview")</f>
        <v>保険適用ピル（ヤーズフレックス等）は、オンライン診療や定期配送では処方できません。ご希望の場合はクリニック受診をご検討ください。
受診のご予約はLINEから受け付けております→https://cline-app.com/qr-codes/98ad6f149bfa20f4f2a9a2e91aac4187/preview</v>
      </c>
      <c r="C801" s="31" t="str">
        <f>IFERROR(__xludf.DUMMYFUNCTION("""COMPUTED_VALUE"""),"オンライン診療｜ピル")</f>
        <v>オンライン診療｜ピル</v>
      </c>
      <c r="D801" s="31" t="str">
        <f>IFERROR(__xludf.DUMMYFUNCTION("""COMPUTED_VALUE"""),"保険ピル,ヤーズフレックス")</f>
        <v>保険ピル,ヤーズフレックス</v>
      </c>
      <c r="E801" s="31"/>
    </row>
    <row r="802">
      <c r="A802" s="31" t="str">
        <f>IFERROR(__xludf.DUMMYFUNCTION("""COMPUTED_VALUE"""),"低用量ピルで月経移動はできますか？")</f>
        <v>低用量ピルで月経移動はできますか？</v>
      </c>
      <c r="B802" s="31" t="str">
        <f>IFERROR(__xludf.DUMMYFUNCTION("""COMPUTED_VALUE"""),"3カ月以上低用量ピルを服用している場合は可能です。服用方法によって月経を早める・遅らせる調整ができます。服用歴がない場合は中用量ピルをご提案することがあります。")</f>
        <v>3カ月以上低用量ピルを服用している場合は可能です。服用方法によって月経を早める・遅らせる調整ができます。服用歴がない場合は中用量ピルをご提案することがあります。</v>
      </c>
      <c r="C802" s="31" t="str">
        <f>IFERROR(__xludf.DUMMYFUNCTION("""COMPUTED_VALUE"""),"オンライン診療｜月経移動")</f>
        <v>オンライン診療｜月経移動</v>
      </c>
      <c r="D802" s="31" t="str">
        <f>IFERROR(__xludf.DUMMYFUNCTION("""COMPUTED_VALUE"""),"月経移動,ピル")</f>
        <v>月経移動,ピル</v>
      </c>
      <c r="E802" s="31"/>
    </row>
    <row r="803">
      <c r="A803" s="31" t="str">
        <f>IFERROR(__xludf.DUMMYFUNCTION("""COMPUTED_VALUE"""),"生理を早めたいのですが、低用量ピルでできますか？")</f>
        <v>生理を早めたいのですが、低用量ピルでできますか？</v>
      </c>
      <c r="B803" s="31" t="str">
        <f>IFERROR(__xludf.DUMMYFUNCTION("""COMPUTED_VALUE"""),"3カ月以上OC（自費）の低用量ピルを継続して服用している場合、生理を早めることが可能です。現在服用中のシートの3列目（15錠目～21錠目）のうち、早めたい日数分（最大7日間）を服用せず、4列目（休薬期間）に進んでください。その後は通常どおり新しいシートの服用を開始します。4列目を内服している間に月経が来ることを想定しています。※7日以上早めたい場合はご相談ください。※使用しなかったピルは破棄してください。")</f>
        <v>3カ月以上OC（自費）の低用量ピルを継続して服用している場合、生理を早めることが可能です。現在服用中のシートの3列目（15錠目～21錠目）のうち、早めたい日数分（最大7日間）を服用せず、4列目（休薬期間）に進んでください。その後は通常どおり新しいシートの服用を開始します。4列目を内服している間に月経が来ることを想定しています。※7日以上早めたい場合はご相談ください。※使用しなかったピルは破棄してください。</v>
      </c>
      <c r="C803" s="31" t="str">
        <f>IFERROR(__xludf.DUMMYFUNCTION("""COMPUTED_VALUE"""),"オンライン診療｜月経移動")</f>
        <v>オンライン診療｜月経移動</v>
      </c>
      <c r="D803" s="31" t="str">
        <f>IFERROR(__xludf.DUMMYFUNCTION("""COMPUTED_VALUE"""),"生理を早めたい,月経移動,低用量ピル")</f>
        <v>生理を早めたい,月経移動,低用量ピル</v>
      </c>
      <c r="E803" s="31"/>
    </row>
    <row r="804">
      <c r="A804" s="31" t="str">
        <f>IFERROR(__xludf.DUMMYFUNCTION("""COMPUTED_VALUE"""),"生理を遅らせたいのですが、低用量ピルでできますか？")</f>
        <v>生理を遅らせたいのですが、低用量ピルでできますか？</v>
      </c>
      <c r="B804" s="31" t="str">
        <f>IFERROR(__xludf.DUMMYFUNCTION("""COMPUTED_VALUE"""),"3カ月以上OC（自費）の低用量ピルを継続して服用している場合、生理を遅らせることが可能です。現在服用中のシートを21錠まで服用した後、新しいシートの3列目（15錠目～21錠目）を、生理を避けたい期間が終わるまで服用します。その後、元のシートの4列目（休薬期間）を服用してください。4列目を内服している間に月経が来ることを想定しています。※服用中に少量の出血が起こることがあります。")</f>
        <v>3カ月以上OC（自費）の低用量ピルを継続して服用している場合、生理を遅らせることが可能です。現在服用中のシートを21錠まで服用した後、新しいシートの3列目（15錠目～21錠目）を、生理を避けたい期間が終わるまで服用します。その後、元のシートの4列目（休薬期間）を服用してください。4列目を内服している間に月経が来ることを想定しています。※服用中に少量の出血が起こることがあります。</v>
      </c>
      <c r="C804" s="31" t="str">
        <f>IFERROR(__xludf.DUMMYFUNCTION("""COMPUTED_VALUE"""),"オンライン診療｜月経移動")</f>
        <v>オンライン診療｜月経移動</v>
      </c>
      <c r="D804" s="31" t="str">
        <f>IFERROR(__xludf.DUMMYFUNCTION("""COMPUTED_VALUE"""),"生理を遅らせたい,月経移動,低用量ピル")</f>
        <v>生理を遅らせたい,月経移動,低用量ピル</v>
      </c>
      <c r="E804" s="31"/>
    </row>
    <row r="805">
      <c r="A805" s="31" t="str">
        <f>IFERROR(__xludf.DUMMYFUNCTION("""COMPUTED_VALUE"""),"低用量ピルの服用をやめたいのですが、どうすればいいですか？")</f>
        <v>低用量ピルの服用をやめたいのですが、どうすればいいですか？</v>
      </c>
      <c r="B805" s="31" t="str">
        <f>IFERROR(__xludf.DUMMYFUNCTION("""COMPUTED_VALUE"""),"OC（自費）低用量ピルは、シートの途中で服用を中止するとホルモンバランスが乱れ、不正出血や体調変化が起こる可能性があります。ご状況をお伺いし、適切な服用方法や中断方法のご案内が必要になりますので診療をお勧めします。当院でのご受診をご希望の場合は、ご予約をお取りの上、クリニックにご受診ください。受診のご予約はLINEで受け付けています。LINEはこちら→https://cline-app.com/qr-codes/98ad6f149bfa20f4f2a9a2e91aac4187/preview　なお、恐れ入"&amp;"りますが、当院では乳房に関する診療（乳がん検診・乳腺外来など）、更年期障害の治療、不妊治療、体重100kg以上の方への診療、救急対応（緊急搬送・急性期対応）は行っておりませんのであらかじめご了承くださいませ。")</f>
        <v>OC（自費）低用量ピルは、シートの途中で服用を中止するとホルモンバランスが乱れ、不正出血や体調変化が起こる可能性があります。ご状況をお伺いし、適切な服用方法や中断方法のご案内が必要になりますので診療をお勧め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805" s="31" t="str">
        <f>IFERROR(__xludf.DUMMYFUNCTION("""COMPUTED_VALUE"""),"低用量ピル｜中止・再開")</f>
        <v>低用量ピル｜中止・再開</v>
      </c>
      <c r="D805" s="31" t="str">
        <f>IFERROR(__xludf.DUMMYFUNCTION("""COMPUTED_VALUE"""),"低用量ピル,服用中止,やめたい")</f>
        <v>低用量ピル,服用中止,やめたい</v>
      </c>
      <c r="E805" s="31"/>
    </row>
    <row r="806">
      <c r="A806" s="31" t="str">
        <f>IFERROR(__xludf.DUMMYFUNCTION("""COMPUTED_VALUE"""),"低用量ピルを1日飲み忘れました/ピルを1錠飲み忘れた/昨日のピルを飲み忘れた")</f>
        <v>低用量ピルを1日飲み忘れました/ピルを1錠飲み忘れた/昨日のピルを飲み忘れた</v>
      </c>
      <c r="B806" s="31" t="str">
        <f>IFERROR(__xludf.DUMMYFUNCTION("""COMPUTED_VALUE"""),"低用量ピルを1日飲み忘れた場合、服用を中止する必要はありません。飲み忘れに気づいた時点で前日の分を服用し、本日分はいつもの時間に服用してください。本日分を服用する際に前日の飲み忘れに気づいた場合は、その時に2錠まとめて内服してください。自費診療のピル（ラベルフィーユ・ファボワールなど）は、飲み忘れが1日であれば避妊効果への影響はないと言われています。")</f>
        <v>低用量ピルを1日飲み忘れた場合、服用を中止する必要はありません。飲み忘れに気づいた時点で前日の分を服用し、本日分はいつもの時間に服用してください。本日分を服用する際に前日の飲み忘れに気づいた場合は、その時に2錠まとめて内服してください。自費診療のピル（ラベルフィーユ・ファボワールなど）は、飲み忘れが1日であれば避妊効果への影響はないと言われています。</v>
      </c>
      <c r="C806" s="31" t="str">
        <f>IFERROR(__xludf.DUMMYFUNCTION("""COMPUTED_VALUE"""),"処方・低用量ピル")</f>
        <v>処方・低用量ピル</v>
      </c>
      <c r="D806" s="31" t="str">
        <f>IFERROR(__xludf.DUMMYFUNCTION("""COMPUTED_VALUE"""),"低用量ピル, ピル, 飲み忘れ, 1日, ラベルフィーユ, ファボワール, ヤーズフレックス, 保険, 自費, 避妊, 服用方法")</f>
        <v>低用量ピル, ピル, 飲み忘れ, 1日, ラベルフィーユ, ファボワール, ヤーズフレックス, 保険, 自費, 避妊, 服用方法</v>
      </c>
      <c r="E806" s="31"/>
    </row>
    <row r="807">
      <c r="A807" s="31" t="str">
        <f>IFERROR(__xludf.DUMMYFUNCTION("""COMPUTED_VALUE"""),"低用量ピルを2日〜3日飲み忘れました/ピルを2日以上飲み忘れた/数日ピルを飲んでいなかった")</f>
        <v>低用量ピルを2日〜3日飲み忘れました/ピルを2日以上飲み忘れた/数日ピルを飲んでいなかった</v>
      </c>
      <c r="B807" s="31" t="str">
        <f>IFERROR(__xludf.DUMMYFUNCTION("""COMPUTED_VALUE"""),"低用量ピルを2〜3日飲み忘れた場合は、お手元のピルの種類によって対処法が異なります。【自費診療のピル（ラベルフィーユ・ファボワールなど）】一度内服を中止し、次回の自然な月経が来るのを待ってから月経開始5日以内に再開してください。再開後の最初の1列目は別の避妊方法を併用してください。なお、4列目の偽薬（ホルモン剤が入っていない錠剤）の飲み忘れは追加服用不要です。【保険診療のピル（ヤーズフレックスなど）】気づいた時点で飲み忘れた分の直近の錠剤を内服し、本日分はいつもの時間に内服してその後は通常のスケジュールで"&amp;"続けてください。ホルモンの低下により不正出血が起こる場合がありますが、茶褐色の出血であれば服用を続けることで収まることがほとんどです。鮮血の出血や量が多い場合は現在のシートを中断し、次回月経開始から5日以内に新しいシートの1錠目から再開してください。症状が強い場合は早めにご受診ください。")</f>
        <v>低用量ピルを2〜3日飲み忘れた場合は、お手元のピルの種類によって対処法が異なります。【自費診療のピル（ラベルフィーユ・ファボワールなど）】一度内服を中止し、次回の自然な月経が来るのを待ってから月経開始5日以内に再開してください。再開後の最初の1列目は別の避妊方法を併用してください。なお、4列目の偽薬（ホルモン剤が入っていない錠剤）の飲み忘れは追加服用不要です。【保険診療のピル（ヤーズフレックスなど）】気づいた時点で飲み忘れた分の直近の錠剤を内服し、本日分はいつもの時間に内服してその後は通常のスケジュールで続けてください。ホルモンの低下により不正出血が起こる場合がありますが、茶褐色の出血であれば服用を続けることで収まることがほとんどです。鮮血の出血や量が多い場合は現在のシートを中断し、次回月経開始から5日以内に新しいシートの1錠目から再開してください。症状が強い場合は早めにご受診ください。</v>
      </c>
      <c r="C807" s="31" t="str">
        <f>IFERROR(__xludf.DUMMYFUNCTION("""COMPUTED_VALUE"""),"処方・低用量ピル")</f>
        <v>処方・低用量ピル</v>
      </c>
      <c r="D807" s="31" t="str">
        <f>IFERROR(__xludf.DUMMYFUNCTION("""COMPUTED_VALUE"""),"低用量ピル, ピル, 飲み忘れ, 2日, 3日, ラベルフィーユ, ファボワール, ヤーズフレックス, 保険, 自費, 避妊, 不正出血, 偽薬, プラセボ")</f>
        <v>低用量ピル, ピル, 飲み忘れ, 2日, 3日, ラベルフィーユ, ファボワール, ヤーズフレックス, 保険, 自費, 避妊, 不正出血, 偽薬, プラセボ</v>
      </c>
      <c r="E807" s="31"/>
    </row>
    <row r="808">
      <c r="A808" s="31" t="str">
        <f>IFERROR(__xludf.DUMMYFUNCTION("""COMPUTED_VALUE"""),"低用量ピルを4日以上飲み忘れました/ピルをずっと飲んでいなかった/長期間ピルを飲み忘れた")</f>
        <v>低用量ピルを4日以上飲み忘れました/ピルをずっと飲んでいなかった/長期間ピルを飲み忘れた</v>
      </c>
      <c r="B808" s="31" t="str">
        <f>IFERROR(__xludf.DUMMYFUNCTION("""COMPUTED_VALUE"""),"低用量ピルを4日以上飲み忘れた場合は、医師への確認が必要です。処方された医療機関を受診してご相談ください。")</f>
        <v>低用量ピルを4日以上飲み忘れた場合は、医師への確認が必要です。処方された医療機関を受診してご相談ください。</v>
      </c>
      <c r="C808" s="31" t="str">
        <f>IFERROR(__xludf.DUMMYFUNCTION("""COMPUTED_VALUE"""),"処方・低用量ピル")</f>
        <v>処方・低用量ピル</v>
      </c>
      <c r="D808" s="31" t="str">
        <f>IFERROR(__xludf.DUMMYFUNCTION("""COMPUTED_VALUE"""),"低用量ピル, ピル, 飲み忘れ, 4日以上, 長期, ヤーズフレックス, ラベルフィーユ, 保険, 自費, 受診")</f>
        <v>低用量ピル, ピル, 飲み忘れ, 4日以上, 長期, ヤーズフレックス, ラベルフィーユ, 保険, 自費, 受診</v>
      </c>
      <c r="E808" s="31"/>
    </row>
    <row r="809">
      <c r="A809" s="31" t="str">
        <f>IFERROR(__xludf.DUMMYFUNCTION("""COMPUTED_VALUE"""),"低用量ピルを飲み忘れたときはどうすればいいですか/ピルの飲み忘れ 対処法/ピル 飲み忘れ どうする")</f>
        <v>低用量ピルを飲み忘れたときはどうすればいいですか/ピルの飲み忘れ 対処法/ピル 飲み忘れ どうする</v>
      </c>
      <c r="B809" s="31" t="str">
        <f>IFERROR(__xludf.DUMMYFUNCTION("""COMPUTED_VALUE"""),"低用量ピルの飲み忘れ時の対処法は、飲み忘れた日数とピルの種類によって異なります。【1日の飲み忘れ】保険・自費ともに服用を中止する必要はありません。気づいた時点で前日分を服用し、本日分はいつもの時間に服用してください。同時に気づいた場合は2錠まとめて内服してください。自費ピルは飲み忘れ1日であれば避妊効果への影響はないと言われています。【2〜3日の飲み忘れ】自費診療のピル（ラベルフィーユ・ファボワールなど）：一度内服を中止し、次回の自然な月経が来てから5日以内に再開してください。再開後の最初の1列目は別の避"&amp;"妊方法を併用してください。4列目の偽薬の飲み忘れは追加服用不要です。保険診療のピル（ヤーズフレックスなど）：気づいた時点で直近の錠剤を内服し、本日分はいつもの時間に内服してその後は通常スケジュールで続けてください。不正出血が起きることがあります。鮮血・大量出血の場合は現在のシートを中断し、次回月経から5日以内に新シートで再開してください。【4日以上の飲み忘れ】保険・自費ともに医師への確認が必要です。処方された医療機関を受診してご相談ください。")</f>
        <v>低用量ピルの飲み忘れ時の対処法は、飲み忘れた日数とピルの種類によって異なります。【1日の飲み忘れ】保険・自費ともに服用を中止する必要はありません。気づいた時点で前日分を服用し、本日分はいつもの時間に服用してください。同時に気づいた場合は2錠まとめて内服してください。自費ピルは飲み忘れ1日であれば避妊効果への影響はないと言われています。【2〜3日の飲み忘れ】自費診療のピル（ラベルフィーユ・ファボワールなど）：一度内服を中止し、次回の自然な月経が来てから5日以内に再開してください。再開後の最初の1列目は別の避妊方法を併用してください。4列目の偽薬の飲み忘れは追加服用不要です。保険診療のピル（ヤーズフレックスなど）：気づいた時点で直近の錠剤を内服し、本日分はいつもの時間に内服してその後は通常スケジュールで続けてください。不正出血が起きることがあります。鮮血・大量出血の場合は現在のシートを中断し、次回月経から5日以内に新シートで再開してください。【4日以上の飲み忘れ】保険・自費ともに医師への確認が必要です。処方された医療機関を受診してご相談ください。</v>
      </c>
      <c r="C809" s="31" t="str">
        <f>IFERROR(__xludf.DUMMYFUNCTION("""COMPUTED_VALUE"""),"処方・低用量ピル")</f>
        <v>処方・低用量ピル</v>
      </c>
      <c r="D809" s="31" t="str">
        <f>IFERROR(__xludf.DUMMYFUNCTION("""COMPUTED_VALUE"""),"低用量ピル, ピル, 飲み忘れ, 1日, 2日, 3日, 4日以上, ラベルフィーユ, ファボワール, ヤーズフレックス, 保険, 自費, 避妊, 不正出血, 偽薬, プラセボ, 服用方法")</f>
        <v>低用量ピル, ピル, 飲み忘れ, 1日, 2日, 3日, 4日以上, ラベルフィーユ, ファボワール, ヤーズフレックス, 保険, 自費, 避妊, 不正出血, 偽薬, プラセボ, 服用方法</v>
      </c>
      <c r="E809" s="31"/>
    </row>
    <row r="810">
      <c r="A810" s="31" t="str">
        <f>IFERROR(__xludf.DUMMYFUNCTION("""COMPUTED_VALUE"""),"授乳中でも低用量ピルは服用できますか？")</f>
        <v>授乳中でも低用量ピルは服用できますか？</v>
      </c>
      <c r="B810" s="31" t="str">
        <f>IFERROR(__xludf.DUMMYFUNCTION("""COMPUTED_VALUE"""),"授乳中は低用量ピルの処方および服用はできません。低用量ピルは母乳分泌を減少させる可能性があるため、授乳中の方には処方しておりません。")</f>
        <v>授乳中は低用量ピルの処方および服用はできません。低用量ピルは母乳分泌を減少させる可能性があるため、授乳中の方には処方しておりません。</v>
      </c>
      <c r="C810" s="31" t="str">
        <f>IFERROR(__xludf.DUMMYFUNCTION("""COMPUTED_VALUE"""),"低用量ピル｜授乳中")</f>
        <v>低用量ピル｜授乳中</v>
      </c>
      <c r="D810" s="31" t="str">
        <f>IFERROR(__xludf.DUMMYFUNCTION("""COMPUTED_VALUE"""),"授乳中,低用量ピル,母乳")</f>
        <v>授乳中,低用量ピル,母乳</v>
      </c>
      <c r="E810" s="31"/>
    </row>
    <row r="811">
      <c r="A811" s="31" t="str">
        <f>IFERROR(__xludf.DUMMYFUNCTION("""COMPUTED_VALUE"""),"出産後はいつから低用量ピルを飲めますか？")</f>
        <v>出産後はいつから低用量ピルを飲めますか？</v>
      </c>
      <c r="B811" s="31" t="str">
        <f>IFERROR(__xludf.DUMMYFUNCTION("""COMPUTED_VALUE"""),"授乳をしていない場合に限り、出産後1か月以降から低用量ピルの服用が可能です。授乳中は処方及び服用は出来かねます。")</f>
        <v>授乳をしていない場合に限り、出産後1か月以降から低用量ピルの服用が可能です。授乳中は処方及び服用は出来かねます。</v>
      </c>
      <c r="C811" s="31" t="str">
        <f>IFERROR(__xludf.DUMMYFUNCTION("""COMPUTED_VALUE"""),"低用量ピル｜出産後")</f>
        <v>低用量ピル｜出産後</v>
      </c>
      <c r="D811" s="31" t="str">
        <f>IFERROR(__xludf.DUMMYFUNCTION("""COMPUTED_VALUE"""),"出産後,低用量ピル")</f>
        <v>出産後,低用量ピル</v>
      </c>
      <c r="E811" s="31"/>
    </row>
    <row r="812">
      <c r="A812" s="31" t="str">
        <f>IFERROR(__xludf.DUMMYFUNCTION("""COMPUTED_VALUE"""),"低用量ピル服用中に妊娠の可能性がある場合はどうすればいいですか？")</f>
        <v>低用量ピル服用中に妊娠の可能性がある場合はどうすればいいですか？</v>
      </c>
      <c r="B812" s="31" t="str">
        <f>IFERROR(__xludf.DUMMYFUNCTION("""COMPUTED_VALUE"""),"妊娠の可能性がある場合は、すぐに低用量ピルの服用を中止してください。性行為から3週間後を目安に妊娠検査薬で確認し、月経予定日になっても月経が来ない場合は再検査してください。")</f>
        <v>妊娠の可能性がある場合は、すぐに低用量ピルの服用を中止してください。性行為から3週間後を目安に妊娠検査薬で確認し、月経予定日になっても月経が来ない場合は再検査してください。</v>
      </c>
      <c r="C812" s="31" t="str">
        <f>IFERROR(__xludf.DUMMYFUNCTION("""COMPUTED_VALUE"""),"低用量ピル｜妊娠")</f>
        <v>低用量ピル｜妊娠</v>
      </c>
      <c r="D812" s="31" t="str">
        <f>IFERROR(__xludf.DUMMYFUNCTION("""COMPUTED_VALUE"""),"妊娠の可能性,低用量ピル")</f>
        <v>妊娠の可能性,低用量ピル</v>
      </c>
      <c r="E812" s="31"/>
    </row>
    <row r="813">
      <c r="A813" s="31" t="str">
        <f>IFERROR(__xludf.DUMMYFUNCTION("""COMPUTED_VALUE"""),"低用量ピルはいつから飲み始めればいいですか？")</f>
        <v>低用量ピルはいつから飲み始めればいいですか？</v>
      </c>
      <c r="B813" s="31" t="str">
        <f>IFERROR(__xludf.DUMMYFUNCTION("""COMPUTED_VALUE"""),"低用量ピルは、生理1日目から服用を開始してください（生理開始から5日以内であれば開始可能です）。")</f>
        <v>低用量ピルは、生理1日目から服用を開始してください（生理開始から5日以内であれば開始可能です）。</v>
      </c>
      <c r="C813" s="31" t="str">
        <f>IFERROR(__xludf.DUMMYFUNCTION("""COMPUTED_VALUE"""),"低用量ピル｜服用開始")</f>
        <v>低用量ピル｜服用開始</v>
      </c>
      <c r="D813" s="31" t="str">
        <f>IFERROR(__xludf.DUMMYFUNCTION("""COMPUTED_VALUE"""),"服用開始,低用量ピル")</f>
        <v>服用開始,低用量ピル</v>
      </c>
      <c r="E813" s="31"/>
    </row>
    <row r="814">
      <c r="A814" s="31" t="str">
        <f>IFERROR(__xludf.DUMMYFUNCTION("""COMPUTED_VALUE"""),"休薬期間中に生理が来ないのですが大丈夫ですか？")</f>
        <v>休薬期間中に生理が来ないのですが大丈夫ですか？</v>
      </c>
      <c r="B814" s="31" t="str">
        <f>IFERROR(__xludf.DUMMYFUNCTION("""COMPUTED_VALUE"""),"低用量ピルを服用中でも、飲み忘れなどにより妊娠する可能性はゼロではありません。
また、正しく服用していても、まれに妊娠するケースがあります。
一方で、生理が来ない原因として、ピルの作用で子宮内膜が薄くなっている場合も多く、心配のないケースもあります。
この場合、将来の妊娠に影響することはありません。
休薬期間が終わっても生理が来ない場合は、次のシートを開始する前に妊娠検査薬で陰性を確認してください。
妊娠検査が陽性の場合：ピルを中止し、婦人科を受診してください
陰性の場合：次のシートを開始してよいか、"&amp;"処方医にご確認ください
2シート連続で生理が来ない場合は、検査が陰性でも一度受診をおすすめします。
※妊娠検査薬は、性行為から3週間後以降に使用し、
　月経予定日を過ぎても生理が来ない場合は再検査してください。")</f>
        <v>低用量ピルを服用中でも、飲み忘れなどにより妊娠する可能性はゼロではありません。
また、正しく服用していても、まれに妊娠するケースがあります。
一方で、生理が来ない原因として、ピルの作用で子宮内膜が薄くなっている場合も多く、心配のないケースもあります。
この場合、将来の妊娠に影響することはありません。
休薬期間が終わっても生理が来ない場合は、次のシートを開始する前に妊娠検査薬で陰性を確認してください。
妊娠検査が陽性の場合：ピルを中止し、婦人科を受診してください
陰性の場合：次のシートを開始してよいか、処方医にご確認ください
2シート連続で生理が来ない場合は、検査が陰性でも一度受診をおすすめします。
※妊娠検査薬は、性行為から3週間後以降に使用し、
　月経予定日を過ぎても生理が来ない場合は再検査してください。</v>
      </c>
      <c r="C814" s="31" t="str">
        <f>IFERROR(__xludf.DUMMYFUNCTION("""COMPUTED_VALUE"""),"低用量ピル｜生理")</f>
        <v>低用量ピル｜生理</v>
      </c>
      <c r="D814" s="31" t="str">
        <f>IFERROR(__xludf.DUMMYFUNCTION("""COMPUTED_VALUE"""),"休薬期間,生理が来ない")</f>
        <v>休薬期間,生理が来ない</v>
      </c>
      <c r="E814" s="31"/>
    </row>
    <row r="815">
      <c r="A815" s="31" t="str">
        <f>IFERROR(__xludf.DUMMYFUNCTION("""COMPUTED_VALUE"""),"低用量ピルを再開したい場合はどうすればいいですか？")</f>
        <v>低用量ピルを再開したい場合はどうすればいいですか？</v>
      </c>
      <c r="B815" s="31" t="str">
        <f>IFERROR(__xludf.DUMMYFUNCTION("""COMPUTED_VALUE"""),"中断後の再開は、次の生理が始まった日から内服してください。中止と再開を繰り返すと血栓症リスクが高まるため、再開予定がある場合はご相談ください。当院でのご受診をご希望の場合は、ご予約をお取りの上、クリニックにご受診ください。受診のご予約はLINEで受け付けています。LINEはこちら→https://cline-app.com/qr-codes/98ad6f149bfa20f4f2a9a2e91aac4187/preview")</f>
        <v>中断後の再開は、次の生理が始まった日から内服してください。中止と再開を繰り返すと血栓症リスクが高まるため、再開予定がある場合はご相談ください。当院でのご受診をご希望の場合は、ご予約をお取りの上、クリニックにご受診ください。受診のご予約はLINEで受け付けています。LINEはこちら→https://cline-app.com/qr-codes/98ad6f149bfa20f4f2a9a2e91aac4187/preview</v>
      </c>
      <c r="C815" s="31" t="str">
        <f>IFERROR(__xludf.DUMMYFUNCTION("""COMPUTED_VALUE"""),"低用量ピル｜再開")</f>
        <v>低用量ピル｜再開</v>
      </c>
      <c r="D815" s="31" t="str">
        <f>IFERROR(__xludf.DUMMYFUNCTION("""COMPUTED_VALUE"""),"低用量ピル,再開方法")</f>
        <v>低用量ピル,再開方法</v>
      </c>
      <c r="E815" s="31"/>
    </row>
    <row r="816">
      <c r="A816" s="31" t="str">
        <f>IFERROR(__xludf.DUMMYFUNCTION("""COMPUTED_VALUE"""),"低用量ピル服用中に不正出血があります")</f>
        <v>低用量ピル服用中に不正出血があります</v>
      </c>
      <c r="B816" s="31" t="str">
        <f>IFERROR(__xludf.DUMMYFUNCTION("""COMPUTED_VALUE"""),"低用量ピル服用中による不正出血は「ブレイクスルー出血」と言います。
ピルの飲み忘れや服用開始直後にホルモンバランスが変化することで多く見られます。
ピルの種類が体に合わない場合や、炎症や感染症なども考えられますので、飲み忘れ・服用開始直後でない場合は婦人科をご受診ください。
また、不正出血は妊娠の可能性が否定できないため、ピルの内服を継続しつつ必ず妊娠検査薬を使用してください。
妊娠陽性の場合はピルの内服を中止してください。
なお、1年以内に婦人科検診を受けていなければ、焦らずに受診をお勧めいたします。"&amp;"
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amp;"対応（緊急搬送・急性期対応）は行っておりませんのであらかじめご了承くださいませ。
※妊娠検査薬
性行為から3週間後に検査薬にて検査いただき、この時点では妊娠をしていても、陰性の可能性がございますので月経予定日になっても月経が来なければ再検査をお願いいたします。")</f>
        <v>低用量ピル服用中による不正出血は「ブレイクスルー出血」と言います。
ピルの飲み忘れや服用開始直後にホルモンバランスが変化することで多く見られます。
ピルの種類が体に合わない場合や、炎症や感染症なども考えられますので、飲み忘れ・服用開始直後でない場合は婦人科をご受診ください。
また、不正出血は妊娠の可能性が否定できないため、ピルの内服を継続しつつ必ず妊娠検査薬を使用してください。
妊娠陽性の場合はピルの内服を中止してください。
なお、1年以内に婦人科検診を受けていなければ、焦らずに受診をお勧めいたします。
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
※妊娠検査薬
性行為から3週間後に検査薬にて検査いただき、この時点では妊娠をしていても、陰性の可能性がございますので月経予定日になっても月経が来なければ再検査をお願いいたします。</v>
      </c>
      <c r="C816" s="31" t="str">
        <f>IFERROR(__xludf.DUMMYFUNCTION("""COMPUTED_VALUE"""),"低用量ピル｜副作用")</f>
        <v>低用量ピル｜副作用</v>
      </c>
      <c r="D816" s="31" t="str">
        <f>IFERROR(__xludf.DUMMYFUNCTION("""COMPUTED_VALUE"""),"不正出血,低用量ピル")</f>
        <v>不正出血,低用量ピル</v>
      </c>
      <c r="E816" s="31"/>
    </row>
    <row r="817">
      <c r="A817" s="31" t="str">
        <f>IFERROR(__xludf.DUMMYFUNCTION("""COMPUTED_VALUE"""),"低用量ピルの避妊効果はどれくらいありますか？")</f>
        <v>低用量ピルの避妊効果はどれくらいありますか？</v>
      </c>
      <c r="B817" s="31" t="str">
        <f>IFERROR(__xludf.DUMMYFUNCTION("""COMPUTED_VALUE"""),"OC（自費）低用量ピルの避妊効果は約99.7％とされています。初回使用時は服用開始から8日目以降に効果が現れ、継続服用することで高い避妊効果が維持されます。")</f>
        <v>OC（自費）低用量ピルの避妊効果は約99.7％とされています。初回使用時は服用開始から8日目以降に効果が現れ、継続服用することで高い避妊効果が維持されます。</v>
      </c>
      <c r="C817" s="31" t="str">
        <f>IFERROR(__xludf.DUMMYFUNCTION("""COMPUTED_VALUE"""),"低用量ピル｜避妊")</f>
        <v>低用量ピル｜避妊</v>
      </c>
      <c r="D817" s="31" t="str">
        <f>IFERROR(__xludf.DUMMYFUNCTION("""COMPUTED_VALUE"""),"避妊効果,低用量ピル")</f>
        <v>避妊効果,低用量ピル</v>
      </c>
      <c r="E817" s="31"/>
    </row>
    <row r="818">
      <c r="A818" s="31" t="str">
        <f>IFERROR(__xludf.DUMMYFUNCTION("""COMPUTED_VALUE"""),"偽薬期間中も避妊効果はありますか？")</f>
        <v>偽薬期間中も避妊効果はありますか？</v>
      </c>
      <c r="B818" s="31" t="str">
        <f>IFERROR(__xludf.DUMMYFUNCTION("""COMPUTED_VALUE"""),"OC（自費）低用量ピルは避妊効果が99.7％といわれており、ほかの避妊方法と比べて高いです。
低用量ピルを初めて利用する場合は、服用開始から8日目ごろから避妊効果が現れ、
次の生理周期以降も服用を継続すれば、2シート目の初日から避妊効果を
得られるようになります。
低用量ピルは正しく飲みさえすれば、失敗する率が限りなく低い避妊法です。")</f>
        <v>OC（自費）低用量ピルは避妊効果が99.7％といわれており、ほかの避妊方法と比べて高いです。
低用量ピルを初めて利用する場合は、服用開始から8日目ごろから避妊効果が現れ、
次の生理周期以降も服用を継続すれば、2シート目の初日から避妊効果を
得られるようになります。
低用量ピルは正しく飲みさえすれば、失敗する率が限りなく低い避妊法です。</v>
      </c>
      <c r="C818" s="31" t="str">
        <f>IFERROR(__xludf.DUMMYFUNCTION("""COMPUTED_VALUE"""),"低用量ピル｜避妊")</f>
        <v>低用量ピル｜避妊</v>
      </c>
      <c r="D818" s="31" t="str">
        <f>IFERROR(__xludf.DUMMYFUNCTION("""COMPUTED_VALUE"""),"偽薬期間,避妊効果")</f>
        <v>偽薬期間,避妊効果</v>
      </c>
      <c r="E818" s="31"/>
    </row>
    <row r="819">
      <c r="A819" s="31" t="str">
        <f>IFERROR(__xludf.DUMMYFUNCTION("""COMPUTED_VALUE"""),"通販や個人輸入のピルでも避妊できますか？")</f>
        <v>通販や個人輸入のピルでも避妊できますか？</v>
      </c>
      <c r="B819" s="31" t="str">
        <f>IFERROR(__xludf.DUMMYFUNCTION("""COMPUTED_VALUE"""),"海外のピルには、とても安いものもあり、魅力的に見えるかもしれません。
しかし実際は、有効成分が含まれていないニセ薬の可能性もあり、危険です。本物と信じて服用し、妊娠してからニセ薬だと気が付くことも起こり得ます。
また、年齢や既往歴、家族歴などによっては、血栓症のリスクが上がったり、
持病が悪化したりする可能性があり、ピルの服用が適さない人もいます。
そのため、先に必ず医師の診察を受け、ピルを服用しても問題ないかどうか判断してもらうことが重要です。")</f>
        <v>海外のピルには、とても安いものもあり、魅力的に見えるかもしれません。
しかし実際は、有効成分が含まれていないニセ薬の可能性もあり、危険です。本物と信じて服用し、妊娠してからニセ薬だと気が付くことも起こり得ます。
また、年齢や既往歴、家族歴などによっては、血栓症のリスクが上がったり、
持病が悪化したりする可能性があり、ピルの服用が適さない人もいます。
そのため、先に必ず医師の診察を受け、ピルを服用しても問題ないかどうか判断してもらうことが重要です。</v>
      </c>
      <c r="C819" s="31" t="str">
        <f>IFERROR(__xludf.DUMMYFUNCTION("""COMPUTED_VALUE"""),"低用量ピル｜注意事項")</f>
        <v>低用量ピル｜注意事項</v>
      </c>
      <c r="D819" s="31" t="str">
        <f>IFERROR(__xludf.DUMMYFUNCTION("""COMPUTED_VALUE"""),"個人輸入,ピル")</f>
        <v>個人輸入,ピル</v>
      </c>
      <c r="E819" s="31"/>
    </row>
    <row r="820">
      <c r="A820" s="31" t="str">
        <f>IFERROR(__xludf.DUMMYFUNCTION("""COMPUTED_VALUE"""),"低用量ピルをやめた後、どれくらいで元に戻りますか？")</f>
        <v>低用量ピルをやめた後、どれくらいで元に戻りますか？</v>
      </c>
      <c r="B820" s="31" t="str">
        <f>IFERROR(__xludf.DUMMYFUNCTION("""COMPUTED_VALUE"""),"服用中止して3～4か月でだいたいはピルを服用前の状態に身体はなると言われ、長期的に服用をしていたからといって
妊娠の可能性に影響することはないと言われております。")</f>
        <v>服用中止して3～4か月でだいたいはピルを服用前の状態に身体はなると言われ、長期的に服用をしていたからといって
妊娠の可能性に影響することはないと言われております。</v>
      </c>
      <c r="C820" s="31" t="str">
        <f>IFERROR(__xludf.DUMMYFUNCTION("""COMPUTED_VALUE"""),"低用量ピル｜中止後")</f>
        <v>低用量ピル｜中止後</v>
      </c>
      <c r="D820" s="31" t="str">
        <f>IFERROR(__xludf.DUMMYFUNCTION("""COMPUTED_VALUE"""),"服用中止,妊娠")</f>
        <v>服用中止,妊娠</v>
      </c>
      <c r="E820" s="31"/>
    </row>
    <row r="821">
      <c r="A821" s="31" t="str">
        <f>IFERROR(__xludf.DUMMYFUNCTION("""COMPUTED_VALUE"""),"低用量ピルと肝臓機能の数値は関係がありますか？")</f>
        <v>低用量ピルと肝臓機能の数値は関係がありますか？</v>
      </c>
      <c r="B821" s="31" t="str">
        <f>IFERROR(__xludf.DUMMYFUNCTION("""COMPUTED_VALUE"""),"低用量ピルを長期間飲み続けると、肝臓がんや肝障害の原因になることがあります。
ただし、薬は肝臓で分解されるものが多いため、低用量ピルに限らず、何かしらの薬を長期間飲み続けることで、
副作用として肝障害が起こることはあります。
また、もともと肝臓に障害や腫瘍（しゅよう）があると、薬を代謝する機能が低下しているため、
低用量ピルを飲むことで肝臓への負担が大きくなります。この場合、低用量ピルによって肝臓の症状が悪化することがあります。
異変を感じたら、かかりつけ医にご相談ください。
個別の症状やお体のご状況に"&amp;"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amp;"行っておりませんのであらかじめご了承くださいませ。")</f>
        <v>低用量ピルを長期間飲み続けると、肝臓がんや肝障害の原因になることがあります。
ただし、薬は肝臓で分解されるものが多いため、低用量ピルに限らず、何かしらの薬を長期間飲み続けることで、
副作用として肝障害が起こることはあります。
また、もともと肝臓に障害や腫瘍（しゅよう）があると、薬を代謝する機能が低下しているため、
低用量ピルを飲むことで肝臓への負担が大きくなります。この場合、低用量ピルによって肝臓の症状が悪化することがあります。
異変を感じたら、かかりつけ医にご相談ください。
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821" s="31"/>
      <c r="D821" s="31"/>
      <c r="E821" s="31"/>
    </row>
    <row r="822">
      <c r="A822" s="31" t="str">
        <f>IFERROR(__xludf.DUMMYFUNCTION("""COMPUTED_VALUE"""),"低用量ピルとカンジダは関係がありますか？")</f>
        <v>低用量ピルとカンジダは関係がありますか？</v>
      </c>
      <c r="B822" s="31" t="str">
        <f>IFERROR(__xludf.DUMMYFUNCTION("""COMPUTED_VALUE"""),"低用量ピルにはエストロゲン、プロゲステロンのホルモンがあります。その中でもエストロゲンがタンパク質と結びつき、カンジダになりやすいと言われております。
乳酸桿菌を用いて膣内環境を整えることで、繰り返し起こるカンジダを予防することが可能でございます。乳酸桿菌の定期配送は以下のURLよりご購入が可能です。ご検討ください。
https://shop.luna-dr.com/products/lactobacillus ")</f>
        <v>低用量ピルにはエストロゲン、プロゲステロンのホルモンがあります。その中でもエストロゲンがタンパク質と結びつき、カンジダになりやすいと言われております。
乳酸桿菌を用いて膣内環境を整えることで、繰り返し起こるカンジダを予防することが可能でございます。乳酸桿菌の定期配送は以下のURLよりご購入が可能です。ご検討ください。
https://shop.luna-dr.com/products/lactobacillus </v>
      </c>
      <c r="C822" s="31" t="str">
        <f>IFERROR(__xludf.DUMMYFUNCTION("""COMPUTED_VALUE"""),"低用量ピル｜感染症")</f>
        <v>低用量ピル｜感染症</v>
      </c>
      <c r="D822" s="31" t="str">
        <f>IFERROR(__xludf.DUMMYFUNCTION("""COMPUTED_VALUE"""),"カンジダ,低用量ピル")</f>
        <v>カンジダ,低用量ピル</v>
      </c>
      <c r="E822" s="32" t="str">
        <f>IFERROR(__xludf.DUMMYFUNCTION("""COMPUTED_VALUE"""),"https://shop.luna-dr.com/products/lactobacillus")</f>
        <v>https://shop.luna-dr.com/products/lactobacillus</v>
      </c>
    </row>
    <row r="823">
      <c r="A823" s="31" t="str">
        <f>IFERROR(__xludf.DUMMYFUNCTION("""COMPUTED_VALUE"""),"低用量ピル服用中にお酒を飲んでも大丈夫ですか？")</f>
        <v>低用量ピル服用中にお酒を飲んでも大丈夫ですか？</v>
      </c>
      <c r="B823" s="31" t="str">
        <f>IFERROR(__xludf.DUMMYFUNCTION("""COMPUTED_VALUE"""),"低用量ピル服用中にお酒を飲むことでお薬の効果に影響が出ることはありませんので、ご安心ください。")</f>
        <v>低用量ピル服用中にお酒を飲むことでお薬の効果に影響が出ることはありませんので、ご安心ください。</v>
      </c>
      <c r="C823" s="31" t="str">
        <f>IFERROR(__xludf.DUMMYFUNCTION("""COMPUTED_VALUE"""),"低用量ピル｜生活習慣")</f>
        <v>低用量ピル｜生活習慣</v>
      </c>
      <c r="D823" s="31" t="str">
        <f>IFERROR(__xludf.DUMMYFUNCTION("""COMPUTED_VALUE"""),"飲酒,低用量ピル")</f>
        <v>飲酒,低用量ピル</v>
      </c>
      <c r="E823" s="31"/>
    </row>
    <row r="824">
      <c r="A824" s="31" t="str">
        <f>IFERROR(__xludf.DUMMYFUNCTION("""COMPUTED_VALUE"""),"低用量ピルで生理を止めることはできますか？")</f>
        <v>低用量ピルで生理を止めることはできますか？</v>
      </c>
      <c r="B824" s="31" t="str">
        <f>IFERROR(__xludf.DUMMYFUNCTION("""COMPUTED_VALUE"""),"低用量ピルを使用し完全に生理を止めることはできません。
PMSが重い、スポーツを行っているなどやむを得ない事情がある方については、医師の判断で生理の回数を減らすことが可能な場合もございます。
オンライン診療で処方は出来かねるため、クリニックにご受診しご相談ください。")</f>
        <v>低用量ピルを使用し完全に生理を止めることはできません。
PMSが重い、スポーツを行っているなどやむを得ない事情がある方については、医師の判断で生理の回数を減らすことが可能な場合もございます。
オンライン診療で処方は出来かねるため、クリニックにご受診しご相談ください。</v>
      </c>
      <c r="C824" s="31" t="str">
        <f>IFERROR(__xludf.DUMMYFUNCTION("""COMPUTED_VALUE"""),"低用量ピル")</f>
        <v>低用量ピル</v>
      </c>
      <c r="D824" s="31" t="str">
        <f>IFERROR(__xludf.DUMMYFUNCTION("""COMPUTED_VALUE"""),"生理を止めたい,PMS")</f>
        <v>生理を止めたい,PMS</v>
      </c>
      <c r="E824" s="31"/>
    </row>
    <row r="825">
      <c r="A825" s="31" t="str">
        <f>IFERROR(__xludf.DUMMYFUNCTION("""COMPUTED_VALUE"""),"低用量ピルは何時間くらいの飲み時間のズレまで大丈夫ですか？")</f>
        <v>低用量ピルは何時間くらいの飲み時間のズレまで大丈夫ですか？</v>
      </c>
      <c r="B825" s="31" t="str">
        <f>IFERROR(__xludf.DUMMYFUNCTION("""COMPUTED_VALUE"""),"低用量ピルは毎日同じ時間に服用することが理想ですが、2～3時間程度のズレであれば避妊効果に大きな影響はありません。大きくずれた場合は、1週間は他の避妊方法を併用してください。")</f>
        <v>低用量ピルは毎日同じ時間に服用することが理想ですが、2～3時間程度のズレであれば避妊効果に大きな影響はありません。大きくずれた場合は、1週間は他の避妊方法を併用してください。</v>
      </c>
      <c r="C825" s="31" t="str">
        <f>IFERROR(__xludf.DUMMYFUNCTION("""COMPUTED_VALUE"""),"低用量ピル")</f>
        <v>低用量ピル</v>
      </c>
      <c r="D825" s="31" t="str">
        <f>IFERROR(__xludf.DUMMYFUNCTION("""COMPUTED_VALUE"""),"服用時間,飲み忘れ")</f>
        <v>服用時間,飲み忘れ</v>
      </c>
      <c r="E825" s="31"/>
    </row>
    <row r="826">
      <c r="A826" s="31" t="str">
        <f>IFERROR(__xludf.DUMMYFUNCTION("""COMPUTED_VALUE"""),"インフルエンザの薬とピルは一緒に飲めますか？")</f>
        <v>インフルエンザの薬とピルは一緒に飲めますか？</v>
      </c>
      <c r="B826" s="31" t="str">
        <f>IFERROR(__xludf.DUMMYFUNCTION("""COMPUTED_VALUE"""),"抗ウイルス薬であれば、低用量ピルと併用しても問題ないとされています。ただし、体調不良で飲食が難しい場合は、一時的にピルを中断しても問題ありません。")</f>
        <v>抗ウイルス薬であれば、低用量ピルと併用しても問題ないとされています。ただし、体調不良で飲食が難しい場合は、一時的にピルを中断しても問題ありません。</v>
      </c>
      <c r="C826" s="31" t="str">
        <f>IFERROR(__xludf.DUMMYFUNCTION("""COMPUTED_VALUE"""),"低用量ピル")</f>
        <v>低用量ピル</v>
      </c>
      <c r="D826" s="31" t="str">
        <f>IFERROR(__xludf.DUMMYFUNCTION("""COMPUTED_VALUE"""),"併用薬,インフルエンザ")</f>
        <v>併用薬,インフルエンザ</v>
      </c>
      <c r="E826" s="31"/>
    </row>
    <row r="827">
      <c r="A827" s="31" t="str">
        <f>IFERROR(__xludf.DUMMYFUNCTION("""COMPUTED_VALUE"""),"低用量ピルを飲んだ後に吐いてしまいました。どうすればいいですか？")</f>
        <v>低用量ピルを飲んだ後に吐いてしまいました。どうすればいいですか？</v>
      </c>
      <c r="B827" s="31" t="str">
        <f>IFERROR(__xludf.DUMMYFUNCTION("""COMPUTED_VALUE"""),"服用後2時間以内に嘔吐した場合は、十分な効果が得られない可能性がありますのでご相談ください。2時間以上経過していれば問題ないことが多いですが、不安な場合は別の避妊方法を併用してください。")</f>
        <v>服用後2時間以内に嘔吐した場合は、十分な効果が得られない可能性がありますのでご相談ください。2時間以上経過していれば問題ないことが多いですが、不安な場合は別の避妊方法を併用してください。</v>
      </c>
      <c r="C827" s="31" t="str">
        <f>IFERROR(__xludf.DUMMYFUNCTION("""COMPUTED_VALUE"""),"低用量ピル")</f>
        <v>低用量ピル</v>
      </c>
      <c r="D827" s="31" t="str">
        <f>IFERROR(__xludf.DUMMYFUNCTION("""COMPUTED_VALUE"""),"嘔吐,副作用")</f>
        <v>嘔吐,副作用</v>
      </c>
      <c r="E827" s="31"/>
    </row>
    <row r="828">
      <c r="A828" s="31" t="str">
        <f>IFERROR(__xludf.DUMMYFUNCTION("""COMPUTED_VALUE"""),"他院で処方されたピルについて相談できますか？")</f>
        <v>他院で処方されたピルについて相談できますか？</v>
      </c>
      <c r="B828" s="31" t="str">
        <f>IFERROR(__xludf.DUMMYFUNCTION("""COMPUTED_VALUE"""),"他院で処方されていたピルの継続処方は可能です。ただし、当院で取り扱いのないピルもございますので、まず当院で取り扱っているピルをご確認ください【保険ピル（来院診療のみ）】ヤーズフレックス配合錠・アリッサ・ルナベル配合錠LD・フリウェル配合錠LD・ルナベル配合錠ULD・フリウェル配合錠ULD・ヤーズ配合錠・ドロエチ配合錠・ジェミーナ配合錠 ※保険ピルの料金は保険診療の内容により異なるため、事前にお伝えすることができません。【自費ピル】ファボワール21錠/28錠 1シート3,000円・ラベルフィーユ21錠/28"&amp;"錠 1シート3,000円・スリンダ（ミニピル）28錠 1シート3,300円（来院のみ）【アフターピル】レボノルゲストレル1.5mg 15,000円・エラワン（ウリプリスタル酢酸エステル）/Josei 17,000円【オンライン診療で処方可能なピル】ラベルフィーユ28・ファボワール28・プラノバール21錠・エラワン（ウリプリスタル酢酸エステル）・レボノルゲストレル ※マーベロン・アンジュ・トリキュラーは取り扱いがございません。ご希望のピルがございましたら「ピル処方」のメニューでご予約ください。→https:"&amp;"//cline-app.com/qr-codes/98ad6f149bfa20f4f2a9a2e91aac4187/preview　オンライン診療はこちらのLINEからご予約ください。
https://liff-gateway.lineml.jp/landing?follow=%40590gpxrd&amp;lp=rJHUjK&amp;liff_id=1657094566-LmjNPPbV")</f>
        <v>他院で処方されていたピルの継続処方は可能です。ただし、当院で取り扱いのないピルもございますので、まず当院で取り扱っているピルをご確認ください【保険ピル（来院診療のみ）】ヤーズフレックス配合錠・アリッサ・ルナベル配合錠LD・フリウェル配合錠LD・ルナベル配合錠ULD・フリウェル配合錠ULD・ヤーズ配合錠・ドロエチ配合錠・ジェミーナ配合錠 ※保険ピルの料金は保険診療の内容により異なるため、事前にお伝えすることができません。【自費ピル】ファボワール21錠/28錠 1シート3,000円・ラベルフィーユ21錠/28錠 1シート3,000円・スリンダ（ミニピル）28錠 1シート3,300円（来院のみ）【アフターピル】レボノルゲストレル1.5mg 15,000円・エラワン（ウリプリスタル酢酸エステル）/Josei 17,000円【オンライン診療で処方可能なピル】ラベルフィーユ28・ファボワール28・プラノバール21錠・エラワン（ウリプリスタル酢酸エステル）・レボノルゲストレル ※マーベロン・アンジュ・トリキュラーは取り扱いがございません。ご希望のピルがございましたら「ピル処方」のメニューでご予約ください。→https://cline-app.com/qr-codes/98ad6f149bfa20f4f2a9a2e91aac4187/preview　オンライン診療はこちらのLINEからご予約ください。
https://liff-gateway.lineml.jp/landing?follow=%40590gpxrd&amp;lp=rJHUjK&amp;liff_id=1657094566-LmjNPPbV</v>
      </c>
      <c r="C828" s="31" t="str">
        <f>IFERROR(__xludf.DUMMYFUNCTION("""COMPUTED_VALUE"""),"低用量ピル")</f>
        <v>低用量ピル</v>
      </c>
      <c r="D828" s="31" t="str">
        <f>IFERROR(__xludf.DUMMYFUNCTION("""COMPUTED_VALUE"""),"他院処方")</f>
        <v>他院処方</v>
      </c>
      <c r="E828" s="31"/>
    </row>
    <row r="829">
      <c r="A829" s="31" t="str">
        <f>IFERROR(__xludf.DUMMYFUNCTION("""COMPUTED_VALUE"""),"ヤーズフレックスの休薬期間に生理が来ません。")</f>
        <v>ヤーズフレックスの休薬期間に生理が来ません。</v>
      </c>
      <c r="B829" s="31" t="str">
        <f>IFERROR(__xludf.DUMMYFUNCTION("""COMPUTED_VALUE"""),"ヤーズフレックスの休薬期間に生理がこない考えられる2つの理由は、妊娠しているか、一時的に子宮内膜が薄くなっていることが考えられます。
妊娠検査薬にて妊娠の有無を確認いただき、陰性の場合はかかりつけ医にご相談ください。
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amp;"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
※妊娠検査薬
性行為から3週間後に検査薬にて検査いただき、この時点では妊娠をしていても
陰性の可能性がございますので月経予定日になっても
月経が来なければ再検査をお願いいたします。")</f>
        <v>ヤーズフレックスの休薬期間に生理がこない考えられる2つの理由は、妊娠しているか、一時的に子宮内膜が薄くなっていることが考えられます。
妊娠検査薬にて妊娠の有無を確認いただき、陰性の場合はかかりつけ医にご相談ください。
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
※妊娠検査薬
性行為から3週間後に検査薬にて検査いただき、この時点では妊娠をしていても
陰性の可能性がございますので月経予定日になっても
月経が来なければ再検査をお願いいたします。</v>
      </c>
      <c r="C829" s="31" t="str">
        <f>IFERROR(__xludf.DUMMYFUNCTION("""COMPUTED_VALUE"""),"保険ピル")</f>
        <v>保険ピル</v>
      </c>
      <c r="D829" s="31" t="str">
        <f>IFERROR(__xludf.DUMMYFUNCTION("""COMPUTED_VALUE"""),"ヤーズフレックス,休薬期間")</f>
        <v>ヤーズフレックス,休薬期間</v>
      </c>
      <c r="E829" s="31"/>
    </row>
    <row r="830">
      <c r="A830" s="31" t="str">
        <f>IFERROR(__xludf.DUMMYFUNCTION("""COMPUTED_VALUE"""),"生理を移動させると副作用はありますか？")</f>
        <v>生理を移動させると副作用はありますか？</v>
      </c>
      <c r="B830" s="31" t="str">
        <f>IFERROR(__xludf.DUMMYFUNCTION("""COMPUTED_VALUE"""),"ピルは医薬品なので、個人差はありますが副作用が出る場合があります。
具体的には、吐き気や嘔吐、頭痛や眠気、だるさといった症状です。
また、低用量ピルよりも中用量ピルのほうが含まれる女性ホルモンの量が多いため、
副作用が強く出る可能性があります。ただし中用量ピルを服用する場合であっても、
10日程度の移動であれば体への影響はほとんどないとされています。")</f>
        <v>ピルは医薬品なので、個人差はありますが副作用が出る場合があります。
具体的には、吐き気や嘔吐、頭痛や眠気、だるさといった症状です。
また、低用量ピルよりも中用量ピルのほうが含まれる女性ホルモンの量が多いため、
副作用が強く出る可能性があります。ただし中用量ピルを服用する場合であっても、
10日程度の移動であれば体への影響はほとんどないとされています。</v>
      </c>
      <c r="C830" s="31" t="str">
        <f>IFERROR(__xludf.DUMMYFUNCTION("""COMPUTED_VALUE"""),"月経移動")</f>
        <v>月経移動</v>
      </c>
      <c r="D830" s="31" t="str">
        <f>IFERROR(__xludf.DUMMYFUNCTION("""COMPUTED_VALUE"""),"副作用,中用量ピル")</f>
        <v>副作用,中用量ピル</v>
      </c>
      <c r="E830" s="31"/>
    </row>
    <row r="831">
      <c r="A831" s="31" t="str">
        <f>IFERROR(__xludf.DUMMYFUNCTION("""COMPUTED_VALUE"""),"低用量ピルを飲み忘れた場合、アフターピルは必要ですか？")</f>
        <v>低用量ピルを飲み忘れた場合、アフターピルは必要ですか？</v>
      </c>
      <c r="B831" s="31" t="str">
        <f>IFERROR(__xludf.DUMMYFUNCTION("""COMPUTED_VALUE"""),"低用量ピルのを時間通り服用出来ていない・飲み始め7日以内等、低用量ピルを服用している患者様でも避妊効果が低いため、あわせてアフターピルの服用をおすすめいたします。アフターピルはオンライン診療ではご自宅にお届けが可能でございます。")</f>
        <v>低用量ピルのを時間通り服用出来ていない・飲み始め7日以内等、低用量ピルを服用している患者様でも避妊効果が低いため、あわせてアフターピルの服用をおすすめいたします。アフターピルはオンライン診療ではご自宅にお届けが可能でございます。</v>
      </c>
      <c r="C831" s="31" t="str">
        <f>IFERROR(__xludf.DUMMYFUNCTION("""COMPUTED_VALUE"""),"アフターピル")</f>
        <v>アフターピル</v>
      </c>
      <c r="D831" s="31" t="str">
        <f>IFERROR(__xludf.DUMMYFUNCTION("""COMPUTED_VALUE"""),"飲み忘れ,緊急避妊")</f>
        <v>飲み忘れ,緊急避妊</v>
      </c>
      <c r="E831" s="31"/>
    </row>
    <row r="832">
      <c r="A832" s="31" t="str">
        <f>IFERROR(__xludf.DUMMYFUNCTION("""COMPUTED_VALUE"""),"アフターピル服用後、低用量ピルはいつから再開できますか？")</f>
        <v>アフターピル服用後、低用量ピルはいつから再開できますか？</v>
      </c>
      <c r="B832" s="31" t="str">
        <f>IFERROR(__xludf.DUMMYFUNCTION("""COMPUTED_VALUE"""),"アフターピル（緊急避妊薬）を服用した後、低用量ピルの服用を開始するタイミングについてはアフターピルの種類によって変わります。
・レボノルゲストレル：アフターピルを服用した翌日から低用量ピルを開始しても問題はありません。
・ウリプリスタール酢酸：アフターピルの影響で低用量ピルの効果が減少する可能性があるため、アフターピルを服用してから、5日間は低用量ピルを開始しないことが推奨されています。
状況により異なるため、最適な服用開始時期については、低用量ピル処方医師にご確認ください。")</f>
        <v>アフターピル（緊急避妊薬）を服用した後、低用量ピルの服用を開始するタイミングについてはアフターピルの種類によって変わります。
・レボノルゲストレル：アフターピルを服用した翌日から低用量ピルを開始しても問題はありません。
・ウリプリスタール酢酸：アフターピルの影響で低用量ピルの効果が減少する可能性があるため、アフターピルを服用してから、5日間は低用量ピルを開始しないことが推奨されています。
状況により異なるため、最適な服用開始時期については、低用量ピル処方医師にご確認ください。</v>
      </c>
      <c r="C832" s="31" t="str">
        <f>IFERROR(__xludf.DUMMYFUNCTION("""COMPUTED_VALUE"""),"アフターピル")</f>
        <v>アフターピル</v>
      </c>
      <c r="D832" s="31" t="str">
        <f>IFERROR(__xludf.DUMMYFUNCTION("""COMPUTED_VALUE"""),"再開時期")</f>
        <v>再開時期</v>
      </c>
      <c r="E832" s="31"/>
    </row>
    <row r="833">
      <c r="A833" s="31" t="str">
        <f>IFERROR(__xludf.DUMMYFUNCTION("""COMPUTED_VALUE"""),"中用量ピルとは何ですか？/プラノバールとは")</f>
        <v>中用量ピルとは何ですか？/プラノバールとは</v>
      </c>
      <c r="B833" s="31" t="str">
        <f>IFERROR(__xludf.DUMMYFUNCTION("""COMPUTED_VALUE"""),"中用量ピルとは、一時的に服用することで、生理開始日を早めたり遅らせたりすることができます。
低用量ピルの違いは、エストロゲンの配合量が中用量ピルの方が多く含まれるため、頭痛や吐き気、血栓症などの副作用が低用量ピルよりも強く出ます。
吐き気止めの同時処方も可能でございます。")</f>
        <v>中用量ピルとは、一時的に服用することで、生理開始日を早めたり遅らせたりすることができます。
低用量ピルの違いは、エストロゲンの配合量が中用量ピルの方が多く含まれるため、頭痛や吐き気、血栓症などの副作用が低用量ピルよりも強く出ます。
吐き気止めの同時処方も可能でございます。</v>
      </c>
      <c r="C833" s="31" t="str">
        <f>IFERROR(__xludf.DUMMYFUNCTION("""COMPUTED_VALUE"""),"月経移動")</f>
        <v>月経移動</v>
      </c>
      <c r="D833" s="31" t="str">
        <f>IFERROR(__xludf.DUMMYFUNCTION("""COMPUTED_VALUE"""),"中用量ピル,中用量,プラノバール")</f>
        <v>中用量ピル,中用量,プラノバール</v>
      </c>
      <c r="E833" s="31"/>
    </row>
    <row r="834">
      <c r="A834" s="31" t="str">
        <f>IFERROR(__xludf.DUMMYFUNCTION("""COMPUTED_VALUE"""),"中用量ピルの料金はいくらですか？/プラノバールの料金はいくらですか？/プラノバールの処方は可能ですか")</f>
        <v>中用量ピルの料金はいくらですか？/プラノバールの料金はいくらですか？/プラノバールの処方は可能ですか</v>
      </c>
      <c r="B834" s="31" t="str">
        <f>IFERROR(__xludf.DUMMYFUNCTION("""COMPUTED_VALUE"""),"プラノバール21錠入りは5,000円です。オンライン診療の場合、別途送料500円がかかります。")</f>
        <v>プラノバール21錠入りは5,000円です。オンライン診療の場合、別途送料500円がかかります。</v>
      </c>
      <c r="C834" s="31" t="str">
        <f>IFERROR(__xludf.DUMMYFUNCTION("""COMPUTED_VALUE"""),"月経移動")</f>
        <v>月経移動</v>
      </c>
      <c r="D834" s="31" t="str">
        <f>IFERROR(__xludf.DUMMYFUNCTION("""COMPUTED_VALUE"""),"料金,プラノバール,中用量ピル,中用量")</f>
        <v>料金,プラノバール,中用量ピル,中用量</v>
      </c>
      <c r="E834" s="31"/>
    </row>
    <row r="835">
      <c r="A835" s="31" t="str">
        <f>IFERROR(__xludf.DUMMYFUNCTION("""COMPUTED_VALUE"""),"月経移動で「早める方法」と「遅らせる方法」はどう違いますか？")</f>
        <v>月経移動で「早める方法」と「遅らせる方法」はどう違いますか？</v>
      </c>
      <c r="B835" s="31" t="str">
        <f>IFERROR(__xludf.DUMMYFUNCTION("""COMPUTED_VALUE"""),"月経移動には「早める方法」と「遅らせる方法」があります。早める方法は、生理を避けたい期間の1つ前の生理開始5日目から中用量ピルを服用し、約2週間後に生理を起こす方法です。避けたい期間中はピルを服用せずに過ごせます。遅らせる方法は、生理予定日の5日前から中用量ピルを服用し、生理を避けたい期間の後に生理が来るように調整します。遅らせる方法は比較的直前の相談にも対応できる場合があります。")</f>
        <v>月経移動には「早める方法」と「遅らせる方法」があります。早める方法は、生理を避けたい期間の1つ前の生理開始5日目から中用量ピルを服用し、約2週間後に生理を起こす方法です。避けたい期間中はピルを服用せずに過ごせます。遅らせる方法は、生理予定日の5日前から中用量ピルを服用し、生理を避けたい期間の後に生理が来るように調整します。遅らせる方法は比較的直前の相談にも対応できる場合があります。</v>
      </c>
      <c r="C835" s="31" t="str">
        <f>IFERROR(__xludf.DUMMYFUNCTION("""COMPUTED_VALUE"""),"月経移動")</f>
        <v>月経移動</v>
      </c>
      <c r="D835" s="31" t="str">
        <f>IFERROR(__xludf.DUMMYFUNCTION("""COMPUTED_VALUE"""),"早める,遅らせる,方法")</f>
        <v>早める,遅らせる,方法</v>
      </c>
      <c r="E835" s="31"/>
    </row>
    <row r="836">
      <c r="A836" s="31" t="str">
        <f>IFERROR(__xludf.DUMMYFUNCTION("""COMPUTED_VALUE"""),"月経移動後、生理が重くなりました。大丈夫ですか？")</f>
        <v>月経移動後、生理が重くなりました。大丈夫ですか？</v>
      </c>
      <c r="B836" s="31" t="str">
        <f>IFERROR(__xludf.DUMMYFUNCTION("""COMPUTED_VALUE"""),"月経を遅らせた場合、普段より月経量が多くなったり月経痛が強くなる可能性があります。
現在症状が落ち着いているのであれば様子を見てください。
オンライン相談では子宮筋腫や他の病気が潜んでるか分かりかねるため、婦人科にて検診をおすすめいたします。
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amp;"/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f>
        <v>月経を遅らせた場合、普段より月経量が多くなったり月経痛が強くなる可能性があります。
現在症状が落ち着いているのであれば様子を見てください。
オンライン相談では子宮筋腫や他の病気が潜んでるか分かりかねるため、婦人科にて検診をおすすめいたします。
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836" s="31" t="str">
        <f>IFERROR(__xludf.DUMMYFUNCTION("""COMPUTED_VALUE"""),"月経移動")</f>
        <v>月経移動</v>
      </c>
      <c r="D836" s="31" t="str">
        <f>IFERROR(__xludf.DUMMYFUNCTION("""COMPUTED_VALUE"""),"生理が重い,月経量,生理痛")</f>
        <v>生理が重い,月経量,生理痛</v>
      </c>
      <c r="E836" s="31"/>
    </row>
    <row r="837">
      <c r="A837" s="31" t="str">
        <f>IFERROR(__xludf.DUMMYFUNCTION("""COMPUTED_VALUE"""),"中用量ピルを飲んだ後、吐き気があります。/プラノバールを飲んだ後に、吐き気があります。")</f>
        <v>中用量ピルを飲んだ後、吐き気があります。/プラノバールを飲んだ後に、吐き気があります。</v>
      </c>
      <c r="B837" s="31" t="str">
        <f>IFERROR(__xludf.DUMMYFUNCTION("""COMPUTED_VALUE"""),"中用量ピル（プラノバール）の副作用として吐き気が出ることがあります。服用を続けてホルモンバランスが安定すると、次第に治まることが多いです。吐き気がつらい場合は、処方された吐き気止めや市販薬を使用してください。
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amp;"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f>
        <v>中用量ピル（プラノバール）の副作用として吐き気が出ることがあります。服用を続けてホルモンバランスが安定すると、次第に治まることが多いです。吐き気がつらい場合は、処方された吐き気止めや市販薬を使用してください。
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837" s="31" t="str">
        <f>IFERROR(__xludf.DUMMYFUNCTION("""COMPUTED_VALUE"""),"月経移動")</f>
        <v>月経移動</v>
      </c>
      <c r="D837" s="31" t="str">
        <f>IFERROR(__xludf.DUMMYFUNCTION("""COMPUTED_VALUE"""),"プラノバール,吐き気,副作用")</f>
        <v>プラノバール,吐き気,副作用</v>
      </c>
      <c r="E837" s="31"/>
    </row>
    <row r="838">
      <c r="A838" s="31" t="str">
        <f>IFERROR(__xludf.DUMMYFUNCTION("""COMPUTED_VALUE"""),"中用量ピルを使って妊娠しやすくできますか？/プラノバールを使って妊娠しやすくできますか？")</f>
        <v>中用量ピルを使って妊娠しやすくできますか？/プラノバールを使って妊娠しやすくできますか？</v>
      </c>
      <c r="B838" s="31" t="str">
        <f>IFERROR(__xludf.DUMMYFUNCTION("""COMPUTED_VALUE"""),"プラノバールは服用方法を調整することで、月経移動だけでなく妊娠しやすい状態を作る目的で使用されることもあります。ただし、当院では不妊治療は行っていないため、詳しくはお近くの婦人科へご相談ください。")</f>
        <v>プラノバールは服用方法を調整することで、月経移動だけでなく妊娠しやすい状態を作る目的で使用されることもあります。ただし、当院では不妊治療は行っていないため、詳しくはお近くの婦人科へご相談ください。</v>
      </c>
      <c r="C838" s="31" t="str">
        <f>IFERROR(__xludf.DUMMYFUNCTION("""COMPUTED_VALUE"""),"月経移動")</f>
        <v>月経移動</v>
      </c>
      <c r="D838" s="31" t="str">
        <f>IFERROR(__xludf.DUMMYFUNCTION("""COMPUTED_VALUE"""),"プラノバール,妊娠")</f>
        <v>プラノバール,妊娠</v>
      </c>
      <c r="E838" s="31"/>
    </row>
    <row r="839">
      <c r="A839" s="31" t="str">
        <f>IFERROR(__xludf.DUMMYFUNCTION("""COMPUTED_VALUE"""),"中用量ピル（プラノバール）を飲むとき、吐き気止めは一緒に飲んだ方がいいですか？")</f>
        <v>中用量ピル（プラノバール）を飲むとき、吐き気止めは一緒に飲んだ方がいいですか？</v>
      </c>
      <c r="B839" s="31" t="str">
        <f>IFERROR(__xludf.DUMMYFUNCTION("""COMPUTED_VALUE"""),"プラノバールを服用したすべての方に吐き気が出るわけではありませんが、比較的起こりやすい副作用です。ご希望があれば、吐き気止めを一緒に処方することが可能です。副作用の出方には個人差があります。")</f>
        <v>プラノバールを服用したすべての方に吐き気が出るわけではありませんが、比較的起こりやすい副作用です。ご希望があれば、吐き気止めを一緒に処方することが可能です。副作用の出方には個人差があります。</v>
      </c>
      <c r="C839" s="31" t="str">
        <f>IFERROR(__xludf.DUMMYFUNCTION("""COMPUTED_VALUE"""),"月経移動")</f>
        <v>月経移動</v>
      </c>
      <c r="D839" s="31" t="str">
        <f>IFERROR(__xludf.DUMMYFUNCTION("""COMPUTED_VALUE"""),"吐き気止め,プラノバール")</f>
        <v>吐き気止め,プラノバール</v>
      </c>
      <c r="E839" s="31"/>
    </row>
    <row r="840">
      <c r="A840" s="31" t="str">
        <f>IFERROR(__xludf.DUMMYFUNCTION("""COMPUTED_VALUE"""),"月経移動の服用期間はどれくらいですか？")</f>
        <v>月経移動の服用期間はどれくらいですか？</v>
      </c>
      <c r="B840" s="31" t="str">
        <f>IFERROR(__xludf.DUMMYFUNCTION("""COMPUTED_VALUE"""),"月経移動に必要な服用期間は、患者さまの生理周期やご希望の日程によって異なります。詳しい服用期間は診察時に個別にご案内します。")</f>
        <v>月経移動に必要な服用期間は、患者さまの生理周期やご希望の日程によって異なります。詳しい服用期間は診察時に個別にご案内します。</v>
      </c>
      <c r="C840" s="31" t="str">
        <f>IFERROR(__xludf.DUMMYFUNCTION("""COMPUTED_VALUE"""),"月経移動")</f>
        <v>月経移動</v>
      </c>
      <c r="D840" s="31" t="str">
        <f>IFERROR(__xludf.DUMMYFUNCTION("""COMPUTED_VALUE"""),"服用期間,個別対応")</f>
        <v>服用期間,個別対応</v>
      </c>
      <c r="E840" s="31"/>
    </row>
    <row r="841">
      <c r="A841" s="31" t="str">
        <f>IFERROR(__xludf.DUMMYFUNCTION("""COMPUTED_VALUE"""),"服用開始がギリギリでも月経移動はできますか？")</f>
        <v>服用開始がギリギリでも月経移動はできますか？</v>
      </c>
      <c r="B841" s="31" t="str">
        <f>IFERROR(__xludf.DUMMYFUNCTION("""COMPUTED_VALUE"""),"服用開始日を過ぎてからの月経移動は、成功を保証できませんが、出血量を減らせる可能性はあります。状況によっては処方が難しい場合もあるため、月経移動の問診からお申し込みのうえご相談ください。")</f>
        <v>服用開始日を過ぎてからの月経移動は、成功を保証できませんが、出血量を減らせる可能性はあります。状況によっては処方が難しい場合もあるため、月経移動の問診からお申し込みのうえご相談ください。</v>
      </c>
      <c r="C841" s="31" t="str">
        <f>IFERROR(__xludf.DUMMYFUNCTION("""COMPUTED_VALUE"""),"月経移動")</f>
        <v>月経移動</v>
      </c>
      <c r="D841" s="31" t="str">
        <f>IFERROR(__xludf.DUMMYFUNCTION("""COMPUTED_VALUE"""),"ギリギリ,服用開始")</f>
        <v>ギリギリ,服用開始</v>
      </c>
      <c r="E841" s="31"/>
    </row>
    <row r="842">
      <c r="A842" s="31" t="str">
        <f>IFERROR(__xludf.DUMMYFUNCTION("""COMPUTED_VALUE"""),"アフターピルの種類を教えて下さい/アフターピルの料金を教えてください。")</f>
        <v>アフターピルの種類を教えて下さい/アフターピルの料金を教えてください。</v>
      </c>
      <c r="B842" s="31" t="str">
        <f>IFERROR(__xludf.DUMMYFUNCTION("""COMPUTED_VALUE"""),"当院では2種類のアフターピルを取り扱っています。
・120時間以内用：ウリプリスタル酢酸エステル（エラワン・Josei）15,000円（税込）
・72時間以内用：レボノルゲストレル 12,000円（税込）
配送が必要なため、基本的には120時間用をご案内しています。早く服用するほど避妊効果は高まります。自費診療となるため、診察料・初診料はかかりません。")</f>
        <v>当院では2種類のアフターピルを取り扱っています。
・120時間以内用：ウリプリスタル酢酸エステル（エラワン・Josei）15,000円（税込）
・72時間以内用：レボノルゲストレル 12,000円（税込）
配送が必要なため、基本的には120時間用をご案内しています。早く服用するほど避妊効果は高まります。自費診療となるため、診察料・初診料はかかりません。</v>
      </c>
      <c r="C842" s="31" t="str">
        <f>IFERROR(__xludf.DUMMYFUNCTION("""COMPUTED_VALUE"""),"アフターピル")</f>
        <v>アフターピル</v>
      </c>
      <c r="D842" s="31" t="str">
        <f>IFERROR(__xludf.DUMMYFUNCTION("""COMPUTED_VALUE"""),"種類,料金")</f>
        <v>種類,料金</v>
      </c>
      <c r="E842" s="31"/>
    </row>
    <row r="843">
      <c r="A843" s="31" t="str">
        <f>IFERROR(__xludf.DUMMYFUNCTION("""COMPUTED_VALUE"""),"なぜアフターピルは保険適用されないのですか？")</f>
        <v>なぜアフターピルは保険適用されないのですか？</v>
      </c>
      <c r="B843" s="31" t="str">
        <f>IFERROR(__xludf.DUMMYFUNCTION("""COMPUTED_VALUE"""),"健康保険は「病気やケガの治療」を対象としているため、妊娠を予防する目的のアフターピルは保険適用外となります。妊娠や出産は病気とはみなされないため、保険診療の対象外とされています。")</f>
        <v>健康保険は「病気やケガの治療」を対象としているため、妊娠を予防する目的のアフターピルは保険適用外となります。妊娠や出産は病気とはみなされないため、保険診療の対象外とされています。</v>
      </c>
      <c r="C843" s="31" t="str">
        <f>IFERROR(__xludf.DUMMYFUNCTION("""COMPUTED_VALUE"""),"アフターピル")</f>
        <v>アフターピル</v>
      </c>
      <c r="D843" s="31" t="str">
        <f>IFERROR(__xludf.DUMMYFUNCTION("""COMPUTED_VALUE"""),"保険適用外,理由")</f>
        <v>保険適用外,理由</v>
      </c>
      <c r="E843" s="31"/>
    </row>
    <row r="844">
      <c r="A844" s="31" t="str">
        <f>IFERROR(__xludf.DUMMYFUNCTION("""COMPUTED_VALUE"""),"アフターピル（緊急避妊薬）とは何ですか？")</f>
        <v>アフターピル（緊急避妊薬）とは何ですか？</v>
      </c>
      <c r="B844" s="31" t="str">
        <f>IFERROR(__xludf.DUMMYFUNCTION("""COMPUTED_VALUE"""),"アフターピル（緊急避妊薬）とは、妊娠の可能性のある性行為の後からでも避妊効果を得られるピルです。
低用量ピルの服用を忘れた場合や、中だしをされてしまったとき、
コンドームが破損していた場合、さらに性被害による望まない妊娠・中絶を避ける目的で
使われます。
性交後、72時間（3日）または120時間（5日）以内にアフターピルを服用すると、
約80％の確率で妊娠を防げます。
性交後からアフターピルの服用が早いほど妊娠しない確率が上がるため、
妊娠を望まないときは速やかにご相談ください。")</f>
        <v>アフターピル（緊急避妊薬）とは、妊娠の可能性のある性行為の後からでも避妊効果を得られるピルです。
低用量ピルの服用を忘れた場合や、中だしをされてしまったとき、
コンドームが破損していた場合、さらに性被害による望まない妊娠・中絶を避ける目的で
使われます。
性交後、72時間（3日）または120時間（5日）以内にアフターピルを服用すると、
約80％の確率で妊娠を防げます。
性交後からアフターピルの服用が早いほど妊娠しない確率が上がるため、
妊娠を望まないときは速やかにご相談ください。</v>
      </c>
      <c r="C844" s="31" t="str">
        <f>IFERROR(__xludf.DUMMYFUNCTION("""COMPUTED_VALUE"""),"アフターピル")</f>
        <v>アフターピル</v>
      </c>
      <c r="D844" s="31" t="str">
        <f>IFERROR(__xludf.DUMMYFUNCTION("""COMPUTED_VALUE"""),"緊急避妊,効果")</f>
        <v>緊急避妊,効果</v>
      </c>
      <c r="E844" s="31"/>
    </row>
    <row r="845">
      <c r="A845" s="31" t="str">
        <f>IFERROR(__xludf.DUMMYFUNCTION("""COMPUTED_VALUE"""),"アフターピルを飲んだ後に吐いてしまった場合はどうすればいいですか？")</f>
        <v>アフターピルを飲んだ後に吐いてしまった場合はどうすればいいですか？</v>
      </c>
      <c r="B845" s="31" t="str">
        <f>IFERROR(__xludf.DUMMYFUNCTION("""COMPUTED_VALUE"""),"アフターピル服用２時間以内に嘔吐した場合は効果が十分に発揮されない為、再度内服をお勧めいたします。
オンライン診療ではアフターピル処方時に無料で吐き気止めをお付けしております。")</f>
        <v>アフターピル服用２時間以内に嘔吐した場合は効果が十分に発揮されない為、再度内服をお勧めいたします。
オンライン診療ではアフターピル処方時に無料で吐き気止めをお付けしております。</v>
      </c>
      <c r="C845" s="31" t="str">
        <f>IFERROR(__xludf.DUMMYFUNCTION("""COMPUTED_VALUE"""),"アフターピル")</f>
        <v>アフターピル</v>
      </c>
      <c r="D845" s="31" t="str">
        <f>IFERROR(__xludf.DUMMYFUNCTION("""COMPUTED_VALUE"""),"嘔吐,対処")</f>
        <v>嘔吐,対処</v>
      </c>
      <c r="E845" s="31"/>
    </row>
    <row r="846">
      <c r="A846" s="31" t="str">
        <f>IFERROR(__xludf.DUMMYFUNCTION("""COMPUTED_VALUE"""),"アフターピルを飲んだ後、生理はいつ来ますか？")</f>
        <v>アフターピルを飲んだ後、生理はいつ来ますか？</v>
      </c>
      <c r="B846" s="31" t="str">
        <f>IFERROR(__xludf.DUMMYFUNCTION("""COMPUTED_VALUE"""),"アフターピル服用後の生理は、一般的に約7日後に起こることが多いですが、早い方で3日後、遅い場合は次の生理まで来ないこともあります。3週間以内に生理のような出血があれば、避妊に成功した目安となります。")</f>
        <v>アフターピル服用後の生理は、一般的に約7日後に起こることが多いですが、早い方で3日後、遅い場合は次の生理まで来ないこともあります。3週間以内に生理のような出血があれば、避妊に成功した目安となります。</v>
      </c>
      <c r="C846" s="31" t="str">
        <f>IFERROR(__xludf.DUMMYFUNCTION("""COMPUTED_VALUE"""),"アフターピル")</f>
        <v>アフターピル</v>
      </c>
      <c r="D846" s="31" t="str">
        <f>IFERROR(__xludf.DUMMYFUNCTION("""COMPUTED_VALUE"""),"生理,いつ来る")</f>
        <v>生理,いつ来る</v>
      </c>
      <c r="E846" s="31"/>
    </row>
    <row r="847">
      <c r="A847" s="31" t="str">
        <f>IFERROR(__xludf.DUMMYFUNCTION("""COMPUTED_VALUE"""),"アフターピルの事前処方は可能ですか？")</f>
        <v>アフターピルの事前処方は可能ですか？</v>
      </c>
      <c r="B847" s="31" t="str">
        <f>IFERROR(__xludf.DUMMYFUNCTION("""COMPUTED_VALUE"""),"使用する予定がある場合や、お近くに婦人科がなくすぐに受診が難しい場合などは、医師の判断によりアフターピルの事前処方が可能な場合があります。ご希望がございましたら、お気軽にご相談ください。")</f>
        <v>使用する予定がある場合や、お近くに婦人科がなくすぐに受診が難しい場合などは、医師の判断によりアフターピルの事前処方が可能な場合があります。ご希望がございましたら、お気軽にご相談ください。</v>
      </c>
      <c r="C847" s="31" t="str">
        <f>IFERROR(__xludf.DUMMYFUNCTION("""COMPUTED_VALUE"""),"アフターピル")</f>
        <v>アフターピル</v>
      </c>
      <c r="D847" s="31" t="str">
        <f>IFERROR(__xludf.DUMMYFUNCTION("""COMPUTED_VALUE"""),"事前処方,予備")</f>
        <v>事前処方,予備</v>
      </c>
      <c r="E847" s="31"/>
    </row>
    <row r="848">
      <c r="A848" s="31" t="str">
        <f>IFERROR(__xludf.DUMMYFUNCTION("""COMPUTED_VALUE"""),"アフターピルを服用した方が良いか迷っています。")</f>
        <v>アフターピルを服用した方が良いか迷っています。</v>
      </c>
      <c r="B848" s="31" t="str">
        <f>IFERROR(__xludf.DUMMYFUNCTION("""COMPUTED_VALUE"""),"避妊の失敗やご不安がある場合は、性行為から120時間（5日）以内に、最も早めにアフターピルの服用を検討してください。 
すでに120時間を経過している場合は、妊娠検査薬で妊娠の有無をご確認ください。
望まない妊娠は、金銭面や精神的にも大きな負担となる可能性がありますので、早めの対応をおすすめします。")</f>
        <v>避妊の失敗やご不安がある場合は、性行為から120時間（5日）以内に、最も早めにアフターピルの服用を検討してください。 
すでに120時間を経過している場合は、妊娠検査薬で妊娠の有無をご確認ください。
望まない妊娠は、金銭面や精神的にも大きな負担となる可能性がありますので、早めの対応をおすすめします。</v>
      </c>
      <c r="C848" s="31" t="str">
        <f>IFERROR(__xludf.DUMMYFUNCTION("""COMPUTED_VALUE"""),"アフターピル")</f>
        <v>アフターピル</v>
      </c>
      <c r="D848" s="31" t="str">
        <f>IFERROR(__xludf.DUMMYFUNCTION("""COMPUTED_VALUE"""),"服用判断,不安")</f>
        <v>服用判断,不安</v>
      </c>
      <c r="E848" s="31"/>
    </row>
    <row r="849">
      <c r="A849" s="31" t="str">
        <f>IFERROR(__xludf.DUMMYFUNCTION("""COMPUTED_VALUE"""),"妊娠していないのに39日以上生理が来ません/生理周期が長くて心配です。")</f>
        <v>妊娠していないのに39日以上生理が来ません/生理周期が長くて心配です。</v>
      </c>
      <c r="B849" s="31" t="str">
        <f>IFERROR(__xludf.DUMMYFUNCTION("""COMPUTED_VALUE"""),"稀発（きはつ）月経とは、前の生理から39日以上たっても生理が始まらない状態をいいます。
症状は、突然起こったり、徐々に起こることがあり、間に正常な周期を挟むなど、さまざまです。
主な原因はホルモンバランスが崩れることですが、
病気（多嚢胞性卵巣症候群や下垂体腺腫、先天性副腎過形成症など）と関連していることもあります。
稀発月経では、生理周期の状況を把握することが大切です。
39日以上の生理周期であったとしても、規則正しく月経が訪れている場合は、問題ないこともあります。
個別の症状やお体のご状況については"&amp;"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amp;"りませんのであらかじめご了承くださいませ。")</f>
        <v>稀発（きはつ）月経とは、前の生理から39日以上たっても生理が始まらない状態をいいます。
症状は、突然起こったり、徐々に起こることがあり、間に正常な周期を挟むなど、さまざまです。
主な原因はホルモンバランスが崩れることですが、
病気（多嚢胞性卵巣症候群や下垂体腺腫、先天性副腎過形成症など）と関連していることもあります。
稀発月経では、生理周期の状況を把握することが大切です。
39日以上の生理周期であったとしても、規則正しく月経が訪れている場合は、問題ないこともあります。
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849" s="31" t="str">
        <f>IFERROR(__xludf.DUMMYFUNCTION("""COMPUTED_VALUE"""),"生理不順")</f>
        <v>生理不順</v>
      </c>
      <c r="D849" s="31" t="str">
        <f>IFERROR(__xludf.DUMMYFUNCTION("""COMPUTED_VALUE"""),"稀発月経,周期")</f>
        <v>稀発月経,周期</v>
      </c>
      <c r="E849" s="31"/>
    </row>
    <row r="850">
      <c r="A850" s="31" t="str">
        <f>IFERROR(__xludf.DUMMYFUNCTION("""COMPUTED_VALUE"""),"前回の生理から24日以内にまた生理が来ました/生理周期が短くて心配です。")</f>
        <v>前回の生理から24日以内にまた生理が来ました/生理周期が短くて心配です。</v>
      </c>
      <c r="B850" s="31" t="str">
        <f>IFERROR(__xludf.DUMMYFUNCTION("""COMPUTED_VALUE"""),"頻発（ひんぱつ）月経とは、前の生理から24日以内に生理が始まる、生理周期が短い状態のことです。
生理周期が短いということで、頻発月経（月経周期が23日以下ということは排卵がない）
または無排卵か、あっても質の良い排卵ではない（黄体機能不全）の可能性があります。
不正出血との鑑別が難しいことがあるため、原則として基礎体温を参考にして診断します。
治療方法については、年齢や貧血の有無、妊娠希望があるかどうかなど、
その方の状況によって異なります。
個別の症状やお体のご状況については診察にてご確認いただくことを"&amp;"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amp;"くださいませ。")</f>
        <v>頻発（ひんぱつ）月経とは、前の生理から24日以内に生理が始まる、生理周期が短い状態のことです。
生理周期が短いということで、頻発月経（月経周期が23日以下ということは排卵がない）
または無排卵か、あっても質の良い排卵ではない（黄体機能不全）の可能性があります。
不正出血との鑑別が難しいことがあるため、原則として基礎体温を参考にして診断します。
治療方法については、年齢や貧血の有無、妊娠希望があるかどうかなど、
その方の状況によって異なります。
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850" s="31" t="str">
        <f>IFERROR(__xludf.DUMMYFUNCTION("""COMPUTED_VALUE"""),"生理不順")</f>
        <v>生理不順</v>
      </c>
      <c r="D850" s="31" t="str">
        <f>IFERROR(__xludf.DUMMYFUNCTION("""COMPUTED_VALUE"""),"頻発月経,周期")</f>
        <v>頻発月経,周期</v>
      </c>
      <c r="E850" s="31"/>
    </row>
    <row r="851">
      <c r="A851" s="31" t="str">
        <f>IFERROR(__xludf.DUMMYFUNCTION("""COMPUTED_VALUE"""),"生理が8日以上続いています。受診した方が良いですか？/生理が長く続いていて、心配")</f>
        <v>生理が8日以上続いています。受診した方が良いですか？/生理が長く続いていて、心配</v>
      </c>
      <c r="B851" s="31" t="str">
        <f>IFERROR(__xludf.DUMMYFUNCTION("""COMPUTED_VALUE"""),"過長月経とは、月経期間が8日以上続く状態です。
ホルモンバランスの乱れや子宮の病気が原因と考えられます。
女性ホルモンの分泌に関係する器官（視床下部、脳下垂体、卵巣など）に何らかの
トラブルがあって無排卵周期になっていたり、または黄体ホルモンの
分泌が不十分なために黄体機能不全になっていたりする可能性があります。
個別の症状やお体のご状況については診察にてご確認いただくことをおすすめいたします。当院でのご受診をご希望の場合は、ご予約をお取りの上、クリニックにご受診ください。受診のご予約はLINEで受け付け"&amp;"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f>
        <v>過長月経とは、月経期間が8日以上続く状態です。
ホルモンバランスの乱れや子宮の病気が原因と考えられます。
女性ホルモンの分泌に関係する器官（視床下部、脳下垂体、卵巣など）に何らかの
トラブルがあって無排卵周期になっていたり、または黄体ホルモンの
分泌が不十分なために黄体機能不全になっていたりする可能性があります。
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851" s="31" t="str">
        <f>IFERROR(__xludf.DUMMYFUNCTION("""COMPUTED_VALUE"""),"生理不順")</f>
        <v>生理不順</v>
      </c>
      <c r="D851" s="31" t="str">
        <f>IFERROR(__xludf.DUMMYFUNCTION("""COMPUTED_VALUE"""),"過長月経,出血")</f>
        <v>過長月経,出血</v>
      </c>
      <c r="E851" s="31"/>
    </row>
    <row r="852">
      <c r="A852" s="31" t="str">
        <f>IFERROR(__xludf.DUMMYFUNCTION("""COMPUTED_VALUE"""),"生理が2日で終わってしまい心配です。/生理がすく終わる")</f>
        <v>生理が2日で終わってしまい心配です。/生理がすく終わる</v>
      </c>
      <c r="B852" s="31" t="str">
        <f>IFERROR(__xludf.DUMMYFUNCTION("""COMPUTED_VALUE"""),"過短月経は、2日以内に生理が終わってしまう状態です。
初潮を迎えたばかりの方や、更年期にはよくある症状なので心配ないケースが多いです。
しかし、いきなり生理の期間が短くなったり、成人を過ぎたのに生理期間が短い場合は、医師に相談しましょう。
原因は大きく分けて2つあります。
1つ目は機能性疾患で、ホルモンバランスが乱れるケースです。ストレスや無理なダイエット、過度な運動などでホルモンバランスが崩れる場合があります。
2つ目は器質性疾患です。器質性疾患とは、細胞や組織が何らかの原因で変化を受けた結果、症状"&amp;"として現れることをいいます。
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amp;"0kg以上の方への診療、救急対応（緊急搬送・急性期対応）は行っておりませんのであらかじめご了承くださいませ。")</f>
        <v>過短月経は、2日以内に生理が終わってしまう状態です。
初潮を迎えたばかりの方や、更年期にはよくある症状なので心配ないケースが多いです。
しかし、いきなり生理の期間が短くなったり、成人を過ぎたのに生理期間が短い場合は、医師に相談しましょう。
原因は大きく分けて2つあります。
1つ目は機能性疾患で、ホルモンバランスが乱れるケースです。ストレスや無理なダイエット、過度な運動などでホルモンバランスが崩れる場合があります。
2つ目は器質性疾患です。器質性疾患とは、細胞や組織が何らかの原因で変化を受けた結果、症状として現れることをいいます。
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852" s="31" t="str">
        <f>IFERROR(__xludf.DUMMYFUNCTION("""COMPUTED_VALUE"""),"生理不順")</f>
        <v>生理不順</v>
      </c>
      <c r="D852" s="31" t="str">
        <f>IFERROR(__xludf.DUMMYFUNCTION("""COMPUTED_VALUE"""),"過短月経,生理期間")</f>
        <v>過短月経,生理期間</v>
      </c>
      <c r="E852" s="31"/>
    </row>
    <row r="853">
      <c r="A853" s="31" t="str">
        <f>IFERROR(__xludf.DUMMYFUNCTION("""COMPUTED_VALUE"""),"生理の量が多い/血の塊が出ます。")</f>
        <v>生理の量が多い/血の塊が出ます。</v>
      </c>
      <c r="B853" s="31" t="str">
        <f>IFERROR(__xludf.DUMMYFUNCTION("""COMPUTED_VALUE"""),"出血量の目安として150ml以上の場合を指します。
昼でも夜用ナプキンを利用していたり、レバーのような血の塊が混ざったりすると過多月経の可能性があります。
原因は大きく分けて3つあります：
1つ目は、婦人科器質性疾患です。子宮筋腫・子宮腺筋症・子宮内膜ポリープ・子宮内膜増殖症などが代表的ですが、
子宮体がんや子宮頸がんのケースもあります。
2つ目は婦人科機能性疾患です。黄体機能不全・無排卵性周期症などから、過多月経になることもあります。
3つ目は内科的疾患です。血液の止血凝固機能の異常が原因で、過多"&amp;"月経を引き起こすこともあります。
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amp;"100kg以上の方への診療、救急対応（緊急搬送・急性期対応）は行っておりませんのであらかじめご了承くださいませ。")</f>
        <v>出血量の目安として150ml以上の場合を指します。
昼でも夜用ナプキンを利用していたり、レバーのような血の塊が混ざったりすると過多月経の可能性があります。
原因は大きく分けて3つあります：
1つ目は、婦人科器質性疾患です。子宮筋腫・子宮腺筋症・子宮内膜ポリープ・子宮内膜増殖症などが代表的ですが、
子宮体がんや子宮頸がんのケースもあります。
2つ目は婦人科機能性疾患です。黄体機能不全・無排卵性周期症などから、過多月経になることもあります。
3つ目は内科的疾患です。血液の止血凝固機能の異常が原因で、過多月経を引き起こすこともあります。
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853" s="31" t="str">
        <f>IFERROR(__xludf.DUMMYFUNCTION("""COMPUTED_VALUE"""),"生理不順")</f>
        <v>生理不順</v>
      </c>
      <c r="D853" s="31" t="str">
        <f>IFERROR(__xludf.DUMMYFUNCTION("""COMPUTED_VALUE"""),"過多月経,血の塊")</f>
        <v>過多月経,血の塊</v>
      </c>
      <c r="E853" s="31"/>
    </row>
    <row r="854">
      <c r="A854" s="31" t="str">
        <f>IFERROR(__xludf.DUMMYFUNCTION("""COMPUTED_VALUE"""),"生理の量がとても少なく心配です。/生理の血の量が少ない")</f>
        <v>生理の量がとても少なく心配です。/生理の血の量が少ない</v>
      </c>
      <c r="B854" s="31" t="str">
        <f>IFERROR(__xludf.DUMMYFUNCTION("""COMPUTED_VALUE"""),"過少月経とは、生理の出血量が20ml以下の場合をいいます。
生理開始2日目以内なのに、ナプキンに血がうっすらとしか付かなかったり、
おりものシートで間に合うようであれば、過少月経の可能性があります。
生理開始から3日目以降は出血量が減るのは、特に問題ありません。
生理の量が少ない原因は、大きく分けて2つです：
1つ目は、ホルモンバランスの乱れなどの内分泌系疾患です。高プロラクチン血症・黄体機能不全・無排卵周期症・甲状腺機能異常などが
原因で、これらの病気に合わせた治療が行われます。
2つ目は、器質性疾"&amp;"患です。子宮形態異常や子宮内腔癒着、子宮発育不全など、子宮の形状になんらかの異常が
あることが原因になるケースもあります。
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amp;"が、当院では乳房に関する診療（乳がん検診・乳腺外来など）、更年期障害の治療、不妊治療、体重100kg以上の方への診療、救急対応（緊急搬送・急性期対応）は行っておりませんのであらかじめご了承くださいませ。")</f>
        <v>過少月経とは、生理の出血量が20ml以下の場合をいいます。
生理開始2日目以内なのに、ナプキンに血がうっすらとしか付かなかったり、
おりものシートで間に合うようであれば、過少月経の可能性があります。
生理開始から3日目以降は出血量が減るのは、特に問題ありません。
生理の量が少ない原因は、大きく分けて2つです：
1つ目は、ホルモンバランスの乱れなどの内分泌系疾患です。高プロラクチン血症・黄体機能不全・無排卵周期症・甲状腺機能異常などが
原因で、これらの病気に合わせた治療が行われます。
2つ目は、器質性疾患です。子宮形態異常や子宮内腔癒着、子宮発育不全など、子宮の形状になんらかの異常が
あることが原因になるケースもあります。
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854" s="31" t="str">
        <f>IFERROR(__xludf.DUMMYFUNCTION("""COMPUTED_VALUE"""),"生理不順")</f>
        <v>生理不順</v>
      </c>
      <c r="D854" s="31" t="str">
        <f>IFERROR(__xludf.DUMMYFUNCTION("""COMPUTED_VALUE"""),"過少月経,出血量")</f>
        <v>過少月経,出血量</v>
      </c>
      <c r="E854" s="31"/>
    </row>
    <row r="855">
      <c r="A855" s="31" t="str">
        <f>IFERROR(__xludf.DUMMYFUNCTION("""COMPUTED_VALUE"""),"3か月以上生理が来ていません。")</f>
        <v>3か月以上生理が来ていません。</v>
      </c>
      <c r="B855" s="31" t="str">
        <f>IFERROR(__xludf.DUMMYFUNCTION("""COMPUTED_VALUE"""),"無月経とは、生理（月経）が3か月以上来ない状態です。
初潮を迎える前・妊娠中・授乳中・閉経後の無月経は正常ですが、それ以外は注意が必要です。
無月経の場合は、排卵されていないことが多く、妊娠ができません。
主な原因は、視床下部の機能不全・多嚢胞性卵巣症候群・甲状腺の機能不全・
高プロラクチン血症・早期閉経・薬剤の副作用などです。
まれに遺伝子性の疾患や先天異常がありますが、これは18歳以上になっても
生理がきたことがない方の原因です。
原因に合わせてホルモン療法などを行いますのでお早めに婦人科のご受診を"&amp;"おすすめいたします。
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amp;"上の方への診療、救急対応（緊急搬送・急性期対応）は行っておりませんのであらかじめご了承くださいませ。")</f>
        <v>無月経とは、生理（月経）が3か月以上来ない状態です。
初潮を迎える前・妊娠中・授乳中・閉経後の無月経は正常ですが、それ以外は注意が必要です。
無月経の場合は、排卵されていないことが多く、妊娠ができません。
主な原因は、視床下部の機能不全・多嚢胞性卵巣症候群・甲状腺の機能不全・
高プロラクチン血症・早期閉経・薬剤の副作用などです。
まれに遺伝子性の疾患や先天異常がありますが、これは18歳以上になっても
生理がきたことがない方の原因です。
原因に合わせてホルモン療法などを行いますのでお早めに婦人科のご受診をおすすめいたします。
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855" s="31" t="str">
        <f>IFERROR(__xludf.DUMMYFUNCTION("""COMPUTED_VALUE"""),"生理不順")</f>
        <v>生理不順</v>
      </c>
      <c r="D855" s="31" t="str">
        <f>IFERROR(__xludf.DUMMYFUNCTION("""COMPUTED_VALUE"""),"無月経")</f>
        <v>無月経</v>
      </c>
      <c r="E855" s="31"/>
    </row>
    <row r="856">
      <c r="A856" s="31" t="str">
        <f>IFERROR(__xludf.DUMMYFUNCTION("""COMPUTED_VALUE"""),"他院で処方された薬について質問しても良いですか？")</f>
        <v>他院で処方された薬について質問しても良いですか？</v>
      </c>
      <c r="B856" s="31" t="str">
        <f>IFERROR(__xludf.DUMMYFUNCTION("""COMPUTED_VALUE"""),"大変申し訳ございません。
当院で処方していないお薬についてはお答えが出来かねます。
かかりつけ医にご相談ください。")</f>
        <v>大変申し訳ございません。
当院で処方していないお薬についてはお答えが出来かねます。
かかりつけ医にご相談ください。</v>
      </c>
      <c r="C856" s="31" t="str">
        <f>IFERROR(__xludf.DUMMYFUNCTION("""COMPUTED_VALUE"""),"その他")</f>
        <v>その他</v>
      </c>
      <c r="D856" s="31" t="str">
        <f>IFERROR(__xludf.DUMMYFUNCTION("""COMPUTED_VALUE"""),"他院処方")</f>
        <v>他院処方</v>
      </c>
      <c r="E856" s="31"/>
    </row>
    <row r="857">
      <c r="A857" s="31" t="str">
        <f>IFERROR(__xludf.DUMMYFUNCTION("""COMPUTED_VALUE"""),"オンライン診療では薬の副作用について説明はありますか？")</f>
        <v>オンライン診療では薬の副作用について説明はありますか？</v>
      </c>
      <c r="B857" s="31" t="str">
        <f>IFERROR(__xludf.DUMMYFUNCTION("""COMPUTED_VALUE"""),"お薬の郵送時に、副作用についての説明用紙を同封しております。事前に不安な点がある場合は、お気軽にお問い合わせください。")</f>
        <v>お薬の郵送時に、副作用についての説明用紙を同封しております。事前に不安な点がある場合は、お気軽にお問い合わせください。</v>
      </c>
      <c r="C857" s="31" t="str">
        <f>IFERROR(__xludf.DUMMYFUNCTION("""COMPUTED_VALUE"""),"服薬")</f>
        <v>服薬</v>
      </c>
      <c r="D857" s="31" t="str">
        <f>IFERROR(__xludf.DUMMYFUNCTION("""COMPUTED_VALUE"""),"副作用")</f>
        <v>副作用</v>
      </c>
      <c r="E857" s="31"/>
    </row>
    <row r="858">
      <c r="A858" s="31" t="str">
        <f>IFERROR(__xludf.DUMMYFUNCTION("""COMPUTED_VALUE"""),"生理不順の原因は何ですか？")</f>
        <v>生理不順の原因は何ですか？</v>
      </c>
      <c r="B858" s="31" t="str">
        <f>IFERROR(__xludf.DUMMYFUNCTION("""COMPUTED_VALUE"""),"生理不順の最も多い原因は、ホルモンバランスの乱れです。
ホルモンバランスが乱れる原因は、生活習慣によるものもありますが、病気が隠れている場合もあります。
主な原因はストレス・疲労・生活習慣の乱れ、急激なダイエット（体重減少）・激しい運動、更年期、多嚢胞性卵巣症候群（PCOS）、
高プロラクチン血症、甲状腺機能障害、黄体機能不全、機能性子宮出血が考えられます。
個別の症状やお体のご状況については診察にてご確認いただくことをおすすめいたします。当院でのご受診をご希望の場合は、ご予約をお取りの上、クリニックに"&amp;"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f>
        <v>生理不順の最も多い原因は、ホルモンバランスの乱れです。
ホルモンバランスが乱れる原因は、生活習慣によるものもありますが、病気が隠れている場合もあります。
主な原因はストレス・疲労・生活習慣の乱れ、急激なダイエット（体重減少）・激しい運動、更年期、多嚢胞性卵巣症候群（PCOS）、
高プロラクチン血症、甲状腺機能障害、黄体機能不全、機能性子宮出血が考えられます。
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858" s="31" t="str">
        <f>IFERROR(__xludf.DUMMYFUNCTION("""COMPUTED_VALUE"""),"生理不順")</f>
        <v>生理不順</v>
      </c>
      <c r="D858" s="31" t="str">
        <f>IFERROR(__xludf.DUMMYFUNCTION("""COMPUTED_VALUE"""),"原因")</f>
        <v>原因</v>
      </c>
      <c r="E858" s="31"/>
    </row>
    <row r="859">
      <c r="A859" s="31" t="str">
        <f>IFERROR(__xludf.DUMMYFUNCTION("""COMPUTED_VALUE"""),"妊娠検査薬はいつ使えばよいですか？/クリニックで妊娠検査はできますか？")</f>
        <v>妊娠検査薬はいつ使えばよいですか？/クリニックで妊娠検査はできますか？</v>
      </c>
      <c r="B859" s="31" t="str">
        <f>IFERROR(__xludf.DUMMYFUNCTION("""COMPUTED_VALUE"""),"妊娠検査薬の使用は性行為から3週間後に検査薬にて検査いただき、この時点では妊娠していても
陰性の可能性がございますので、月経予定日になっても
月経が来なければ再検査をお願いいたします。
当院では2000円でその場でわかる妊娠検査のご利用が可能です。")</f>
        <v>妊娠検査薬の使用は性行為から3週間後に検査薬にて検査いただき、この時点では妊娠していても
陰性の可能性がございますので、月経予定日になっても
月経が来なければ再検査をお願いいたします。
当院では2000円でその場でわかる妊娠検査のご利用が可能です。</v>
      </c>
      <c r="C859" s="31" t="str">
        <f>IFERROR(__xludf.DUMMYFUNCTION("""COMPUTED_VALUE"""),"妊娠検査")</f>
        <v>妊娠検査</v>
      </c>
      <c r="D859" s="31" t="str">
        <f>IFERROR(__xludf.DUMMYFUNCTION("""COMPUTED_VALUE"""),"検査時期")</f>
        <v>検査時期</v>
      </c>
      <c r="E859" s="31"/>
    </row>
    <row r="860">
      <c r="A860" s="31" t="str">
        <f>IFERROR(__xludf.DUMMYFUNCTION("""COMPUTED_VALUE"""),"服用している薬の影響で妊娠検査薬が陽性になることはありますか？")</f>
        <v>服用している薬の影響で妊娠検査薬が陽性になることはありますか？</v>
      </c>
      <c r="B860" s="31" t="str">
        <f>IFERROR(__xludf.DUMMYFUNCTION("""COMPUTED_VALUE"""),"妊娠検査薬は基本的に服用しているお薬に影響はないと言われております。
陽性の反応が確認取れましたら、すぐに婦人科のご受診をお願い致します。")</f>
        <v>妊娠検査薬は基本的に服用しているお薬に影響はないと言われております。
陽性の反応が確認取れましたら、すぐに婦人科のご受診をお願い致します。</v>
      </c>
      <c r="C860" s="31" t="str">
        <f>IFERROR(__xludf.DUMMYFUNCTION("""COMPUTED_VALUE"""),"妊娠検査")</f>
        <v>妊娠検査</v>
      </c>
      <c r="D860" s="31" t="str">
        <f>IFERROR(__xludf.DUMMYFUNCTION("""COMPUTED_VALUE"""),"偽陽性")</f>
        <v>偽陽性</v>
      </c>
      <c r="E860" s="31"/>
    </row>
    <row r="861">
      <c r="A861" s="31" t="str">
        <f>IFERROR(__xludf.DUMMYFUNCTION("""COMPUTED_VALUE"""),"妊娠していないのに妊娠検査薬が陽性になる原因は何ですか？/妊娠していないのに妊娠検査薬が陽性")</f>
        <v>妊娠していないのに妊娠検査薬が陽性になる原因は何ですか？/妊娠していないのに妊娠検査薬が陽性</v>
      </c>
      <c r="B861" s="31" t="str">
        <f>IFERROR(__xludf.DUMMYFUNCTION("""COMPUTED_VALUE"""),"妊娠検査薬で陽性が出ても妊娠していなかった場合、考えられるのは、化学流産や、尿の異常値、腫瘍などがあります。
妊娠を希望されている場合は、一度、不妊治療専門のクリニックでご相談いただくことをおすすめいたします。")</f>
        <v>妊娠検査薬で陽性が出ても妊娠していなかった場合、考えられるのは、化学流産や、尿の異常値、腫瘍などがあります。
妊娠を希望されている場合は、一度、不妊治療専門のクリニックでご相談いただくことをおすすめいたします。</v>
      </c>
      <c r="C861" s="31" t="str">
        <f>IFERROR(__xludf.DUMMYFUNCTION("""COMPUTED_VALUE"""),"妊娠検査")</f>
        <v>妊娠検査</v>
      </c>
      <c r="D861" s="31" t="str">
        <f>IFERROR(__xludf.DUMMYFUNCTION("""COMPUTED_VALUE"""),"陽性反応")</f>
        <v>陽性反応</v>
      </c>
      <c r="E861" s="31"/>
    </row>
    <row r="862">
      <c r="A862" s="31" t="str">
        <f>IFERROR(__xludf.DUMMYFUNCTION("""COMPUTED_VALUE"""),"生理不順で婦人科を受診する目安はいつですか？")</f>
        <v>生理不順で婦人科を受診する目安はいつですか？</v>
      </c>
      <c r="B862" s="31" t="str">
        <f>IFERROR(__xludf.DUMMYFUNCTION("""COMPUTED_VALUE"""),"以下が期間ごとの目安となります。
■生理が1週間遅れている
妊娠の可能性が考えられる場合は、市販の妊娠検査薬を使用するとよいでしょう。
妊娠検査薬で陽性の場合は、妊娠している可能性があります。妊娠を望んでいるか、望んでいないかにかかわらず早めに受診しましょう。
妊娠の可能性がない、または妊娠検査薬で陰性だった場合は、生理不順にあたります。続くようでしたら受診しましょう。
※妊娠検査薬は、性行為から3週間後に検査薬にて検査いただき、この時点では妊娠していても陰性の可能性がございますので、月経予定日になっ"&amp;"ても
月経が来なければ再検査をお願いいたします。
■3カ月以上生理が来ない
3カ月以上生理が来ていないときは、正常に排卵が行われていない可能性があります。半年以上生理が来ていない場合は、
ホルモンの分泌に異常があることもございます。
■20歳以上で生理がいつも不規則
生理周期が安定せず、いつも生理不順の場合は受診しましょう。10代や40代半ば～後半は、問題ないことが多いのですが、
それ以外の方は原因を把握するためにも受診してください。
個別の症状やお体のご状況については診察にてご確認いただくことをお"&amp;"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amp;"ださいませ。")</f>
        <v>以下が期間ごとの目安となります。
■生理が1週間遅れている
妊娠の可能性が考えられる場合は、市販の妊娠検査薬を使用するとよいでしょう。
妊娠検査薬で陽性の場合は、妊娠している可能性があります。妊娠を望んでいるか、望んでいないかにかかわらず早めに受診しましょう。
妊娠の可能性がない、または妊娠検査薬で陰性だった場合は、生理不順にあたります。続くようでしたら受診しましょう。
※妊娠検査薬は、性行為から3週間後に検査薬にて検査いただき、この時点では妊娠していても陰性の可能性がございますので、月経予定日になっても
月経が来なければ再検査をお願いいたします。
■3カ月以上生理が来ない
3カ月以上生理が来ていないときは、正常に排卵が行われていない可能性があります。半年以上生理が来ていない場合は、
ホルモンの分泌に異常があることもございます。
■20歳以上で生理がいつも不規則
生理周期が安定せず、いつも生理不順の場合は受診しましょう。10代や40代半ば～後半は、問題ないことが多いのですが、
それ以外の方は原因を把握するためにも受診してください。
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862" s="31" t="str">
        <f>IFERROR(__xludf.DUMMYFUNCTION("""COMPUTED_VALUE"""),"生理不順")</f>
        <v>生理不順</v>
      </c>
      <c r="D862" s="31" t="str">
        <f>IFERROR(__xludf.DUMMYFUNCTION("""COMPUTED_VALUE"""),"受診目安")</f>
        <v>受診目安</v>
      </c>
      <c r="E862" s="31"/>
    </row>
    <row r="863">
      <c r="A863" s="31" t="str">
        <f>IFERROR(__xludf.DUMMYFUNCTION("""COMPUTED_VALUE"""),"多嚢胞性卵巣症候群（PCOS）の治療はできますか？")</f>
        <v>多嚢胞性卵巣症候群（PCOS）の治療はできますか？</v>
      </c>
      <c r="B863" s="31" t="str">
        <f>IFERROR(__xludf.DUMMYFUNCTION("""COMPUTED_VALUE"""),"多嚢胞性卵巣症候群は体質です。この体質そのものを変えることは難しいので、治療の目的は、将来の子宮体癌を
予防することと、ニキビや多毛があればそれを改善することになります。
ピルを内服することにより、生理不順の改善、ニキビの改善、子宮体癌予防、避妊が可能になります。
もし妊娠を希望されるのであれば、ピルをやめて排卵誘発剤の治療となります。
どちらにせよ、根本的な完治はいまのところ治療法として確立されていません。
また、肥満の場合は減量も改善するため大きな要素となります。")</f>
        <v>多嚢胞性卵巣症候群は体質です。この体質そのものを変えることは難しいので、治療の目的は、将来の子宮体癌を
予防することと、ニキビや多毛があればそれを改善することになります。
ピルを内服することにより、生理不順の改善、ニキビの改善、子宮体癌予防、避妊が可能になります。
もし妊娠を希望されるのであれば、ピルをやめて排卵誘発剤の治療となります。
どちらにせよ、根本的な完治はいまのところ治療法として確立されていません。
また、肥満の場合は減量も改善するため大きな要素となります。</v>
      </c>
      <c r="C863" s="31" t="str">
        <f>IFERROR(__xludf.DUMMYFUNCTION("""COMPUTED_VALUE"""),"生理不順")</f>
        <v>生理不順</v>
      </c>
      <c r="D863" s="31" t="str">
        <f>IFERROR(__xludf.DUMMYFUNCTION("""COMPUTED_VALUE"""),"PCOS")</f>
        <v>PCOS</v>
      </c>
      <c r="E863" s="31"/>
    </row>
    <row r="864">
      <c r="A864" s="31" t="str">
        <f>IFERROR(__xludf.DUMMYFUNCTION("""COMPUTED_VALUE"""),"生理をなくすことはできますか？")</f>
        <v>生理をなくすことはできますか？</v>
      </c>
      <c r="B864" s="31" t="str">
        <f>IFERROR(__xludf.DUMMYFUNCTION("""COMPUTED_VALUE"""),"完全に生理をなくすことはできかねますが、フレックス法という方法でピルを服用することで
月経の回数を減らすことが可能でございます。
オンラインでのご案内ができないため、当院での診察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amp;"外来など）、更年期障害の治療、不妊治療、体重100kg以上の方への診療、救急対応（緊急搬送・急性期対応）は行っておりませんのであらかじめご了承くださいませ。")</f>
        <v>完全に生理をなくすことはできかねますが、フレックス法という方法でピルを服用することで
月経の回数を減らすことが可能でございます。
オンラインでのご案内ができないため、当院での診察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864" s="31" t="str">
        <f>IFERROR(__xludf.DUMMYFUNCTION("""COMPUTED_VALUE"""),"月経調整")</f>
        <v>月経調整</v>
      </c>
      <c r="D864" s="31" t="str">
        <f>IFERROR(__xludf.DUMMYFUNCTION("""COMPUTED_VALUE"""),"生理を止めたい")</f>
        <v>生理を止めたい</v>
      </c>
      <c r="E864" s="31"/>
    </row>
    <row r="865">
      <c r="A865" s="31" t="str">
        <f>IFERROR(__xludf.DUMMYFUNCTION("""COMPUTED_VALUE"""),"産後はいつから生理が再開しますか？")</f>
        <v>産後はいつから生理が再開しますか？</v>
      </c>
      <c r="B865" s="31" t="str">
        <f>IFERROR(__xludf.DUMMYFUNCTION("""COMPUTED_VALUE"""),"一般的に、はじめから授乳をしていない場合、産後4～8週間後に生理が始まりますが、完全または混合母乳の場合はさらに遅れて再開します。
授乳の頻度が高く、授乳期間が長いほど生理の再開は遅れます。
卒乳後は約6週間で生理が再開することが多いようですが、授乳を続けている場合には
半年以上再開しないことも少なくありません。")</f>
        <v>一般的に、はじめから授乳をしていない場合、産後4～8週間後に生理が始まりますが、完全または混合母乳の場合はさらに遅れて再開します。
授乳の頻度が高く、授乳期間が長いほど生理の再開は遅れます。
卒乳後は約6週間で生理が再開することが多いようですが、授乳を続けている場合には
半年以上再開しないことも少なくありません。</v>
      </c>
      <c r="C865" s="31" t="str">
        <f>IFERROR(__xludf.DUMMYFUNCTION("""COMPUTED_VALUE"""),"産後")</f>
        <v>産後</v>
      </c>
      <c r="D865" s="31" t="str">
        <f>IFERROR(__xludf.DUMMYFUNCTION("""COMPUTED_VALUE"""),"生理再開")</f>
        <v>生理再開</v>
      </c>
      <c r="E865" s="31"/>
    </row>
    <row r="866">
      <c r="A866" s="31" t="str">
        <f>IFERROR(__xludf.DUMMYFUNCTION("""COMPUTED_VALUE"""),"生理痛やPMSがつらいです。")</f>
        <v>生理痛やPMSがつらいです。</v>
      </c>
      <c r="B866" s="31" t="str">
        <f>IFERROR(__xludf.DUMMYFUNCTION("""COMPUTED_VALUE"""),"生理痛や生理前の不快な症状（PMS）は「低用量ピル」で緩和されることが多くございます。
当院ではオンライン診療で相談ができますので、ぜひご検討ください。こちらのオンライン診療のLINE（https://liff-gateway.lineml.jp/landing?follow=%40590gpxrd&amp;lp=fX73yx&amp;liff_id=1657094566-LmjNPPbV）からオンライン診療のご予約が可能です。ご予約をされる場合は、オンライン診療の「低用量ピル」問診票へのご回答をお願いします。")</f>
        <v>生理痛や生理前の不快な症状（PMS）は「低用量ピル」で緩和されることが多くございます。
当院ではオンライン診療で相談ができますので、ぜひご検討ください。こちらのオンライン診療のLINE（https://liff-gateway.lineml.jp/landing?follow=%40590gpxrd&amp;lp=fX73yx&amp;liff_id=1657094566-LmjNPPbV）からオンライン診療のご予約が可能です。ご予約をされる場合は、オンライン診療の「低用量ピル」問診票へのご回答をお願いします。</v>
      </c>
      <c r="C866" s="31" t="str">
        <f>IFERROR(__xludf.DUMMYFUNCTION("""COMPUTED_VALUE"""),"生理症状")</f>
        <v>生理症状</v>
      </c>
      <c r="D866" s="31" t="str">
        <f>IFERROR(__xludf.DUMMYFUNCTION("""COMPUTED_VALUE"""),"生理痛,PMS")</f>
        <v>生理痛,PMS</v>
      </c>
      <c r="E866" s="31"/>
    </row>
    <row r="867">
      <c r="A867" s="31" t="str">
        <f>IFERROR(__xludf.DUMMYFUNCTION("""COMPUTED_VALUE"""),"生理不順はどうしたらよいですか？")</f>
        <v>生理不順はどうしたらよいですか？</v>
      </c>
      <c r="B867" s="31" t="str">
        <f>IFERROR(__xludf.DUMMYFUNCTION("""COMPUTED_VALUE"""),"妊娠反応が陰性で、妊活の予定がない場合は、低用量ピルの服用を検討されるとよい場合があります。低用量ピルは生理不順の改善や生理予定日の管理がしやすくなることが多いです。服用可否は医師の判断となるため、オンライン診療をご検討くださいませ。オンライン診療はLINEからご利用いただけます。こちらのオンライン診療のLINE（https://liff-gateway.lineml.jp/landing?follow=%40590gpxrd&amp;lp=fX73yx&amp;liff_id=1657094566-LmjNPPbV）か"&amp;"ら、オンライン診療の「低用量ピル」問診票へのご回答をお願いします。")</f>
        <v>妊娠反応が陰性で、妊活の予定がない場合は、低用量ピルの服用を検討されるとよい場合があります。低用量ピルは生理不順の改善や生理予定日の管理がしやすくなることが多いです。服用可否は医師の判断となるため、オンライン診療をご検討くださいませ。オンライン診療はLINEからご利用いただけます。こちらのオンライン診療のLINE（https://liff-gateway.lineml.jp/landing?follow=%40590gpxrd&amp;lp=fX73yx&amp;liff_id=1657094566-LmjNPPbV）から、オンライン診療の「低用量ピル」問診票へのご回答をお願いします。</v>
      </c>
      <c r="C867" s="31" t="str">
        <f>IFERROR(__xludf.DUMMYFUNCTION("""COMPUTED_VALUE"""),"生理不順")</f>
        <v>生理不順</v>
      </c>
      <c r="D867" s="31" t="str">
        <f>IFERROR(__xludf.DUMMYFUNCTION("""COMPUTED_VALUE"""),"生理不順,低用量ピル")</f>
        <v>生理不順,低用量ピル</v>
      </c>
      <c r="E867" s="31"/>
    </row>
    <row r="868">
      <c r="A868" s="31" t="str">
        <f>IFERROR(__xludf.DUMMYFUNCTION("""COMPUTED_VALUE"""),"不正出血が起きた場合はどうしたらよいですか？")</f>
        <v>不正出血が起きた場合はどうしたらよいですか？</v>
      </c>
      <c r="B868" s="31" t="str">
        <f>IFERROR(__xludf.DUMMYFUNCTION("""COMPUTED_VALUE"""),"不正出血の原因は、ホルモンバランスの乱れ、妊娠の可能性、子宮や卵巣の病気、性感染症、外傷や炎症などさまざまです。下腹部の痛みや出血がある場合、症状の内容によって受診可否やご案内が異なります。個別の確認が必要となるため、恐れ入りますがお電話にてご相談ください。お電話は 050-1730-2768 となります。")</f>
        <v>不正出血の原因は、ホルモンバランスの乱れ、妊娠の可能性、子宮や卵巣の病気、性感染症、外傷や炎症などさまざまです。下腹部の痛みや出血がある場合、症状の内容によって受診可否やご案内が異なります。個別の確認が必要となるため、恐れ入りますがお電話にてご相談ください。お電話は 050-1730-2768 となります。</v>
      </c>
      <c r="C868" s="31" t="str">
        <f>IFERROR(__xludf.DUMMYFUNCTION("""COMPUTED_VALUE"""),"不正出血")</f>
        <v>不正出血</v>
      </c>
      <c r="D868" s="31" t="str">
        <f>IFERROR(__xludf.DUMMYFUNCTION("""COMPUTED_VALUE"""),"不正出血,原因")</f>
        <v>不正出血,原因</v>
      </c>
      <c r="E868" s="31"/>
    </row>
    <row r="869">
      <c r="A869" s="31" t="str">
        <f>IFERROR(__xludf.DUMMYFUNCTION("""COMPUTED_VALUE"""),"妊活や不妊治療を希望しています。")</f>
        <v>妊活や不妊治療を希望しています。</v>
      </c>
      <c r="B869" s="31" t="str">
        <f>IFERROR(__xludf.DUMMYFUNCTION("""COMPUTED_VALUE"""),"申し訳ございませんが、当院では妊活・不妊治療の診療は行っておりません。お近くの婦人科や不妊治療専門クリニックへご相談ください。")</f>
        <v>申し訳ございませんが、当院では妊活・不妊治療の診療は行っておりません。お近くの婦人科や不妊治療専門クリニックへご相談ください。</v>
      </c>
      <c r="C869" s="31" t="str">
        <f>IFERROR(__xludf.DUMMYFUNCTION("""COMPUTED_VALUE"""),"妊活・不妊")</f>
        <v>妊活・不妊</v>
      </c>
      <c r="D869" s="31" t="str">
        <f>IFERROR(__xludf.DUMMYFUNCTION("""COMPUTED_VALUE"""),"不妊治療")</f>
        <v>不妊治療</v>
      </c>
      <c r="E869" s="31"/>
    </row>
    <row r="870">
      <c r="A870" s="31" t="str">
        <f>IFERROR(__xludf.DUMMYFUNCTION("""COMPUTED_VALUE"""),"膀胱炎になった場合はどうしたらよいですか？/膀胱炎の診察はできますか？/膀胱炎は診てもらえますか？/膀胱炎で受診したい")</f>
        <v>膀胱炎になった場合はどうしたらよいですか？/膀胱炎の診察はできますか？/膀胱炎は診てもらえますか？/膀胱炎で受診したい</v>
      </c>
      <c r="B870" s="31" t="str">
        <f>IFERROR(__xludf.DUMMYFUNCTION("""COMPUTED_VALUE"""),"軽度の膀胱炎であれば、水分をよく取っていると洗い流されて改善します。
水分摂取をよく取って解消しない場合には、検査と治療をおすすめします。
原因は、肛門と尿道口の間に膣があり、腟内に善玉菌がいると、腟内が酸性に保たれ、尿道へ菌が上がってきます。
乳酸桿菌膣剤の定期使用で、膀胱炎の再発予防という方法もあります。
乳酸桿菌のご購入は以下のURLより可能です。ご検討下さい。
https://shop.luna-dr.com/products/lactobacillus 
オンラインにて膀胱炎の検査・治療はで"&amp;"きかねます。治療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ま"&amp;"た、繰り返す膀胱炎や血尿の症状がある場合は、泌尿器科への受診をお願いいたします。")</f>
        <v>軽度の膀胱炎であれば、水分をよく取っていると洗い流されて改善します。
水分摂取をよく取って解消しない場合には、検査と治療をおすすめします。
原因は、肛門と尿道口の間に膣があり、腟内に善玉菌がいると、腟内が酸性に保たれ、尿道へ菌が上がってきます。
乳酸桿菌膣剤の定期使用で、膀胱炎の再発予防という方法もあります。
乳酸桿菌のご購入は以下のURLより可能です。ご検討下さい。
https://shop.luna-dr.com/products/lactobacillus 
オンラインにて膀胱炎の検査・治療はできかねます。治療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また、繰り返す膀胱炎や血尿の症状がある場合は、泌尿器科への受診をお願いいたします。</v>
      </c>
      <c r="C870" s="31" t="str">
        <f>IFERROR(__xludf.DUMMYFUNCTION("""COMPUTED_VALUE"""),"膀胱炎")</f>
        <v>膀胱炎</v>
      </c>
      <c r="D870" s="31" t="str">
        <f>IFERROR(__xludf.DUMMYFUNCTION("""COMPUTED_VALUE"""),"膀胱炎,頻尿")</f>
        <v>膀胱炎,頻尿</v>
      </c>
      <c r="E870" s="31"/>
    </row>
    <row r="871">
      <c r="A871" s="31" t="str">
        <f>IFERROR(__xludf.DUMMYFUNCTION("""COMPUTED_VALUE"""),"オンラインで紹介状を発行してもらえますか？")</f>
        <v>オンラインで紹介状を発行してもらえますか？</v>
      </c>
      <c r="B871" s="31" t="str">
        <f>IFERROR(__xludf.DUMMYFUNCTION("""COMPUTED_VALUE"""),"オンラインでの紹介状発行は行っておりません。お手数ですが、ご予約の上、クリニックにご受診ください。")</f>
        <v>オンラインでの紹介状発行は行っておりません。お手数ですが、ご予約の上、クリニックにご受診ください。</v>
      </c>
      <c r="C871" s="31" t="str">
        <f>IFERROR(__xludf.DUMMYFUNCTION("""COMPUTED_VALUE"""),"その他")</f>
        <v>その他</v>
      </c>
      <c r="D871" s="31" t="str">
        <f>IFERROR(__xludf.DUMMYFUNCTION("""COMPUTED_VALUE"""),"紹介状")</f>
        <v>紹介状</v>
      </c>
      <c r="E871" s="31"/>
    </row>
    <row r="872">
      <c r="A872" s="31" t="str">
        <f>IFERROR(__xludf.DUMMYFUNCTION("""COMPUTED_VALUE"""),"中絶手術について教えてください。")</f>
        <v>中絶手術について教えてください。</v>
      </c>
      <c r="B872" s="31" t="str">
        <f>IFERROR(__xludf.DUMMYFUNCTION("""COMPUTED_VALUE"""),"中絶手術には大きく分けて初期中絶と中期中絶があります。初期中絶は大きく分けて吸引法とソウハ法（掻き出す方法）があり、どちらも日帰りで手術が可能です。中期中絶は人工的な陣痛を起こし、痛みや入院が必要になる手術方法に分けられます。
当院にて行っている吸引法は、ストロー状の医療器具を用いて子宮内から胎児や胎盤などを吸い出す手術方法です。
メリットは前処置が不要、麻酔が使える、痛みが少ない、出血が少ない、手術時間が短い（日帰りで可能）で、安全性が高いです。
デメリットとしては、電動の器具を使った場合に生じる感染症"&amp;"のリスクがあります。
当クリニックでは、感染症のリスクが極めて低い「手動真空吸引法」を用いています。
手動真空吸引法は、滅菌された使い切りの製品を使用するため、ご安心して手術が可能でございます。")</f>
        <v>中絶手術には大きく分けて初期中絶と中期中絶があります。初期中絶は大きく分けて吸引法とソウハ法（掻き出す方法）があり、どちらも日帰りで手術が可能です。中期中絶は人工的な陣痛を起こし、痛みや入院が必要になる手術方法に分けられます。
当院にて行っている吸引法は、ストロー状の医療器具を用いて子宮内から胎児や胎盤などを吸い出す手術方法です。
メリットは前処置が不要、麻酔が使える、痛みが少ない、出血が少ない、手術時間が短い（日帰りで可能）で、安全性が高いです。
デメリットとしては、電動の器具を使った場合に生じる感染症のリスクがあります。
当クリニックでは、感染症のリスクが極めて低い「手動真空吸引法」を用いています。
手動真空吸引法は、滅菌された使い切りの製品を使用するため、ご安心して手術が可能でございます。</v>
      </c>
      <c r="C872" s="31" t="str">
        <f>IFERROR(__xludf.DUMMYFUNCTION("""COMPUTED_VALUE"""),"中絶")</f>
        <v>中絶</v>
      </c>
      <c r="D872" s="31" t="str">
        <f>IFERROR(__xludf.DUMMYFUNCTION("""COMPUTED_VALUE"""),"中絶手術")</f>
        <v>中絶手術</v>
      </c>
      <c r="E872" s="31"/>
    </row>
    <row r="873">
      <c r="A873" s="31" t="str">
        <f>IFERROR(__xludf.DUMMYFUNCTION("""COMPUTED_VALUE"""),"妊娠の可能性があり、中絶を希望しています。")</f>
        <v>妊娠の可能性があり、中絶を希望しています。</v>
      </c>
      <c r="B873" s="31" t="str">
        <f>IFERROR(__xludf.DUMMYFUNCTION("""COMPUTED_VALUE"""),"妊娠の可能性があり、中絶を希望ということでしたら、市販薬で構いませんので妊娠検査をして確認をしてください。
薬局などで1000円程度で売っているかと思います。
性行為から二週間たっていれば検査可能です。
そこで陰性であればピルの服用を再開するなど今後の対応を考えていただければと思います。
もし陽性であった場合、婦人科でのエコー検査を受けていただき、エコー検査でおおよその週数を確認し継続か中絶か、医師とお話しいただく形になります。
中絶は段階があり
初期中絶（初期流産）：妊娠6〜12週目未満（11週と6"&amp;"日）
中期中絶（後期流産）：12〜22週目未満（21週と6日）
週数を確認し初期中絶が可能な場合の費用は、当院ではエコー検査・採血検査をし手術日ご予約の段階で16,500円、手術当日92,400円～でございます。
どこの病院でも自費になりますので、健康保険の適用はございません。
お体にとってのご負担がかかるものなので陽性を確認されましたらお早めにご受診ください。
中期中絶となりますと当院では対応不可でございますのでご注意ください。")</f>
        <v>妊娠の可能性があり、中絶を希望ということでしたら、市販薬で構いませんので妊娠検査をして確認をしてください。
薬局などで1000円程度で売っているかと思います。
性行為から二週間たっていれば検査可能です。
そこで陰性であればピルの服用を再開するなど今後の対応を考えていただければと思います。
もし陽性であった場合、婦人科でのエコー検査を受けていただき、エコー検査でおおよその週数を確認し継続か中絶か、医師とお話しいただく形になります。
中絶は段階があり
初期中絶（初期流産）：妊娠6〜12週目未満（11週と6日）
中期中絶（後期流産）：12〜22週目未満（21週と6日）
週数を確認し初期中絶が可能な場合の費用は、当院ではエコー検査・採血検査をし手術日ご予約の段階で16,500円、手術当日92,400円～でございます。
どこの病院でも自費になりますので、健康保険の適用はございません。
お体にとってのご負担がかかるものなので陽性を確認されましたらお早めにご受診ください。
中期中絶となりますと当院では対応不可でございますのでご注意ください。</v>
      </c>
      <c r="C873" s="31" t="str">
        <f>IFERROR(__xludf.DUMMYFUNCTION("""COMPUTED_VALUE"""),"中絶")</f>
        <v>中絶</v>
      </c>
      <c r="D873" s="31" t="str">
        <f>IFERROR(__xludf.DUMMYFUNCTION("""COMPUTED_VALUE"""),"妊娠,中絶")</f>
        <v>妊娠,中絶</v>
      </c>
      <c r="E873" s="31"/>
    </row>
    <row r="874">
      <c r="A874" s="31" t="str">
        <f>IFERROR(__xludf.DUMMYFUNCTION("""COMPUTED_VALUE"""),"中絶手術後の取り残しは起こりますか？")</f>
        <v>中絶手術後の取り残しは起こりますか？</v>
      </c>
      <c r="B874" s="31" t="str">
        <f>IFERROR(__xludf.DUMMYFUNCTION("""COMPUTED_VALUE"""),"中絶後の取り残しとは、胎盤などが子宮内に残る状態です。中絶取り残しがあった場合は量にもよりますが再手術又はエコーで見えないくらいの少量の残存であれば、生理を数回繰り返すことによって子宮内遺残はなくなり、hCGホルモンもしだいに消失していきます。")</f>
        <v>中絶後の取り残しとは、胎盤などが子宮内に残る状態です。中絶取り残しがあった場合は量にもよりますが再手術又はエコーで見えないくらいの少量の残存であれば、生理を数回繰り返すことによって子宮内遺残はなくなり、hCGホルモンもしだいに消失していきます。</v>
      </c>
      <c r="C874" s="31" t="str">
        <f>IFERROR(__xludf.DUMMYFUNCTION("""COMPUTED_VALUE"""),"中絶")</f>
        <v>中絶</v>
      </c>
      <c r="D874" s="31" t="str">
        <f>IFERROR(__xludf.DUMMYFUNCTION("""COMPUTED_VALUE"""),"取り残し")</f>
        <v>取り残し</v>
      </c>
      <c r="E874" s="31"/>
    </row>
    <row r="875">
      <c r="A875" s="31" t="str">
        <f>IFERROR(__xludf.DUMMYFUNCTION("""COMPUTED_VALUE"""),"中絶後に妊娠しにくくなりますか？")</f>
        <v>中絶後に妊娠しにくくなりますか？</v>
      </c>
      <c r="B875" s="31" t="str">
        <f>IFERROR(__xludf.DUMMYFUNCTION("""COMPUTED_VALUE"""),"中絶手術を受けることで、将来妊娠しにくいのではないかと心配される方は多いです。 
一方で、中絶手術を受けたとしても、手術が原因で妊娠確率が下がるといったことは、ほとんどありませんのでご安心ください。")</f>
        <v>中絶手術を受けることで、将来妊娠しにくいのではないかと心配される方は多いです。 
一方で、中絶手術を受けたとしても、手術が原因で妊娠確率が下がるといったことは、ほとんどありませんのでご安心ください。</v>
      </c>
      <c r="C875" s="31" t="str">
        <f>IFERROR(__xludf.DUMMYFUNCTION("""COMPUTED_VALUE"""),"中絶")</f>
        <v>中絶</v>
      </c>
      <c r="D875" s="31" t="str">
        <f>IFERROR(__xludf.DUMMYFUNCTION("""COMPUTED_VALUE"""),"不妊")</f>
        <v>不妊</v>
      </c>
      <c r="E875" s="31"/>
    </row>
    <row r="876">
      <c r="A876" s="31" t="str">
        <f>IFERROR(__xludf.DUMMYFUNCTION("""COMPUTED_VALUE"""),"ジェノゲストの処方はできますか？/ディナゲストの処方はできますか？/ジエノゲストの処方はできますか？/ジェノゲストはいくらですか？/ディナゲストはいくらですか？/ジエノゲストはいくらですか？/経膣エコーをしないとジェノゲスト処方はしてもらえないのか/ジェノゲストとは？/ジェノゲストとは何ですか？")</f>
        <v>ジェノゲストの処方はできますか？/ディナゲストの処方はできますか？/ジエノゲストの処方はできますか？/ジェノゲストはいくらですか？/ディナゲストはいくらですか？/ジエノゲストはいくらですか？/経膣エコーをしないとジェノゲスト処方はしてもらえないのか/ジェノゲストとは？/ジェノゲストとは何ですか？</v>
      </c>
      <c r="B876" s="31" t="str">
        <f>IFERROR(__xludf.DUMMYFUNCTION("""COMPUTED_VALUE"""),"ジェノゲストは当院で処方しております。保険診療での処方となるため、オンラインでの処方はできません。診察をご希望の場合は、クリニックにご受診ください。受診のご予約はLINEで受け付けています。LINEはこちら→https://cline-app.com/qr-codes/98ad6f149bfa20f4f2a9a2e91aac4187/preview　※保険ピルの料金は保険診療の内容により異なるため、事前にお伝えすることができません。")</f>
        <v>ジェノゲストは当院で処方しております。保険診療での処方となるため、オンラインでの処方はできません。診察をご希望の場合は、クリニックにご受診ください。受診のご予約はLINEで受け付けています。LINEはこちら→https://cline-app.com/qr-codes/98ad6f149bfa20f4f2a9a2e91aac4187/preview　※保険ピルの料金は保険診療の内容により異なるため、事前にお伝えすることができません。</v>
      </c>
      <c r="C876" s="31" t="str">
        <f>IFERROR(__xludf.DUMMYFUNCTION("""COMPUTED_VALUE"""),"保険診療")</f>
        <v>保険診療</v>
      </c>
      <c r="D876" s="31" t="str">
        <f>IFERROR(__xludf.DUMMYFUNCTION("""COMPUTED_VALUE"""),"ジェノゲスト")</f>
        <v>ジェノゲスト</v>
      </c>
      <c r="E876" s="31"/>
    </row>
    <row r="877">
      <c r="A877" s="31" t="str">
        <f>IFERROR(__xludf.DUMMYFUNCTION("""COMPUTED_VALUE"""),"切れ痔の診察はできますか？")</f>
        <v>切れ痔の診察はできますか？</v>
      </c>
      <c r="B877" s="31" t="str">
        <f>IFERROR(__xludf.DUMMYFUNCTION("""COMPUTED_VALUE"""),"当院では切れ痔の診察は行っておりません。
肛門科のある病院であれば診察可能だと思われます。
もしくはお近くの婦人科様に直接連絡していただいて肛門も診てもらえるかご確認いただくのが良いかと思います。
お大事になさってください。")</f>
        <v>当院では切れ痔の診察は行っておりません。
肛門科のある病院であれば診察可能だと思われます。
もしくはお近くの婦人科様に直接連絡していただいて肛門も診てもらえるかご確認いただくのが良いかと思います。
お大事になさってください。</v>
      </c>
      <c r="C877" s="31" t="str">
        <f>IFERROR(__xludf.DUMMYFUNCTION("""COMPUTED_VALUE"""),"その他")</f>
        <v>その他</v>
      </c>
      <c r="D877" s="31" t="str">
        <f>IFERROR(__xludf.DUMMYFUNCTION("""COMPUTED_VALUE"""),"切れ痔")</f>
        <v>切れ痔</v>
      </c>
      <c r="E877" s="31"/>
    </row>
    <row r="878">
      <c r="A878" s="31" t="str">
        <f>IFERROR(__xludf.DUMMYFUNCTION("""COMPUTED_VALUE"""),"オンライン診療後、店舗で薬を受け取れますか？")</f>
        <v>オンライン診療後、店舗で薬を受け取れますか？</v>
      </c>
      <c r="B878" s="31" t="str">
        <f>IFERROR(__xludf.DUMMYFUNCTION("""COMPUTED_VALUE"""),"原則としてご本人様のご自宅でのお受け取りとなりますので、ご了承くださいませ。特別なご事情がある場合、決済前にカウンセラーへご相談ください。")</f>
        <v>原則としてご本人様のご自宅でのお受け取りとなりますので、ご了承くださいませ。特別なご事情がある場合、決済前にカウンセラーへご相談ください。</v>
      </c>
      <c r="C878" s="31" t="str">
        <f>IFERROR(__xludf.DUMMYFUNCTION("""COMPUTED_VALUE"""),"オンライン診療")</f>
        <v>オンライン診療</v>
      </c>
      <c r="D878" s="31" t="str">
        <f>IFERROR(__xludf.DUMMYFUNCTION("""COMPUTED_VALUE"""),"薬受け取り")</f>
        <v>薬受け取り</v>
      </c>
      <c r="E878" s="31"/>
    </row>
    <row r="879">
      <c r="A879" s="31" t="str">
        <f>IFERROR(__xludf.DUMMYFUNCTION("""COMPUTED_VALUE"""),"HPVワクチンを接種したいです/子宮頸がんワクチンを接種したいです。")</f>
        <v>HPVワクチンを接種したいです/子宮頸がんワクチンを接種したいです。</v>
      </c>
      <c r="B879" s="31" t="str">
        <f>IFERROR(__xludf.DUMMYFUNCTION("""COMPUTED_VALUE"""),"当院ではシルガード9という種類のHPVワクチン接種を行っております。
HPVワクチンは予防するものでございますので、すでに感染したウイルスを排除する力はありません。
副反応としては局所の痛みが起こる可能性があります。
当院でHPVワクチン接種をご希望の場合、予約制になっております。ご予約はお電話（050-1730-2768）で承っております。
※クリニック地域にお住まいかつ、手元に公費の案内用紙がある場合、1週間以降のご予約でご利用いただけます。")</f>
        <v>当院ではシルガード9という種類のHPVワクチン接種を行っております。
HPVワクチンは予防するものでございますので、すでに感染したウイルスを排除する力はありません。
副反応としては局所の痛みが起こる可能性があります。
当院でHPVワクチン接種をご希望の場合、予約制になっております。ご予約はお電話（050-1730-2768）で承っております。
※クリニック地域にお住まいかつ、手元に公費の案内用紙がある場合、1週間以降のご予約でご利用いただけます。</v>
      </c>
      <c r="C879" s="31" t="str">
        <f>IFERROR(__xludf.DUMMYFUNCTION("""COMPUTED_VALUE"""),"HPVワクチン")</f>
        <v>HPVワクチン</v>
      </c>
      <c r="D879" s="31" t="str">
        <f>IFERROR(__xludf.DUMMYFUNCTION("""COMPUTED_VALUE"""),"HPVワクチン,子宮頸がん")</f>
        <v>HPVワクチン,子宮頸がん</v>
      </c>
      <c r="E879" s="31"/>
    </row>
    <row r="880">
      <c r="A880" s="31" t="str">
        <f>IFERROR(__xludf.DUMMYFUNCTION("""COMPUTED_VALUE"""),"HPV感染と低用量ピルは関係ありますか？")</f>
        <v>HPV感染と低用量ピルは関係ありますか？</v>
      </c>
      <c r="B880" s="31" t="str">
        <f>IFERROR(__xludf.DUMMYFUNCTION("""COMPUTED_VALUE"""),"低容量ピルを内服すると子宮頸がんの原因となるヒトパピローマウイルスが排出されにくくなり、
子宮頸がんとなる可能性が高まります。
基本的には軽快することも多いウイルスのため、手術方向となるまでは様子を見ていただくことが多いです。
しかし、ご不安が強いようであれば、ピル以外でも生理不順を治療するホルモン剤はございますので、
一度婦人科を受診し、その旨を相談してみても良いと思います。
個別の症状やお体のご状況については診察にてご確認いただくことをおすすめいたします。当院でのご受診をご希望の場合は、ご予約をお取"&amp;"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f>
        <v>低容量ピルを内服すると子宮頸がんの原因となるヒトパピローマウイルスが排出されにくくなり、
子宮頸がんとなる可能性が高まります。
基本的には軽快することも多いウイルスのため、手術方向となるまでは様子を見ていただくことが多いです。
しかし、ご不安が強いようであれば、ピル以外でも生理不順を治療するホルモン剤はございますので、
一度婦人科を受診し、その旨を相談してみても良いと思います。
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880" s="31" t="str">
        <f>IFERROR(__xludf.DUMMYFUNCTION("""COMPUTED_VALUE"""),"HPV")</f>
        <v>HPV</v>
      </c>
      <c r="D880" s="31" t="str">
        <f>IFERROR(__xludf.DUMMYFUNCTION("""COMPUTED_VALUE"""),"低用量ピル,HPVワクチン,子宮頸がん")</f>
        <v>低用量ピル,HPVワクチン,子宮頸がん</v>
      </c>
      <c r="E880" s="31"/>
    </row>
    <row r="881">
      <c r="A881" s="31" t="str">
        <f>IFERROR(__xludf.DUMMYFUNCTION("""COMPUTED_VALUE"""),"性行為のときに痛みがあります。原因はありますか？")</f>
        <v>性行為のときに痛みがあります。原因はありますか？</v>
      </c>
      <c r="B881" s="31" t="str">
        <f>IFERROR(__xludf.DUMMYFUNCTION("""COMPUTED_VALUE"""),"性行痛の原因は排卵期の性交による卵巣からの出血（卵胞出血）が多いです。
排卵のとき、卵巣の表面が破れて少量の出血とともに卵子が出てくるのですが、
たまたまそのときに性交による刺激が卵巣に加わったりすると、多くの血液が出ることがあります。
また、精神的なもの、子宮内膜症、子宮筋腫、性感染症、カンジダ外陰膣炎なども原因として考えられます。
うずきが一時的であれば様子見で構いませんが、長引いたり頻度が増える場合は、婦人科を受診されることをお勧めいたします。
個別の症状やお体のご状況については診察にてご確認"&amp;"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amp;"らかじめご了承くださいませ。")</f>
        <v>性行痛の原因は排卵期の性交による卵巣からの出血（卵胞出血）が多いです。
排卵のとき、卵巣の表面が破れて少量の出血とともに卵子が出てくるのですが、
たまたまそのときに性交による刺激が卵巣に加わったりすると、多くの血液が出ることがあります。
また、精神的なもの、子宮内膜症、子宮筋腫、性感染症、カンジダ外陰膣炎なども原因として考えられます。
うずきが一時的であれば様子見で構いませんが、長引いたり頻度が増える場合は、婦人科を受診されることをお勧めいたします。
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881" s="31" t="str">
        <f>IFERROR(__xludf.DUMMYFUNCTION("""COMPUTED_VALUE"""),"性行為トラブル")</f>
        <v>性行為トラブル</v>
      </c>
      <c r="D881" s="31" t="str">
        <f>IFERROR(__xludf.DUMMYFUNCTION("""COMPUTED_VALUE"""),"性行痛")</f>
        <v>性行痛</v>
      </c>
      <c r="E881" s="31"/>
    </row>
    <row r="882">
      <c r="A882" s="31" t="str">
        <f>IFERROR(__xludf.DUMMYFUNCTION("""COMPUTED_VALUE"""),"性行為中に出血しました。大丈夫ですか？/性行為後による出血")</f>
        <v>性行為中に出血しました。大丈夫ですか？/性行為後による出血</v>
      </c>
      <c r="B882" s="31" t="str">
        <f>IFERROR(__xludf.DUMMYFUNCTION("""COMPUTED_VALUE"""),"下腹部の痛みや出血がある場合、症状の内容によって受診可否やご案内が異なります。個別の確認が必要となるため、恐れ入りますがお電話にてご相談ください。お電話は 050-1730-2768 となります。")</f>
        <v>下腹部の痛みや出血がある場合、症状の内容によって受診可否やご案内が異なります。個別の確認が必要となるため、恐れ入りますがお電話にてご相談ください。お電話は 050-1730-2768 となります。</v>
      </c>
      <c r="C882" s="31" t="str">
        <f>IFERROR(__xludf.DUMMYFUNCTION("""COMPUTED_VALUE"""),"不正出血")</f>
        <v>不正出血</v>
      </c>
      <c r="D882" s="31" t="str">
        <f>IFERROR(__xludf.DUMMYFUNCTION("""COMPUTED_VALUE"""),"性交後出血")</f>
        <v>性交後出血</v>
      </c>
      <c r="E882" s="31"/>
    </row>
    <row r="883">
      <c r="A883" s="31" t="str">
        <f>IFERROR(__xludf.DUMMYFUNCTION("""COMPUTED_VALUE"""),"膣に異物が入ってしまいました。どうすればよいですか？")</f>
        <v>膣に異物が入ってしまいました。どうすればよいですか？</v>
      </c>
      <c r="B883" s="31" t="str">
        <f>IFERROR(__xludf.DUMMYFUNCTION("""COMPUTED_VALUE"""),"膣に異物が入ってしまい取り出せない場合は、異臭の原因になることもございます。
お早めに取り除くことをおすすめいたします。
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amp;"、当院では乳房に関する診療（乳がん検診・乳腺外来など）、更年期障害の治療、不妊治療、体重100kg以上の方への診療、救急対応（緊急搬送・急性期対応）は行っておりませんのであらかじめご了承くださいませ。")</f>
        <v>膣に異物が入ってしまい取り出せない場合は、異臭の原因になることもございます。
お早めに取り除くことをおすすめいたします。
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883" s="31" t="str">
        <f>IFERROR(__xludf.DUMMYFUNCTION("""COMPUTED_VALUE"""),"トラブル")</f>
        <v>トラブル</v>
      </c>
      <c r="D883" s="31" t="str">
        <f>IFERROR(__xludf.DUMMYFUNCTION("""COMPUTED_VALUE"""),"異物")</f>
        <v>異物</v>
      </c>
      <c r="E883" s="31"/>
    </row>
    <row r="884">
      <c r="A884" s="31" t="str">
        <f>IFERROR(__xludf.DUMMYFUNCTION("""COMPUTED_VALUE"""),"子宮筋腫について教えてください。")</f>
        <v>子宮筋腫について教えてください。</v>
      </c>
      <c r="B884" s="31" t="str">
        <f>IFERROR(__xludf.DUMMYFUNCTION("""COMPUTED_VALUE"""),"子宮筋腫とは、子宮の筋肉にできる良性の腫瘍です。大きさやできた場所によって、生理痛や過多月経の原因となります。
低用量ピルで子宮筋腫が増大するスピードを下げられることが多いですが、
子宮筋腫の場所と大きさによっては手術が必要となる場合があります。
まずはご自身の状況を知るためにも、受診をお勧めいたします。
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amp;"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f>
        <v>子宮筋腫とは、子宮の筋肉にできる良性の腫瘍です。大きさやできた場所によって、生理痛や過多月経の原因となります。
低用量ピルで子宮筋腫が増大するスピードを下げられることが多いですが、
子宮筋腫の場所と大きさによっては手術が必要となる場合があります。
まずはご自身の状況を知るためにも、受診をお勧めいたします。
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884" s="31" t="str">
        <f>IFERROR(__xludf.DUMMYFUNCTION("""COMPUTED_VALUE"""),"子宮疾患")</f>
        <v>子宮疾患</v>
      </c>
      <c r="D884" s="31" t="str">
        <f>IFERROR(__xludf.DUMMYFUNCTION("""COMPUTED_VALUE"""),"子宮筋腫")</f>
        <v>子宮筋腫</v>
      </c>
      <c r="E884" s="31"/>
    </row>
    <row r="885">
      <c r="A885" s="31" t="str">
        <f>IFERROR(__xludf.DUMMYFUNCTION("""COMPUTED_VALUE"""),"流産後の妊娠について")</f>
        <v>流産後の妊娠について</v>
      </c>
      <c r="B885" s="31" t="str">
        <f>IFERROR(__xludf.DUMMYFUNCTION("""COMPUTED_VALUE"""),"流産後に妊娠ができなくなることはありません。一般的に流産後1カ月半〜2カ月ほどで生理が再開し、体の回復が進めば再び妊娠を目指すことができます。次の妊娠に影響を及ぼすことも基本的にはありません。")</f>
        <v>流産後に妊娠ができなくなることはありません。一般的に流産後1カ月半〜2カ月ほどで生理が再開し、体の回復が進めば再び妊娠を目指すことができます。次の妊娠に影響を及ぼすことも基本的にはありません。</v>
      </c>
      <c r="C885" s="31" t="str">
        <f>IFERROR(__xludf.DUMMYFUNCTION("""COMPUTED_VALUE"""),"妊娠・出産・流産")</f>
        <v>妊娠・出産・流産</v>
      </c>
      <c r="D885" s="31" t="str">
        <f>IFERROR(__xludf.DUMMYFUNCTION("""COMPUTED_VALUE"""),"流産後,妊娠,妊活,再妊娠,生理再開")</f>
        <v>流産後,妊娠,妊活,再妊娠,生理再開</v>
      </c>
      <c r="E885" s="31"/>
    </row>
    <row r="886">
      <c r="A886" s="31" t="str">
        <f>IFERROR(__xludf.DUMMYFUNCTION("""COMPUTED_VALUE"""),"流産後の生理について")</f>
        <v>流産後の生理について</v>
      </c>
      <c r="B886" s="31" t="str">
        <f>IFERROR(__xludf.DUMMYFUNCTION("""COMPUTED_VALUE"""),"個人差はありますが、流産後は1カ月半〜2カ月ほどで月経が再開することが一般的です。")</f>
        <v>個人差はありますが、流産後は1カ月半〜2カ月ほどで月経が再開することが一般的です。</v>
      </c>
      <c r="C886" s="31" t="str">
        <f>IFERROR(__xludf.DUMMYFUNCTION("""COMPUTED_VALUE"""),"妊娠・出産・流産")</f>
        <v>妊娠・出産・流産</v>
      </c>
      <c r="D886" s="31" t="str">
        <f>IFERROR(__xludf.DUMMYFUNCTION("""COMPUTED_VALUE"""),"流産後,生理,月経,再開時期")</f>
        <v>流産後,生理,月経,再開時期</v>
      </c>
      <c r="E886" s="31"/>
    </row>
    <row r="887">
      <c r="A887" s="31" t="str">
        <f>IFERROR(__xludf.DUMMYFUNCTION("""COMPUTED_VALUE"""),"生活保護の医療費補助にて受診は可能ですか？/生活保護を受けていますが医療券で受診できますか？/医療券で受診可能ですか？")</f>
        <v>生活保護の医療費補助にて受診は可能ですか？/生活保護を受けていますが医療券で受診できますか？/医療券で受診可能ですか？</v>
      </c>
      <c r="B887" s="31" t="str">
        <f>IFERROR(__xludf.DUMMYFUNCTION("""COMPUTED_VALUE"""),"大変申し訳ございません。当院では生活保護による医療費補助を利用した診察のご案内は行っておりません。")</f>
        <v>大変申し訳ございません。当院では生活保護による医療費補助を利用した診察のご案内は行っておりません。</v>
      </c>
      <c r="C887" s="31" t="str">
        <f>IFERROR(__xludf.DUMMYFUNCTION("""COMPUTED_VALUE"""),"受診・制度・費用")</f>
        <v>受診・制度・費用</v>
      </c>
      <c r="D887" s="31" t="str">
        <f>IFERROR(__xludf.DUMMYFUNCTION("""COMPUTED_VALUE"""),"生活保護,医療費補助,受診可否")</f>
        <v>生活保護,医療費補助,受診可否</v>
      </c>
      <c r="E887" s="31"/>
    </row>
    <row r="888">
      <c r="A888" s="31" t="str">
        <f>IFERROR(__xludf.DUMMYFUNCTION("""COMPUTED_VALUE"""),"ミレーナを外してからどれくらいで排卵しますか？")</f>
        <v>ミレーナを外してからどれくらいで排卵しますか？</v>
      </c>
      <c r="B888" s="31" t="str">
        <f>IFERROR(__xludf.DUMMYFUNCTION("""COMPUTED_VALUE"""),"排卵の再開時期は避妊リングの種類や個人差によって異なります。詳しくは医師にご相談ください。")</f>
        <v>排卵の再開時期は避妊リングの種類や個人差によって異なります。詳しくは医師にご相談ください。</v>
      </c>
      <c r="C888" s="31" t="str">
        <f>IFERROR(__xludf.DUMMYFUNCTION("""COMPUTED_VALUE"""),"避妊・ミレーナ")</f>
        <v>避妊・ミレーナ</v>
      </c>
      <c r="D888" s="31" t="str">
        <f>IFERROR(__xludf.DUMMYFUNCTION("""COMPUTED_VALUE"""),"ミレーナ,排卵,外した後,妊娠")</f>
        <v>ミレーナ,排卵,外した後,妊娠</v>
      </c>
      <c r="E888" s="31"/>
    </row>
    <row r="889">
      <c r="A889" s="31" t="str">
        <f>IFERROR(__xludf.DUMMYFUNCTION("""COMPUTED_VALUE"""),"ミレーナ挿入後の性行為による出血")</f>
        <v>ミレーナ挿入後の性行為による出血</v>
      </c>
      <c r="B889" s="31" t="str">
        <f>IFERROR(__xludf.DUMMYFUNCTION("""COMPUTED_VALUE"""),"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amp;"（緊急搬送・急性期対応）は行っておりませんのであらかじめご了承くださいませ。")</f>
        <v>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889" s="31" t="str">
        <f>IFERROR(__xludf.DUMMYFUNCTION("""COMPUTED_VALUE"""),"避妊・ミレーナ")</f>
        <v>避妊・ミレーナ</v>
      </c>
      <c r="D889" s="31" t="str">
        <f>IFERROR(__xludf.DUMMYFUNCTION("""COMPUTED_VALUE"""),"ミレーナ,性交後出血,不正出血,ホルモン")</f>
        <v>ミレーナ,性交後出血,不正出血,ホルモン</v>
      </c>
      <c r="E889" s="31"/>
    </row>
    <row r="890">
      <c r="A890" s="31" t="str">
        <f>IFERROR(__xludf.DUMMYFUNCTION("""COMPUTED_VALUE"""),"おりもの異常があるのですが、どうしたら良いですか？/排尿時に痛みがあるのですが、どうしたら良いでしょうか？/喉の違和感がある場合どうしたらよいですか？")</f>
        <v>おりもの異常があるのですが、どうしたら良いですか？/排尿時に痛みがあるのですが、どうしたら良いでしょうか？/喉の違和感がある場合どうしたらよいですか？</v>
      </c>
      <c r="B890" s="31" t="str">
        <f>IFERROR(__xludf.DUMMYFUNCTION("""COMPUTED_VALUE"""),"おりものの異常・かゆみ・咽頭の違和感は、体の異常を伝えるサインですので、
放置せずに検査などをして原因を知ることが大切です。
きちんと対応することによって、不妊や病気の可能性を下げることにつながります。
性行為経験がなくてもトリコモナスは感染力が強く、公共のお手洗いなどで感染することもございます。
当院では「FemCHECK」という検査キットを販売しており、こちらはご自宅で検査していただき、キットを送っていただければ、結果もWEBから確認が可能でございます。
購入はこちら
https://shop.l"&amp;"una-dr.com/collections/femcheck/products/femcheck")</f>
        <v>おりものの異常・かゆみ・咽頭の違和感は、体の異常を伝えるサインですので、
放置せずに検査などをして原因を知ることが大切です。
きちんと対応することによって、不妊や病気の可能性を下げることにつながります。
性行為経験がなくてもトリコモナスは感染力が強く、公共のお手洗いなどで感染することもございます。
当院では「FemCHECK」という検査キットを販売しており、こちらはご自宅で検査していただき、キットを送っていただければ、結果もWEBから確認が可能でございます。
購入はこちら
https://shop.luna-dr.com/collections/femcheck/products/femcheck</v>
      </c>
      <c r="C890" s="31" t="str">
        <f>IFERROR(__xludf.DUMMYFUNCTION("""COMPUTED_VALUE"""),"おりもの・性病検査")</f>
        <v>おりもの・性病検査</v>
      </c>
      <c r="D890" s="31" t="str">
        <f>IFERROR(__xludf.DUMMYFUNCTION("""COMPUTED_VALUE"""),"おりもの異常,排尿痛,喉違和感,性病,FemCHECK")</f>
        <v>おりもの異常,排尿痛,喉違和感,性病,FemCHECK</v>
      </c>
      <c r="E890" s="31"/>
    </row>
    <row r="891">
      <c r="A891" s="31" t="str">
        <f>IFERROR(__xludf.DUMMYFUNCTION("""COMPUTED_VALUE"""),"カンジダが陽性だったが治療は必要ですか？/細菌性膣炎が陽性だったが治療は必要ですか？/カンジダが再発した/カンジダに繰り返しなる/細菌性膣炎が再発した/細菌性膣炎に繰り返しなる")</f>
        <v>カンジダが陽性だったが治療は必要ですか？/細菌性膣炎が陽性だったが治療は必要ですか？/カンジダが再発した/カンジダに繰り返しなる/細菌性膣炎が再発した/細菌性膣炎に繰り返しなる</v>
      </c>
      <c r="B891" s="31" t="str">
        <f>IFERROR(__xludf.DUMMYFUNCTION("""COMPUTED_VALUE"""),"クラミジア・淋菌・ウレアプラズマ・マイコプラズマ等の性病が陽性でない場合は様子を見ていただくで特に問題はございません。
カンジダ・細菌性膣炎は常在菌でございます。生理と共に洗い流され改善する場合もございますが、膀胱炎になってしまったり、症状がお辛い場合は抗生剤をご使用ください。
カンジダ・細菌性膣炎は繰り返しなることが多いため、乳酸桿菌で膣内環境を整えることがとても重要です。
乳酸桿菌の定期配送は以下のURLよりご購入が可能です。ご検討下さい。
https://shop.luna-dr.com/prod"&amp;"ucts/lactobacillus ")</f>
        <v>クラミジア・淋菌・ウレアプラズマ・マイコプラズマ等の性病が陽性でない場合は様子を見ていただくで特に問題はございません。
カンジダ・細菌性膣炎は常在菌でございます。生理と共に洗い流され改善する場合もございますが、膀胱炎になってしまったり、症状がお辛い場合は抗生剤をご使用ください。
カンジダ・細菌性膣炎は繰り返しなることが多いため、乳酸桿菌で膣内環境を整えることがとても重要です。
乳酸桿菌の定期配送は以下のURLよりご購入が可能です。ご検討下さい。
https://shop.luna-dr.com/products/lactobacillus </v>
      </c>
      <c r="C891" s="31" t="str">
        <f>IFERROR(__xludf.DUMMYFUNCTION("""COMPUTED_VALUE"""),"おりもの・膣炎")</f>
        <v>おりもの・膣炎</v>
      </c>
      <c r="D891" s="31" t="str">
        <f>IFERROR(__xludf.DUMMYFUNCTION("""COMPUTED_VALUE"""),"カンジダ,細菌性膣炎,再発,乳酸桿菌,膣内環境")</f>
        <v>カンジダ,細菌性膣炎,再発,乳酸桿菌,膣内環境</v>
      </c>
      <c r="E891" s="31"/>
    </row>
    <row r="892">
      <c r="A892" s="31" t="str">
        <f>IFERROR(__xludf.DUMMYFUNCTION("""COMPUTED_VALUE"""),"パートナーにお薬処方は可能ですか？")</f>
        <v>パートナーにお薬処方は可能ですか？</v>
      </c>
      <c r="B892" s="31" t="str">
        <f>IFERROR(__xludf.DUMMYFUNCTION("""COMPUTED_VALUE"""),"医薬品となりますので、原則ご本人様への処方の対応となります。処方をご希望のご本人様は、LINEアカウントよりオンライン診療をお申込み、ご相談ください。オンライン診療はLINEからご利用いただけます。こちらのオンライン診療ページ（https://liff-gateway.lineml.jp/landing?follow=%40590gpxrd&amp;lp=fX73yx&amp;liff_id=1657094566-LmjNPPbV）からご利用ください。")</f>
        <v>医薬品となりますので、原則ご本人様への処方の対応となります。処方をご希望のご本人様は、LINEアカウントよりオンライン診療をお申込み、ご相談ください。オンライン診療はLINEからご利用いただけます。こちらのオンライン診療ページ（https://liff-gateway.lineml.jp/landing?follow=%40590gpxrd&amp;lp=fX73yx&amp;liff_id=1657094566-LmjNPPbV）からご利用ください。</v>
      </c>
      <c r="C892" s="31" t="str">
        <f>IFERROR(__xludf.DUMMYFUNCTION("""COMPUTED_VALUE"""),"受診・処方")</f>
        <v>受診・処方</v>
      </c>
      <c r="D892" s="31" t="str">
        <f>IFERROR(__xludf.DUMMYFUNCTION("""COMPUTED_VALUE"""),"パートナー,処方,本人のみ,LINE,オンライン診療")</f>
        <v>パートナー,処方,本人のみ,LINE,オンライン診療</v>
      </c>
      <c r="E892" s="31"/>
    </row>
    <row r="893">
      <c r="A893" s="31" t="str">
        <f>IFERROR(__xludf.DUMMYFUNCTION("""COMPUTED_VALUE"""),"乳酸桿菌の使用方法")</f>
        <v>乳酸桿菌の使用方法</v>
      </c>
      <c r="B893" s="31" t="str">
        <f>IFERROR(__xludf.DUMMYFUNCTION("""COMPUTED_VALUE"""),"乳酸桿菌は膣・内服どちらでもご使用可能でございます。ですが、膣に直接入れることで、繰り返すカンジダ、膀胱炎、細菌の増殖によるおりもの異常に直接アプローチが可能です。また、継続的に使用することでより予防効果が高まります。乳酸桿菌の定期配送は以下のURLよりご購入が可能です。ご検討下さい。
https://shop.luna-dr.com/products/lactobacillus")</f>
        <v>乳酸桿菌は膣・内服どちらでもご使用可能でございます。ですが、膣に直接入れることで、繰り返すカンジダ、膀胱炎、細菌の増殖によるおりもの異常に直接アプローチが可能です。また、継続的に使用することでより予防効果が高まります。乳酸桿菌の定期配送は以下のURLよりご購入が可能です。ご検討下さい。
https://shop.luna-dr.com/products/lactobacillus</v>
      </c>
      <c r="C893" s="31" t="str">
        <f>IFERROR(__xludf.DUMMYFUNCTION("""COMPUTED_VALUE"""),"おりもの・ケア")</f>
        <v>おりもの・ケア</v>
      </c>
      <c r="D893" s="31" t="str">
        <f>IFERROR(__xludf.DUMMYFUNCTION("""COMPUTED_VALUE"""),"乳酸桿菌,使用方法,膣,内服,カンジダ,膀胱炎,予防")</f>
        <v>乳酸桿菌,使用方法,膣,内服,カンジダ,膀胱炎,予防</v>
      </c>
      <c r="E893" s="31"/>
    </row>
    <row r="894">
      <c r="A894" s="31" t="str">
        <f>IFERROR(__xludf.DUMMYFUNCTION("""COMPUTED_VALUE"""),"乳酸桿菌を使用したら治りますか")</f>
        <v>乳酸桿菌を使用したら治りますか</v>
      </c>
      <c r="B894" s="31" t="str">
        <f>IFERROR(__xludf.DUMMYFUNCTION("""COMPUTED_VALUE"""),"乳酸桿菌はあくまで一般細菌（常在菌）の予防薬でございます。治療を終えた後に使用していただくことで、膣内環境を整え再発防止をする膣剤です。まずは、陽性の項目の治療を行うことをおすすめいたします。乳酸桿菌の定期配送は以下のURLよりご購入が可能です。ご検討下さい。
https://shop.luna-dr.com/products/lactobacillus")</f>
        <v>乳酸桿菌はあくまで一般細菌（常在菌）の予防薬でございます。治療を終えた後に使用していただくことで、膣内環境を整え再発防止をする膣剤です。まずは、陽性の項目の治療を行うことをおすすめいたします。乳酸桿菌の定期配送は以下のURLよりご購入が可能です。ご検討下さい。
https://shop.luna-dr.com/products/lactobacillus</v>
      </c>
      <c r="C894" s="31" t="str">
        <f>IFERROR(__xludf.DUMMYFUNCTION("""COMPUTED_VALUE"""),"おりもの・ケア")</f>
        <v>おりもの・ケア</v>
      </c>
      <c r="D894" s="31" t="str">
        <f>IFERROR(__xludf.DUMMYFUNCTION("""COMPUTED_VALUE"""),"乳酸桿菌,治る,予防,再発防止,膣内環境")</f>
        <v>乳酸桿菌,治る,予防,再発防止,膣内環境</v>
      </c>
      <c r="E894" s="31"/>
    </row>
    <row r="895">
      <c r="A895" s="31" t="str">
        <f>IFERROR(__xludf.DUMMYFUNCTION("""COMPUTED_VALUE"""),"生理中の性行為")</f>
        <v>生理中の性行為</v>
      </c>
      <c r="B895" s="31" t="str">
        <f>IFERROR(__xludf.DUMMYFUNCTION("""COMPUTED_VALUE"""),"生理中の性行為は通常時よりも気を付けないといけないところがございます。
①妊娠しないから性行為をしても良い？それは間違いです。通常、精子の寿命が2～3日と言われていますが、5日生き延びたこともあります。つまり、生理が終わったときにその精子と受精をするということです。
②性感染症のリスクが上がる：生理中は膣の中に傷ができやすく、クラミジア・淋菌・梅毒・HPVなどの性感染症に加え、HIVの感染率も上昇します。
③子宮内膜症のリスクが上がる：経血が子宮内に逆流し、雑菌やウイルスを運び込む危険があり、子宮内膜症リ"&amp;"スクを高めるとも言われています。")</f>
        <v>生理中の性行為は通常時よりも気を付けないといけないところがございます。
①妊娠しないから性行為をしても良い？それは間違いです。通常、精子の寿命が2～3日と言われていますが、5日生き延びたこともあります。つまり、生理が終わったときにその精子と受精をするということです。
②性感染症のリスクが上がる：生理中は膣の中に傷ができやすく、クラミジア・淋菌・梅毒・HPVなどの性感染症に加え、HIVの感染率も上昇します。
③子宮内膜症のリスクが上がる：経血が子宮内に逆流し、雑菌やウイルスを運び込む危険があり、子宮内膜症リスクを高めるとも言われています。</v>
      </c>
      <c r="C895" s="31" t="str">
        <f>IFERROR(__xludf.DUMMYFUNCTION("""COMPUTED_VALUE"""),"性行為・注意事項")</f>
        <v>性行為・注意事項</v>
      </c>
      <c r="D895" s="31" t="str">
        <f>IFERROR(__xludf.DUMMYFUNCTION("""COMPUTED_VALUE"""),"生理中,性行為,妊娠,性感染症,HPV,HIV,子宮内膜症")</f>
        <v>生理中,性行為,妊娠,性感染症,HPV,HIV,子宮内膜症</v>
      </c>
      <c r="E895" s="31"/>
    </row>
    <row r="896">
      <c r="A896" s="31" t="str">
        <f>IFERROR(__xludf.DUMMYFUNCTION("""COMPUTED_VALUE"""),"子宮内膜症の疑いがあり")</f>
        <v>子宮内膜症の疑いがあり</v>
      </c>
      <c r="B896" s="31" t="str">
        <f>IFERROR(__xludf.DUMMYFUNCTION("""COMPUTED_VALUE"""),"子宮内膜症とは、子宮の中にある子宮内膜組織が、子宮以外の場所で女性ホルモンに反応して増殖や出血を起こす病気です。症状は下腹部の痛みに伴って、腰が痛む場合もあります。放置しておくと血液が卵巣内部に満たされ、それが各臓器にまで広がるようになります。臓器まで広がるほど放置しておくと、実生活に支障が出るほど激しい痛みを伴うことになります。オンライン診療でのエコー検査は難しいため、一度婦人科の受診をおすすめいたします。当院でのご受診をご希望の場合は、ご予約をお取りの上、クリニックにご受診ください。受診のご予約はLI"&amp;"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f>
        <v>子宮内膜症とは、子宮の中にある子宮内膜組織が、子宮以外の場所で女性ホルモンに反応して増殖や出血を起こす病気です。症状は下腹部の痛みに伴って、腰が痛む場合もあります。放置しておくと血液が卵巣内部に満たされ、それが各臓器にまで広がるようになります。臓器まで広がるほど放置しておくと、実生活に支障が出るほど激しい痛みを伴うことになります。オンライン診療でのエコー検査は難しいため、一度婦人科の受診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896" s="31" t="str">
        <f>IFERROR(__xludf.DUMMYFUNCTION("""COMPUTED_VALUE"""),"婦人科疾患")</f>
        <v>婦人科疾患</v>
      </c>
      <c r="D896" s="31" t="str">
        <f>IFERROR(__xludf.DUMMYFUNCTION("""COMPUTED_VALUE"""),"子宮内膜症,下腹部痛,腰痛,エコー,受診")</f>
        <v>子宮内膜症,下腹部痛,腰痛,エコー,受診</v>
      </c>
      <c r="E896" s="31"/>
    </row>
    <row r="897">
      <c r="A897" s="31" t="str">
        <f>IFERROR(__xludf.DUMMYFUNCTION("""COMPUTED_VALUE"""),"下腹部痛があり心配/お腹の下が痛い/下腹部が痛い/お腹痛い/お腹が痛い/腹痛がある")</f>
        <v>下腹部痛があり心配/お腹の下が痛い/下腹部が痛い/お腹痛い/お腹が痛い/腹痛がある</v>
      </c>
      <c r="B897" s="31" t="str">
        <f>IFERROR(__xludf.DUMMYFUNCTION("""COMPUTED_VALUE"""),"下腹部痛は、月経困難症、子宮内膜症、卵巣嚢腫、性感染症、子宮筋腫、卵巣捻転、卵巣がんなどさまざまな原因が考えられます。オンライン診療にて検査が難しいため、原因を知るために一度婦人科の受診をおすすめいたします。下腹部の痛みや出血がある場合、症状の内容によって受診可否やご案内が異なります。個別の確認が必要となるため、恐れ入りますがお電話にてご相談ください。お電話は 050-1730-2768 となります。")</f>
        <v>下腹部痛は、月経困難症、子宮内膜症、卵巣嚢腫、性感染症、子宮筋腫、卵巣捻転、卵巣がんなどさまざまな原因が考えられます。オンライン診療にて検査が難しいため、原因を知るために一度婦人科の受診をおすすめいたします。下腹部の痛みや出血がある場合、症状の内容によって受診可否やご案内が異なります。個別の確認が必要となるため、恐れ入りますがお電話にてご相談ください。お電話は 050-1730-2768 となります。</v>
      </c>
      <c r="C897" s="31" t="str">
        <f>IFERROR(__xludf.DUMMYFUNCTION("""COMPUTED_VALUE"""),"症状・腹痛")</f>
        <v>症状・腹痛</v>
      </c>
      <c r="D897" s="31" t="str">
        <f>IFERROR(__xludf.DUMMYFUNCTION("""COMPUTED_VALUE"""),"下腹部痛,原因,婦人科,受診,お腹痛い,腹痛")</f>
        <v>下腹部痛,原因,婦人科,受診,お腹痛い,腹痛</v>
      </c>
      <c r="E897" s="31"/>
    </row>
    <row r="898">
      <c r="A898" s="31" t="str">
        <f>IFERROR(__xludf.DUMMYFUNCTION("""COMPUTED_VALUE"""),"卵巣嚢腫とは")</f>
        <v>卵巣嚢腫とは</v>
      </c>
      <c r="B898" s="31" t="str">
        <f>IFERROR(__xludf.DUMMYFUNCTION("""COMPUTED_VALUE"""),"卵巣嚢腫とは、通常月経がある方では子宮が親指くらいの大きさですが、大きく腫れた状態を卵巣腫瘍といいます。腫瘍の中に液体がたまる嚢胞性卵巣腫瘍（卵巣嚢腫）と硬い塊が大きくなる充実性卵巣腫瘍の2つに分類され、放置しておくとがんになる恐れがあります。また、卵巣嚢腫が小さいうちは自覚症状がなく、大きくなった時におなかの張りなどで見つかることもあります。原因が分からず、妊娠してから発見すると治療が難しくなるため、婦人科へ定期検査をお勧めいたします。当院でのご受診をご希望の場合は、ご予約をお取りの上、クリニックにご受"&amp;"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f>
        <v>卵巣嚢腫とは、通常月経がある方では子宮が親指くらいの大きさですが、大きく腫れた状態を卵巣腫瘍といいます。腫瘍の中に液体がたまる嚢胞性卵巣腫瘍（卵巣嚢腫）と硬い塊が大きくなる充実性卵巣腫瘍の2つに分類され、放置しておくとがんになる恐れがあります。また、卵巣嚢腫が小さいうちは自覚症状がなく、大きくなった時におなかの張りなどで見つかることもあります。原因が分からず、妊娠してから発見すると治療が難しくなるため、婦人科へ定期検査をお勧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898" s="31" t="str">
        <f>IFERROR(__xludf.DUMMYFUNCTION("""COMPUTED_VALUE"""),"婦人科疾患")</f>
        <v>婦人科疾患</v>
      </c>
      <c r="D898" s="31" t="str">
        <f>IFERROR(__xludf.DUMMYFUNCTION("""COMPUTED_VALUE"""),"卵巣嚢腫,卵巣腫瘍,お腹の張り,定期検査")</f>
        <v>卵巣嚢腫,卵巣腫瘍,お腹の張り,定期検査</v>
      </c>
      <c r="E898" s="31"/>
    </row>
    <row r="899">
      <c r="A899" s="31" t="str">
        <f>IFERROR(__xludf.DUMMYFUNCTION("""COMPUTED_VALUE"""),"低用量ピルの服用規定に反している為、服用できないが他の方法でPMS・月経痛を抑えるのとは可能ですか")</f>
        <v>低用量ピルの服用規定に反している為、服用できないが他の方法でPMS・月経痛を抑えるのとは可能ですか</v>
      </c>
      <c r="B899" s="31" t="str">
        <f>IFERROR(__xludf.DUMMYFUNCTION("""COMPUTED_VALUE"""),"低用量ピルの服用規定に反している内容にもよりますが、「ミレーナ」、「ジェノゲスト」、「漢方」を活用してみるのもよいかと思います。オンライン診療では視診が難しいため、一度医師・看護師にご相談される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amp;"恐れ入りますが、当院では乳房に関する診療（乳がん検診・乳腺外来など）、更年期障害の治療、不妊治療、体重100kg以上の方への診療、救急対応（緊急搬送・急性期対応）は行っておりませんのであらかじめご了承くださいませ。")</f>
        <v>低用量ピルの服用規定に反している内容にもよりますが、「ミレーナ」、「ジェノゲスト」、「漢方」を活用してみるのもよいかと思います。オンライン診療では視診が難しいため、一度医師・看護師にご相談される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899" s="31" t="str">
        <f>IFERROR(__xludf.DUMMYFUNCTION("""COMPUTED_VALUE"""),"PMS・月経痛")</f>
        <v>PMS・月経痛</v>
      </c>
      <c r="D899" s="31" t="str">
        <f>IFERROR(__xludf.DUMMYFUNCTION("""COMPUTED_VALUE"""),"低用量ピル不可,ミレーナ,ジェノゲスト,漢方,PMS,月経痛")</f>
        <v>低用量ピル不可,ミレーナ,ジェノゲスト,漢方,PMS,月経痛</v>
      </c>
      <c r="E899" s="31"/>
    </row>
    <row r="900">
      <c r="A900" s="31" t="str">
        <f>IFERROR(__xludf.DUMMYFUNCTION("""COMPUTED_VALUE"""),"ルナレディースクリニックで検査した結果が確認できない")</f>
        <v>ルナレディースクリニックで検査した結果が確認できない</v>
      </c>
      <c r="B900" s="31" t="str">
        <f>IFERROR(__xludf.DUMMYFUNCTION("""COMPUTED_VALUE"""),"クリックで検査した結果は基本的にオンラインで確認が可能でございます。一部血液検査・子宮頸がん等の結果はご来院頂いての結果通知になります。ご了承ください。当院では、診察券が無いため領収書にて患者番号のご確認をお願いします。")</f>
        <v>クリックで検査した結果は基本的にオンラインで確認が可能でございます。一部血液検査・子宮頸がん等の結果はご来院頂いての結果通知になります。ご了承ください。当院では、診察券が無いため領収書にて患者番号のご確認をお願いします。</v>
      </c>
      <c r="C900" s="31" t="str">
        <f>IFERROR(__xludf.DUMMYFUNCTION("""COMPUTED_VALUE"""),"検査・結果確認")</f>
        <v>検査・結果確認</v>
      </c>
      <c r="D900" s="31" t="str">
        <f>IFERROR(__xludf.DUMMYFUNCTION("""COMPUTED_VALUE"""),"検査結果,オンライン,血液検査,子宮頸がん,診察券番号")</f>
        <v>検査結果,オンライン,血液検査,子宮頸がん,診察券番号</v>
      </c>
      <c r="E900" s="31"/>
    </row>
    <row r="901">
      <c r="A901" s="31" t="str">
        <f>IFERROR(__xludf.DUMMYFUNCTION("""COMPUTED_VALUE"""),"PMS異常であるが妊娠も考えている")</f>
        <v>PMS異常であるが妊娠も考えている</v>
      </c>
      <c r="B901" s="31" t="str">
        <f>IFERROR(__xludf.DUMMYFUNCTION("""COMPUTED_VALUE"""),"ご妊娠を考えているのであれば、低用量ピルの服用はおすすめしておりません。漢方を服用することで、PMSを軽減することが可能な場合もございます。一度婦人科をご受診の上、医師にご相談ください。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amp;"る診療（乳がん検診・乳腺外来など）、更年期障害の治療、不妊治療、体重100kg以上の方への診療、救急対応（緊急搬送・急性期対応）は行っておりませんのであらかじめご了承くださいませ。")</f>
        <v>ご妊娠を考えているのであれば、低用量ピルの服用はおすすめしておりません。漢方を服用することで、PMSを軽減することが可能な場合もございます。一度婦人科をご受診の上、医師にご相談ください。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901" s="31" t="str">
        <f>IFERROR(__xludf.DUMMYFUNCTION("""COMPUTED_VALUE"""),"PMS・妊娠")</f>
        <v>PMS・妊娠</v>
      </c>
      <c r="D901" s="31" t="str">
        <f>IFERROR(__xludf.DUMMYFUNCTION("""COMPUTED_VALUE"""),"妊娠希望,PMS,低用量ピル,漢方,受診")</f>
        <v>妊娠希望,PMS,低用量ピル,漢方,受診</v>
      </c>
      <c r="E901" s="31"/>
    </row>
    <row r="902">
      <c r="A902" s="31" t="str">
        <f>IFERROR(__xludf.DUMMYFUNCTION("""COMPUTED_VALUE"""),"月経前不快気分障害とは/PMDDとは")</f>
        <v>月経前不快気分障害とは/PMDDとは</v>
      </c>
      <c r="B902" s="31" t="str">
        <f>IFERROR(__xludf.DUMMYFUNCTION("""COMPUTED_VALUE"""),"月経が始まる2週間前ごろから心身が不安定でとてもつらい状態を「月経前症候群（PMS）」といいます。
その中でも心の不安定さが際立って強く出てしまう場合は「月経前不快気分障害（PMDD）」と診断されます。
PMDDは抑うつ気分、不安・緊張、情緒不安定、怒り・イライラの4症状が中心で、食行動の変化や睡眠障害などの特徴的な症状が月経前に
出現することで社会活動や人間関係に支障をきたします。
低用量ピルや漢方を用いて治療を行います。
低用量ピルの処方はオンラインでも可能ですが、あまりにもひどい場合には一度医師ま"&amp;"たは看護師にご相談をおすすめいたします。
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amp;"んのであらかじめご了承くださいませ。")</f>
        <v>月経が始まる2週間前ごろから心身が不安定でとてもつらい状態を「月経前症候群（PMS）」といいます。
その中でも心の不安定さが際立って強く出てしまう場合は「月経前不快気分障害（PMDD）」と診断されます。
PMDDは抑うつ気分、不安・緊張、情緒不安定、怒り・イライラの4症状が中心で、食行動の変化や睡眠障害などの特徴的な症状が月経前に
出現することで社会活動や人間関係に支障をきたします。
低用量ピルや漢方を用いて治療を行います。
低用量ピルの処方はオンラインでも可能ですが、あまりにもひどい場合には一度医師または看護師にご相談をおすすめいたします。
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902" s="31" t="str">
        <f>IFERROR(__xludf.DUMMYFUNCTION("""COMPUTED_VALUE"""),"PMS・PMDD")</f>
        <v>PMS・PMDD</v>
      </c>
      <c r="D902" s="31" t="str">
        <f>IFERROR(__xludf.DUMMYFUNCTION("""COMPUTED_VALUE"""),"PMDD,PMS,月経前,抑うつ,不安,イライラ,治療")</f>
        <v>PMDD,PMS,月経前,抑うつ,不安,イライラ,治療</v>
      </c>
      <c r="E902" s="31"/>
    </row>
    <row r="903">
      <c r="A903" s="31" t="str">
        <f>IFERROR(__xludf.DUMMYFUNCTION("""COMPUTED_VALUE"""),"膣剤の使用をやめたら症状が再燃")</f>
        <v>膣剤の使用をやめたら症状が再燃</v>
      </c>
      <c r="B903" s="31" t="str">
        <f>IFERROR(__xludf.DUMMYFUNCTION("""COMPUTED_VALUE"""),"カンジダ（クロトリマゾール）や一般細菌（フラジール膣剤）のお薬を使用された後に症状が再発している場合、医師の判断により別のお薬に変更する必要があることもございま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amp;"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
【乳酸桿菌】膣に直接的に入れることで、繰り返すカンジダ、膀胱炎、細菌の増殖によるおりもの異常に直接アプローチが可能でございます。また、継続的に使用することでより予防効果が効果が高まります。乳酸桿菌の定期配送は以下のURLより、ご購入が可能です。ご検討下さい。http"&amp;"s://shop.luna-dr.com/products/lactobacillus")</f>
        <v>カンジダ（クロトリマゾール）や一般細菌（フラジール膣剤）のお薬を使用された後に症状が再発している場合、医師の判断により別のお薬に変更する必要があることもございま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
【乳酸桿菌】膣に直接的に入れることで、繰り返すカンジダ、膀胱炎、細菌の増殖によるおりもの異常に直接アプローチが可能でございます。また、継続的に使用することでより予防効果が効果が高まります。乳酸桿菌の定期配送は以下のURLより、ご購入が可能です。ご検討下さい。https://shop.luna-dr.com/products/lactobacillus</v>
      </c>
      <c r="C903" s="31" t="str">
        <f>IFERROR(__xludf.DUMMYFUNCTION("""COMPUTED_VALUE"""),"おりもの・再発")</f>
        <v>おりもの・再発</v>
      </c>
      <c r="D903" s="31" t="str">
        <f>IFERROR(__xludf.DUMMYFUNCTION("""COMPUTED_VALUE"""),"膣剤,再燃,カンジダ,フラジール,乳酸桿菌,再発")</f>
        <v>膣剤,再燃,カンジダ,フラジール,乳酸桿菌,再発</v>
      </c>
      <c r="E903" s="31"/>
    </row>
    <row r="904">
      <c r="A904" s="31" t="str">
        <f>IFERROR(__xludf.DUMMYFUNCTION("""COMPUTED_VALUE"""),"カンジダが陰性であったが、性病の抗生剤を使用したらカンジダの症状（おりもの異常）になった")</f>
        <v>カンジダが陰性であったが、性病の抗生剤を使用したらカンジダの症状（おりもの異常）になった</v>
      </c>
      <c r="B904" s="31" t="str">
        <f>IFERROR(__xludf.DUMMYFUNCTION("""COMPUTED_VALUE"""),"性病の抗生剤を服用することで、膣内の免疫が低下し、カンジダになる場合がございます。カンジダの症状（チーズのポロポロとしたおりもの・臭いなど）がある場合には、医師の判断でお薬の処方が可能でございま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amp;"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f>
        <v>性病の抗生剤を服用することで、膣内の免疫が低下し、カンジダになる場合がございます。カンジダの症状（チーズのポロポロとしたおりもの・臭いなど）がある場合には、医師の判断でお薬の処方が可能でございま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904" s="31" t="str">
        <f>IFERROR(__xludf.DUMMYFUNCTION("""COMPUTED_VALUE"""),"おりもの・副作用")</f>
        <v>おりもの・副作用</v>
      </c>
      <c r="D904" s="31" t="str">
        <f>IFERROR(__xludf.DUMMYFUNCTION("""COMPUTED_VALUE"""),"抗生剤,カンジダ,おりもの異常,免疫低下")</f>
        <v>抗生剤,カンジダ,おりもの異常,免疫低下</v>
      </c>
      <c r="E904" s="31"/>
    </row>
    <row r="905">
      <c r="A905" s="31" t="str">
        <f>IFERROR(__xludf.DUMMYFUNCTION("""COMPUTED_VALUE"""),"カンジダの症状があるのでお薬が欲しい")</f>
        <v>カンジダの症状があるのでお薬が欲しい</v>
      </c>
      <c r="B905" s="31" t="str">
        <f>IFERROR(__xludf.DUMMYFUNCTION("""COMPUTED_VALUE"""),"症状のみでの判断は難しいため、状況の確認が必要です。オンライン診療では視診ができかねますので、ご予約のうえクリニックにご受診ください。受診のご予約はLINEで受け付けています。LINEはこちら→https://cline-app.com/qr-codes/98ad6f149bfa20f4f2a9a2e91aac4187/preview")</f>
        <v>症状のみでの判断は難しいため、状況の確認が必要です。オンライン診療では視診ができかねますので、ご予約のうえクリニックにご受診ください。受診のご予約はLINEで受け付けています。LINEはこちら→https://cline-app.com/qr-codes/98ad6f149bfa20f4f2a9a2e91aac4187/preview</v>
      </c>
      <c r="C905" s="31" t="str">
        <f>IFERROR(__xludf.DUMMYFUNCTION("""COMPUTED_VALUE"""),"おりもの・カンジダ")</f>
        <v>おりもの・カンジダ</v>
      </c>
      <c r="D905" s="31" t="str">
        <f>IFERROR(__xludf.DUMMYFUNCTION("""COMPUTED_VALUE"""),"カンジダ,症状,薬,視診,受診")</f>
        <v>カンジダ,症状,薬,視診,受診</v>
      </c>
      <c r="E905" s="31"/>
    </row>
    <row r="906">
      <c r="A906" s="31" t="str">
        <f>IFERROR(__xludf.DUMMYFUNCTION("""COMPUTED_VALUE"""),"陰部にできものがある")</f>
        <v>陰部にできものがある</v>
      </c>
      <c r="B906" s="31" t="str">
        <f>IFERROR(__xludf.DUMMYFUNCTION("""COMPUTED_VALUE"""),"陰部にできものがあるとのことから考えられることは、性器ヘルペス・細菌増殖・尖圭コンジローマなどの性感染症です。オンライン診療では視診が必要な診断、処方ができかねま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amp;"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f>
        <v>陰部にできものがあるとのことから考えられることは、性器ヘルペス・細菌増殖・尖圭コンジローマなどの性感染症です。オンライン診療では視診が必要な診断、処方ができかねま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906" s="31" t="str">
        <f>IFERROR(__xludf.DUMMYFUNCTION("""COMPUTED_VALUE"""),"症状・できもの")</f>
        <v>症状・できもの</v>
      </c>
      <c r="D906" s="31" t="str">
        <f>IFERROR(__xludf.DUMMYFUNCTION("""COMPUTED_VALUE"""),"陰部,できもの,ヘルペス,尖圭コンジローマ,性病")</f>
        <v>陰部,できもの,ヘルペス,尖圭コンジローマ,性病</v>
      </c>
      <c r="E906" s="31"/>
    </row>
    <row r="907">
      <c r="A907" s="31" t="str">
        <f>IFERROR(__xludf.DUMMYFUNCTION("""COMPUTED_VALUE"""),"性病のお薬を服用/使用したら治りますか？")</f>
        <v>性病のお薬を服用/使用したら治りますか？</v>
      </c>
      <c r="B907" s="31" t="str">
        <f>IFERROR(__xludf.DUMMYFUNCTION("""COMPUTED_VALUE"""),"抗生剤を服用すると性病に対して、基本的には効果があります。ですが、稀に耐性菌という患者様や抗生剤の相性、また感染してから時間が経過している場合には、通常量の抗生剤や種類では完治しない場合もございます。抗生剤の服用終了2週間後に再検査をしていただき、陰性の確認ができるまで何度も治療を行う場合がございます。また、その間は治療中扱いとなりますので、性行為はお控えください。")</f>
        <v>抗生剤を服用すると性病に対して、基本的には効果があります。ですが、稀に耐性菌という患者様や抗生剤の相性、また感染してから時間が経過している場合には、通常量の抗生剤や種類では完治しない場合もございます。抗生剤の服用終了2週間後に再検査をしていただき、陰性の確認ができるまで何度も治療を行う場合がございます。また、その間は治療中扱いとなりますので、性行為はお控えください。</v>
      </c>
      <c r="C907" s="31" t="str">
        <f>IFERROR(__xludf.DUMMYFUNCTION("""COMPUTED_VALUE"""),"性病治療")</f>
        <v>性病治療</v>
      </c>
      <c r="D907" s="31" t="str">
        <f>IFERROR(__xludf.DUMMYFUNCTION("""COMPUTED_VALUE"""),"性病,抗生剤,耐性菌,再検査,陰性確認")</f>
        <v>性病,抗生剤,耐性菌,再検査,陰性確認</v>
      </c>
      <c r="E907" s="31"/>
    </row>
    <row r="908">
      <c r="A908" s="31" t="str">
        <f>IFERROR(__xludf.DUMMYFUNCTION("""COMPUTED_VALUE"""),"おりものが完全にない")</f>
        <v>おりものが完全にない</v>
      </c>
      <c r="B908" s="31" t="str">
        <f>IFERROR(__xludf.DUMMYFUNCTION("""COMPUTED_VALUE"""),"おりものが完全に無くなる主な原因として、ストレスや疲労が考えられます。ですが、何らかの疾患が原因の場合もありますので、受診していただくことをお勧めいたしま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am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f>
        <v>おりものが完全に無くなる主な原因として、ストレスや疲労が考えられます。ですが、何らかの疾患が原因の場合もありますので、受診していただくことをお勧めいたします。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908" s="31" t="str">
        <f>IFERROR(__xludf.DUMMYFUNCTION("""COMPUTED_VALUE"""),"おりもの異常")</f>
        <v>おりもの異常</v>
      </c>
      <c r="D908" s="31" t="str">
        <f>IFERROR(__xludf.DUMMYFUNCTION("""COMPUTED_VALUE"""),"おりものなし,ストレス,疲労,疾患,受診")</f>
        <v>おりものなし,ストレス,疲労,疾患,受診</v>
      </c>
      <c r="E908" s="31"/>
    </row>
    <row r="909">
      <c r="A909" s="31" t="str">
        <f>IFERROR(__xludf.DUMMYFUNCTION("""COMPUTED_VALUE"""),"我慢汁（ガウパー液）にて妊娠する可能性はありますか？")</f>
        <v>我慢汁（ガウパー液）にて妊娠する可能性はありますか？</v>
      </c>
      <c r="B909" s="31" t="str">
        <f>IFERROR(__xludf.DUMMYFUNCTION("""COMPUTED_VALUE"""),"我慢汁（ガウパー液）にて妊娠する可能性はございます。なぜなら、我慢汁に精子は含まれず生殖能力はないものの、我慢汁に精子が混ざる可能性があるからです。ご不安な場合はオンライン診療にてアフターピル服用をご検討下さい（性行為後120時間以内）。性行為から120時間過ぎている場合は妊娠検査薬をご使用ください。妊娠検査薬は性行為から3週間後に検査し、月経予定日になっても月経が来なければ再検査をお願いいたします。")</f>
        <v>我慢汁（ガウパー液）にて妊娠する可能性はございます。なぜなら、我慢汁に精子は含まれず生殖能力はないものの、我慢汁に精子が混ざる可能性があるからです。ご不安な場合はオンライン診療にてアフターピル服用をご検討下さい（性行為後120時間以内）。性行為から120時間過ぎている場合は妊娠検査薬をご使用ください。妊娠検査薬は性行為から3週間後に検査し、月経予定日になっても月経が来なければ再検査をお願いいたします。</v>
      </c>
      <c r="C909" s="31" t="str">
        <f>IFERROR(__xludf.DUMMYFUNCTION("""COMPUTED_VALUE"""),"妊娠リスク")</f>
        <v>妊娠リスク</v>
      </c>
      <c r="D909" s="31" t="str">
        <f>IFERROR(__xludf.DUMMYFUNCTION("""COMPUTED_VALUE"""),"我慢汁,ガウパー液,妊娠,アフターピル,妊娠検査薬")</f>
        <v>我慢汁,ガウパー液,妊娠,アフターピル,妊娠検査薬</v>
      </c>
      <c r="E909" s="31"/>
    </row>
    <row r="910">
      <c r="A910" s="31" t="str">
        <f>IFERROR(__xludf.DUMMYFUNCTION("""COMPUTED_VALUE"""),"PMS診断は可能ですか？")</f>
        <v>PMS診断は可能ですか？</v>
      </c>
      <c r="B910" s="31" t="str">
        <f>IFERROR(__xludf.DUMMYFUNCTION("""COMPUTED_VALUE"""),"PMS診断は問診、血液検査、尿検査、内診、超音波検査を行い、その後医師とPMSを改善させるためのプランをご提案いたしております。
オンライン診療では視診が難しいため、一度医師または看護師にご相談されることをおすすめいたします。
当院でのご受診をご希望の場合は、ご予約をお取りの上、クリニックにご受診ください。受診のご予約はLINEで受け付けています。LINEはこちら→https://cline-app.com/qr-codes/98ad6f149bfa20f4f2a9a2e91aac4187/previe"&amp;"w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f>
        <v>PMS診断は問診、血液検査、尿検査、内診、超音波検査を行い、その後医師とPMSを改善させるためのプランをご提案いたしております。
オンライン診療では視診が難しいため、一度医師または看護師にご相談されることをおすすめいたします。
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910" s="31" t="str">
        <f>IFERROR(__xludf.DUMMYFUNCTION("""COMPUTED_VALUE"""),"PMS・診断")</f>
        <v>PMS・診断</v>
      </c>
      <c r="D910" s="31" t="str">
        <f>IFERROR(__xludf.DUMMYFUNCTION("""COMPUTED_VALUE"""),"PMS,診断,問診,血液検査,尿検査,内診,超音波")</f>
        <v>PMS,診断,問診,血液検査,尿検査,内診,超音波</v>
      </c>
      <c r="E910" s="31"/>
    </row>
    <row r="911">
      <c r="A911" s="31" t="str">
        <f>IFERROR(__xludf.DUMMYFUNCTION("""COMPUTED_VALUE"""),"生理前後の胸が張る症状が続く")</f>
        <v>生理前後の胸が張る症状が続く</v>
      </c>
      <c r="B911" s="31" t="str">
        <f>IFERROR(__xludf.DUMMYFUNCTION("""COMPUTED_VALUE"""),"胸の張る原因としては一時的なホルモンバランスの乱れで様子を見てもらっても良い場合もあります。ただ、乳腺炎などの疾患によって張っている可能性もあります。そのため、症状が続くようであれば、一度受診していただくことをお勧めいたします。当院は胸部に関する診療ができないため、お手数をおかけしますが、お近くの婦人科にてご相談ください。")</f>
        <v>胸の張る原因としては一時的なホルモンバランスの乱れで様子を見てもらっても良い場合もあります。ただ、乳腺炎などの疾患によって張っている可能性もあります。そのため、症状が続くようであれば、一度受診していただくことをお勧めいたします。当院は胸部に関する診療ができないため、お手数をおかけしますが、お近くの婦人科にてご相談ください。</v>
      </c>
      <c r="C911" s="31" t="str">
        <f>IFERROR(__xludf.DUMMYFUNCTION("""COMPUTED_VALUE"""),"PMS・月経関連")</f>
        <v>PMS・月経関連</v>
      </c>
      <c r="D911" s="31" t="str">
        <f>IFERROR(__xludf.DUMMYFUNCTION("""COMPUTED_VALUE"""),"胸が張る,胸の痛み,乳房の張り,生理前,生理後,PMS,ホルモンバランス,乳腺炎,受診目安")</f>
        <v>胸が張る,胸の痛み,乳房の張り,生理前,生理後,PMS,ホルモンバランス,乳腺炎,受診目安</v>
      </c>
      <c r="E911" s="31"/>
    </row>
    <row r="912">
      <c r="A912" s="31" t="str">
        <f>IFERROR(__xludf.DUMMYFUNCTION("""COMPUTED_VALUE"""),"卵巣膿腫とは")</f>
        <v>卵巣膿腫とは</v>
      </c>
      <c r="B912" s="31" t="str">
        <f>IFERROR(__xludf.DUMMYFUNCTION("""COMPUTED_VALUE"""),"卵巣膿腫とは、卵巣内またはその周辺にできる液体が溜まった嚢細胞のことを指します。卵巣膿腫の主な原因には、感染炎症が関与している場合が多く、特に骨盤内の感染症などが卵巣や卵管に広がることで発症することがあります。また、卵管が感染症により閉塞し、膿が溜まることで卵管膿腫としても知られます。超音波検査やCT、MRIなどの画像診断がよく用いられます。小さな膿腫であれば自然に治癒することもありますが、大きなものや症状が重い場合、特に感染がある場合には抗生物質の投与や、場合によっては手術による排膿や嚢細胞の除去が必要"&amp;"になる場合があります。オンライン診療では視診が難しいため一度医師・看護師にご相談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amp;"の方への診療、救急対応（緊急搬送・急性期対応）は行っておりませんのであらかじめご了承くださいませ。")</f>
        <v>卵巣膿腫とは、卵巣内またはその周辺にできる液体が溜まった嚢細胞のことを指します。卵巣膿腫の主な原因には、感染炎症が関与している場合が多く、特に骨盤内の感染症などが卵巣や卵管に広がることで発症することがあります。また、卵管が感染症により閉塞し、膿が溜まることで卵管膿腫としても知られます。超音波検査やCT、MRIなどの画像診断がよく用いられます。小さな膿腫であれば自然に治癒することもありますが、大きなものや症状が重い場合、特に感染がある場合には抗生物質の投与や、場合によっては手術による排膿や嚢細胞の除去が必要になる場合があります。オンライン診療では視診が難しいため一度医師・看護師にご相談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912" s="31" t="str">
        <f>IFERROR(__xludf.DUMMYFUNCTION("""COMPUTED_VALUE"""),"婦人科疾患（卵巣・卵管）")</f>
        <v>婦人科疾患（卵巣・卵管）</v>
      </c>
      <c r="D912" s="31" t="str">
        <f>IFERROR(__xludf.DUMMYFUNCTION("""COMPUTED_VALUE"""),"卵巣膿腫,卵管膿腫,骨盤内感染,感染,炎症,超音波,CT,MRI,抗生物質,手術,受診")</f>
        <v>卵巣膿腫,卵管膿腫,骨盤内感染,感染,炎症,超音波,CT,MRI,抗生物質,手術,受診</v>
      </c>
      <c r="E912" s="31"/>
    </row>
    <row r="913">
      <c r="A913" s="31" t="str">
        <f>IFERROR(__xludf.DUMMYFUNCTION("""COMPUTED_VALUE"""),"着床出血とは")</f>
        <v>着床出血とは</v>
      </c>
      <c r="B913" s="31" t="str">
        <f>IFERROR(__xludf.DUMMYFUNCTION("""COMPUTED_VALUE"""),"着床出血とは、受精卵が着床する際に子宮内膜の血管を傷つけてしまうために起こる少量の出血のことです。着床出血が起こる時期は妊娠4週頃とされています。残念ながら、出血のみで着床出血かの判断は難しいです。よって、可能性のある性交渉から3週間後にご自身で妊娠検査薬を行っていただき、妊娠しているかの判断をしていただくことになります。妊娠検査薬は性行為から3週間後に検査いただき、この時点では妊娠をしていても陰性の可能性がございますので月経予定日になっても月経が来なければ再検査をお願いいたします。")</f>
        <v>着床出血とは、受精卵が着床する際に子宮内膜の血管を傷つけてしまうために起こる少量の出血のことです。着床出血が起こる時期は妊娠4週頃とされています。残念ながら、出血のみで着床出血かの判断は難しいです。よって、可能性のある性交渉から3週間後にご自身で妊娠検査薬を行っていただき、妊娠しているかの判断をしていただくことになります。妊娠検査薬は性行為から3週間後に検査いただき、この時点では妊娠をしていても陰性の可能性がございますので月経予定日になっても月経が来なければ再検査をお願いいたします。</v>
      </c>
      <c r="C913" s="31" t="str">
        <f>IFERROR(__xludf.DUMMYFUNCTION("""COMPUTED_VALUE"""),"妊娠・妊娠判定")</f>
        <v>妊娠・妊娠判定</v>
      </c>
      <c r="D913" s="31" t="str">
        <f>IFERROR(__xludf.DUMMYFUNCTION("""COMPUTED_VALUE"""),"着床出血,妊娠初期,少量出血,茶色い出血,妊娠4週,妊娠検査薬,いつから,性行為3週間後,陰性,再検査")</f>
        <v>着床出血,妊娠初期,少量出血,茶色い出血,妊娠4週,妊娠検査薬,いつから,性行為3週間後,陰性,再検査</v>
      </c>
      <c r="E913" s="31"/>
    </row>
    <row r="914">
      <c r="A914" s="31" t="str">
        <f>IFERROR(__xludf.DUMMYFUNCTION("""COMPUTED_VALUE"""),"尖圭コンジローマ治療後に症状が出た/ベセルナクリームによって症状が出た")</f>
        <v>尖圭コンジローマ治療後に症状が出た/ベセルナクリームによって症状が出た</v>
      </c>
      <c r="B914" s="31" t="str">
        <f>IFERROR(__xludf.DUMMYFUNCTION("""COMPUTED_VALUE"""),"ベセルナクリームとは尖圭コンジローマの治療に用いるお薬で、2日おきにお風呂上り清潔な状態で使用、朝に洗い流す塗薬でございます。今一度使用方法に誤りが無いか、ご確認をお願い致します。症状が治まらない場合は直ちに使用を中断し、シャワーで洗い流してください。オンライン診療では視診が難しいためかかりつけ医にご相談ください。当院での処方歴がある場合は、ご予約をお取りの上、クリニックにご受診下さい。受診のご予約はLINEで受け付けています。LINEはこちら→https://cline-app.com/qr-codes"&amp;"/98ad6f149bfa20f4f2a9a2e91aac4187/preview")</f>
        <v>ベセルナクリームとは尖圭コンジローマの治療に用いるお薬で、2日おきにお風呂上り清潔な状態で使用、朝に洗い流す塗薬でございます。今一度使用方法に誤りが無いか、ご確認をお願い致します。症状が治まらない場合は直ちに使用を中断し、シャワーで洗い流してください。オンライン診療では視診が難しいためかかりつけ医にご相談ください。当院での処方歴がある場合は、ご予約をお取りの上、クリニックにご受診下さい。受診のご予約はLINEで受け付けています。LINEはこちら→https://cline-app.com/qr-codes/98ad6f149bfa20f4f2a9a2e91aac4187/preview</v>
      </c>
      <c r="C914" s="31" t="str">
        <f>IFERROR(__xludf.DUMMYFUNCTION("""COMPUTED_VALUE"""),"性感染症（HPV/いぼ）・薬の使い方")</f>
        <v>性感染症（HPV/いぼ）・薬の使い方</v>
      </c>
      <c r="D914" s="31" t="str">
        <f>IFERROR(__xludf.DUMMYFUNCTION("""COMPUTED_VALUE"""),"尖圭コンジローマ,ベセルナ,イミキモド,塗り薬,副作用,ヒリヒリ,赤み,使い方,洗い流す,中止,受診")</f>
        <v>尖圭コンジローマ,ベセルナ,イミキモド,塗り薬,副作用,ヒリヒリ,赤み,使い方,洗い流す,中止,受診</v>
      </c>
      <c r="E914" s="31"/>
    </row>
    <row r="915">
      <c r="A915" s="31" t="str">
        <f>IFERROR(__xludf.DUMMYFUNCTION("""COMPUTED_VALUE"""),"性行為後による下痢は妊娠の可能性があるか")</f>
        <v>性行為後による下痢は妊娠の可能性があるか</v>
      </c>
      <c r="B915" s="31" t="str">
        <f>IFERROR(__xludf.DUMMYFUNCTION("""COMPUTED_VALUE"""),"妊娠したことで便の調子が変わるという可能性はもちろんございますが、下痢をした＝妊娠したということにはならないと考えられます。妊娠したかどうかについては、妊娠検査薬を使用していただくのが確実です。また、下痢については食べ物や他の原因でなることも考えられますので、長く続き症状が気になるようであれば、消化器内科への受診をおすすめいたします。また、妊娠をご希望されない場合は、性行為から120時間以内であればアフターピルを内服するという選択肢もございます。オンラインで処方が可能でございますので、ご検討ください。妊娠"&amp;"検査薬は性行為から3週間後に検査いただき、この時点では妊娠をしていても陰性の可能性がございますので月経予定日になっても月経が来なければ再検査をお願いいたします。")</f>
        <v>妊娠したことで便の調子が変わるという可能性はもちろんございますが、下痢をした＝妊娠したということにはならないと考えられます。妊娠したかどうかについては、妊娠検査薬を使用していただくのが確実です。また、下痢については食べ物や他の原因でなることも考えられますので、長く続き症状が気になるようであれば、消化器内科への受診をおすすめいたします。また、妊娠をご希望されない場合は、性行為から120時間以内であればアフターピルを内服するという選択肢もございます。オンラインで処方が可能でございますので、ご検討ください。妊娠検査薬は性行為から3週間後に検査いただき、この時点では妊娠をしていても陰性の可能性がございますので月経予定日になっても月経が来なければ再検査をお願いいたします。</v>
      </c>
      <c r="C915" s="31" t="str">
        <f>IFERROR(__xludf.DUMMYFUNCTION("""COMPUTED_VALUE"""),"妊娠不安・アフターピル/検査")</f>
        <v>妊娠不安・アフターピル/検査</v>
      </c>
      <c r="D915" s="31" t="str">
        <f>IFERROR(__xludf.DUMMYFUNCTION("""COMPUTED_VALUE"""),"性行為後,下痢,妊娠初期症状,妊娠の可能性,妊娠検査薬,性行為3週間後,アフターピル,120時間,避妊失敗")</f>
        <v>性行為後,下痢,妊娠初期症状,妊娠の可能性,妊娠検査薬,性行為3週間後,アフターピル,120時間,避妊失敗</v>
      </c>
      <c r="E915" s="31"/>
    </row>
    <row r="916">
      <c r="A916" s="31" t="str">
        <f>IFERROR(__xludf.DUMMYFUNCTION("""COMPUTED_VALUE"""),"膣外射精でも妊娠の可能性はありますか")</f>
        <v>膣外射精でも妊娠の可能性はありますか</v>
      </c>
      <c r="B916" s="31" t="str">
        <f>IFERROR(__xludf.DUMMYFUNCTION("""COMPUTED_VALUE"""),"膣外射精であっても妊娠の可能性はございます。なぜなら、膣外に出したつもりでも、無意識に膣内に出してしまっている方もいるからです。射精の妊娠率は22％、ピル服用による避妊確率は99.7％と言われます。また、妊娠をご希望されない場合は、性行為から120時間以内であればアフターピルを内服するという選択肢もございます。オンラインで処方が可能でございますので、ご検討ください。性行為から120時間が過ぎている場合はアフターピルの使用ができないため、妊娠検査薬にてご確認ください。妊娠検査薬は性行為から3週間後に検査いた"&amp;"だき、この時点では妊娠をしていても陰性の可能性がございますので月経予定日になっても月経が来なければ再検査をお願いいたします。")</f>
        <v>膣外射精であっても妊娠の可能性はございます。なぜなら、膣外に出したつもりでも、無意識に膣内に出してしまっている方もいるからです。射精の妊娠率は22％、ピル服用による避妊確率は99.7％と言われます。また、妊娠をご希望されない場合は、性行為から120時間以内であればアフターピルを内服するという選択肢もございます。オンラインで処方が可能でございますので、ご検討ください。性行為から120時間が過ぎている場合はアフターピルの使用ができないため、妊娠検査薬にてご確認ください。妊娠検査薬は性行為から3週間後に検査いただき、この時点では妊娠をしていても陰性の可能性がございますので月経予定日になっても月経が来なければ再検査をお願いいたします。</v>
      </c>
      <c r="C916" s="31" t="str">
        <f>IFERROR(__xludf.DUMMYFUNCTION("""COMPUTED_VALUE"""),"避妊・妊娠不安")</f>
        <v>避妊・妊娠不安</v>
      </c>
      <c r="D916" s="31" t="str">
        <f>IFERROR(__xludf.DUMMYFUNCTION("""COMPUTED_VALUE"""),"膣外射精,外出し,妊娠確率,妊娠の可能性,避妊失敗,アフターピル,120時間,妊娠検査薬,性行為3週間後")</f>
        <v>膣外射精,外出し,妊娠確率,妊娠の可能性,避妊失敗,アフターピル,120時間,妊娠検査薬,性行為3週間後</v>
      </c>
      <c r="E916" s="31"/>
    </row>
    <row r="917">
      <c r="A917" s="31" t="str">
        <f>IFERROR(__xludf.DUMMYFUNCTION("""COMPUTED_VALUE"""),"妊娠が可能なのか確認をしたい")</f>
        <v>妊娠が可能なのか確認をしたい</v>
      </c>
      <c r="B917" s="31" t="str">
        <f>IFERROR(__xludf.DUMMYFUNCTION("""COMPUTED_VALUE"""),"不妊には様々な原因が考えられます。当院では卵子の活動確認を除くブライダルチェック検査は可能でございます。一度ご自身の状況を確認するためにもブライダルチェック検査をおすすめいたします。※卵巣機能などの不妊に関する診療は出来かねます。ご了承ください。当院での検査はご予約をお取りの上、クリニックにご受診下さい。受診のご予約はLINEで受け付けています。LINEはこちら→https://cline-app.com/qr-codes/98ad6f149bfa20f4f2a9a2e91aac4187/preview
"&amp;"※大変恐縮ですが、当院では、不妊治療は行っていません。不妊治療をご希望の場合は、お近くの婦人科へご相談ください。")</f>
        <v>不妊には様々な原因が考えられます。当院では卵子の活動確認を除くブライダルチェック検査は可能でございます。一度ご自身の状況を確認するためにもブライダルチェック検査をおすすめいたします。※卵巣機能などの不妊に関する診療は出来かねます。ご了承ください。当院での検査はご予約をお取りの上、クリニックにご受診下さい。受診のご予約はLINEで受け付けています。LINEはこちら→https://cline-app.com/qr-codes/98ad6f149bfa20f4f2a9a2e91aac4187/preview
※大変恐縮ですが、当院では、不妊治療は行っていません。不妊治療をご希望の場合は、お近くの婦人科へご相談ください。</v>
      </c>
      <c r="C917" s="31" t="str">
        <f>IFERROR(__xludf.DUMMYFUNCTION("""COMPUTED_VALUE"""),"妊活・不妊の相談/検査")</f>
        <v>妊活・不妊の相談/検査</v>
      </c>
      <c r="D917" s="31" t="str">
        <f>IFERROR(__xludf.DUMMYFUNCTION("""COMPUTED_VALUE"""),"妊娠できるか,不妊検査,ブライダルチェック,妊活,原因,卵巣機能,AMH,受診,予約")</f>
        <v>妊娠できるか,不妊検査,ブライダルチェック,妊活,原因,卵巣機能,AMH,受診,予約</v>
      </c>
      <c r="E917" s="31"/>
    </row>
    <row r="918">
      <c r="A918" s="31" t="str">
        <f>IFERROR(__xludf.DUMMYFUNCTION("""COMPUTED_VALUE"""),"ホットフラッシュとは")</f>
        <v>ホットフラッシュとは</v>
      </c>
      <c r="B918" s="31" t="str">
        <f>IFERROR(__xludf.DUMMYFUNCTION("""COMPUTED_VALUE"""),"ホットフラッシュとは上半身ののぼせ、ほてり、発汗などが起こる、急に顔が熱くなり、汗が止まらなくなったりする症状が一日に何回も出ては消えることを言います。原因は更年期による急激なホルモンの低下によるものです。治療法はホルモン薬や漢方を用いて行います。当院では更年期治療が難しいため、お近くの医療機関にご相談ください。")</f>
        <v>ホットフラッシュとは上半身ののぼせ、ほてり、発汗などが起こる、急に顔が熱くなり、汗が止まらなくなったりする症状が一日に何回も出ては消えることを言います。原因は更年期による急激なホルモンの低下によるものです。治療法はホルモン薬や漢方を用いて行います。当院では更年期治療が難しいため、お近くの医療機関にご相談ください。</v>
      </c>
      <c r="C918" s="31" t="str">
        <f>IFERROR(__xludf.DUMMYFUNCTION("""COMPUTED_VALUE"""),"更年期")</f>
        <v>更年期</v>
      </c>
      <c r="D918" s="31" t="str">
        <f>IFERROR(__xludf.DUMMYFUNCTION("""COMPUTED_VALUE"""),"ホットフラッシュ,のぼせ,ほてり,発汗,更年期,女性ホルモン低下,治療,ホルモン療法,漢方")</f>
        <v>ホットフラッシュ,のぼせ,ほてり,発汗,更年期,女性ホルモン低下,治療,ホルモン療法,漢方</v>
      </c>
      <c r="E918" s="31"/>
    </row>
    <row r="919">
      <c r="A919" s="31" t="str">
        <f>IFERROR(__xludf.DUMMYFUNCTION("""COMPUTED_VALUE"""),"卵管留水腫とは")</f>
        <v>卵管留水腫とは</v>
      </c>
      <c r="B919" s="31" t="str">
        <f>IFERROR(__xludf.DUMMYFUNCTION("""COMPUTED_VALUE"""),"卵管水腫とは卵管に水が溜まって腫れていることを言います。この卵管に溜まっている水が子宮内に流れ込むことによって、子宮内膜に悪影響を及ぼし、着床しない反復着床障害や流産の原因になっていることが指摘されております。オンライン診療では視診が難しいため一度医師・看護師にご相談をおすすめいたします。当院でのご受診をご希望の場合は、ご予約をお取りの上、クリニックにご受診ください。受診のご予約はLINEで受け付けています。LINEはこちら→https://cline-app.com/qr-codes/98ad6f149"&amp;"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f>
        <v>卵管水腫とは卵管に水が溜まって腫れていることを言います。この卵管に溜まっている水が子宮内に流れ込むことによって、子宮内膜に悪影響を及ぼし、着床しない反復着床障害や流産の原因になっていることが指摘されております。オンライン診療では視診が難しいため一度医師・看護師にご相談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919" s="31" t="str">
        <f>IFERROR(__xludf.DUMMYFUNCTION("""COMPUTED_VALUE"""),"妊活・不妊（卵管）")</f>
        <v>妊活・不妊（卵管）</v>
      </c>
      <c r="D919" s="31" t="str">
        <f>IFERROR(__xludf.DUMMYFUNCTION("""COMPUTED_VALUE"""),"卵管水腫,卵管留水腫,卵管,着床障害,反復着床障害,流産,子宮内膜,受診,相談")</f>
        <v>卵管水腫,卵管留水腫,卵管,着床障害,反復着床障害,流産,子宮内膜,受診,相談</v>
      </c>
      <c r="E919" s="31"/>
    </row>
    <row r="920">
      <c r="A920" s="31" t="str">
        <f>IFERROR(__xludf.DUMMYFUNCTION("""COMPUTED_VALUE"""),"注射にて月経を止めることは出来ますか？")</f>
        <v>注射にて月経を止めることは出来ますか？</v>
      </c>
      <c r="B920" s="31" t="str">
        <f>IFERROR(__xludf.DUMMYFUNCTION("""COMPUTED_VALUE"""),"注射にて月経を止める方法は偽閉経（ぎへいけい）療法と呼ばれる治療法です。リュープリン注射は、GnRHアゴニストと呼ばれる薬の一種であり、脳下垂体に働いて排卵を止めます。そのため、排卵が止まるので、生理も止まります。当院にてお取り扱いがないため、お近くの婦人科にご相談ください。")</f>
        <v>注射にて月経を止める方法は偽閉経（ぎへいけい）療法と呼ばれる治療法です。リュープリン注射は、GnRHアゴニストと呼ばれる薬の一種であり、脳下垂体に働いて排卵を止めます。そのため、排卵が止まるので、生理も止まります。当院にてお取り扱いがないため、お近くの婦人科にご相談ください。</v>
      </c>
      <c r="C920" s="31" t="str">
        <f>IFERROR(__xludf.DUMMYFUNCTION("""COMPUTED_VALUE"""),"月経を止める・治療")</f>
        <v>月経を止める・治療</v>
      </c>
      <c r="D920" s="31" t="str">
        <f>IFERROR(__xludf.DUMMYFUNCTION("""COMPUTED_VALUE"""),"生理を止める,注射,偽閉経療法,リュープリン,GnRHアゴニスト,排卵抑制,月経停止,婦人科")</f>
        <v>生理を止める,注射,偽閉経療法,リュープリン,GnRHアゴニスト,排卵抑制,月経停止,婦人科</v>
      </c>
      <c r="E920" s="31"/>
    </row>
    <row r="921">
      <c r="A921" s="31" t="str">
        <f>IFERROR(__xludf.DUMMYFUNCTION("""COMPUTED_VALUE"""),"性行為で膣が裂けた")</f>
        <v>性行為で膣が裂けた</v>
      </c>
      <c r="B921" s="31" t="str">
        <f>IFERROR(__xludf.DUMMYFUNCTION("""COMPUTED_VALUE"""),"膣口が狭く性交で切れてしまうのは、体質のことが原因の場合がありますし、精神的なことが原因の場合もあります。性交痛で検索していただき、その相談を受け付けている婦人科に相談されることをおすすめいたします。")</f>
        <v>膣口が狭く性交で切れてしまうのは、体質のことが原因の場合がありますし、精神的なことが原因の場合もあります。性交痛で検索していただき、その相談を受け付けている婦人科に相談されることをおすすめいたします。</v>
      </c>
      <c r="C921" s="31" t="str">
        <f>IFERROR(__xludf.DUMMYFUNCTION("""COMPUTED_VALUE"""),"性交痛・デリケートゾーン")</f>
        <v>性交痛・デリケートゾーン</v>
      </c>
      <c r="D921" s="31" t="str">
        <f>IFERROR(__xludf.DUMMYFUNCTION("""COMPUTED_VALUE"""),"性交痛,膣が切れる,膣口が狭い,性交で痛い,体質,精神的要因,婦人科,相談")</f>
        <v>性交痛,膣が切れる,膣口が狭い,性交で痛い,体質,精神的要因,婦人科,相談</v>
      </c>
      <c r="E921" s="31"/>
    </row>
    <row r="922">
      <c r="A922" s="31" t="str">
        <f>IFERROR(__xludf.DUMMYFUNCTION("""COMPUTED_VALUE"""),"鼠径部（そけいぶ）にしこりがある")</f>
        <v>鼠径部（そけいぶ）にしこりがある</v>
      </c>
      <c r="B922" s="31" t="str">
        <f>IFERROR(__xludf.DUMMYFUNCTION("""COMPUTED_VALUE"""),"陰部にできものがある以外に考えられる原因としては①毛包炎（傷口が細菌感染して発症。大きさは1ミリ程度から1センチ以上までさまざま）②粉瘤（1ミリ以下～数センチ以上。中心部が白っぽい、または黒っぽく透けて見え、腫れ・痛みを感じる場合があります）③汗腺炎（膿・赤み・腫れを伴うできものが複数発生し、半年以内に2回程度の再発が多い）が考えられます。いずれにしても、症状があるときは皮膚科を受診することをお勧めいたします。")</f>
        <v>陰部にできものがある以外に考えられる原因としては①毛包炎（傷口が細菌感染して発症。大きさは1ミリ程度から1センチ以上までさまざま）②粉瘤（1ミリ以下～数センチ以上。中心部が白っぽい、または黒っぽく透けて見え、腫れ・痛みを感じる場合があります）③汗腺炎（膿・赤み・腫れを伴うできものが複数発生し、半年以内に2回程度の再発が多い）が考えられます。いずれにしても、症状があるときは皮膚科を受診することをお勧めいたします。</v>
      </c>
      <c r="C922" s="31" t="str">
        <f>IFERROR(__xludf.DUMMYFUNCTION("""COMPUTED_VALUE"""),"外陰部・皮膚症状")</f>
        <v>外陰部・皮膚症状</v>
      </c>
      <c r="D922" s="31" t="str">
        <f>IFERROR(__xludf.DUMMYFUNCTION("""COMPUTED_VALUE"""),"鼠径部,そけい部,しこり,陰部,毛包炎,粉瘤,汗腺炎,腫れ,痛み,皮膚科")</f>
        <v>鼠径部,そけい部,しこり,陰部,毛包炎,粉瘤,汗腺炎,腫れ,痛み,皮膚科</v>
      </c>
      <c r="E922" s="31"/>
    </row>
    <row r="923">
      <c r="A923" s="31" t="str">
        <f>IFERROR(__xludf.DUMMYFUNCTION("""COMPUTED_VALUE"""),"BMIと生理の関係性")</f>
        <v>BMIと生理の関係性</v>
      </c>
      <c r="B923" s="31" t="str">
        <f>IFERROR(__xludf.DUMMYFUNCTION("""COMPUTED_VALUE"""),"BMIと生理には大きな関係があります。BMIが17以下になると3カ月以上生理が来なくなり、無月経になることがあります。生理が来ないから楽で良いと思う方もいるかと思いますが、無月経は不妊の原因となり、長時間放置していると月経が再開しにくくなります。")</f>
        <v>BMIと生理には大きな関係があります。BMIが17以下になると3カ月以上生理が来なくなり、無月経になることがあります。生理が来ないから楽で良いと思う方もいるかと思いますが、無月経は不妊の原因となり、長時間放置していると月経が再開しにくくなります。</v>
      </c>
      <c r="C923" s="31" t="str">
        <f>IFERROR(__xludf.DUMMYFUNCTION("""COMPUTED_VALUE"""),"生理不順・無月経")</f>
        <v>生理不順・無月経</v>
      </c>
      <c r="D923" s="31" t="str">
        <f>IFERROR(__xludf.DUMMYFUNCTION("""COMPUTED_VALUE"""),"BMI,低体重,BMI17,無月経,生理が来ない,生理不順,ダイエット,不妊,月経再開")</f>
        <v>BMI,低体重,BMI17,無月経,生理が来ない,生理不順,ダイエット,不妊,月経再開</v>
      </c>
      <c r="E923" s="31"/>
    </row>
    <row r="924">
      <c r="A924" s="31" t="str">
        <f>IFERROR(__xludf.DUMMYFUNCTION("""COMPUTED_VALUE"""),"卵子凍結とは")</f>
        <v>卵子凍結とは</v>
      </c>
      <c r="B924" s="31" t="str">
        <f>IFERROR(__xludf.DUMMYFUNCTION("""COMPUTED_VALUE"""),"卵子は20代～30代にかけて加齢とともに衰えていきますが、若い卵子を保存することで将来妊娠したいタイミングで出産する準備が可能でございます。卵子凍結はさまざまな要因で実施する方が増えております。社会的要因は現在の生活が落ち着いたタイミングで子育てを考えている方、医学的要因は悪性腫瘍などで今後卵子の使用ができなくなるが治療を終え、妊娠を考えている方が利用します。当院では卵子凍結などの治療は行っていないため、専門のクリニックで専門の医療者から正しい説明を受けてご利用をお考えください。")</f>
        <v>卵子は20代～30代にかけて加齢とともに衰えていきますが、若い卵子を保存することで将来妊娠したいタイミングで出産する準備が可能でございます。卵子凍結はさまざまな要因で実施する方が増えております。社会的要因は現在の生活が落ち着いたタイミングで子育てを考えている方、医学的要因は悪性腫瘍などで今後卵子の使用ができなくなるが治療を終え、妊娠を考えている方が利用します。当院では卵子凍結などの治療は行っていないため、専門のクリニックで専門の医療者から正しい説明を受けてご利用をお考えください。</v>
      </c>
      <c r="C924" s="31" t="str">
        <f>IFERROR(__xludf.DUMMYFUNCTION("""COMPUTED_VALUE"""),"妊活・将来の妊娠（卵子凍結）")</f>
        <v>妊活・将来の妊娠（卵子凍結）</v>
      </c>
      <c r="D924" s="31" t="str">
        <f>IFERROR(__xludf.DUMMYFUNCTION("""COMPUTED_VALUE"""),"卵子凍結,卵子保存,将来妊娠,年齢,加齢,20代,30代,社会的卵子凍結,がん治療,専門クリニック")</f>
        <v>卵子凍結,卵子保存,将来妊娠,年齢,加齢,20代,30代,社会的卵子凍結,がん治療,専門クリニック</v>
      </c>
      <c r="E924" s="31"/>
    </row>
    <row r="925">
      <c r="A925" s="31" t="str">
        <f>IFERROR(__xludf.DUMMYFUNCTION("""COMPUTED_VALUE"""),"子宮下垂とは？/子宮脱とは？")</f>
        <v>子宮下垂とは？/子宮脱とは？</v>
      </c>
      <c r="B925" s="31" t="str">
        <f>IFERROR(__xludf.DUMMYFUNCTION("""COMPUTED_VALUE"""),"子宮下垂・子宮脱とは、通常の場所より下がっていることで、ひどくなると外陰部より子宮が出ている状態を言います。軽度の場合は自身では気づかず、婦人科で指摘されて初めて気づき、ひどくなると何かが出ている・外陰部に違和感があると自覚症状が現れます。原因は骨盤底が、出産や外科手術、その他の原因により障害され、内臓を支えきれなくなることによって起こります。少しでも違和感を感じる場合は、お早めに子宮下垂・子宮脱の治療ができる婦人科にご相談ください。")</f>
        <v>子宮下垂・子宮脱とは、通常の場所より下がっていることで、ひどくなると外陰部より子宮が出ている状態を言います。軽度の場合は自身では気づかず、婦人科で指摘されて初めて気づき、ひどくなると何かが出ている・外陰部に違和感があると自覚症状が現れます。原因は骨盤底が、出産や外科手術、その他の原因により障害され、内臓を支えきれなくなることによって起こります。少しでも違和感を感じる場合は、お早めに子宮下垂・子宮脱の治療ができる婦人科にご相談ください。</v>
      </c>
      <c r="C925" s="31" t="str">
        <f>IFERROR(__xludf.DUMMYFUNCTION("""COMPUTED_VALUE"""),"骨盤底・子宮脱")</f>
        <v>骨盤底・子宮脱</v>
      </c>
      <c r="D925" s="31" t="str">
        <f>IFERROR(__xludf.DUMMYFUNCTION("""COMPUTED_VALUE"""),"子宮下垂,子宮脱,骨盤臓器脱,外陰部違和感,何か出てくる,出産後,骨盤底筋,婦人科,治療")</f>
        <v>子宮下垂,子宮脱,骨盤臓器脱,外陰部違和感,何か出てくる,出産後,骨盤底筋,婦人科,治療</v>
      </c>
      <c r="E925" s="31"/>
    </row>
    <row r="926">
      <c r="A926" s="31" t="str">
        <f>IFERROR(__xludf.DUMMYFUNCTION("""COMPUTED_VALUE"""),"フォアダイスとは/性器にポツポツ")</f>
        <v>フォアダイスとは/性器にポツポツ</v>
      </c>
      <c r="B926" s="31" t="str">
        <f>IFERROR(__xludf.DUMMYFUNCTION("""COMPUTED_VALUE"""),"一見ヘルペスや性病と不安になる場合もありますが、皮脂腺が詰まり唇や性器にポツポツができる〖フォアダイス〗かもしれません。
フォアダイスは性器にできることが多いため性病と勘違いされやすいですが、実際は皮脂が皮脂腺にたまっているだけの生理現象です。
痛みやかゆみなどの症状はありませんし、感染症でもないので、性行為を避けたり治療をしたりする必要はありません。
病的意義はないため、治療は不要です。しかし見た目上どうしても気になるということであれば、手術で取り除くことができます。
")</f>
        <v>一見ヘルペスや性病と不安になる場合もありますが、皮脂腺が詰まり唇や性器にポツポツができる〖フォアダイス〗かもしれません。
フォアダイスは性器にできることが多いため性病と勘違いされやすいですが、実際は皮脂が皮脂腺にたまっているだけの生理現象です。
痛みやかゆみなどの症状はありませんし、感染症でもないので、性行為を避けたり治療をしたりする必要はありません。
病的意義はないため、治療は不要です。しかし見た目上どうしても気になるということであれば、手術で取り除くことができます。
</v>
      </c>
      <c r="C926" s="31" t="str">
        <f>IFERROR(__xludf.DUMMYFUNCTION("""COMPUTED_VALUE"""),"外陰部・皮膚症状")</f>
        <v>外陰部・皮膚症状</v>
      </c>
      <c r="D926" s="31" t="str">
        <f>IFERROR(__xludf.DUMMYFUNCTION("""COMPUTED_VALUE"""),"フォアダイス,性器のぶつぶつ,唇のぶつぶつ,皮脂腺,皮脂腺の詰まり,性病と勘違い,ヘルペス,痛みなし,かゆみなし,感染しない,治療不要,手術")</f>
        <v>フォアダイス,性器のぶつぶつ,唇のぶつぶつ,皮脂腺,皮脂腺の詰まり,性病と勘違い,ヘルペス,痛みなし,かゆみなし,感染しない,治療不要,手術</v>
      </c>
      <c r="E926" s="31"/>
    </row>
    <row r="927">
      <c r="A927" s="31" t="str">
        <f>IFERROR(__xludf.DUMMYFUNCTION("""COMPUTED_VALUE"""),"シンナーと妊娠の関係性/シンナーと不妊の関係性")</f>
        <v>シンナーと妊娠の関係性/シンナーと不妊の関係性</v>
      </c>
      <c r="B927" s="31" t="str">
        <f>IFERROR(__xludf.DUMMYFUNCTION("""COMPUTED_VALUE"""),"長期的にシンナーを吸い続けると不妊や生理不順などのリスクがあると言われています。妊娠中に吸引することで、胎児の神経系や臓器の発育に障害が生じるリスクが指摘されています。また、大人よりも子どもへの影響が強く、換気せずにマニキュアの除光液を使用すると赤ちゃんはぐったりとしてしまいます。")</f>
        <v>長期的にシンナーを吸い続けると不妊や生理不順などのリスクがあると言われています。妊娠中に吸引することで、胎児の神経系や臓器の発育に障害が生じるリスクが指摘されています。また、大人よりも子どもへの影響が強く、換気せずにマニキュアの除光液を使用すると赤ちゃんはぐったりとしてしまいます。</v>
      </c>
      <c r="C927" s="31" t="str">
        <f>IFERROR(__xludf.DUMMYFUNCTION("""COMPUTED_VALUE"""),"妊娠・生活習慣/有害物質")</f>
        <v>妊娠・生活習慣/有害物質</v>
      </c>
      <c r="D927" s="31" t="str">
        <f>IFERROR(__xludf.DUMMYFUNCTION("""COMPUTED_VALUE"""),"シンナー,吸引,有機溶剤,不妊,生理不順,妊娠中,胎児,神経系,臓器,発育障害,除光液,マニキュア,換気,赤ちゃん")</f>
        <v>シンナー,吸引,有機溶剤,不妊,生理不順,妊娠中,胎児,神経系,臓器,発育障害,除光液,マニキュア,換気,赤ちゃん</v>
      </c>
      <c r="E927" s="31"/>
    </row>
    <row r="928">
      <c r="A928" s="31" t="str">
        <f>IFERROR(__xludf.DUMMYFUNCTION("""COMPUTED_VALUE"""),"妊娠中の性行為")</f>
        <v>妊娠中の性行為</v>
      </c>
      <c r="B928" s="31" t="str">
        <f>IFERROR(__xludf.DUMMYFUNCTION("""COMPUTED_VALUE"""),"妊娠の経過については個人によってそれぞれ差がありますので、かかりつけ医の指示に従いましょう。性行為が直接的におなかの赤ちゃんの成長に影響を及ぼすことはほとんどありませんが、妊娠中の体にはかなりの負担がかかります。また、性感染症や性行為による早産・流産のリスク、さらには精子が細菌を運ぶ恐れがあります。")</f>
        <v>妊娠の経過については個人によってそれぞれ差がありますので、かかりつけ医の指示に従いましょう。性行為が直接的におなかの赤ちゃんの成長に影響を及ぼすことはほとんどありませんが、妊娠中の体にはかなりの負担がかかります。また、性感染症や性行為による早産・流産のリスク、さらには精子が細菌を運ぶ恐れがあります。</v>
      </c>
      <c r="C928" s="31" t="str">
        <f>IFERROR(__xludf.DUMMYFUNCTION("""COMPUTED_VALUE"""),"妊娠中の過ごし方")</f>
        <v>妊娠中の過ごし方</v>
      </c>
      <c r="D928" s="31" t="str">
        <f>IFERROR(__xludf.DUMMYFUNCTION("""COMPUTED_VALUE"""),"妊娠中,性行為,セックス,赤ちゃんへの影響,負担,性感染症,早産,流産,リスク,精子,細菌,かかりつけ医")</f>
        <v>妊娠中,性行為,セックス,赤ちゃんへの影響,負担,性感染症,早産,流産,リスク,精子,細菌,かかりつけ医</v>
      </c>
      <c r="E928" s="31"/>
    </row>
    <row r="929">
      <c r="A929" s="31" t="str">
        <f>IFERROR(__xludf.DUMMYFUNCTION("""COMPUTED_VALUE"""),"子宮頸がん・子宮体がん検査について")</f>
        <v>子宮頸がん・子宮体がん検査について</v>
      </c>
      <c r="B929" s="31" t="str">
        <f>IFERROR(__xludf.DUMMYFUNCTION("""COMPUTED_VALUE"""),"子宮頸がんは子宮の入り口部分である頸部にがんが発生し、子宮体がんでは子宮の奥、つまり体部にがんが発生します。子宮頸がんは20代～40代の方、子宮体がんは40代（閉経後）～の方に定期的に検査をおすすめいたします。早期に発見、治療を行うことで子宮全摘出を行わなくても良い可能性があります。一度ご自身の状況を確認するためにも検査をおすすめいたします。当院での検査はご予約をお取りの上、クリニックにご受診ください。受診のご予約はLINEで受け付けています。LINEはこちら→https://cline-app.com/"&amp;"qr-codes/98ad6f149bfa20f4f2a9a2e91aac4187/preview")</f>
        <v>子宮頸がんは子宮の入り口部分である頸部にがんが発生し、子宮体がんでは子宮の奥、つまり体部にがんが発生します。子宮頸がんは20代～40代の方、子宮体がんは40代（閉経後）～の方に定期的に検査をおすすめいたします。早期に発見、治療を行うことで子宮全摘出を行わなくても良い可能性があります。一度ご自身の状況を確認するためにも検査をおすすめいたします。当院での検査はご予約をお取りの上、クリニックにご受診ください。受診のご予約はLINEで受け付けています。LINEはこちら→https://cline-app.com/qr-codes/98ad6f149bfa20f4f2a9a2e91aac4187/preview</v>
      </c>
      <c r="C929" s="31" t="str">
        <f>IFERROR(__xludf.DUMMYFUNCTION("""COMPUTED_VALUE"""),"子宮がん検診")</f>
        <v>子宮がん検診</v>
      </c>
      <c r="D929" s="31" t="str">
        <f>IFERROR(__xludf.DUMMYFUNCTION("""COMPUTED_VALUE"""),"子宮頸がん,子宮体がん,検査,違い,頸部,体部,20代,30代,40代,閉経後,定期検査,早期発見,予約,受診")</f>
        <v>子宮頸がん,子宮体がん,検査,違い,頸部,体部,20代,30代,40代,閉経後,定期検査,早期発見,予約,受診</v>
      </c>
      <c r="E929" s="31"/>
    </row>
    <row r="930">
      <c r="A930" s="31" t="str">
        <f>IFERROR(__xludf.DUMMYFUNCTION("""COMPUTED_VALUE"""),"伝染性単核球症とは/キス病とは？")</f>
        <v>伝染性単核球症とは/キス病とは？</v>
      </c>
      <c r="B930" s="31" t="str">
        <f>IFERROR(__xludf.DUMMYFUNCTION("""COMPUTED_VALUE"""),"伝染性単核球症の原因となるEBウイルスは、唾液に含まれ、キスを介して感染するため、別名キス病と言われています。また、ウイルスが唾液に含まれているため、回し飲みでも感染し、感染してから発症まで30〜60日程度の期間が空くため、特定が難しいです。ウイルスが多い時はパートナーにうつすのを避けるため、行動には気をつけましょう。通常4～6日で自然に症状は収まりますが、根本的な治療法はありません。ただし、咽頭痛や全身倦怠感が強く、水分の経口摂取が難しくなった場合には、病院にて点滴などで補充を行いましょう。")</f>
        <v>伝染性単核球症の原因となるEBウイルスは、唾液に含まれ、キスを介して感染するため、別名キス病と言われています。また、ウイルスが唾液に含まれているため、回し飲みでも感染し、感染してから発症まで30〜60日程度の期間が空くため、特定が難しいです。ウイルスが多い時はパートナーにうつすのを避けるため、行動には気をつけましょう。通常4～6日で自然に症状は収まりますが、根本的な治療法はありません。ただし、咽頭痛や全身倦怠感が強く、水分の経口摂取が難しくなった場合には、病院にて点滴などで補充を行いましょう。</v>
      </c>
      <c r="C930" s="31" t="str">
        <f>IFERROR(__xludf.DUMMYFUNCTION("""COMPUTED_VALUE"""),"感染症（口・喉）")</f>
        <v>感染症（口・喉）</v>
      </c>
      <c r="D930" s="31" t="str">
        <f>IFERROR(__xludf.DUMMYFUNCTION("""COMPUTED_VALUE"""),"伝染性単核球症,キス病,EBウイルス,唾液,キス,回し飲み,潜伏期間,30〜60日,咽頭痛,倦怠感,自然軽快,点滴")</f>
        <v>伝染性単核球症,キス病,EBウイルス,唾液,キス,回し飲み,潜伏期間,30〜60日,咽頭痛,倦怠感,自然軽快,点滴</v>
      </c>
      <c r="E930" s="31"/>
    </row>
    <row r="931">
      <c r="A931" s="31" t="str">
        <f>IFERROR(__xludf.DUMMYFUNCTION("""COMPUTED_VALUE"""),"消退出血と着床出血の違い")</f>
        <v>消退出血と着床出血の違い</v>
      </c>
      <c r="B931" s="31" t="str">
        <f>IFERROR(__xludf.DUMMYFUNCTION("""COMPUTED_VALUE"""),"消退出血はアフターピルの服用後、ホルモンバランスが崩れ子宮内膜が剥がれ落ちることが原因です。着床出血は妊娠初期の兆候で、受精卵が子宮内膜に着床する際に起こります。それぞれ出血するタイミングが違いますが、出血をしたからと決めつけず、不安な場合は妊娠検査薬の使用をおすすめいたします。妊娠検査薬は性行為から3週間後に検査いただき、この時点では妊娠をしていても陰性の可能性がございますので月経予定日になっても月経が来なければ再検査をお願いいたします。")</f>
        <v>消退出血はアフターピルの服用後、ホルモンバランスが崩れ子宮内膜が剥がれ落ちることが原因です。着床出血は妊娠初期の兆候で、受精卵が子宮内膜に着床する際に起こります。それぞれ出血するタイミングが違いますが、出血をしたからと決めつけず、不安な場合は妊娠検査薬の使用をおすすめいたします。妊娠検査薬は性行為から3週間後に検査いただき、この時点では妊娠をしていても陰性の可能性がございますので月経予定日になっても月経が来なければ再検査をお願いいたします。</v>
      </c>
      <c r="C931" s="31" t="str">
        <f>IFERROR(__xludf.DUMMYFUNCTION("""COMPUTED_VALUE"""),"妊娠不安・出血/アフターピル")</f>
        <v>妊娠不安・出血/アフターピル</v>
      </c>
      <c r="D931" s="31" t="str">
        <f>IFERROR(__xludf.DUMMYFUNCTION("""COMPUTED_VALUE"""),"消退出血,着床出血,違い,アフターピル,ホルモンバランス,子宮内膜,妊娠初期,受精卵,妊娠検査薬,性行為3週間後,陰性,再検査")</f>
        <v>消退出血,着床出血,違い,アフターピル,ホルモンバランス,子宮内膜,妊娠初期,受精卵,妊娠検査薬,性行為3週間後,陰性,再検査</v>
      </c>
      <c r="E931" s="31"/>
    </row>
    <row r="932">
      <c r="A932" s="31" t="str">
        <f>IFERROR(__xludf.DUMMYFUNCTION("""COMPUTED_VALUE"""),"排卵期出血がある")</f>
        <v>排卵期出血がある</v>
      </c>
      <c r="B932" s="31" t="str">
        <f>IFERROR(__xludf.DUMMYFUNCTION("""COMPUTED_VALUE"""),"排卵期出血は排卵期の数日前から出血があり、高温期になると自然に止まり、特に問題のない出血です。個人差はありますが、おりものや下腹部痛が起こる場合もあります。ただし、出血量が多い場合や、痛みが強い場合には、症状の内容によって受診可否やご案内が異なります。個別の確認が必要となるため、恐れ入りますがお電話にてご相談ください。お電話は 050-1730-2768 となります。")</f>
        <v>排卵期出血は排卵期の数日前から出血があり、高温期になると自然に止まり、特に問題のない出血です。個人差はありますが、おりものや下腹部痛が起こる場合もあります。ただし、出血量が多い場合や、痛みが強い場合には、症状の内容によって受診可否やご案内が異なります。個別の確認が必要となるため、恐れ入りますがお電話にてご相談ください。お電話は 050-1730-2768 となります。</v>
      </c>
      <c r="C932" s="31" t="str">
        <f>IFERROR(__xludf.DUMMYFUNCTION("""COMPUTED_VALUE"""),"不正出血・排卵")</f>
        <v>不正出血・排卵</v>
      </c>
      <c r="D932" s="31" t="str">
        <f>IFERROR(__xludf.DUMMYFUNCTION("""COMPUTED_VALUE"""),"排卵期出血,中間期出血,排卵,高温期,自然に止まる,おりもの,下腹部痛,出血量が多い,痛みが強い,婦人科")</f>
        <v>排卵期出血,中間期出血,排卵,高温期,自然に止まる,おりもの,下腹部痛,出血量が多い,痛みが強い,婦人科</v>
      </c>
      <c r="E932" s="31"/>
    </row>
    <row r="933">
      <c r="A933" s="31" t="str">
        <f>IFERROR(__xludf.DUMMYFUNCTION("""COMPUTED_VALUE"""),"生理前の胸の張り")</f>
        <v>生理前の胸の張り</v>
      </c>
      <c r="B933" s="31" t="str">
        <f>IFERROR(__xludf.DUMMYFUNCTION("""COMPUTED_VALUE"""),"個人差はございますが、生理前はホルモンの影響で水分を身体に溜め込もうとする作用が働くため、胸が張ったり胸が大きくなったと感じる方もいらっしゃいます。長く続き気になるようでしたら、乳房の診察が可能な婦人科にご相談ください。")</f>
        <v>個人差はございますが、生理前はホルモンの影響で水分を身体に溜め込もうとする作用が働くため、胸が張ったり胸が大きくなったと感じる方もいらっしゃいます。長く続き気になるようでしたら、乳房の診察が可能な婦人科にご相談ください。</v>
      </c>
      <c r="C933" s="31" t="str">
        <f>IFERROR(__xludf.DUMMYFUNCTION("""COMPUTED_VALUE"""),"PMS・月経関連")</f>
        <v>PMS・月経関連</v>
      </c>
      <c r="D933" s="31" t="str">
        <f>IFERROR(__xludf.DUMMYFUNCTION("""COMPUTED_VALUE"""),"生理前,胸の張り,胸が大きい,乳房痛,ホルモン,水分貯留,PMS,受診,婦人科,乳房診察")</f>
        <v>生理前,胸の張り,胸が大きい,乳房痛,ホルモン,水分貯留,PMS,受診,婦人科,乳房診察</v>
      </c>
      <c r="E933" s="31"/>
    </row>
    <row r="934">
      <c r="A934" s="31" t="str">
        <f>IFERROR(__xludf.DUMMYFUNCTION("""COMPUTED_VALUE"""),"生理前の発熱/生理前の吐き気/生理時に吐き気がある場合の診療/生理中の吐き気")</f>
        <v>生理前の発熱/生理前の吐き気/生理時に吐き気がある場合の診療/生理中の吐き気</v>
      </c>
      <c r="B934" s="31" t="str">
        <f>IFERROR(__xludf.DUMMYFUNCTION("""COMPUTED_VALUE"""),"個人差はありますが、ホルモンの影響で体温が高い状態になったり、吐き気を強く感じたりすることがあります。微熱や吐き気の症状が続くようであれば、内科受診をお勧めいたします。")</f>
        <v>個人差はありますが、ホルモンの影響で体温が高い状態になったり、吐き気を強く感じたりすることがあります。微熱や吐き気の症状が続くようであれば、内科受診をお勧めいたします。</v>
      </c>
      <c r="C934" s="31" t="str">
        <f>IFERROR(__xludf.DUMMYFUNCTION("""COMPUTED_VALUE"""),"PMS・月経関連")</f>
        <v>PMS・月経関連</v>
      </c>
      <c r="D934" s="31" t="str">
        <f>IFERROR(__xludf.DUMMYFUNCTION("""COMPUTED_VALUE"""),"生理前,発熱,微熱,吐き気,PMS,ホルモン,体温が高い,体調不良,内科受診")</f>
        <v>生理前,発熱,微熱,吐き気,PMS,ホルモン,体温が高い,体調不良,内科受診</v>
      </c>
      <c r="E934" s="31"/>
    </row>
    <row r="935">
      <c r="A935" s="31" t="str">
        <f>IFERROR(__xludf.DUMMYFUNCTION("""COMPUTED_VALUE"""),"生理中の受診は可能ですか？/生理中でもピルを処方してもらえますか？/生理中でも診察は受けられますか？/生理中でも検査できますか？/生理中でもピルの処方は可能ですか？/2回目の処方は生理中でも大丈夫ですか？/月経不順で生理中でも受診できますか？/クラミジア陽性で生理中でも受診できますか？/ピルの検診の日に生理がきても大丈夫ですか？/生理中でもピルの処方は可能ですか？/クラミジアの治療は生理中でもできますか？/生理中でも性病検査はできますか？/生理中でも膀胱炎の検査はできますか？/カンジダで受診したいのですが"&amp;"生理中です/生理中でも子宮内膜症の検査はできますか？/HPV検査は生理中でも受けられますか？/コルポスコピーは生理中でも可能ですか？")</f>
        <v>生理中の受診は可能ですか？/生理中でもピルを処方してもらえますか？/生理中でも診察は受けられますか？/生理中でも検査できますか？/生理中でもピルの処方は可能ですか？/2回目の処方は生理中でも大丈夫ですか？/月経不順で生理中でも受診できますか？/クラミジア陽性で生理中でも受診できますか？/ピルの検診の日に生理がきても大丈夫ですか？/生理中でもピルの処方は可能ですか？/クラミジアの治療は生理中でもできますか？/生理中でも性病検査はできますか？/生理中でも膀胱炎の検査はできますか？/カンジダで受診したいのですが生理中です/生理中でも子宮内膜症の検査はできますか？/HPV検査は生理中でも受けられますか？/コルポスコピーは生理中でも可能ですか？</v>
      </c>
      <c r="B935" s="31" t="str">
        <f>IFERROR(__xludf.DUMMYFUNCTION("""COMPUTED_VALUE"""),"生理中でも診察やピルの処方は可能です。ただし、HPV検査・子宮頸がん検査・性感染症検査は、出血量が多い場合に正確な検査ができないことがあるため、生理の日にちを避けていただくことをおすすめします。不正出血などで悩まれている場合は、生理中でもご受診いただけます。生理中でも内診台に乗っていただく場合がございますので、気になるようでしたら生理後にご受診ください。")</f>
        <v>生理中でも診察やピルの処方は可能です。ただし、HPV検査・子宮頸がん検査・性感染症検査は、出血量が多い場合に正確な検査ができないことがあるため、生理の日にちを避けていただくことをおすすめします。不正出血などで悩まれている場合は、生理中でもご受診いただけます。生理中でも内診台に乗っていただく場合がございますので、気になるようでしたら生理後にご受診ください。</v>
      </c>
      <c r="C935" s="31" t="str">
        <f>IFERROR(__xludf.DUMMYFUNCTION("""COMPUTED_VALUE"""),"受診案内")</f>
        <v>受診案内</v>
      </c>
      <c r="D935" s="31" t="str">
        <f>IFERROR(__xludf.DUMMYFUNCTION("""COMPUTED_VALUE"""),"生理中,受診,検査,HPV検査,子宮頸がん検査,性病検査,避けた方が良い,不正出血,内診台,予約,出血,血が出る,出血中,受診できる")</f>
        <v>生理中,受診,検査,HPV検査,子宮頸がん検査,性病検査,避けた方が良い,不正出血,内診台,予約,出血,血が出る,出血中,受診できる</v>
      </c>
      <c r="E935" s="31"/>
    </row>
    <row r="936">
      <c r="A936" s="31" t="str">
        <f>IFERROR(__xludf.DUMMYFUNCTION("""COMPUTED_VALUE"""),"処女膜強靭症とは")</f>
        <v>処女膜強靭症とは</v>
      </c>
      <c r="B936" s="31" t="str">
        <f>IFERROR(__xludf.DUMMYFUNCTION("""COMPUTED_VALUE"""),"処女膜強靭症は、生まれつき処女膜が固くて厚い状態です。そのため、時間が経過しても自然治癒の可能性は極めて低いです。治療は外陰部・腟口・後に続いている腟の状態を確認し、狭くなっている部分を確認し手術を行います。人によっては、腟や子宮に奇形を伴っており腟や子宮２つ認められることもあるため、安易に処女膜だけを手術で解決するだけではなく、子宮や腟に異常がないかを確認することが大切です。お近くの形成外科または総合病院婦人科にご受診ください。")</f>
        <v>処女膜強靭症は、生まれつき処女膜が固くて厚い状態です。そのため、時間が経過しても自然治癒の可能性は極めて低いです。治療は外陰部・腟口・後に続いている腟の状態を確認し、狭くなっている部分を確認し手術を行います。人によっては、腟や子宮に奇形を伴っており腟や子宮２つ認められることもあるため、安易に処女膜だけを手術で解決するだけではなく、子宮や腟に異常がないかを確認することが大切です。お近くの形成外科または総合病院婦人科にご受診ください。</v>
      </c>
      <c r="C936" s="31" t="str">
        <f>IFERROR(__xludf.DUMMYFUNCTION("""COMPUTED_VALUE"""),"婦人科手術・形成")</f>
        <v>婦人科手術・形成</v>
      </c>
      <c r="D936" s="31" t="str">
        <f>IFERROR(__xludf.DUMMYFUNCTION("""COMPUTED_VALUE"""),"処女膜強靭症,処女膜が固い,処女膜が厚い,性交痛,挿入できない,手術,腟,子宮,奇形,形成外科,総合病院,婦人科")</f>
        <v>処女膜強靭症,処女膜が固い,処女膜が厚い,性交痛,挿入できない,手術,腟,子宮,奇形,形成外科,総合病院,婦人科</v>
      </c>
      <c r="E936" s="31"/>
    </row>
    <row r="937">
      <c r="A937" s="31" t="str">
        <f>IFERROR(__xludf.DUMMYFUNCTION("""COMPUTED_VALUE"""),"デュファストンに避妊の効果はありますか？")</f>
        <v>デュファストンに避妊の効果はありますか？</v>
      </c>
      <c r="B937" s="31" t="str">
        <f>IFERROR(__xludf.DUMMYFUNCTION("""COMPUTED_VALUE"""),"デュファストンとは経口の黄体ホルモンのみで構成されるお薬です。そのため、避妊の効果がありません。妊娠を希望していない場合はコンドームなど別の避妊方法を使用しましょう。")</f>
        <v>デュファストンとは経口の黄体ホルモンのみで構成されるお薬です。そのため、避妊の効果がありません。妊娠を希望していない場合はコンドームなど別の避妊方法を使用しましょう。</v>
      </c>
      <c r="C937" s="31" t="str">
        <f>IFERROR(__xludf.DUMMYFUNCTION("""COMPUTED_VALUE"""),"薬剤（ホルモン剤）")</f>
        <v>薬剤（ホルモン剤）</v>
      </c>
      <c r="D937" s="31" t="str">
        <f>IFERROR(__xludf.DUMMYFUNCTION("""COMPUTED_VALUE"""),"デュファストン,黄体ホルモン,経口,避妊効果なし,避妊,コンドーム,妊娠希望なし")</f>
        <v>デュファストン,黄体ホルモン,経口,避妊効果なし,避妊,コンドーム,妊娠希望なし</v>
      </c>
      <c r="E937" s="31"/>
    </row>
    <row r="938">
      <c r="A938" s="31" t="str">
        <f>IFERROR(__xludf.DUMMYFUNCTION("""COMPUTED_VALUE"""),"子宮脱についての相談")</f>
        <v>子宮脱についての相談</v>
      </c>
      <c r="B938" s="31" t="str">
        <f>IFERROR(__xludf.DUMMYFUNCTION("""COMPUTED_VALUE"""),"子宮脱につきましては当院でご受診ができない項目でございます。お手数おかけいたしますが、お近くの婦人科にご相談ください。")</f>
        <v>子宮脱につきましては当院でご受診ができない項目でございます。お手数おかけいたしますが、お近くの婦人科にご相談ください。</v>
      </c>
      <c r="C938" s="31" t="str">
        <f>IFERROR(__xludf.DUMMYFUNCTION("""COMPUTED_VALUE"""),"受診不可・他院案内")</f>
        <v>受診不可・他院案内</v>
      </c>
      <c r="D938" s="31" t="str">
        <f>IFERROR(__xludf.DUMMYFUNCTION("""COMPUTED_VALUE"""),"子宮脱,相談,当院では不可,受診できない,婦人科,近くの病院")</f>
        <v>子宮脱,相談,当院では不可,受診できない,婦人科,近くの病院</v>
      </c>
      <c r="E938" s="31"/>
    </row>
    <row r="939">
      <c r="A939" s="31" t="str">
        <f>IFERROR(__xludf.DUMMYFUNCTION("""COMPUTED_VALUE"""),"オンラインでの診断書発行は可能ですか")</f>
        <v>オンラインでの診断書発行は可能ですか</v>
      </c>
      <c r="B939" s="31" t="str">
        <f>IFERROR(__xludf.DUMMYFUNCTION("""COMPUTED_VALUE"""),"大変申し訳ございません。オンラインでの診断書発行はできます。お手数をおかけしますが、ご予約をお取りの上、クリニックにご受診下さい。")</f>
        <v>大変申し訳ございません。オンラインでの診断書発行はできます。お手数をおかけしますが、ご予約をお取りの上、クリニックにご受診下さい。</v>
      </c>
      <c r="C939" s="31" t="str">
        <f>IFERROR(__xludf.DUMMYFUNCTION("""COMPUTED_VALUE"""),"書類・診断書")</f>
        <v>書類・診断書</v>
      </c>
      <c r="D939" s="31" t="str">
        <f>IFERROR(__xludf.DUMMYFUNCTION("""COMPUTED_VALUE"""),"診断書,オンライン発行,発行可否,来院,予約,クリニック受診")</f>
        <v>診断書,オンライン発行,発行可否,来院,予約,クリニック受診</v>
      </c>
      <c r="E939" s="31"/>
    </row>
    <row r="940">
      <c r="A940" s="31" t="str">
        <f>IFERROR(__xludf.DUMMYFUNCTION("""COMPUTED_VALUE"""),"妊娠の可能性はありますか？／これは着床出血ですか？")</f>
        <v>妊娠の可能性はありますか？／これは着床出血ですか？</v>
      </c>
      <c r="B940" s="31" t="str">
        <f>IFERROR(__xludf.DUMMYFUNCTION("""COMPUTED_VALUE"""),"ご不安な場合は、妊娠検査薬をご使用いただきご確認ください。妊娠検査薬は性行為から3週間後に検査いただき、この時点では妊娠をしていても陰性の可能性がございますので月経予定日になっても月経が来なければ再検査をお願いいたします。")</f>
        <v>ご不安な場合は、妊娠検査薬をご使用いただきご確認ください。妊娠検査薬は性行為から3週間後に検査いただき、この時点では妊娠をしていても陰性の可能性がございますので月経予定日になっても月経が来なければ再検査をお願いいたします。</v>
      </c>
      <c r="C940" s="31" t="str">
        <f>IFERROR(__xludf.DUMMYFUNCTION("""COMPUTED_VALUE"""),"妊娠不安・妊娠判定")</f>
        <v>妊娠不安・妊娠判定</v>
      </c>
      <c r="D940" s="31" t="str">
        <f>IFERROR(__xludf.DUMMYFUNCTION("""COMPUTED_VALUE"""),"妊娠の可能性,着床出血,妊娠検査薬,性行為3週間後,陰性,再検査,生理が来ない,不安")</f>
        <v>妊娠の可能性,着床出血,妊娠検査薬,性行為3週間後,陰性,再検査,生理が来ない,不安</v>
      </c>
      <c r="E940" s="31"/>
    </row>
    <row r="941">
      <c r="A941" s="31" t="str">
        <f>IFERROR(__xludf.DUMMYFUNCTION("""COMPUTED_VALUE"""),"美容点滴はありますか？")</f>
        <v>美容点滴はありますか？</v>
      </c>
      <c r="B941" s="31" t="str">
        <f>IFERROR(__xludf.DUMMYFUNCTION("""COMPUTED_VALUE"""),"若返り点滴（2025年7月末終了）、美白点滴（2025年8月15日終了）、疲労回復点滴（2025年8月末終了）、プラセンタ点滴（2025年8月末終了）の提供は終了しております。ご愛顧いただいていた患者様にはご不便をおかけいたしますが、何卒ご理解賜りますようお願い申し上げます。")</f>
        <v>若返り点滴（2025年7月末終了）、美白点滴（2025年8月15日終了）、疲労回復点滴（2025年8月末終了）、プラセンタ点滴（2025年8月末終了）の提供は終了しております。ご愛顧いただいていた患者様にはご不便をおかけいたしますが、何卒ご理解賜りますようお願い申し上げます。</v>
      </c>
      <c r="C941" s="31" t="str">
        <f>IFERROR(__xludf.DUMMYFUNCTION("""COMPUTED_VALUE"""),"美容医療")</f>
        <v>美容医療</v>
      </c>
      <c r="D941" s="31" t="str">
        <f>IFERROR(__xludf.DUMMYFUNCTION("""COMPUTED_VALUE"""),"美容点滴,点滴,メニュー,予約,受診,クリニック")</f>
        <v>美容点滴,点滴,メニュー,予約,受診,クリニック</v>
      </c>
      <c r="E941" s="31"/>
    </row>
    <row r="942">
      <c r="A942" s="31" t="str">
        <f>IFERROR(__xludf.DUMMYFUNCTION("""COMPUTED_VALUE"""),"他院にて処方された薬")</f>
        <v>他院にて処方された薬</v>
      </c>
      <c r="B942" s="31" t="str">
        <f>IFERROR(__xludf.DUMMYFUNCTION("""COMPUTED_VALUE"""),"当院にて処方されていない薬に関しては服用状況が分かりかねるため、お答えが出来かねます。お手数おかけいたしますが、処方されました医療機関にてご相談ください。")</f>
        <v>当院にて処方されていない薬に関しては服用状況が分かりかねるため、お答えが出来かねます。お手数おかけいたしますが、処方されました医療機関にてご相談ください。</v>
      </c>
      <c r="C942" s="31" t="str">
        <f>IFERROR(__xludf.DUMMYFUNCTION("""COMPUTED_VALUE"""),"受診案内・薬/他院処方")</f>
        <v>受診案内・薬/他院処方</v>
      </c>
      <c r="D942" s="31" t="str">
        <f>IFERROR(__xludf.DUMMYFUNCTION("""COMPUTED_VALUE"""),"他院処方,他の病院の薬,処方薬,服用状況,わからない,回答不可,処方元に相談,ピル")</f>
        <v>他院処方,他の病院の薬,処方薬,服用状況,わからない,回答不可,処方元に相談,ピル</v>
      </c>
      <c r="E942" s="31"/>
    </row>
    <row r="943">
      <c r="A943" s="31" t="str">
        <f>IFERROR(__xludf.DUMMYFUNCTION("""COMPUTED_VALUE"""),"性病が陽性でした。家族・性行為で移りますか？")</f>
        <v>性病が陽性でした。家族・性行為で移りますか？</v>
      </c>
      <c r="B943" s="31" t="str">
        <f>IFERROR(__xludf.DUMMYFUNCTION("""COMPUTED_VALUE"""),"クラミジア・淋菌・ウレアプラズマ・マイコプラズマといった性感染症は基本的に性行為にて感染がございますが、
どちらも咽頭に感染している可能性もございますので、その際は同じ食事にて食器を返して、感染する可能性もございます。
トリコモナスは感染力が強く、同じお手洗いや入浴によって感染する可能性がございます。
ご使用前後に亜塩素酸ナトリウムや消毒用エタノールで消毒することをおすすめいたします。
梅毒・HIV・ヘルペスは皮膚に症状が出るため、避妊具を使用しても感染する恐れがございます。
ご自身が感染している場合は"&amp;"再検査にて陰性が確認できるまで生活を見直し、性行為は控えるようにしましょう。
パートナーが陽性の場合は症状がなくても婦人科にて検査をすることをおすすめいたします。
※梅毒・HIVは感染の恐れのある性行為から1カ月以降にご受診ください。
症状やお体のご状況については診察にてご確認いただく必要がございます。当院でのご受診をご希望の場合は、ご予約をお取りの上、クリニックにご受診下さい。
受診のご予約はLINEで受け付けています。LINEはこちら→https://cline-app.com/qr-codes/9"&amp;"8ad6f149bfa20f4f2a9a2e91aac4187/preview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
また、当院では「FemCHECK」という検査キットを販売しており、こちらはご自宅で検査していただきキットを送っていただければ、
結果もWEBから確認が可能でございます。
購入はこちら
https://sho"&amp;"p.luna-dr.com/collections/femcheck/products/femcheck")</f>
        <v>クラミジア・淋菌・ウレアプラズマ・マイコプラズマといった性感染症は基本的に性行為にて感染がございますが、
どちらも咽頭に感染している可能性もございますので、その際は同じ食事にて食器を返して、感染する可能性もございます。
トリコモナスは感染力が強く、同じお手洗いや入浴によって感染する可能性がございます。
ご使用前後に亜塩素酸ナトリウムや消毒用エタノールで消毒することをおすすめいたします。
梅毒・HIV・ヘルペスは皮膚に症状が出るため、避妊具を使用しても感染する恐れがございます。
ご自身が感染している場合は再検査にて陰性が確認できるまで生活を見直し、性行為は控えるようにしましょう。
パートナーが陽性の場合は症状がなくても婦人科にて検査をすることをおすすめいたします。
※梅毒・HIVは感染の恐れのある性行為から1カ月以降にご受診ください。
症状やお体のご状況については診察にてご確認いただく必要がございます。当院でのご受診をご希望の場合は、ご予約をお取りの上、クリニックにご受診下さい。
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
また、当院では「FemCHECK」という検査キットを販売しており、こちらはご自宅で検査していただきキットを送っていただければ、
結果もWEBから確認が可能でございます。
購入はこちら
https://shop.luna-dr.com/collections/femcheck/products/femcheck</v>
      </c>
      <c r="C943" s="31" t="str">
        <f>IFERROR(__xludf.DUMMYFUNCTION("""COMPUTED_VALUE"""),"性感染症（性病）")</f>
        <v>性感染症（性病）</v>
      </c>
      <c r="D943" s="31" t="str">
        <f>IFERROR(__xludf.DUMMYFUNCTION("""COMPUTED_VALUE"""),"性病,陽性,家族にうつる,性行為でうつる,感染経路,クラミジア,淋菌,ウレアプラズマ,マイコプラズマ,咽頭感染,食器,トリコモナス,トイレ,入浴,消毒,次亜塩素酸,エタノール,梅毒,HIV,ヘルペス,避妊具,再検査,陰性確認,性行為控える,FemCHECK")</f>
        <v>性病,陽性,家族にうつる,性行為でうつる,感染経路,クラミジア,淋菌,ウレアプラズマ,マイコプラズマ,咽頭感染,食器,トリコモナス,トイレ,入浴,消毒,次亜塩素酸,エタノール,梅毒,HIV,ヘルペス,避妊具,再検査,陰性確認,性行為控える,FemCHECK</v>
      </c>
      <c r="E943" s="31"/>
    </row>
    <row r="944">
      <c r="A944" s="31" t="str">
        <f>IFERROR(__xludf.DUMMYFUNCTION("""COMPUTED_VALUE"""),"性病がいつ感染したものなのか知りたい")</f>
        <v>性病がいつ感染したものなのか知りたい</v>
      </c>
      <c r="B944" s="31" t="str">
        <f>IFERROR(__xludf.DUMMYFUNCTION("""COMPUTED_VALUE"""),"性病がいつ感染したものなのかお調べすることができかねます。もし、定期検査を行っている場合には陰性の確認ができた日～陽性の確認ができた日までに性行為を行ったすべてのパートナーが対象となり、初めての性病検査にて陽性の場合には今まで性行為を行ったすべてのパートナーが該当します。")</f>
        <v>性病がいつ感染したものなのかお調べすることができかねます。もし、定期検査を行っている場合には陰性の確認ができた日～陽性の確認ができた日までに性行為を行ったすべてのパートナーが対象となり、初めての性病検査にて陽性の場合には今まで性行為を行ったすべてのパートナーが該当します。</v>
      </c>
      <c r="C944" s="31" t="str">
        <f>IFERROR(__xludf.DUMMYFUNCTION("""COMPUTED_VALUE"""),"性感染症（性病）")</f>
        <v>性感染症（性病）</v>
      </c>
      <c r="D944" s="31" t="str">
        <f>IFERROR(__xludf.DUMMYFUNCTION("""COMPUTED_VALUE"""),"性病,いつ感染,感染時期,特定できない,定期検査,陰性日,陽性日,パートナー,初めての検査,過去の性行為")</f>
        <v>性病,いつ感染,感染時期,特定できない,定期検査,陰性日,陽性日,パートナー,初めての検査,過去の性行為</v>
      </c>
      <c r="E944" s="31"/>
    </row>
    <row r="945">
      <c r="A945" s="31" t="str">
        <f>IFERROR(__xludf.DUMMYFUNCTION("""COMPUTED_VALUE"""),"いつ陰性の確認に行ったらよろしいでしょうか")</f>
        <v>いつ陰性の確認に行ったらよろしいでしょうか</v>
      </c>
      <c r="B945" s="31" t="str">
        <f>IFERROR(__xludf.DUMMYFUNCTION("""COMPUTED_VALUE"""),"処方されたお薬の服用終了2週間後以降に陰性の確認を行ってください。服用終了1週間たっても症状の改善が見られない場合は再度ご相談ください。")</f>
        <v>処方されたお薬の服用終了2週間後以降に陰性の確認を行ってください。服用終了1週間たっても症状の改善が見られない場合は再度ご相談ください。</v>
      </c>
      <c r="C945" s="31" t="str">
        <f>IFERROR(__xludf.DUMMYFUNCTION("""COMPUTED_VALUE"""),"性感染症（性病）")</f>
        <v>性感染症（性病）</v>
      </c>
      <c r="D945" s="31" t="str">
        <f>IFERROR(__xludf.DUMMYFUNCTION("""COMPUTED_VALUE"""),"陰性確認,再検査,いつ,治療後,服用終了,2週間後,偽陽性,再治療,症状改善しない,1週間,相談,性行為できない")</f>
        <v>陰性確認,再検査,いつ,治療後,服用終了,2週間後,偽陽性,再治療,症状改善しない,1週間,相談,性行為できない</v>
      </c>
      <c r="E945" s="31"/>
    </row>
    <row r="946">
      <c r="A946" s="31" t="str">
        <f>IFERROR(__xludf.DUMMYFUNCTION("""COMPUTED_VALUE"""),"ビブラマイシン処方後の吐き気")</f>
        <v>ビブラマイシン処方後の吐き気</v>
      </c>
      <c r="B946" s="31" t="str">
        <f>IFERROR(__xludf.DUMMYFUNCTION("""COMPUTED_VALUE"""),"ビブラマイシンの副作用には吐き気がございます。徐々に体になれて吐き気が治まるかと思いますが、市販の吐き気止めを使用しても耐えられない場合は、お薬が合わないと思いますので、ご相談ください。")</f>
        <v>ビブラマイシンの副作用には吐き気がございます。徐々に体になれて吐き気が治まるかと思いますが、市販の吐き気止めを使用しても耐えられない場合は、お薬が合わないと思いますので、ご相談ください。</v>
      </c>
      <c r="C946" s="31" t="str">
        <f>IFERROR(__xludf.DUMMYFUNCTION("""COMPUTED_VALUE"""),"薬の副作用")</f>
        <v>薬の副作用</v>
      </c>
      <c r="D946" s="31" t="str">
        <f>IFERROR(__xludf.DUMMYFUNCTION("""COMPUTED_VALUE"""),"ビブラマイシン,吐き気,副作用,慣れる,市販の吐き気止め,耐えられない,薬が合わない,相談")</f>
        <v>ビブラマイシン,吐き気,副作用,慣れる,市販の吐き気止め,耐えられない,薬が合わない,相談</v>
      </c>
      <c r="E946" s="31"/>
    </row>
    <row r="947">
      <c r="A947" s="31" t="str">
        <f>IFERROR(__xludf.DUMMYFUNCTION("""COMPUTED_VALUE"""),"他の医療機関で検査した結果を元に処方は可能ですか？/他院で検査をしたが、こちらで薬の処方できるか？")</f>
        <v>他の医療機関で検査した結果を元に処方は可能ですか？/他院で検査をしたが、こちらで薬の処方できるか？</v>
      </c>
      <c r="B947" s="31" t="str">
        <f>IFERROR(__xludf.DUMMYFUNCTION("""COMPUTED_VALUE"""),"患者様の氏名・検査日・検査結果が記載されている用紙をご提示にて処方が可能でございます。")</f>
        <v>患者様の氏名・検査日・検査結果が記載されている用紙をご提示にて処方が可能でございます。</v>
      </c>
      <c r="C947" s="31" t="str">
        <f>IFERROR(__xludf.DUMMYFUNCTION("""COMPUTED_VALUE"""),"受診案内・薬/処方")</f>
        <v>受診案内・薬/処方</v>
      </c>
      <c r="D947" s="31" t="str">
        <f>IFERROR(__xludf.DUMMYFUNCTION("""COMPUTED_VALUE"""),"他院検査結果,持参,用紙,氏名,検査日,検査結果,提示,処方可能,他院")</f>
        <v>他院検査結果,持参,用紙,氏名,検査日,検査結果,提示,処方可能,他院</v>
      </c>
      <c r="E947" s="31"/>
    </row>
    <row r="948">
      <c r="A948" s="31" t="str">
        <f>IFERROR(__xludf.DUMMYFUNCTION("""COMPUTED_VALUE"""),"カンジダ・一般細菌が陽性であったが内服薬の処方は可能ですか")</f>
        <v>カンジダ・一般細菌が陽性であったが内服薬の処方は可能ですか</v>
      </c>
      <c r="B948" s="31" t="str">
        <f>IFERROR(__xludf.DUMMYFUNCTION("""COMPUTED_VALUE"""),"カンジダ・一般細菌の感染が膣内で起こっており、内服薬は膣に到達するのに時間を要するため、直接的に膣錠を入れた方が効果的でございます。膣錠の使用が難しい場合は婦人科にて毎日の挿入お手伝い、医師の判断で内服薬に変更できる場合もございますのでご相談ください。")</f>
        <v>カンジダ・一般細菌の感染が膣内で起こっており、内服薬は膣に到達するのに時間を要するため、直接的に膣錠を入れた方が効果的でございます。膣錠の使用が難しい場合は婦人科にて毎日の挿入お手伝い、医師の判断で内服薬に変更できる場合もございますのでご相談ください。</v>
      </c>
      <c r="C948" s="31" t="str">
        <f>IFERROR(__xludf.DUMMYFUNCTION("""COMPUTED_VALUE"""),"おりもの・腟トラブル")</f>
        <v>おりもの・腟トラブル</v>
      </c>
      <c r="D948" s="31" t="str">
        <f>IFERROR(__xludf.DUMMYFUNCTION("""COMPUTED_VALUE"""),"カンジダ,一般細菌,陽性,内服薬,膣内感染,膣に届くのに時間,膣錠,膣剤,効果的,挿入が難しい,婦人科,医師判断,内服に変更")</f>
        <v>カンジダ,一般細菌,陽性,内服薬,膣内感染,膣に届くのに時間,膣錠,膣剤,効果的,挿入が難しい,婦人科,医師判断,内服に変更</v>
      </c>
      <c r="E948" s="31"/>
    </row>
    <row r="949">
      <c r="A949" s="31" t="str">
        <f>IFERROR(__xludf.DUMMYFUNCTION("""COMPUTED_VALUE"""),"性感染症の薬を使用したが、症状が改善しない")</f>
        <v>性感染症の薬を使用したが、症状が改善しない</v>
      </c>
      <c r="B949" s="31" t="str">
        <f>IFERROR(__xludf.DUMMYFUNCTION("""COMPUTED_VALUE"""),"抗生剤を使用する場合、免疫力が低下しカンジダになりやすくなります。また、使用してから1週間たっても症状が改善しない場合は、抗生剤が効いていない可能性も考えられます。治療効果の確認として2週間後に再検査を行い、再び陽性の場合には再治療をおすすめします。治療中に我慢できない症状が出た場合は、ご遠慮なくご相談ください。個別の症状やお体のご状況については診察にてご確認いただくことをおすすめいたします。当院でのご受診をご希望の場合は、ご予約をお取りの上、クリニックにご受診ください。受診のご予約はLINEで受け付けて"&amp;"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f>
        <v>抗生剤を使用する場合、免疫力が低下しカンジダになりやすくなります。また、使用してから1週間たっても症状が改善しない場合は、抗生剤が効いていない可能性も考えられます。治療効果の確認として2週間後に再検査を行い、再び陽性の場合には再治療をおすすめします。治療中に我慢できない症状が出た場合は、ご遠慮なくご相談ください。個別の症状やお体のご状況については診察にてご確認いただくこと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v>
      </c>
      <c r="C949" s="31" t="str">
        <f>IFERROR(__xludf.DUMMYFUNCTION("""COMPUTED_VALUE"""),"性感染症（性病）/治療")</f>
        <v>性感染症（性病）/治療</v>
      </c>
      <c r="D949" s="31" t="str">
        <f>IFERROR(__xludf.DUMMYFUNCTION("""COMPUTED_VALUE"""),"薬を使った,症状改善しない,抗生剤,免疫低下,カンジダ,1週間,効いていない,2週間後,再検査,再治療,相談")</f>
        <v>薬を使った,症状改善しない,抗生剤,免疫低下,カンジダ,1週間,効いていない,2週間後,再検査,再治療,相談</v>
      </c>
      <c r="E949" s="31"/>
    </row>
    <row r="950">
      <c r="A950" s="31" t="str">
        <f>IFERROR(__xludf.DUMMYFUNCTION("""COMPUTED_VALUE"""),"クラミジア・ウレアプラズマ・マイコプラズマとは")</f>
        <v>クラミジア・ウレアプラズマ・マイコプラズマとは</v>
      </c>
      <c r="B950" s="31" t="str">
        <f>IFERROR(__xludf.DUMMYFUNCTION("""COMPUTED_VALUE"""),"クラミジア・ウレアプラズマ・マイコプラズマとは性病の一種です。原則として内服薬にて治療を行い、性行為・粘膜接触（キス・オーラルセックス）によって感染する恐れがあります。そのため、陰部だけでなく咽頭や目にも感染する恐れがございます。異変を感じたら当院のご受診をご検討ください。当院では【川崎駅前院】のみ検査のご案内が可能です。また、当院では「FemCHECK」という検査キットを販売しております。こちらはご自宅で検査していただきキットを送っていただければ、結果もWEBから確認が可能です。購入はこちら→https"&amp;"://shop.luna-dr.com/collections/femcheck/products/femcheck")</f>
        <v>クラミジア・ウレアプラズマ・マイコプラズマとは性病の一種です。原則として内服薬にて治療を行い、性行為・粘膜接触（キス・オーラルセックス）によって感染する恐れがあります。そのため、陰部だけでなく咽頭や目にも感染する恐れがございます。異変を感じたら当院のご受診をご検討ください。当院では【川崎駅前院】のみ検査のご案内が可能です。また、当院では「FemCHECK」という検査キットを販売しております。こちらはご自宅で検査していただきキットを送っていただければ、結果もWEBから確認が可能です。購入はこちら→https://shop.luna-dr.com/collections/femcheck/products/femcheck</v>
      </c>
      <c r="C950" s="31" t="str">
        <f>IFERROR(__xludf.DUMMYFUNCTION("""COMPUTED_VALUE"""),"性感染症（性病）")</f>
        <v>性感染症（性病）</v>
      </c>
      <c r="D950" s="31" t="str">
        <f>IFERROR(__xludf.DUMMYFUNCTION("""COMPUTED_VALUE"""),"クラミジア,ウレアプラズマ,マイコプラズマ,性病,治療,内服薬,感染,性行為,粘膜接触,キス,オーラルセックス,咽頭,目,FemCHECK,検査キット,自宅検査")</f>
        <v>クラミジア,ウレアプラズマ,マイコプラズマ,性病,治療,内服薬,感染,性行為,粘膜接触,キス,オーラルセックス,咽頭,目,FemCHECK,検査キット,自宅検査</v>
      </c>
      <c r="E950" s="31"/>
    </row>
    <row r="951">
      <c r="A951" s="31" t="str">
        <f>IFERROR(__xludf.DUMMYFUNCTION("""COMPUTED_VALUE"""),"淋菌とは")</f>
        <v>淋菌とは</v>
      </c>
      <c r="B951" s="31" t="str">
        <f>IFERROR(__xludf.DUMMYFUNCTION("""COMPUTED_VALUE"""),"淋菌とは性感染症の一種です。原則、点滴薬または筋肉注射にて治療を行い、性行為・粘膜接触（キス・オーラルセックス）によって感染する恐れがあります。そのため、陰部だけでなく咽頭にも感染する恐れがございます。異変を感じたら当院では「FemCHECK」という検査キットを販売しており、こちらはご自宅で検査していただきキットを送っていただければ、結果もWEBから確認が可能でございます。購入はこちら→https://shop.luna-dr.com/collections/femcheck/products/femch"&amp;"eck")</f>
        <v>淋菌とは性感染症の一種です。原則、点滴薬または筋肉注射にて治療を行い、性行為・粘膜接触（キス・オーラルセックス）によって感染する恐れがあります。そのため、陰部だけでなく咽頭にも感染する恐れがございます。異変を感じたら当院では「FemCHECK」という検査キットを販売しており、こちらはご自宅で検査していただきキットを送っていただければ、結果もWEBから確認が可能でございます。購入はこちら→https://shop.luna-dr.com/collections/femcheck/products/femcheck</v>
      </c>
      <c r="C951" s="31" t="str">
        <f>IFERROR(__xludf.DUMMYFUNCTION("""COMPUTED_VALUE"""),"性感染症（性病）")</f>
        <v>性感染症（性病）</v>
      </c>
      <c r="D951" s="31" t="str">
        <f>IFERROR(__xludf.DUMMYFUNCTION("""COMPUTED_VALUE"""),"淋菌,性病,治療,点滴,筋肉注射,感染,性行為,粘膜接触,キス,オーラルセックス,咽頭感染,FemCHECK,検査キット,自宅検査")</f>
        <v>淋菌,性病,治療,点滴,筋肉注射,感染,性行為,粘膜接触,キス,オーラルセックス,咽頭感染,FemCHECK,検査キット,自宅検査</v>
      </c>
      <c r="E951" s="31"/>
    </row>
    <row r="952">
      <c r="A952" s="31" t="str">
        <f>IFERROR(__xludf.DUMMYFUNCTION("""COMPUTED_VALUE"""),"トリコモナスとは")</f>
        <v>トリコモナスとは</v>
      </c>
      <c r="B952" s="31" t="str">
        <f>IFERROR(__xludf.DUMMYFUNCTION("""COMPUTED_VALUE"""),"トリコモナスとは性病の一種です。原則、内服薬にて治療を行い、性行為だけでなく、お手洗いやお風呂、共有のタオルの使用でも感染する恐れがあり、とても感染力が強い性病です。感染している恐れがある場合は、次亜塩素酸ナトリウムや消毒用エタノールを使用し、やけどに注意して42度以上のお湯で洗い流すと良いです。異変を感じたら当院では「FemCHECK」という検査キットを販売しており、こちらはご自宅で検査していただきキットを送っていただければ、結果もWEBから確認が可能でございます。購入はこちら→https://shop"&amp;".luna-dr.com/collections/femcheck/products/femcheck")</f>
        <v>トリコモナスとは性病の一種です。原則、内服薬にて治療を行い、性行為だけでなく、お手洗いやお風呂、共有のタオルの使用でも感染する恐れがあり、とても感染力が強い性病です。感染している恐れがある場合は、次亜塩素酸ナトリウムや消毒用エタノールを使用し、やけどに注意して42度以上のお湯で洗い流すと良いです。異変を感じたら当院では「FemCHECK」という検査キットを販売しており、こちらはご自宅で検査していただきキットを送っていただければ、結果もWEBから確認が可能でございます。購入はこちら→https://shop.luna-dr.com/collections/femcheck/products/femcheck</v>
      </c>
      <c r="C952" s="31" t="str">
        <f>IFERROR(__xludf.DUMMYFUNCTION("""COMPUTED_VALUE"""),"性感染症（性病）")</f>
        <v>性感染症（性病）</v>
      </c>
      <c r="D952" s="31" t="str">
        <f>IFERROR(__xludf.DUMMYFUNCTION("""COMPUTED_VALUE"""),"トリコモナス,性病,感染力が強い,内服薬,性行為以外,トイレ,お風呂,タオル共有,次亜塩素酸,エタノール,42度以上,やけど注意,FemCHECK,検査キット,自宅検査")</f>
        <v>トリコモナス,性病,感染力が強い,内服薬,性行為以外,トイレ,お風呂,タオル共有,次亜塩素酸,エタノール,42度以上,やけど注意,FemCHECK,検査キット,自宅検査</v>
      </c>
      <c r="E952" s="31"/>
    </row>
    <row r="953">
      <c r="A953" s="31" t="str">
        <f>IFERROR(__xludf.DUMMYFUNCTION("""COMPUTED_VALUE"""),"梅毒とは")</f>
        <v>梅毒とは</v>
      </c>
      <c r="B953" s="31" t="str">
        <f>IFERROR(__xludf.DUMMYFUNCTION("""COMPUTED_VALUE"""),"梅毒は個人差がありますが、陰部に限らず全身に発疹が出るのが特徴です。基本的に粘膜接触により感染し、避妊具を使用しても防ぐことが難しいです。潜伏期間があるため、不安な性行為から1カ月後・3カ月後に一度、ご自身の状況を確認するためにも血液検査をおすすめいたします。当院での検査はご予約をお取りの上、クリニックにご受診ください。受診のご予約はLINEで受け付けています。LINEはこちら→https://cline-app.com/qr-codes/98ad6f149bfa20f4f2a9a2e91aac4187/"&amp;"preview")</f>
        <v>梅毒は個人差がありますが、陰部に限らず全身に発疹が出るのが特徴です。基本的に粘膜接触により感染し、避妊具を使用しても防ぐことが難しいです。潜伏期間があるため、不安な性行為から1カ月後・3カ月後に一度、ご自身の状況を確認するためにも血液検査をおすすめいたします。当院での検査はご予約をお取りの上、クリニックにご受診ください。受診のご予約はLINEで受け付けています。LINEはこちら→https://cline-app.com/qr-codes/98ad6f149bfa20f4f2a9a2e91aac4187/preview</v>
      </c>
      <c r="C953" s="31" t="str">
        <f>IFERROR(__xludf.DUMMYFUNCTION("""COMPUTED_VALUE"""),"性感染症（性病）")</f>
        <v>性感染症（性病）</v>
      </c>
      <c r="D953" s="31" t="str">
        <f>IFERROR(__xludf.DUMMYFUNCTION("""COMPUTED_VALUE"""),"梅毒,全身の発疹,陰部以外,粘膜接触,避妊具でも防ぎにくい,潜伏期間,1カ月後,3カ月後,血液検査,不安な性行為,予約,受診")</f>
        <v>梅毒,全身の発疹,陰部以外,粘膜接触,避妊具でも防ぎにくい,潜伏期間,1カ月後,3カ月後,血液検査,不安な性行為,予約,受診</v>
      </c>
      <c r="E953" s="31"/>
    </row>
    <row r="954">
      <c r="A954" s="31" t="str">
        <f>IFERROR(__xludf.DUMMYFUNCTION("""COMPUTED_VALUE"""),"カンジダとは")</f>
        <v>カンジダとは</v>
      </c>
      <c r="B954" s="31" t="str">
        <f>IFERROR(__xludf.DUMMYFUNCTION("""COMPUTED_VALUE"""),"カンジダ（真菌）は常在菌であるカビでございます。一定数の値が超えるとチーズのようなおりもの異常/カスが出る・臭いが特徴的な症状です。常在菌（誰もが保有している）だが、パートナーとオーラルセックスにて口腔内・陰部に症状が出たり、する場合がございます。治療法としては膣剤・外用薬を用いて真菌を減らして、症状の改善を行います。オンラインでは視診が難しいため、婦人科のご受診をおすすめいたします。当院でのご受診をご希望の場合は、ご予約をお取りの上、クリニックにご受診ください。受診のご予約はLINEで受け付けています。"&amp;"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
【乳酸桿菌】膣に直接的に入れることで、繰り返すカンジダ、膀胱炎、細菌の増殖によるおりもの異常に直接アプローチが可能でございま"&amp;"す。また、継続的に使用することでより予防効果が効果が高まります。乳酸桿菌の定期配送は以下のURLよりご購入が可能です。https://shop.luna-dr.com/products/lactobacillus")</f>
        <v>カンジダ（真菌）は常在菌であるカビでございます。一定数の値が超えるとチーズのようなおりもの異常/カスが出る・臭いが特徴的な症状です。常在菌（誰もが保有している）だが、パートナーとオーラルセックスにて口腔内・陰部に症状が出たり、する場合がございます。治療法としては膣剤・外用薬を用いて真菌を減らして、症状の改善を行います。オンラインでは視診が難しいため、婦人科のご受診をおすすめいたします。当院でのご受診をご希望の場合は、ご予約をお取りの上、クリニックにご受診ください。受診のご予約はLINEで受け付けています。LINEはこちら→https://cline-app.com/qr-codes/98ad6f149bfa20f4f2a9a2e91aac4187/preview　なお、恐れ入りますが、当院では乳房に関する診療（乳がん検診・乳腺外来など）、更年期障害の治療、不妊治療、体重100kg以上の方への診療、救急対応（緊急搬送・急性期対応）は行っておりませんのであらかじめご了承くださいませ。
【乳酸桿菌】膣に直接的に入れることで、繰り返すカンジダ、膀胱炎、細菌の増殖によるおりもの異常に直接アプローチが可能でございます。また、継続的に使用することでより予防効果が効果が高まります。乳酸桿菌の定期配送は以下のURLよりご購入が可能です。https://shop.luna-dr.com/products/lactobacillus</v>
      </c>
      <c r="C954" s="31" t="str">
        <f>IFERROR(__xludf.DUMMYFUNCTION("""COMPUTED_VALUE"""),"おりもの・腟トラブル")</f>
        <v>おりもの・腟トラブル</v>
      </c>
      <c r="D954" s="31" t="str">
        <f>IFERROR(__xludf.DUMMYFUNCTION("""COMPUTED_VALUE"""),"カンジダ,真菌,常在菌,カビ,おりもの異常,チーズ状,カス,臭い,オーラルセックス,口腔内,陰部,膣剤,外用薬,オンライン不可,視診,婦人科,予約,乳酸桿菌,再発予防,膀胱炎,定期配送")</f>
        <v>カンジダ,真菌,常在菌,カビ,おりもの異常,チーズ状,カス,臭い,オーラルセックス,口腔内,陰部,膣剤,外用薬,オンライン不可,視診,婦人科,予約,乳酸桿菌,再発予防,膀胱炎,定期配送</v>
      </c>
      <c r="E954" s="31"/>
    </row>
    <row r="955">
      <c r="A955" s="31" t="str">
        <f>IFERROR(__xludf.DUMMYFUNCTION("""COMPUTED_VALUE"""),"パートナーの分のお薬が欲しい")</f>
        <v>パートナーの分のお薬が欲しい</v>
      </c>
      <c r="B955" s="31" t="str">
        <f>IFERROR(__xludf.DUMMYFUNCTION("""COMPUTED_VALUE"""),"医薬品になりますので、代理処方ができず、ご本人へのみ処方が可能でございます。処方ご希望の患者様ご自身でオンライン診療をお申し込みください。")</f>
        <v>医薬品になりますので、代理処方ができず、ご本人へのみ処方が可能でございます。処方ご希望の患者様ご自身でオンライン診療をお申し込みください。</v>
      </c>
      <c r="C955" s="31" t="str">
        <f>IFERROR(__xludf.DUMMYFUNCTION("""COMPUTED_VALUE"""),"受診案内・薬/処方")</f>
        <v>受診案内・薬/処方</v>
      </c>
      <c r="D955" s="31" t="str">
        <f>IFERROR(__xludf.DUMMYFUNCTION("""COMPUTED_VALUE"""),"パートナー分,代理処方不可,本人のみ,薬が欲しい,オンライン診療,申込み")</f>
        <v>パートナー分,代理処方不可,本人のみ,薬が欲しい,オンライン診療,申込み</v>
      </c>
      <c r="E955" s="31"/>
    </row>
    <row r="956">
      <c r="A956" s="31" t="str">
        <f>IFERROR(__xludf.DUMMYFUNCTION("""COMPUTED_VALUE"""),"パートナーが性病陽性だが自身は陰性であった時の対応はどうしたらよいですか？")</f>
        <v>パートナーが性病陽性だが自身は陰性であった時の対応はどうしたらよいですか？</v>
      </c>
      <c r="B956" s="31" t="str">
        <f>IFERROR(__xludf.DUMMYFUNCTION("""COMPUTED_VALUE"""),"性行為をしているのに結果がちぐはぐな場合は疑問になるのも当然のことです。いくつかの憶測が考えられます。採取がうまくできていない・迅速検査・感染場所が咽頭であったため陰性の結果が出た。元彼が性感染症に感染しており、幸いにも新しいパートナーから移らなかった。何か別の病気で病院に行った際に処方された薬が偶然にも性感染症にも効果があり、気づかないうちに治療をしていた、などが考えられます。")</f>
        <v>性行為をしているのに結果がちぐはぐな場合は疑問になるのも当然のことです。いくつかの憶測が考えられます。採取がうまくできていない・迅速検査・感染場所が咽頭であったため陰性の結果が出た。元彼が性感染症に感染しており、幸いにも新しいパートナーから移らなかった。何か別の病気で病院に行った際に処方された薬が偶然にも性感染症にも効果があり、気づかないうちに治療をしていた、などが考えられます。</v>
      </c>
      <c r="C956" s="31" t="str">
        <f>IFERROR(__xludf.DUMMYFUNCTION("""COMPUTED_VALUE"""),"性感染症（性病）")</f>
        <v>性感染症（性病）</v>
      </c>
      <c r="D956" s="31" t="str">
        <f>IFERROR(__xludf.DUMMYFUNCTION("""COMPUTED_VALUE"""),"パートナー陽性,自分は陰性,結果がちぐはぐ,採取ミス,迅速検査,咽頭感染,元彼,移らなかった,別の薬が効いた,気づかない治療")</f>
        <v>パートナー陽性,自分は陰性,結果がちぐはぐ,採取ミス,迅速検査,咽頭感染,元彼,移らなかった,別の薬が効いた,気づかない治療</v>
      </c>
      <c r="E956" s="31"/>
    </row>
    <row r="957">
      <c r="A957" s="31" t="str">
        <f>IFERROR(__xludf.DUMMYFUNCTION("""COMPUTED_VALUE"""),"カンジダの追加処方希望")</f>
        <v>カンジダの追加処方希望</v>
      </c>
      <c r="B957" s="31"/>
      <c r="C957" s="31" t="str">
        <f>IFERROR(__xludf.DUMMYFUNCTION("""COMPUTED_VALUE"""),"おりもの・腟トラブル")</f>
        <v>おりもの・腟トラブル</v>
      </c>
      <c r="D957" s="31" t="str">
        <f>IFERROR(__xludf.DUMMYFUNCTION("""COMPUTED_VALUE"""),"カンジダ,追加処方,再発,薬が欲しい,膣剤,外用薬")</f>
        <v>カンジダ,追加処方,再発,薬が欲しい,膣剤,外用薬</v>
      </c>
      <c r="E957" s="31"/>
    </row>
    <row r="958">
      <c r="A958" s="31" t="str">
        <f>IFERROR(__xludf.DUMMYFUNCTION("""COMPUTED_VALUE"""),"返送したFemCHECK検査キットが検査室に届いているのか／検査結果の確認をしたい")</f>
        <v>返送したFemCHECK検査キットが検査室に届いているのか／検査結果の確認をしたい</v>
      </c>
      <c r="B958" s="31" t="str">
        <f>IFERROR(__xludf.DUMMYFUNCTION("""COMPUTED_VALUE"""),"返送してから1週間以上経っているのにも関わらず、検査結果の反映がされない場合は検査室に届いた時点でFemCHECKIDの登録がされておらず保留中となっている可能性がございます。今一度FemCHECKID登録が済んでいるか確認の上、FemCHECKID、登録メールアドレス、氏名を明記し、ご連絡をお願い致します。検査結果は、[【こちら】](https://result.luna-dr.com/clinic_login)よりご確認いただけます。
※必ず受診クリニックを正しくご選択の上、ご確認ください。患者番号"&amp;"は、会計時にお渡ししている領収書に記載のある10桁の番号となります。")</f>
        <v>返送してから1週間以上経っているのにも関わらず、検査結果の反映がされない場合は検査室に届いた時点でFemCHECKIDの登録がされておらず保留中となっている可能性がございます。今一度FemCHECKID登録が済んでいるか確認の上、FemCHECKID、登録メールアドレス、氏名を明記し、ご連絡をお願い致します。検査結果は、[【こちら】](https://result.luna-dr.com/clinic_login)よりご確認いただけます。
※必ず受診クリニックを正しくご選択の上、ご確認ください。患者番号は、会計時にお渡ししている領収書に記載のある10桁の番号となります。</v>
      </c>
      <c r="C958" s="31" t="str">
        <f>IFERROR(__xludf.DUMMYFUNCTION("""COMPUTED_VALUE"""),"FemCHECK（検査キット）")</f>
        <v>FemCHECK（検査キット）</v>
      </c>
      <c r="D958" s="31" t="str">
        <f>IFERROR(__xludf.DUMMYFUNCTION("""COMPUTED_VALUE"""),"FemCHECK,検査キット,返送,届いているか,検査結果,反映されない,1週間以上,FemCHECKID,登録,保留中,メールアドレス,氏名,連絡")</f>
        <v>FemCHECK,検査キット,返送,届いているか,検査結果,反映されない,1週間以上,FemCHECKID,登録,保留中,メールアドレス,氏名,連絡</v>
      </c>
      <c r="E958" s="31"/>
    </row>
    <row r="959">
      <c r="A959" s="31" t="str">
        <f>IFERROR(__xludf.DUMMYFUNCTION("""COMPUTED_VALUE"""),"予約方法を教えてください")</f>
        <v>予約方法を教えてください</v>
      </c>
      <c r="B959" s="31" t="str">
        <f>IFERROR(__xludf.DUMMYFUNCTION("""COMPUTED_VALUE"""),"当院のご予約は、公式LINEから受け付けています。LINEはこちら→https://cline-app.com/qr-codes/98ad6f149bfa20f4f2a9a2e91aac4187/preview")</f>
        <v>当院のご予約は、公式LINEから受け付けています。LINEはこちら→https://cline-app.com/qr-codes/98ad6f149bfa20f4f2a9a2e91aac4187/preview</v>
      </c>
      <c r="C959" s="31" t="str">
        <f>IFERROR(__xludf.DUMMYFUNCTION("""COMPUTED_VALUE"""),"予約")</f>
        <v>予約</v>
      </c>
      <c r="D959" s="31" t="str">
        <f>IFERROR(__xludf.DUMMYFUNCTION("""COMPUTED_VALUE"""),"予約方法,予約,LINE,公式LINE,予約はどこから")</f>
        <v>予約方法,予約,LINE,公式LINE,予約はどこから</v>
      </c>
      <c r="E959" s="32" t="str">
        <f>IFERROR(__xludf.DUMMYFUNCTION("""COMPUTED_VALUE"""),"https://cline-app.com/qr-codes/98ad6f149bfa20f4f2a9a2e91aac4187/preview")</f>
        <v>https://cline-app.com/qr-codes/98ad6f149bfa20f4f2a9a2e91aac4187/preview</v>
      </c>
    </row>
    <row r="960">
      <c r="A960" s="31" t="str">
        <f>IFERROR(__xludf.DUMMYFUNCTION("""COMPUTED_VALUE"""),"初診は予約が必要ですか？")</f>
        <v>初診は予約が必要ですか？</v>
      </c>
      <c r="B960" s="31" t="str">
        <f>IFERROR(__xludf.DUMMYFUNCTION("""COMPUTED_VALUE"""),"当院では、予約なしでのご来院も受け付けておりますが、スムーズなご案内のため基本的にご予約をお願いします。受診のご予約はLINEで受け付けています。LINEはこちら→https://cline-app.com/qr-codes/98ad6f149bfa20f4f2a9a2e91aac4187/preview")</f>
        <v>当院では、予約なしでのご来院も受け付けておりますが、スムーズなご案内のため基本的にご予約をお願いします。受診のご予約はLINEで受け付けています。LINEはこちら→https://cline-app.com/qr-codes/98ad6f149bfa20f4f2a9a2e91aac4187/preview</v>
      </c>
      <c r="C960" s="31" t="str">
        <f>IFERROR(__xludf.DUMMYFUNCTION("""COMPUTED_VALUE"""),"予約")</f>
        <v>予約</v>
      </c>
      <c r="D960" s="31" t="str">
        <f>IFERROR(__xludf.DUMMYFUNCTION("""COMPUTED_VALUE"""),"初診,予約必要,予約なし,来院,受診,LINE")</f>
        <v>初診,予約必要,予約なし,来院,受診,LINE</v>
      </c>
      <c r="E960" s="32" t="str">
        <f>IFERROR(__xludf.DUMMYFUNCTION("""COMPUTED_VALUE"""),"https://cline-app.com/qr-codes/98ad6f149bfa20f4f2a9a2e91aac4187/preview")</f>
        <v>https://cline-app.com/qr-codes/98ad6f149bfa20f4f2a9a2e91aac4187/preview</v>
      </c>
    </row>
    <row r="961">
      <c r="A961" s="31" t="str">
        <f>IFERROR(__xludf.DUMMYFUNCTION("""COMPUTED_VALUE"""),"再診は予約が必要ですか？")</f>
        <v>再診は予約が必要ですか？</v>
      </c>
      <c r="B961" s="31" t="str">
        <f>IFERROR(__xludf.DUMMYFUNCTION("""COMPUTED_VALUE"""),"当院では、予約なしでのご来院も受け付けておりますが、スムーズなご案内のため基本的にご予約をお願いします。受診のご予約はLINEで受け付けています。LINEはこちら→https://cline-app.com/qr-codes/98ad6f149bfa20f4f2a9a2e91aac4187/preview")</f>
        <v>当院では、予約なしでのご来院も受け付けておりますが、スムーズなご案内のため基本的にご予約をお願いします。受診のご予約はLINEで受け付けています。LINEはこちら→https://cline-app.com/qr-codes/98ad6f149bfa20f4f2a9a2e91aac4187/preview</v>
      </c>
      <c r="C961" s="31" t="str">
        <f>IFERROR(__xludf.DUMMYFUNCTION("""COMPUTED_VALUE"""),"予約")</f>
        <v>予約</v>
      </c>
      <c r="D961" s="31" t="str">
        <f>IFERROR(__xludf.DUMMYFUNCTION("""COMPUTED_VALUE"""),"再診,予約必要,予約なし,来院,受診,LINE")</f>
        <v>再診,予約必要,予約なし,来院,受診,LINE</v>
      </c>
      <c r="E961" s="32" t="str">
        <f>IFERROR(__xludf.DUMMYFUNCTION("""COMPUTED_VALUE"""),"https://cline-app.com/qr-codes/98ad6f149bfa20f4f2a9a2e91aac4187/preview")</f>
        <v>https://cline-app.com/qr-codes/98ad6f149bfa20f4f2a9a2e91aac4187/preview</v>
      </c>
    </row>
    <row r="962">
      <c r="A962" s="31" t="str">
        <f>IFERROR(__xludf.DUMMYFUNCTION("""COMPUTED_VALUE"""),"当日予約は可能ですか？/当日予約は何時まで可能ですか？/当日の予約は何時まで？")</f>
        <v>当日予約は可能ですか？/当日予約は何時まで可能ですか？/当日の予約は何時まで？</v>
      </c>
      <c r="B962" s="31" t="str">
        <f>IFERROR(__xludf.DUMMYFUNCTION("""COMPUTED_VALUE"""),"予約枠が空いている場合、当日のご予約が可能です。LINEから予約枠をご確認くださいませ。LINEはこちら→https://cline-app.com/qr-codes/98ad6f149bfa20f4f2a9a2e91aac4187/preview")</f>
        <v>予約枠が空いている場合、当日のご予約が可能です。LINEから予約枠をご確認くださいませ。LINEはこちら→https://cline-app.com/qr-codes/98ad6f149bfa20f4f2a9a2e91aac4187/preview</v>
      </c>
      <c r="C962" s="31" t="str">
        <f>IFERROR(__xludf.DUMMYFUNCTION("""COMPUTED_VALUE"""),"予約")</f>
        <v>予約</v>
      </c>
      <c r="D962" s="31" t="str">
        <f>IFERROR(__xludf.DUMMYFUNCTION("""COMPUTED_VALUE"""),"当日予約,当日,空き,予約枠,LINE")</f>
        <v>当日予約,当日,空き,予約枠,LINE</v>
      </c>
      <c r="E962" s="32" t="str">
        <f>IFERROR(__xludf.DUMMYFUNCTION("""COMPUTED_VALUE"""),"https://cline-app.com/qr-codes/98ad6f149bfa20f4f2a9a2e91aac4187/preview")</f>
        <v>https://cline-app.com/qr-codes/98ad6f149bfa20f4f2a9a2e91aac4187/preview</v>
      </c>
    </row>
    <row r="963">
      <c r="A963" s="31" t="str">
        <f>IFERROR(__xludf.DUMMYFUNCTION("""COMPUTED_VALUE"""),"翌日の予約は可能ですか？")</f>
        <v>翌日の予約は可能ですか？</v>
      </c>
      <c r="B963" s="31" t="str">
        <f>IFERROR(__xludf.DUMMYFUNCTION("""COMPUTED_VALUE"""),"予約枠が空いている場合、ご予約が可能です。LINEから予約枠をご確認くださいませ。LINEはこちら→https://cline-app.com/qr-codes/98ad6f149bfa20f4f2a9a2e91aac4187/preview")</f>
        <v>予約枠が空いている場合、ご予約が可能です。LINEから予約枠をご確認くださいませ。LINEはこちら→https://cline-app.com/qr-codes/98ad6f149bfa20f4f2a9a2e91aac4187/preview</v>
      </c>
      <c r="C963" s="31" t="str">
        <f>IFERROR(__xludf.DUMMYFUNCTION("""COMPUTED_VALUE"""),"予約")</f>
        <v>予約</v>
      </c>
      <c r="D963" s="31" t="str">
        <f>IFERROR(__xludf.DUMMYFUNCTION("""COMPUTED_VALUE"""),"翌日予約,明日,予約枠,空き,LINE")</f>
        <v>翌日予約,明日,予約枠,空き,LINE</v>
      </c>
      <c r="E963" s="32" t="str">
        <f>IFERROR(__xludf.DUMMYFUNCTION("""COMPUTED_VALUE"""),"https://cline-app.com/qr-codes/98ad6f149bfa20f4f2a9a2e91aac4187/preview")</f>
        <v>https://cline-app.com/qr-codes/98ad6f149bfa20f4f2a9a2e91aac4187/preview</v>
      </c>
    </row>
    <row r="964">
      <c r="A964" s="31" t="str">
        <f>IFERROR(__xludf.DUMMYFUNCTION("""COMPUTED_VALUE"""),"WEB予約は可能ですか？")</f>
        <v>WEB予約は可能ですか？</v>
      </c>
      <c r="B964" s="31" t="str">
        <f>IFERROR(__xludf.DUMMYFUNCTION("""COMPUTED_VALUE"""),"当院では、24時間WEBで予約を承っております。ご予約はLINEアプリからWEB予約をしてただく流れとなります。
LINEはこちら→https://cline-app.com/qr-codes/98ad6f149bfa20f4f2a9a2e91aac4187/preview")</f>
        <v>当院では、24時間WEBで予約を承っております。ご予約はLINEアプリからWEB予約をしてただく流れとなります。
LINEはこちら→https://cline-app.com/qr-codes/98ad6f149bfa20f4f2a9a2e91aac4187/preview</v>
      </c>
      <c r="C964" s="31" t="str">
        <f>IFERROR(__xludf.DUMMYFUNCTION("""COMPUTED_VALUE"""),"予約")</f>
        <v>予約</v>
      </c>
      <c r="D964" s="31" t="str">
        <f>IFERROR(__xludf.DUMMYFUNCTION("""COMPUTED_VALUE"""),"WEB予約,ネット予約,オンライン予約,24時間,LINE")</f>
        <v>WEB予約,ネット予約,オンライン予約,24時間,LINE</v>
      </c>
      <c r="E964" s="32" t="str">
        <f>IFERROR(__xludf.DUMMYFUNCTION("""COMPUTED_VALUE"""),"https://cline-app.com/qr-codes/98ad6f149bfa20f4f2a9a2e91aac4187/preview")</f>
        <v>https://cline-app.com/qr-codes/98ad6f149bfa20f4f2a9a2e91aac4187/preview</v>
      </c>
    </row>
    <row r="965">
      <c r="A965" s="31" t="str">
        <f>IFERROR(__xludf.DUMMYFUNCTION("""COMPUTED_VALUE"""),"LINEで予約できますか？")</f>
        <v>LINEで予約できますか？</v>
      </c>
      <c r="B965" s="31" t="str">
        <f>IFERROR(__xludf.DUMMYFUNCTION("""COMPUTED_VALUE"""),"当院では、24時間LINEで予約を承っております。ご予約はLINEアプリから予約をしてただく流れとなります。
LINEはこちら→https://cline-app.com/qr-codes/98ad6f149bfa20f4f2a9a2e91aac4187/preview")</f>
        <v>当院では、24時間LINEで予約を承っております。ご予約はLINEアプリから予約をしてただく流れとなります。
LINEはこちら→https://cline-app.com/qr-codes/98ad6f149bfa20f4f2a9a2e91aac4187/preview</v>
      </c>
      <c r="C965" s="31" t="str">
        <f>IFERROR(__xludf.DUMMYFUNCTION("""COMPUTED_VALUE"""),"予約")</f>
        <v>予約</v>
      </c>
      <c r="D965" s="31" t="str">
        <f>IFERROR(__xludf.DUMMYFUNCTION("""COMPUTED_VALUE"""),"LINE予約,LINE,オンライン予約,24時間")</f>
        <v>LINE予約,LINE,オンライン予約,24時間</v>
      </c>
      <c r="E965" s="32" t="str">
        <f>IFERROR(__xludf.DUMMYFUNCTION("""COMPUTED_VALUE"""),"https://cline-app.com/qr-codes/98ad6f149bfa20f4f2a9a2e91aac4187/preview")</f>
        <v>https://cline-app.com/qr-codes/98ad6f149bfa20f4f2a9a2e91aac4187/preview</v>
      </c>
    </row>
    <row r="966">
      <c r="A966" s="31" t="str">
        <f>IFERROR(__xludf.DUMMYFUNCTION("""COMPUTED_VALUE"""),"電話で予約できますか？")</f>
        <v>電話で予約できますか？</v>
      </c>
      <c r="B966" s="31" t="str">
        <f>IFERROR(__xludf.DUMMYFUNCTION("""COMPUTED_VALUE"""),"LINEでの予約後、事前問診等もLINEから行うことができ、スムーズに受診ができるため、当院ではLINEでのご予約を推奨しております。LINEはこちら→https://cline-app.com/qr-codes/98ad6f149bfa20f4f2a9a2e91aac4187/preview")</f>
        <v>LINEでの予約後、事前問診等もLINEから行うことができ、スムーズに受診ができるため、当院ではLINEでのご予約を推奨しております。LINEはこちら→https://cline-app.com/qr-codes/98ad6f149bfa20f4f2a9a2e91aac4187/preview</v>
      </c>
      <c r="C966" s="31" t="str">
        <f>IFERROR(__xludf.DUMMYFUNCTION("""COMPUTED_VALUE"""),"予約")</f>
        <v>予約</v>
      </c>
      <c r="D966" s="31" t="str">
        <f>IFERROR(__xludf.DUMMYFUNCTION("""COMPUTED_VALUE"""),"電話予約,電話,予約方法,LINE推奨,事前問診")</f>
        <v>電話予約,電話,予約方法,LINE推奨,事前問診</v>
      </c>
      <c r="E966" s="32" t="str">
        <f>IFERROR(__xludf.DUMMYFUNCTION("""COMPUTED_VALUE"""),"https://cline-app.com/qr-codes/98ad6f149bfa20f4f2a9a2e91aac4187/preview")</f>
        <v>https://cline-app.com/qr-codes/98ad6f149bfa20f4f2a9a2e91aac4187/preview</v>
      </c>
    </row>
    <row r="967">
      <c r="A967" s="31" t="str">
        <f>IFERROR(__xludf.DUMMYFUNCTION("""COMPUTED_VALUE"""),"予約時間どおりに受診できますか？")</f>
        <v>予約時間どおりに受診できますか？</v>
      </c>
      <c r="B967" s="31" t="str">
        <f>IFERROR(__xludf.DUMMYFUNCTION("""COMPUTED_VALUE"""),"診療状況によって診療時間は予約時間通りにできるかは前後いたします。ご了承いただけますと幸いです。")</f>
        <v>診療状況によって診療時間は予約時間通りにできるかは前後いたします。ご了承いただけますと幸いです。</v>
      </c>
      <c r="C967" s="31" t="str">
        <f>IFERROR(__xludf.DUMMYFUNCTION("""COMPUTED_VALUE"""),"予約")</f>
        <v>予約</v>
      </c>
      <c r="D967" s="31" t="str">
        <f>IFERROR(__xludf.DUMMYFUNCTION("""COMPUTED_VALUE"""),"予約時間,時間通り,待ち時間,診療状況")</f>
        <v>予約時間,時間通り,待ち時間,診療状況</v>
      </c>
      <c r="E967" s="31"/>
    </row>
    <row r="968">
      <c r="A968" s="31" t="str">
        <f>IFERROR(__xludf.DUMMYFUNCTION("""COMPUTED_VALUE"""),"予約なしでも受診できますか？")</f>
        <v>予約なしでも受診できますか？</v>
      </c>
      <c r="B968" s="31" t="str">
        <f>IFERROR(__xludf.DUMMYFUNCTION("""COMPUTED_VALUE"""),"当院では、予約なしでも受診が可能です。
外来の混雑状況によっては、受付をお受けできない場合がございますので、あらかじめご了承ください。
予約をされていない場合の最終受付時間は、以下の通りです。
【処方済みのピル処方・アフターピル・月経移動】
・午前：13:30まで
・午後：平日19:30まで／土日祝18:30まで
【それ以外のご相談】
・午前：平日13:00まで／土日祝12:00まで
・午後：平日18:00まで／土日祝17:00まで
平日18:00以降は特に混み合うため、予約なしでご来院の場合は、"&amp;"できるだけ17:00までに受付いただけますと幸いです。
なお、混雑状況によっては、18:00以降はピル処方・中絶相談以外の予約なし診察の受付を制限させていただく場合がございます。")</f>
        <v>当院では、予約なしでも受診が可能です。
外来の混雑状況によっては、受付をお受けできない場合がございますので、あらかじめご了承ください。
予約をされていない場合の最終受付時間は、以下の通りです。
【処方済みのピル処方・アフターピル・月経移動】
・午前：13:30まで
・午後：平日19:30まで／土日祝18:30まで
【それ以外のご相談】
・午前：平日13:00まで／土日祝12:00まで
・午後：平日18:00まで／土日祝17:00まで
平日18:00以降は特に混み合うため、予約なしでご来院の場合は、できるだけ17:00までに受付いただけますと幸いです。
なお、混雑状況によっては、18:00以降はピル処方・中絶相談以外の予約なし診察の受付を制限させていただく場合がございます。</v>
      </c>
      <c r="C968" s="31" t="str">
        <f>IFERROR(__xludf.DUMMYFUNCTION("""COMPUTED_VALUE"""),"予約")</f>
        <v>予約</v>
      </c>
      <c r="D968" s="31" t="str">
        <f>IFERROR(__xludf.DUMMYFUNCTION("""COMPUTED_VALUE"""),"予約なし,飛び込み,受診可否,最終受付,受付時間,ピル,アフターピル,月経移動")</f>
        <v>予約なし,飛び込み,受診可否,最終受付,受付時間,ピル,アフターピル,月経移動</v>
      </c>
      <c r="E968" s="31"/>
    </row>
    <row r="969">
      <c r="A969" s="31" t="str">
        <f>IFERROR(__xludf.DUMMYFUNCTION("""COMPUTED_VALUE"""),"遅刻したらどうなりますか？/10分以上遅れた場合は受診できますか？/何分遅れたら自動キャンセルですか？/何分遅刻したらキャンセルになりますか？/遅刻したらキャンセル扱いですか？")</f>
        <v>遅刻したらどうなりますか？/10分以上遅れた場合は受診できますか？/何分遅れたら自動キャンセルですか？/何分遅刻したらキャンセルになりますか？/遅刻したらキャンセル扱いですか？</v>
      </c>
      <c r="B969" s="31" t="str">
        <f>IFERROR(__xludf.DUMMYFUNCTION("""COMPUTED_VALUE"""),"予約されている方であれば、10分以内の遅れであれば診察が可能です。
ただし、10分以上遅刻された場合は、事前にご連絡をいただいていても予約外来院扱いとなります。
なお、診療内容によって最終受付時間が異なる場合がございますので、あらかじめご了承ください。")</f>
        <v>予約されている方であれば、10分以内の遅れであれば診察が可能です。
ただし、10分以上遅刻された場合は、事前にご連絡をいただいていても予約外来院扱いとなります。
なお、診療内容によって最終受付時間が異なる場合がございますので、あらかじめご了承ください。</v>
      </c>
      <c r="C969" s="31" t="str">
        <f>IFERROR(__xludf.DUMMYFUNCTION("""COMPUTED_VALUE"""),"予約・受診")</f>
        <v>予約・受診</v>
      </c>
      <c r="D969" s="31" t="str">
        <f>IFERROR(__xludf.DUMMYFUNCTION("""COMPUTED_VALUE"""),"遅刻,10分,キャンセル,予約,自動キャンセル,キャンセル扱い")</f>
        <v>遅刻,10分,キャンセル,予約,自動キャンセル,キャンセル扱い</v>
      </c>
      <c r="E969" s="31"/>
    </row>
    <row r="970">
      <c r="A970" s="31" t="str">
        <f>IFERROR(__xludf.DUMMYFUNCTION("""COMPUTED_VALUE"""),"予約の日時変更はどうすればいいですか？")</f>
        <v>予約の日時変更はどうすればいいですか？</v>
      </c>
      <c r="B970" s="31" t="str">
        <f>IFERROR(__xludf.DUMMYFUNCTION("""COMPUTED_VALUE"""),"予約の日時変更はLINEの「予約状況の確認」からお進みください。LINEはこちら→https://cline-app.com/qr-codes/98ad6f149bfa20f4f2a9a2e91aac4187/preview")</f>
        <v>予約の日時変更はLINEの「予約状況の確認」からお進みください。LINEはこちら→https://cline-app.com/qr-codes/98ad6f149bfa20f4f2a9a2e91aac4187/preview</v>
      </c>
      <c r="C970" s="31" t="str">
        <f>IFERROR(__xludf.DUMMYFUNCTION("""COMPUTED_VALUE"""),"予約・受診")</f>
        <v>予約・受診</v>
      </c>
      <c r="D970" s="31" t="str">
        <f>IFERROR(__xludf.DUMMYFUNCTION("""COMPUTED_VALUE"""),"予約変更,日時変更,キャンセル,LINE")</f>
        <v>予約変更,日時変更,キャンセル,LINE</v>
      </c>
      <c r="E970" s="32" t="str">
        <f>IFERROR(__xludf.DUMMYFUNCTION("""COMPUTED_VALUE"""),"https://cline-app.com/qr-codes/98ad6f149bfa20f4f2a9a2e91aac4187/preview")</f>
        <v>https://cline-app.com/qr-codes/98ad6f149bfa20f4f2a9a2e91aac4187/preview</v>
      </c>
    </row>
    <row r="971">
      <c r="A971" s="31" t="str">
        <f>IFERROR(__xludf.DUMMYFUNCTION("""COMPUTED_VALUE"""),"予約のキャンセルしたいです/当日キャンセルしたい/体調不良でキャンセルしたい/いつまでにキャンセルすればいいですか？/キャンセルはいつまで？
")</f>
        <v>予約のキャンセルしたいです/当日キャンセルしたい/体調不良でキャンセルしたい/いつまでにキャンセルすればいいですか？/キャンセルはいつまで？
</v>
      </c>
      <c r="B971" s="31" t="str">
        <f>IFERROR(__xludf.DUMMYFUNCTION("""COMPUTED_VALUE"""),"予約の日時変更はLINEの「予約状況の確認」からお進みください。キャンセルの場合は、画面下の「予約確認」からお進みください。キャンセル料もかかりませんので、次回もお気兼ねなくご予約ください。LINEはこちら→https://cline-app.com/qr-codes/98ad6f149bfa20f4f2a9a2e91aac4187/preview
※中絶手術（オペ）のご予約をお取りされている方はキャンセル期限がございますので、お電話（050-1730-2768）にてご連絡をお願いいたします。中絶の相談の"&amp;"ご予約は、期限なくキャンセル可能です。")</f>
        <v>予約の日時変更はLINEの「予約状況の確認」からお進みください。キャンセルの場合は、画面下の「予約確認」からお進みください。キャンセル料もかかりませんので、次回もお気兼ねなくご予約ください。LINEはこちら→https://cline-app.com/qr-codes/98ad6f149bfa20f4f2a9a2e91aac4187/preview
※中絶手術（オペ）のご予約をお取りされている方はキャンセル期限がございますので、お電話（050-1730-2768）にてご連絡をお願いいたします。中絶の相談のご予約は、期限なくキャンセル可能です。</v>
      </c>
      <c r="C971" s="31" t="str">
        <f>IFERROR(__xludf.DUMMYFUNCTION("""COMPUTED_VALUE"""),"予約・受診")</f>
        <v>予約・受診</v>
      </c>
      <c r="D971" s="31" t="str">
        <f>IFERROR(__xludf.DUMMYFUNCTION("""COMPUTED_VALUE"""),"予約,キャンセル,LINE")</f>
        <v>予約,キャンセル,LINE</v>
      </c>
      <c r="E971" s="32" t="str">
        <f>IFERROR(__xludf.DUMMYFUNCTION("""COMPUTED_VALUE"""),"https://cline-app.com/qr-codes/98ad6f149bfa20f4f2a9a2e91aac4187/preview")</f>
        <v>https://cline-app.com/qr-codes/98ad6f149bfa20f4f2a9a2e91aac4187/preview</v>
      </c>
    </row>
    <row r="972">
      <c r="A972" s="31" t="str">
        <f>IFERROR(__xludf.DUMMYFUNCTION("""COMPUTED_VALUE"""),"初診は予約が必要か")</f>
        <v>初診は予約が必要か</v>
      </c>
      <c r="B972" s="31" t="str">
        <f>IFERROR(__xludf.DUMMYFUNCTION("""COMPUTED_VALUE"""),"当院では、予約なしでのご来院も受け付けておりますが、スムーズなご案内のため基本的にご予約をお願いします。受診のご予約はLINEで受け付けています。LINEはこちら→https://cline-app.com/qr-codes/98ad6f149bfa20f4f2a9a2e91aac4187/preview")</f>
        <v>当院では、予約なしでのご来院も受け付けておりますが、スムーズなご案内のため基本的にご予約をお願いします。受診のご予約はLINEで受け付けています。LINEはこちら→https://cline-app.com/qr-codes/98ad6f149bfa20f4f2a9a2e91aac4187/preview</v>
      </c>
      <c r="C972" s="31" t="str">
        <f>IFERROR(__xludf.DUMMYFUNCTION("""COMPUTED_VALUE"""),"予約")</f>
        <v>予約</v>
      </c>
      <c r="D972" s="31" t="str">
        <f>IFERROR(__xludf.DUMMYFUNCTION("""COMPUTED_VALUE"""),"初診,予約必要,来院,受診,予約をお取りの上")</f>
        <v>初診,予約必要,来院,受診,予約をお取りの上</v>
      </c>
      <c r="E972" s="32" t="str">
        <f>IFERROR(__xludf.DUMMYFUNCTION("""COMPUTED_VALUE"""),"https://cline-app.com/qr-codes/98ad6f149bfa20f4f2a9a2e91aac4187/preview")</f>
        <v>https://cline-app.com/qr-codes/98ad6f149bfa20f4f2a9a2e91aac4187/preview</v>
      </c>
    </row>
    <row r="973">
      <c r="A973" s="31" t="str">
        <f>IFERROR(__xludf.DUMMYFUNCTION("""COMPUTED_VALUE"""),"再診は予約が必要か")</f>
        <v>再診は予約が必要か</v>
      </c>
      <c r="B973" s="31" t="str">
        <f>IFERROR(__xludf.DUMMYFUNCTION("""COMPUTED_VALUE"""),"当院では、予約なしでのご来院も受け付けておりますが、スムーズなご案内のため基本的にご予約をお願いします。受診のご予約はLINEで受け付けています。LINEはこちら→https://cline-app.com/qr-codes/98ad6f149bfa20f4f2a9a2e91aac4187/preview")</f>
        <v>当院では、予約なしでのご来院も受け付けておりますが、スムーズなご案内のため基本的にご予約をお願いします。受診のご予約はLINEで受け付けています。LINEはこちら→https://cline-app.com/qr-codes/98ad6f149bfa20f4f2a9a2e91aac4187/preview</v>
      </c>
      <c r="C973" s="31" t="str">
        <f>IFERROR(__xludf.DUMMYFUNCTION("""COMPUTED_VALUE"""),"予約")</f>
        <v>予約</v>
      </c>
      <c r="D973" s="31" t="str">
        <f>IFERROR(__xludf.DUMMYFUNCTION("""COMPUTED_VALUE"""),"再診,予約必要,来院,受診,予約をお取りの上")</f>
        <v>再診,予約必要,来院,受診,予約をお取りの上</v>
      </c>
      <c r="E973" s="32" t="str">
        <f>IFERROR(__xludf.DUMMYFUNCTION("""COMPUTED_VALUE"""),"https://cline-app.com/qr-codes/98ad6f149bfa20f4f2a9a2e91aac4187/preview")</f>
        <v>https://cline-app.com/qr-codes/98ad6f149bfa20f4f2a9a2e91aac4187/preview</v>
      </c>
    </row>
    <row r="974">
      <c r="A974" s="31" t="str">
        <f>IFERROR(__xludf.DUMMYFUNCTION("""COMPUTED_VALUE"""),"予約内容を間違えた")</f>
        <v>予約内容を間違えた</v>
      </c>
      <c r="B974" s="31" t="str">
        <f>IFERROR(__xludf.DUMMYFUNCTION("""COMPUTED_VALUE"""),"予約内容をお間違いの場合、LINEの「予約状況の確認」からキャンセルの上、再度ご予約をお取り直しください。お電話でご予約された方は、お電話（050-1730-2768）にて変更をお願いします。")</f>
        <v>予約内容をお間違いの場合、LINEの「予約状況の確認」からキャンセルの上、再度ご予約をお取り直しください。お電話でご予約された方は、お電話（050-1730-2768）にて変更をお願いします。</v>
      </c>
      <c r="C974" s="31"/>
      <c r="D974" s="31"/>
      <c r="E974" s="31"/>
    </row>
    <row r="975">
      <c r="A975" s="31" t="str">
        <f>IFERROR(__xludf.DUMMYFUNCTION("""COMPUTED_VALUE"""),"いつも横浜駅前院に通っていますが、川崎駅前院や町田駅前院に行っても良いですか？/別の院で受診すると初診扱いですか？/他の院に行くと初診料がかかりますか？/病院を違う院にいきたい/別の院で同じ薬をもらいたい/他の院で経過を聞きたい/店舗変更/院を変更したい/通う院を変えたい/横浜駅前院に行くのは始めてですが初診になりますか？/川崎駅前院に行くのは始めてですが初診になりますか？/町田駅前院に行くのは初めてですが初診になりますか？/別の院は初めてですが初診ですか？/別の院でピルのみ受け取ることはできますか？/他"&amp;"の院で薬だけもらえますか？/川崎院→横浜院に変えるとき初めてを選ぶ？/町田に通っていたが横浜に通いたい、ピルだけ処方は可能？")</f>
        <v>いつも横浜駅前院に通っていますが、川崎駅前院や町田駅前院に行っても良いですか？/別の院で受診すると初診扱いですか？/他の院に行くと初診料がかかりますか？/病院を違う院にいきたい/別の院で同じ薬をもらいたい/他の院で経過を聞きたい/店舗変更/院を変更したい/通う院を変えたい/横浜駅前院に行くのは始めてですが初診になりますか？/川崎駅前院に行くのは始めてですが初診になりますか？/町田駅前院に行くのは初めてですが初診になりますか？/別の院は初めてですが初診ですか？/別の院でピルのみ受け取ることはできますか？/他の院で薬だけもらえますか？/川崎院→横浜院に変えるとき初めてを選ぶ？/町田に通っていたが横浜に通いたい、ピルだけ処方は可能？</v>
      </c>
      <c r="B975" s="31" t="str">
        <f>IFERROR(__xludf.DUMMYFUNCTION("""COMPUTED_VALUE"""),"ルナレディースクリニックでは、当院の別の院（横浜駅前院・川崎駅前院・町田駅前院）でのご受診も可能です。ただし、保険診療の場合は別途初診料が発生する可能性がございます。
また、当院より紹介状を発行しMRI検査を受けられた方につきましては、検査結果のご説明は紹介元のクリニックのみで行っております。あらかじめご了承くださいますようお願い申し上げます。")</f>
        <v>ルナレディースクリニックでは、当院の別の院（横浜駅前院・川崎駅前院・町田駅前院）でのご受診も可能です。ただし、保険診療の場合は別途初診料が発生する可能性がございます。
また、当院より紹介状を発行しMRI検査を受けられた方につきましては、検査結果のご説明は紹介元のクリニックのみで行っております。あらかじめご了承くださいますようお願い申し上げます。</v>
      </c>
      <c r="C975" s="31" t="str">
        <f>IFERROR(__xludf.DUMMYFUNCTION("""COMPUTED_VALUE"""),"受診案内・院変更")</f>
        <v>受診案内・院変更</v>
      </c>
      <c r="D975" s="31" t="str">
        <f>IFERROR(__xludf.DUMMYFUNCTION("""COMPUTED_VALUE"""),"院変更,横浜駅前院,川崎駅前院,町田駅前院,初診料,保険診療,MRI,紹介状,検査結果,初診,別の院,他の院")</f>
        <v>院変更,横浜駅前院,川崎駅前院,町田駅前院,初診料,保険診療,MRI,紹介状,検査結果,初診,別の院,他の院</v>
      </c>
      <c r="E975" s="31"/>
    </row>
    <row r="976">
      <c r="A976" s="31" t="str">
        <f>IFERROR(__xludf.DUMMYFUNCTION("""COMPUTED_VALUE"""),"いつも川崎駅前院に通っていますが、横浜駅前院や町田駅前院に行っても良いですか？/別の院で受診すると初診扱いですか？/他の院に行くと初診料がかかりますか？/病院を違う院にいきたい/別の院で同じ薬をもらいたい/他の院で経過を聞きたい/店舗変更/院を変更したい/通う院を変えたい/横浜駅前院に行くのは始めてですが初診になりますか？/川崎駅前院に行くのは始めてですが初診になりますか？/町田駅前院に行くのは初めてですが初診になりますか？/別の院は初めてですが初診ですか？/別の院でピルのみ受け取ることはできますか？/他"&amp;"の院で薬だけもらえますか？/横浜院→川崎院は初診扱いですか？/川崎院に行ったことがあれば初回ではない？")</f>
        <v>いつも川崎駅前院に通っていますが、横浜駅前院や町田駅前院に行っても良いですか？/別の院で受診すると初診扱いですか？/他の院に行くと初診料がかかりますか？/病院を違う院にいきたい/別の院で同じ薬をもらいたい/他の院で経過を聞きたい/店舗変更/院を変更したい/通う院を変えたい/横浜駅前院に行くのは始めてですが初診になりますか？/川崎駅前院に行くのは始めてですが初診になりますか？/町田駅前院に行くのは初めてですが初診になりますか？/別の院は初めてですが初診ですか？/別の院でピルのみ受け取ることはできますか？/他の院で薬だけもらえますか？/横浜院→川崎院は初診扱いですか？/川崎院に行ったことがあれば初回ではない？</v>
      </c>
      <c r="B976" s="31" t="str">
        <f>IFERROR(__xludf.DUMMYFUNCTION("""COMPUTED_VALUE"""),"ルナレディースクリニックでは、当院の別の院（横浜駅前院・川崎駅前院・町田駅前院）でのご受診も可能です。ただし、保険診療の場合は別途初診料が発生する可能性がございます。
また、当院より紹介状を発行しMRI検査を受けられた方につきましては、検査結果のご説明は紹介元のクリニックのみで行っております。あらかじめご了承くださいますようお願い申し上げます。")</f>
        <v>ルナレディースクリニックでは、当院の別の院（横浜駅前院・川崎駅前院・町田駅前院）でのご受診も可能です。ただし、保険診療の場合は別途初診料が発生する可能性がございます。
また、当院より紹介状を発行しMRI検査を受けられた方につきましては、検査結果のご説明は紹介元のクリニックのみで行っております。あらかじめご了承くださいますようお願い申し上げます。</v>
      </c>
      <c r="C976" s="31" t="str">
        <f>IFERROR(__xludf.DUMMYFUNCTION("""COMPUTED_VALUE"""),"受診案内・院変更")</f>
        <v>受診案内・院変更</v>
      </c>
      <c r="D976" s="31" t="str">
        <f>IFERROR(__xludf.DUMMYFUNCTION("""COMPUTED_VALUE"""),"院変更,横浜駅前院,川崎駅前院,町田駅前院,初診料,保険診療,MRI,紹介状,検査結果,初診,別の院,他の院")</f>
        <v>院変更,横浜駅前院,川崎駅前院,町田駅前院,初診料,保険診療,MRI,紹介状,検査結果,初診,別の院,他の院</v>
      </c>
      <c r="E976" s="31"/>
    </row>
    <row r="977">
      <c r="A977" s="31" t="str">
        <f>IFERROR(__xludf.DUMMYFUNCTION("""COMPUTED_VALUE"""),"いつも町田駅前院に通っていますが、川崎駅前院や横浜駅前院に行っても良いですか？/別の院で受診すると初診扱いですか？/他の院に行くと初診料がかかりますか？/病院を違う院にいきたい/別の院で同じ薬をもらいたい/他の院で経過を聞きたい/店舗変更/院を変更したい/通う院を変えたい/横浜駅前院に行くのは始めてですが初診になりますか？/川崎駅前院に行くのは始めてですが初診になりますか？/町田駅前院に行くのは初めてですが初診になりますか？/別の院は初めてですが初診ですか？/別の院でピルのみ受け取ることはできますか？/他"&amp;"の院で薬だけもらえますか？/町田駅前院で診察した内容を横浜院で診察してもらえるか")</f>
        <v>いつも町田駅前院に通っていますが、川崎駅前院や横浜駅前院に行っても良いですか？/別の院で受診すると初診扱いですか？/他の院に行くと初診料がかかりますか？/病院を違う院にいきたい/別の院で同じ薬をもらいたい/他の院で経過を聞きたい/店舗変更/院を変更したい/通う院を変えたい/横浜駅前院に行くのは始めてですが初診になりますか？/川崎駅前院に行くのは始めてですが初診になりますか？/町田駅前院に行くのは初めてですが初診になりますか？/別の院は初めてですが初診ですか？/別の院でピルのみ受け取ることはできますか？/他の院で薬だけもらえますか？/町田駅前院で診察した内容を横浜院で診察してもらえるか</v>
      </c>
      <c r="B977" s="31" t="str">
        <f>IFERROR(__xludf.DUMMYFUNCTION("""COMPUTED_VALUE"""),"ルナレディースクリニックでは、当院の別の院（横浜駅前院・川崎駅前院・町田駅前院）でのご受診も可能です。ただし、保険診療の場合は別途初診料が発生する可能性がございます。
また、当院より紹介状を発行しMRI検査を受けられた方につきましては、検査結果のご説明は紹介元のクリニックのみで行っております。あらかじめご了承くださいますようお願い申し上げます。")</f>
        <v>ルナレディースクリニックでは、当院の別の院（横浜駅前院・川崎駅前院・町田駅前院）でのご受診も可能です。ただし、保険診療の場合は別途初診料が発生する可能性がございます。
また、当院より紹介状を発行しMRI検査を受けられた方につきましては、検査結果のご説明は紹介元のクリニックのみで行っております。あらかじめご了承くださいますようお願い申し上げます。</v>
      </c>
      <c r="C977" s="31" t="str">
        <f>IFERROR(__xludf.DUMMYFUNCTION("""COMPUTED_VALUE"""),"受診案内・院変更")</f>
        <v>受診案内・院変更</v>
      </c>
      <c r="D977" s="31" t="str">
        <f>IFERROR(__xludf.DUMMYFUNCTION("""COMPUTED_VALUE"""),"院変更,横浜駅前院,川崎駅前院,町田駅前院,初診料,保険診療,MRI,紹介状,検査結果,初診,別の院,他の院")</f>
        <v>院変更,横浜駅前院,川崎駅前院,町田駅前院,初診料,保険診療,MRI,紹介状,検査結果,初診,別の院,他の院</v>
      </c>
      <c r="E977" s="31"/>
    </row>
    <row r="978">
      <c r="A978" s="31" t="str">
        <f>IFERROR(__xludf.DUMMYFUNCTION("""COMPUTED_VALUE"""),"LINEがない/LINEアプリをインストールしていない/LINEできない/電話したい/電話番号を教えて")</f>
        <v>LINEがない/LINEアプリをインストールしていない/LINEできない/電話したい/電話番号を教えて</v>
      </c>
      <c r="B978" s="31" t="str">
        <f>IFERROR(__xludf.DUMMYFUNCTION("""COMPUTED_VALUE"""),"当院の電話番号は050-1730-2768 （受付時間：平日9:45〜13:40・15:15〜19:40、土日祝9:45〜13:40・15:15〜18:40）になります。（電話番号は全院共通です。）")</f>
        <v>当院の電話番号は050-1730-2768 （受付時間：平日9:45〜13:40・15:15〜19:40、土日祝9:45〜13:40・15:15〜18:40）になります。（電話番号は全院共通です。）</v>
      </c>
      <c r="C978" s="31" t="str">
        <f>IFERROR(__xludf.DUMMYFUNCTION("""COMPUTED_VALUE"""),"LINE")</f>
        <v>LINE</v>
      </c>
      <c r="D978" s="31" t="str">
        <f>IFERROR(__xludf.DUMMYFUNCTION("""COMPUTED_VALUE"""),"LINE,LINEない,電話")</f>
        <v>LINE,LINEない,電話</v>
      </c>
      <c r="E978" s="31"/>
    </row>
    <row r="979">
      <c r="A979" s="31" t="str">
        <f>IFERROR(__xludf.DUMMYFUNCTION("""COMPUTED_VALUE"""),"駐車場はありますか？")</f>
        <v>駐車場はありますか？</v>
      </c>
      <c r="B979" s="31" t="str">
        <f>IFERROR(__xludf.DUMMYFUNCTION("""COMPUTED_VALUE"""),"大変恐縮ですが、当院では駐車場のご用意はございません。お近くのコインパーキングをご利用いただけますと幸いです。（駐車料金はご利用者さまのご負担となります）")</f>
        <v>大変恐縮ですが、当院では駐車場のご用意はございません。お近くのコインパーキングをご利用いただけますと幸いです。（駐車料金はご利用者さまのご負担となります）</v>
      </c>
      <c r="C979" s="31" t="str">
        <f>IFERROR(__xludf.DUMMYFUNCTION("""COMPUTED_VALUE"""),"駐車場")</f>
        <v>駐車場</v>
      </c>
      <c r="D979" s="31" t="str">
        <f>IFERROR(__xludf.DUMMYFUNCTION("""COMPUTED_VALUE"""),"駐車場,コインパーク,コインパーキング")</f>
        <v>駐車場,コインパーク,コインパーキング</v>
      </c>
      <c r="E979" s="31"/>
    </row>
    <row r="980">
      <c r="A980" s="31" t="str">
        <f>IFERROR(__xludf.DUMMYFUNCTION("""COMPUTED_VALUE"""),"医療ローンはありますか？/分割払いはできますか？")</f>
        <v>医療ローンはありますか？/分割払いはできますか？</v>
      </c>
      <c r="B980" s="31" t="str">
        <f>IFERROR(__xludf.DUMMYFUNCTION("""COMPUTED_VALUE"""),"大変恐縮ではございますが、当院では医療ローンのお取り扱いはございません。ご了承くださいませ。")</f>
        <v>大変恐縮ではございますが、当院では医療ローンのお取り扱いはございません。ご了承くださいませ。</v>
      </c>
      <c r="C980" s="31" t="str">
        <f>IFERROR(__xludf.DUMMYFUNCTION("""COMPUTED_VALUE"""),"支払い方法")</f>
        <v>支払い方法</v>
      </c>
      <c r="D980" s="31" t="str">
        <f>IFERROR(__xludf.DUMMYFUNCTION("""COMPUTED_VALUE"""),"医療ローン,分割払い,支払い方法")</f>
        <v>医療ローン,分割払い,支払い方法</v>
      </c>
      <c r="E980" s="31"/>
    </row>
    <row r="981">
      <c r="A981" s="31" t="str">
        <f>IFERROR(__xludf.DUMMYFUNCTION("""COMPUTED_VALUE"""),"休診日はいつですか？")</f>
        <v>休診日はいつですか？</v>
      </c>
      <c r="B981" s="31" t="str">
        <f>IFERROR(__xludf.DUMMYFUNCTION("""COMPUTED_VALUE"""),"ルナレディースクリニックでは、院によって休診日・診療日が異なります。
・横浜駅前院：土日祝日も含め、毎日診療を行っています。平日は午前診療が10:00〜14:00、午後診療が15:30〜20:00です。土日祝は午前診療が10:00〜14:00、午後診療が15:30〜19:00です。診療時間はこちら：https://luna-dr.com/yokohama/consultation-hours/ 
・川崎駅前院：土日祝日も含め、毎日診療を行っています。平日は午前診療が10:00〜14:00、午後診療が15:"&amp;"30〜20:00です。土日祝は午前診療が10:00〜14:00、午後診療が15:30〜19:00です。診療時間はこちら：https://luna-dr.com/kawasaki/consultation-hours/ 
・町田駅前院：定休日は日曜日です。その他の曜日は診療を行っています。診療時間はこちら：https://luna-dr.com/machida/consultation-hours/")</f>
        <v>ルナレディースクリニックでは、院によって休診日・診療日が異なります。
・横浜駅前院：土日祝日も含め、毎日診療を行っています。平日は午前診療が10:00〜14:00、午後診療が15:30〜20:00です。土日祝は午前診療が10:00〜14:00、午後診療が15:30〜19:00です。診療時間はこちら：https://luna-dr.com/yokohama/consultation-hours/ 
・川崎駅前院：土日祝日も含め、毎日診療を行っています。平日は午前診療が10:00〜14:00、午後診療が15:30〜20:00です。土日祝は午前診療が10:00〜14:00、午後診療が15:30〜19:00です。診療時間はこちら：https://luna-dr.com/kawasaki/consultation-hours/ 
・町田駅前院：定休日は日曜日です。その他の曜日は診療を行っています。診療時間はこちら：https://luna-dr.com/machida/consultation-hours/</v>
      </c>
      <c r="C981" s="31" t="str">
        <f>IFERROR(__xludf.DUMMYFUNCTION("""COMPUTED_VALUE"""),"診療時間")</f>
        <v>診療時間</v>
      </c>
      <c r="D981" s="31" t="str">
        <f>IFERROR(__xludf.DUMMYFUNCTION("""COMPUTED_VALUE"""),"休診日,定休日,日曜休診,院未指定")</f>
        <v>休診日,定休日,日曜休診,院未指定</v>
      </c>
      <c r="E981" s="31"/>
    </row>
    <row r="982">
      <c r="A982" s="31" t="str">
        <f>IFERROR(__xludf.DUMMYFUNCTION("""COMPUTED_VALUE"""),"診療時間を教えてください/受付可能時間は何時ですか？/受付は何時までですか？/何時まで開いていますか？/営業時間を教えてください")</f>
        <v>診療時間を教えてください/受付可能時間は何時ですか？/受付は何時までですか？/何時まで開いていますか？/営業時間を教えてください</v>
      </c>
      <c r="B982" s="31" t="str">
        <f>IFERROR(__xludf.DUMMYFUNCTION("""COMPUTED_VALUE"""),"ルナレディースクリニックでは院によって診療時間・休診日が異なります。
・横浜駅前院：平日は午前診療が10:00〜14:00、午後診療が15:30〜20:00です。土日祝は午前診療が10:00〜14:00、午後診療が15:30〜19:00です。土日祝日も含め、毎日診療を行っています。診療時間はこちら：https://luna-dr.com/yokohama/consultation-hours/ 
・川崎駅前院：平日は午前診療が10:00〜14:00、午後診療が15:30〜20:00です。土日祝は午前診療が"&amp;"10:00〜14:00、午後診療が15:30〜19:00です。土日祝日も含め、毎日診療を行っています。診療時間はこちら：https://luna-dr.com/kawasaki/consultation-hours/ 
・町田駅前院：午前診療が10:00〜14:00、午後診療が15:30〜20:00です。日曜は休診となります。土曜日の午後診療は15:30〜19:00です。診療時間はこちら：https://luna-dr.com/machida/consultation-hours/")</f>
        <v>ルナレディースクリニックでは院によって診療時間・休診日が異なります。
・横浜駅前院：平日は午前診療が10:00〜14:00、午後診療が15:30〜20:00です。土日祝は午前診療が10:00〜14:00、午後診療が15:30〜19:00です。土日祝日も含め、毎日診療を行っています。診療時間はこちら：https://luna-dr.com/yokohama/consultation-hours/ 
・川崎駅前院：平日は午前診療が10:00〜14:00、午後診療が15:30〜20:00です。土日祝は午前診療が10:00〜14:00、午後診療が15:30〜19:00です。土日祝日も含め、毎日診療を行っています。診療時間はこちら：https://luna-dr.com/kawasaki/consultation-hours/ 
・町田駅前院：午前診療が10:00〜14:00、午後診療が15:30〜20:00です。日曜は休診となります。土曜日の午後診療は15:30〜19:00です。診療時間はこちら：https://luna-dr.com/machida/consultation-hours/</v>
      </c>
      <c r="C982" s="31" t="str">
        <f>IFERROR(__xludf.DUMMYFUNCTION("""COMPUTED_VALUE"""),"診療時間")</f>
        <v>診療時間</v>
      </c>
      <c r="D982" s="31" t="str">
        <f>IFERROR(__xludf.DUMMYFUNCTION("""COMPUTED_VALUE"""),"診療時間,営業時間,院未指定,町田駅前院,川")</f>
        <v>診療時間,営業時間,院未指定,町田駅前院,川</v>
      </c>
      <c r="E982" s="31"/>
    </row>
    <row r="983">
      <c r="A983" s="31" t="str">
        <f>IFERROR(__xludf.DUMMYFUNCTION("""COMPUTED_VALUE"""),"今日診療していますか？")</f>
        <v>今日診療していますか？</v>
      </c>
      <c r="B983" s="31" t="str">
        <f>IFERROR(__xludf.DUMMYFUNCTION("""COMPUTED_VALUE"""),"ルナレディースクリニックでは院によって診療日が異なります。
・横浜駅前院：土日祝日も含め、毎日診療を行っています。平日は午前診療が10:00〜14:00、午後診療が15:30〜20:00です。土日祝は午前診療が10:00〜14:00、午後診療が15:30〜19:00です。診療時間はこちら：https://luna-dr.com/yokohama/consultation-hours/ 
・川崎駅前院：土日祝日も含め、毎日診療を行っています。平日は午前診療が10:00〜14:00、午後診療が15:30〜20"&amp;":00です。土日祝は午前診療が10:00〜14:00、午後診療が15:30〜19:00です。診療時間はこちら：https://luna-dr.com/kawasaki/consultation-hours/ 
・町田駅前院：午前10:00〜14:00／午後15:30〜20:00で診療しており、日曜は休診です（土曜午後は15:30〜19:00）。診療時間はこちら：https://luna-dr.com/machida/consultation-hours/")</f>
        <v>ルナレディースクリニックでは院によって診療日が異なります。
・横浜駅前院：土日祝日も含め、毎日診療を行っています。平日は午前診療が10:00〜14:00、午後診療が15:30〜20:00です。土日祝は午前診療が10:00〜14:00、午後診療が15:30〜19:00です。診療時間はこちら：https://luna-dr.com/yokohama/consultation-hours/ 
・川崎駅前院：土日祝日も含め、毎日診療を行っています。平日は午前診療が10:00〜14:00、午後診療が15:30〜20:00です。土日祝は午前診療が10:00〜14:00、午後診療が15:30〜19:00です。診療時間はこちら：https://luna-dr.com/kawasaki/consultation-hours/ 
・町田駅前院：午前10:00〜14:00／午後15:30〜20:00で診療しており、日曜は休診です（土曜午後は15:30〜19:00）。診療時間はこちら：https://luna-dr.com/machida/consultation-hours/</v>
      </c>
      <c r="C983" s="31" t="str">
        <f>IFERROR(__xludf.DUMMYFUNCTION("""COMPUTED_VALUE"""),"診療時間")</f>
        <v>診療時間</v>
      </c>
      <c r="D983" s="31" t="str">
        <f>IFERROR(__xludf.DUMMYFUNCTION("""COMPUTED_VALUE"""),"今日,本日,診療,やってる,診療日,休診日,祝日,土日,院未指定,横浜駅前院,川崎駅前院,町田駅前院")</f>
        <v>今日,本日,診療,やってる,診療日,休診日,祝日,土日,院未指定,横浜駅前院,川崎駅前院,町田駅前院</v>
      </c>
      <c r="E983" s="31" t="str">
        <f>IFERROR(__xludf.DUMMYFUNCTION("""COMPUTED_VALUE"""),"https://luna-dr.com/yokohama/ | https://luna-dr.com/kawasaki/ | https://luna-dr.com/machida/")</f>
        <v>https://luna-dr.com/yokohama/ | https://luna-dr.com/kawasaki/ | https://luna-dr.com/machida/</v>
      </c>
    </row>
    <row r="984">
      <c r="A984" s="31" t="str">
        <f>IFERROR(__xludf.DUMMYFUNCTION("""COMPUTED_VALUE"""),"夜も診療していますか？")</f>
        <v>夜も診療していますか？</v>
      </c>
      <c r="B984" s="31" t="str">
        <f>IFERROR(__xludf.DUMMYFUNCTION("""COMPUTED_VALUE"""),"ルナレディースクリニックでは院によって診療時間が異なります。
・横浜駅前院：平日の午後診療は15:30〜20:00です。土日祝の午後診療は15:30〜19:00です。診療時間はこちら：https://luna-dr.com/yokohama/consultation-hours/ 
・川崎駅前院：平日の午後診療は15:30〜20:00です。土日祝の午後診療は15:30〜19:00です。診療時間はこちら：https://luna-dr.com/kawasaki/consultation-hours/ 
・町"&amp;"田駅前院：午後診療は15:30〜20:00です。土曜日の午後診療は15:30〜19:00です。日曜は休診です。診療時間はこちら：https://luna-dr.com/machida/consultation-hours/")</f>
        <v>ルナレディースクリニックでは院によって診療時間が異なります。
・横浜駅前院：平日の午後診療は15:30〜20:00です。土日祝の午後診療は15:30〜19:00です。診療時間はこちら：https://luna-dr.com/yokohama/consultation-hours/ 
・川崎駅前院：平日の午後診療は15:30〜20:00です。土日祝の午後診療は15:30〜19:00です。診療時間はこちら：https://luna-dr.com/kawasaki/consultation-hours/ 
・町田駅前院：午後診療は15:30〜20:00です。土曜日の午後診療は15:30〜19:00です。日曜は休診です。診療時間はこちら：https://luna-dr.com/machida/consultation-hours/</v>
      </c>
      <c r="C984" s="31" t="str">
        <f>IFERROR(__xludf.DUMMYFUNCTION("""COMPUTED_VALUE"""),"診療時間")</f>
        <v>診療時間</v>
      </c>
      <c r="D984" s="31" t="str">
        <f>IFERROR(__xludf.DUMMYFUNCTION("""COMPUTED_VALUE"""),"夜,夜間,午後,20時,遅くまで,診療時間,院未指定,横浜駅前院,川崎駅前院,町田駅前院")</f>
        <v>夜,夜間,午後,20時,遅くまで,診療時間,院未指定,横浜駅前院,川崎駅前院,町田駅前院</v>
      </c>
      <c r="E984" s="31" t="str">
        <f>IFERROR(__xludf.DUMMYFUNCTION("""COMPUTED_VALUE"""),"https://luna-dr.com/machida/ | https://luna-dr.com/kawasaki/ | https://luna-dr.com/yokohama/")</f>
        <v>https://luna-dr.com/machida/ | https://luna-dr.com/kawasaki/ | https://luna-dr.com/yokohama/</v>
      </c>
    </row>
    <row r="985">
      <c r="A985" s="31" t="str">
        <f>IFERROR(__xludf.DUMMYFUNCTION("""COMPUTED_VALUE"""),"土日・祝日は診療していますか？")</f>
        <v>土日・祝日は診療していますか？</v>
      </c>
      <c r="B985" s="31" t="str">
        <f>IFERROR(__xludf.DUMMYFUNCTION("""COMPUTED_VALUE"""),"ルナレディースクリニックでは院によって診療日が異なります。
・横浜駅前院：土日祝日も含め、毎日診療を行っています（土日祝の診療時間は午前10:00〜14:00／午後15:30〜19:00です）。詳しくはこちら：https://luna-dr.com/yokohama/consultation-hours/ 
・川崎駅前院：土日祝日も含め、毎日診療を行っています（土日祝の診療時間は午前10:00〜14:00／午後15:30〜19:00です）。詳しくはこちら：https://luna-dr.com/kawas"&amp;"aki/consultation-hours/ 
・町田駅前院：日曜は休診です。土曜日に診療時間は午前10:00〜14:00／午後15:30〜19:00です。詳しくはこちら：https://luna-dr.com/machida/consultation-hours/")</f>
        <v>ルナレディースクリニックでは院によって診療日が異なります。
・横浜駅前院：土日祝日も含め、毎日診療を行っています（土日祝の診療時間は午前10:00〜14:00／午後15:30〜19:00です）。詳しくはこちら：https://luna-dr.com/yokohama/consultation-hours/ 
・川崎駅前院：土日祝日も含め、毎日診療を行っています（土日祝の診療時間は午前10:00〜14:00／午後15:30〜19:00です）。詳しくはこちら：https://luna-dr.com/kawasaki/consultation-hours/ 
・町田駅前院：日曜は休診です。土曜日に診療時間は午前10:00〜14:00／午後15:30〜19:00です。詳しくはこちら：https://luna-dr.com/machida/consultation-hours/</v>
      </c>
      <c r="C985" s="31" t="str">
        <f>IFERROR(__xludf.DUMMYFUNCTION("""COMPUTED_VALUE"""),"診療時間")</f>
        <v>診療時間</v>
      </c>
      <c r="D985" s="31" t="str">
        <f>IFERROR(__xludf.DUMMYFUNCTION("""COMPUTED_VALUE"""),"土日,祝日,休日,診療,やってる,開いてる,診療日,休診日,院未指定,横浜駅前院,川崎駅前院,町田駅前院")</f>
        <v>土日,祝日,休日,診療,やってる,開いてる,診療日,休診日,院未指定,横浜駅前院,川崎駅前院,町田駅前院</v>
      </c>
      <c r="E985" s="31" t="str">
        <f>IFERROR(__xludf.DUMMYFUNCTION("""COMPUTED_VALUE"""),"https://luna-dr.com/yokohama/ | https://luna-dr.com/kawasaki/ | https://luna-dr.com/machida/")</f>
        <v>https://luna-dr.com/yokohama/ | https://luna-dr.com/kawasaki/ | https://luna-dr.com/machida/</v>
      </c>
    </row>
    <row r="986">
      <c r="A986" s="31" t="str">
        <f>IFERROR(__xludf.DUMMYFUNCTION("""COMPUTED_VALUE"""),"住所を教えてください")</f>
        <v>住所を教えてください</v>
      </c>
      <c r="B986" s="31" t="str">
        <f>IFERROR(__xludf.DUMMYFUNCTION("""COMPUTED_VALUE"""),"ルナレディースクリニックの住所は院によって異なります。
・横浜駅前院：〒220-0004 神奈川県横浜市西区北幸1丁目1-8 エキニア横浜7F（横浜駅から徒歩2分）。詳しくはこちら：https://luna-dr.com/yokohama/
・川崎駅前院：〒210-0007 神奈川県川崎市川崎区駅前本町3-1 NMF川崎東口ビルB1F（川崎駅から徒歩30秒）。詳しくはこちら：https://luna-dr.com/kawasaki/
・町田駅前院：〒194-0013 東京都町田市原町田6丁目3-20 TK"&amp;"町田ビル3階（町田駅から徒歩2分）。詳しくはこちら：https://luna-dr.com/")</f>
        <v>ルナレディースクリニックの住所は院によって異なります。
・横浜駅前院：〒220-0004 神奈川県横浜市西区北幸1丁目1-8 エキニア横浜7F（横浜駅から徒歩2分）。詳しくはこちら：https://luna-dr.com/yokohama/
・川崎駅前院：〒210-0007 神奈川県川崎市川崎区駅前本町3-1 NMF川崎東口ビルB1F（川崎駅から徒歩30秒）。詳しくはこちら：https://luna-dr.com/kawasaki/
・町田駅前院：〒194-0013 東京都町田市原町田6丁目3-20 TK町田ビル3階（町田駅から徒歩2分）。詳しくはこちら：https://luna-dr.com/</v>
      </c>
      <c r="C986" s="31" t="str">
        <f>IFERROR(__xludf.DUMMYFUNCTION("""COMPUTED_VALUE"""),"アクセス")</f>
        <v>アクセス</v>
      </c>
      <c r="D986" s="31" t="str">
        <f>IFERROR(__xludf.DUMMYFUNCTION("""COMPUTED_VALUE"""),"住所,所在地,どこ,場所,アクセス,院未指定,横浜駅前院,川崎駅前院,町田駅前院")</f>
        <v>住所,所在地,どこ,場所,アクセス,院未指定,横浜駅前院,川崎駅前院,町田駅前院</v>
      </c>
      <c r="E986" s="31" t="str">
        <f>IFERROR(__xludf.DUMMYFUNCTION("""COMPUTED_VALUE"""),"https://luna-dr.com/yokohama/ | https://luna-dr.com/kawasaki/ | https://luna-dr.com/")</f>
        <v>https://luna-dr.com/yokohama/ | https://luna-dr.com/kawasaki/ | https://luna-dr.com/</v>
      </c>
    </row>
    <row r="987">
      <c r="A987" s="31" t="str">
        <f>IFERROR(__xludf.DUMMYFUNCTION("""COMPUTED_VALUE"""),"駅から近いですか？/交通アクセスを教えてください/アクセスは？/駅からどう行けばいいですか？")</f>
        <v>駅から近いですか？/交通アクセスを教えてください/アクセスは？/駅からどう行けばいいですか？</v>
      </c>
      <c r="B987" s="31" t="str">
        <f>IFERROR(__xludf.DUMMYFUNCTION("""COMPUTED_VALUE"""),"ルナレディースクリニックは院によって最寄駅からの距離が異なります。
・横浜駅前院：最寄り駅は「横浜駅」となります。JR横浜駅西口から徒歩2分、地下直結のエキニア横浜7Fにあります。詳しくはこちら：https://luna-dr.com/yokohama/
・川崎駅前院：最寄り駅は「川崎駅」となります。JR川崎駅東口から徒歩30秒（アゼリア直結:地下26番出口）のNMF川崎東口ビルB1Fにあります。詳しくはこちら：https://luna-dr.com/kawasaki/
・町田駅前院：最寄り駅は「町田駅」"&amp;"となります。JR町田駅北口、小田急線町田駅西口から徒歩3分のTK町田ビル3階にあります。詳しくはこちら：https://luna-dr.com/machida/")</f>
        <v>ルナレディースクリニックは院によって最寄駅からの距離が異なります。
・横浜駅前院：最寄り駅は「横浜駅」となります。JR横浜駅西口から徒歩2分、地下直結のエキニア横浜7Fにあります。詳しくはこちら：https://luna-dr.com/yokohama/
・川崎駅前院：最寄り駅は「川崎駅」となります。JR川崎駅東口から徒歩30秒（アゼリア直結:地下26番出口）のNMF川崎東口ビルB1Fにあります。詳しくはこちら：https://luna-dr.com/kawasaki/
・町田駅前院：最寄り駅は「町田駅」となります。JR町田駅北口、小田急線町田駅西口から徒歩3分のTK町田ビル3階にあります。詳しくはこちら：https://luna-dr.com/machida/</v>
      </c>
      <c r="C987" s="31" t="str">
        <f>IFERROR(__xludf.DUMMYFUNCTION("""COMPUTED_VALUE"""),"アクセス")</f>
        <v>アクセス</v>
      </c>
      <c r="D987" s="31" t="str">
        <f>IFERROR(__xludf.DUMMYFUNCTION("""COMPUTED_VALUE"""),"駅から近い,交通アクセス,最寄駅,徒歩,院未指定,横浜駅,川崎駅,町田駅,横浜駅前院,川崎駅前院,町田駅前院,行き方, 道順, ルート, 地図, 乗り換え, 出口, 徒歩, 駅から, 案内, アクセス方法")</f>
        <v>駅から近い,交通アクセス,最寄駅,徒歩,院未指定,横浜駅,川崎駅,町田駅,横浜駅前院,川崎駅前院,町田駅前院,行き方, 道順, ルート, 地図, 乗り換え, 出口, 徒歩, 駅から, 案内, アクセス方法</v>
      </c>
      <c r="E987" s="31" t="str">
        <f>IFERROR(__xludf.DUMMYFUNCTION("""COMPUTED_VALUE"""),"https://luna-dr.com/yokohama/ | https://luna-dr.com/kawasaki/ | https://luna-dr.com/machida/")</f>
        <v>https://luna-dr.com/yokohama/ | https://luna-dr.com/kawasaki/ | https://luna-dr.com/machida/</v>
      </c>
    </row>
    <row r="988">
      <c r="A988" s="31" t="str">
        <f>IFERROR(__xludf.DUMMYFUNCTION("""COMPUTED_VALUE"""),"料金を教えてください/料金を教えて/料金/費用/いくらですか/値段/価格/料金一覧/いくらぐらいかかる？/いくらかかりますか？/費用はどのくらい？/だいたいいくら？")</f>
        <v>料金を教えてください/料金を教えて/料金/費用/いくらですか/値段/価格/料金一覧/いくらぐらいかかる？/いくらかかりますか？/費用はどのくらい？/だいたいいくら？</v>
      </c>
      <c r="B988" s="31" t="str">
        <f>IFERROR(__xludf.DUMMYFUNCTION("""COMPUTED_VALUE"""),"ルナレディースクリニックの料金は、院によって異なる場合があります。詳しい情報は各院の料金ページをご確認ください。・町田駅前院の料金はこちら：https://luna-dr.com/machida/price/　・川崎駅前院の料金はこちら：https://luna-dr.com/kawasaki/price/　・横浜駅前院の料金はこちら：https://luna-dr.com/yokohama/price/")</f>
        <v>ルナレディースクリニックの料金は、院によって異なる場合があります。詳しい情報は各院の料金ページをご確認ください。・町田駅前院の料金はこちら：https://luna-dr.com/machida/price/　・川崎駅前院の料金はこちら：https://luna-dr.com/kawasaki/price/　・横浜駅前院の料金はこちら：https://luna-dr.com/yokohama/price/</v>
      </c>
      <c r="C988" s="31" t="str">
        <f>IFERROR(__xludf.DUMMYFUNCTION("""COMPUTED_VALUE"""),"料金")</f>
        <v>料金</v>
      </c>
      <c r="D988" s="31" t="str">
        <f>IFERROR(__xludf.DUMMYFUNCTION("""COMPUTED_VALUE"""),"料金,費用,いくら,値段,価格,院未指定,町田駅前院,川崎駅前院,横浜駅前院,料金ページ")</f>
        <v>料金,費用,いくら,値段,価格,院未指定,町田駅前院,川崎駅前院,横浜駅前院,料金ページ</v>
      </c>
      <c r="E988" s="31" t="str">
        <f>IFERROR(__xludf.DUMMYFUNCTION("""COMPUTED_VALUE"""),"https://luna-dr.com/machida/price/ | https://luna-dr.com/kawasaki/price/ | https://luna-dr.com/yokohama/price/")</f>
        <v>https://luna-dr.com/machida/price/ | https://luna-dr.com/kawasaki/price/ | https://luna-dr.com/yokohama/price/</v>
      </c>
    </row>
    <row r="989">
      <c r="A989" s="31" t="str">
        <f>IFERROR(__xludf.DUMMYFUNCTION("""COMPUTED_VALUE"""),"料金と支払い方法を教えてください
")</f>
        <v>料金と支払い方法を教えてください
</v>
      </c>
      <c r="B989" s="31" t="str">
        <f>IFERROR(__xludf.DUMMYFUNCTION("""COMPUTED_VALUE"""),"ルナレディースクリニックの料金は、院によって異なる場合があります。詳しい情報は各院の料金ページをご確認ください。・町田駅前院の料金はこちら：https://luna-dr.com/machida/price/　・川崎駅前院の料金はこちら：https://luna-dr.com/kawasaki/price/　・横浜駅前院の料金はこちら：https://luna-dr.com/yokohama/price/
お支払いは、現金のほか、クレジットカード（VISA、Mastercard、JCB、American "&amp;"Express、Diners Club、Discover）、交通系電子マネー（Suica、PASMO、Kitaca、TOICA、manaca、ICOCA、SUGOCA、nimoca、はやかけん）、電子マネー（QUICPay、iD、WAON）、QRコード決済（Alipay、WeChat Pay、PayPay、d払い、mPay）をご利用いただけます。")</f>
        <v>ルナレディースクリニックの料金は、院によって異なる場合があります。詳しい情報は各院の料金ページをご確認ください。・町田駅前院の料金はこちら：https://luna-dr.com/machida/price/　・川崎駅前院の料金はこちら：https://luna-dr.com/kawasaki/price/　・横浜駅前院の料金はこちら：https://luna-dr.com/yokohama/price/
お支払いは、現金のほか、クレジットカード（VISA、Mastercard、JCB、American Express、Diners Club、Discover）、交通系電子マネー（Suica、PASMO、Kitaca、TOICA、manaca、ICOCA、SUGOCA、nimoca、はやかけん）、電子マネー（QUICPay、iD、WAON）、QRコード決済（Alipay、WeChat Pay、PayPay、d払い、mPay）をご利用いただけます。</v>
      </c>
      <c r="C989" s="31" t="str">
        <f>IFERROR(__xludf.DUMMYFUNCTION("""COMPUTED_VALUE"""),"料金・支払い")</f>
        <v>料金・支払い</v>
      </c>
      <c r="D989" s="31" t="str">
        <f>IFERROR(__xludf.DUMMYFUNCTION("""COMPUTED_VALUE"""),"料金,初診料,費用,支払い方法,決済")</f>
        <v>料金,初診料,費用,支払い方法,決済</v>
      </c>
      <c r="E989" s="31" t="str">
        <f>IFERROR(__xludf.DUMMYFUNCTION("""COMPUTED_VALUE"""),"https://luna-dr.com/machida/price/ | https://luna-dr.com/kawasaki/price/ | https://luna-dr.com/yokohama/price/")</f>
        <v>https://luna-dr.com/machida/price/ | https://luna-dr.com/kawasaki/price/ | https://luna-dr.com/yokohama/price/</v>
      </c>
    </row>
    <row r="990">
      <c r="A990" s="31" t="str">
        <f>IFERROR(__xludf.DUMMYFUNCTION("""COMPUTED_VALUE"""),"チャットを終了したい/チャットを消したい/じゃま/消えて/消して")</f>
        <v>チャットを終了したい/チャットを消したい/じゃま/消えて/消して</v>
      </c>
      <c r="B990" s="31" t="str">
        <f>IFERROR(__xludf.DUMMYFUNCTION("""COMPUTED_VALUE"""),"操作が分かりにくく、申し訳ありません。右下のバナーをもう一度押していただければ本チャットは終了致します。ご利用いただき、ありがとうございました。")</f>
        <v>操作が分かりにくく、申し訳ありません。右下のバナーをもう一度押していただければ本チャットは終了致します。ご利用いただき、ありがとうございました。</v>
      </c>
      <c r="C990" s="31" t="str">
        <f>IFERROR(__xludf.DUMMYFUNCTION("""COMPUTED_VALUE"""),"操作")</f>
        <v>操作</v>
      </c>
      <c r="D990" s="31" t="str">
        <f>IFERROR(__xludf.DUMMYFUNCTION("""COMPUTED_VALUE"""),"チャット,終了,終わりたい,消したい")</f>
        <v>チャット,終了,終わりたい,消したい</v>
      </c>
      <c r="E990" s="31"/>
    </row>
    <row r="991">
      <c r="A991" s="31" t="str">
        <f>IFERROR(__xludf.DUMMYFUNCTION("""COMPUTED_VALUE"""),"男性も来院できますか？/男性の同伴はできますか？/パートナーは院内で待てますか？/付き添いは可能ですか？/連れの男性は院内に入れますか？")</f>
        <v>男性も来院できますか？/男性の同伴はできますか？/パートナーは院内で待てますか？/付き添いは可能ですか？/連れの男性は院内に入れますか？</v>
      </c>
      <c r="B991" s="31" t="str">
        <f>IFERROR(__xludf.DUMMYFUNCTION("""COMPUTED_VALUE"""),"大変恐縮ですが、当院では男性のご来院はお控えいただいております。")</f>
        <v>大変恐縮ですが、当院では男性のご来院はお控えいただいております。</v>
      </c>
      <c r="C991" s="31" t="str">
        <f>IFERROR(__xludf.DUMMYFUNCTION("""COMPUTED_VALUE"""),"受診ルール・院内ルール")</f>
        <v>受診ルール・院内ルール</v>
      </c>
      <c r="D991" s="31" t="str">
        <f>IFERROR(__xludf.DUMMYFUNCTION("""COMPUTED_VALUE"""),"男性,来院,同伴,院内ルール")</f>
        <v>男性,来院,同伴,院内ルール</v>
      </c>
      <c r="E991" s="31"/>
    </row>
    <row r="992">
      <c r="A992" s="31" t="str">
        <f>IFERROR(__xludf.DUMMYFUNCTION("""COMPUTED_VALUE"""),"救急対応はしていますか？/急な症状でも診てもらえますか？/発熱や激しい腹痛、出血が多いときは受診できますか？/救急の場合はどうしたらいいですか？/緊急の場合はどうすればいいですか？/たくさん血が出ている/大量出血で動けない/出血がひどくて動けません")</f>
        <v>救急対応はしていますか？/急な症状でも診てもらえますか？/発熱や激しい腹痛、出血が多いときは受診できますか？/救急の場合はどうしたらいいですか？/緊急の場合はどうすればいいですか？/たくさん血が出ている/大量出血で動けない/出血がひどくて動けません</v>
      </c>
      <c r="B992" s="31" t="str">
        <f>IFERROR(__xludf.DUMMYFUNCTION("""COMPUTED_VALUE"""),"恐れ入りますが、当院は救急対応施設ではないため、発熱、急性腹症、大量の性器出血といった症状がある場合は、当院では診療を行えない可能性が高いため、救急対応の行える医療機関へのご受診をお願いいたします。")</f>
        <v>恐れ入りますが、当院は救急対応施設ではないため、発熱、急性腹症、大量の性器出血といった症状がある場合は、当院では診療を行えない可能性が高いため、救急対応の行える医療機関へのご受診をお願いいたします。</v>
      </c>
      <c r="C992" s="31" t="str">
        <f>IFERROR(__xludf.DUMMYFUNCTION("""COMPUTED_VALUE"""),"受診ルール・院内ルール")</f>
        <v>受診ルール・院内ルール</v>
      </c>
      <c r="D992" s="31" t="str">
        <f>IFERROR(__xludf.DUMMYFUNCTION("""COMPUTED_VALUE"""),"救急,発熱,急性腹症,大量出血,総合病院,救急,緊急,どうしたらいい,急患,血が止まらない,動けない,激しい,急性")</f>
        <v>救急,発熱,急性腹症,大量出血,総合病院,救急,緊急,どうしたらいい,急患,血が止まらない,動けない,激しい,急性</v>
      </c>
      <c r="E992" s="31"/>
    </row>
    <row r="993">
      <c r="A993" s="31" t="str">
        <f>IFERROR(__xludf.DUMMYFUNCTION("""COMPUTED_VALUE"""),"体重が重くても受診できますか？/体重100kg以上でも診察できますか？")</f>
        <v>体重が重くても受診できますか？/体重100kg以上でも診察できますか？</v>
      </c>
      <c r="B993" s="31" t="str">
        <f>IFERROR(__xludf.DUMMYFUNCTION("""COMPUTED_VALUE"""),"当院では、診察台の仕様上、体重100kgを超える患者さまはお受け入れできません。")</f>
        <v>当院では、診察台の仕様上、体重100kgを超える患者さまはお受け入れできません。</v>
      </c>
      <c r="C993" s="31" t="str">
        <f>IFERROR(__xludf.DUMMYFUNCTION("""COMPUTED_VALUE"""),"受診ルール・院内ルール")</f>
        <v>受診ルール・院内ルール</v>
      </c>
      <c r="D993" s="31" t="str">
        <f>IFERROR(__xludf.DUMMYFUNCTION("""COMPUTED_VALUE"""),"体重,100kg,受診可否,診察台")</f>
        <v>体重,100kg,受診可否,診察台</v>
      </c>
      <c r="E993" s="31"/>
    </row>
    <row r="994">
      <c r="A994" s="31" t="str">
        <f>IFERROR(__xludf.DUMMYFUNCTION("""COMPUTED_VALUE"""),"初めてですが保険でピルは処方できますか？/初診で保険ピルを希望する場合に検査は必要ですか？")</f>
        <v>初めてですが保険でピルは処方できますか？/初診で保険ピルを希望する場合に検査は必要ですか？</v>
      </c>
      <c r="B994" s="31" t="str">
        <f>IFERROR(__xludf.DUMMYFUNCTION("""COMPUTED_VALUE"""),"当院では、当院受診が初めてで保険ピル処方をご希望の場合、経腟エコー検査が必要になります。")</f>
        <v>当院では、当院受診が初めてで保険ピル処方をご希望の場合、経腟エコー検査が必要になります。</v>
      </c>
      <c r="C994" s="31" t="str">
        <f>IFERROR(__xludf.DUMMYFUNCTION("""COMPUTED_VALUE"""),"ピル・月経")</f>
        <v>ピル・月経</v>
      </c>
      <c r="D994" s="31" t="str">
        <f>IFERROR(__xludf.DUMMYFUNCTION("""COMPUTED_VALUE"""),"保険ピル,初診,ピル処方,経腟エコー")</f>
        <v>保険ピル,初診,ピル処方,経腟エコー</v>
      </c>
      <c r="E994" s="31"/>
    </row>
    <row r="995">
      <c r="A995" s="31" t="str">
        <f>IFERROR(__xludf.DUMMYFUNCTION("""COMPUTED_VALUE"""),"妊娠中の診察は何週まで可能ですか？/妊娠中の子宮頸がん検診は受けられますか？")</f>
        <v>妊娠中の診察は何週まで可能ですか？/妊娠中の子宮頸がん検診は受けられますか？</v>
      </c>
      <c r="B995" s="31" t="str">
        <f>IFERROR(__xludf.DUMMYFUNCTION("""COMPUTED_VALUE"""),"当院では、妊娠12週まで診察可能です。子宮頸がん検診については、当院で妊娠経過を診ている方は妊娠10週まで受けられます。なお、他院で妊娠経過を診てもらっている方は、かかりつけ医にて子宮頸がん検診を受けてください。")</f>
        <v>当院では、妊娠12週まで診察可能です。子宮頸がん検診については、当院で妊娠経過を診ている方は妊娠10週まで受けられます。なお、他院で妊娠経過を診てもらっている方は、かかりつけ医にて子宮頸がん検診を受けてください。</v>
      </c>
      <c r="C995" s="31" t="str">
        <f>IFERROR(__xludf.DUMMYFUNCTION("""COMPUTED_VALUE"""),"妊娠・妊婦健診")</f>
        <v>妊娠・妊婦健診</v>
      </c>
      <c r="D995" s="31" t="str">
        <f>IFERROR(__xludf.DUMMYFUNCTION("""COMPUTED_VALUE"""),"妊娠12週,妊娠10週,子宮頸がん検診,妊娠中")</f>
        <v>妊娠12週,妊娠10週,子宮頸がん検診,妊娠中</v>
      </c>
      <c r="E995" s="31"/>
    </row>
    <row r="996">
      <c r="A996" s="31" t="str">
        <f>IFERROR(__xludf.DUMMYFUNCTION("""COMPUTED_VALUE"""),"キャンセル待ちはできますか？/キャンセル待ちできますか？")</f>
        <v>キャンセル待ちはできますか？/キャンセル待ちできますか？</v>
      </c>
      <c r="B996" s="31" t="str">
        <f>IFERROR(__xludf.DUMMYFUNCTION("""COMPUTED_VALUE"""),"当院では、キャンセル待ちは承っておりません。")</f>
        <v>当院では、キャンセル待ちは承っておりません。</v>
      </c>
      <c r="C996" s="31" t="str">
        <f>IFERROR(__xludf.DUMMYFUNCTION("""COMPUTED_VALUE"""),"予約・受診")</f>
        <v>予約・受診</v>
      </c>
      <c r="D996" s="31" t="str">
        <f>IFERROR(__xludf.DUMMYFUNCTION("""COMPUTED_VALUE"""),"キャンセル待ち,予約")</f>
        <v>キャンセル待ち,予約</v>
      </c>
      <c r="E996" s="31"/>
    </row>
    <row r="997">
      <c r="A997" s="31" t="str">
        <f>IFERROR(__xludf.DUMMYFUNCTION("""COMPUTED_VALUE"""),"妊娠できるか調べられますか？/妊娠できるか検査できますか？/妊娠したいのですが相談できますか？/妊娠したい")</f>
        <v>妊娠できるか調べられますか？/妊娠できるか検査できますか？/妊娠したいのですが相談できますか？/妊娠したい</v>
      </c>
      <c r="B997" s="31" t="str">
        <f>IFERROR(__xludf.DUMMYFUNCTION("""COMPUTED_VALUE"""),"ルナレディースクリニックでは、妊娠できるかどうかを調べるための診療や、妊活を目的とした検査・治療は行っておりません。妊娠や妊活についての詳しい検査・ご相談をご希望の場合は、専門の医療機関への受診をご検討ください。")</f>
        <v>ルナレディースクリニックでは、妊娠できるかどうかを調べるための診療や、妊活を目的とした検査・治療は行っておりません。妊娠や妊活についての詳しい検査・ご相談をご希望の場合は、専門の医療機関への受診をご検討ください。</v>
      </c>
      <c r="C997" s="31" t="str">
        <f>IFERROR(__xludf.DUMMYFUNCTION("""COMPUTED_VALUE"""),"妊娠・妊活")</f>
        <v>妊娠・妊活</v>
      </c>
      <c r="D997" s="31" t="str">
        <f>IFERROR(__xludf.DUMMYFUNCTION("""COMPUTED_VALUE"""),"妊娠できるか,妊活,検査")</f>
        <v>妊娠できるか,妊活,検査</v>
      </c>
      <c r="E997" s="31"/>
    </row>
    <row r="998">
      <c r="A998" s="31" t="str">
        <f>IFERROR(__xludf.DUMMYFUNCTION("""COMPUTED_VALUE"""),"子供の同伴は可能ですか？")</f>
        <v>子供の同伴は可能ですか？</v>
      </c>
      <c r="B998" s="31" t="str">
        <f>IFERROR(__xludf.DUMMYFUNCTION("""COMPUTED_VALUE"""),"ルナレディースクリニックでは、お子様の同伴について以下の通りご案内しております。
・女児は制限はございません。
・男児は未就学児まで診察室への入室が可能です。
いずれの場合も、患者様ご本人が責任をもってお子様を見守っていただくことを条件といたします。お子様を待合室にお一人でお待たせいただくことはご遠慮ください。必ず診察室内でご一緒にお待ちください。なお、当院は男性の入室をご遠慮いただいております。未就学児を超える男児につきましても、院内への入室（待合室での待機を含む）はご遠慮いただいております。該当す"&amp;"るお子様をお連れの場合は、ご来院をお控えくださいますようお願い申し上げます。")</f>
        <v>ルナレディースクリニックでは、お子様の同伴について以下の通りご案内しております。
・女児は制限はございません。
・男児は未就学児まで診察室への入室が可能です。
いずれの場合も、患者様ご本人が責任をもってお子様を見守っていただくことを条件といたします。お子様を待合室にお一人でお待たせいただくことはご遠慮ください。必ず診察室内でご一緒にお待ちください。なお、当院は男性の入室をご遠慮いただいております。未就学児を超える男児につきましても、院内への入室（待合室での待機を含む）はご遠慮いただいております。該当するお子様をお連れの場合は、ご来院をお控えくださいますようお願い申し上げます。</v>
      </c>
      <c r="C998" s="31" t="str">
        <f>IFERROR(__xludf.DUMMYFUNCTION("""COMPUTED_VALUE"""),"受診案内・院内ルール")</f>
        <v>受診案内・院内ルール</v>
      </c>
      <c r="D998" s="31" t="str">
        <f>IFERROR(__xludf.DUMMYFUNCTION("""COMPUTED_VALUE"""),"子供同伴,お子様同伴,男児,女児,未就学児,入室制限,待合室,院内ルール")</f>
        <v>子供同伴,お子様同伴,男児,女児,未就学児,入室制限,待合室,院内ルール</v>
      </c>
      <c r="E998" s="31"/>
    </row>
    <row r="999">
      <c r="A999" s="31" t="str">
        <f>IFERROR(__xludf.DUMMYFUNCTION("""COMPUTED_VALUE"""),"健康診断で細胞診が陽性でしたが受診できますか？")</f>
        <v>健康診断で細胞診が陽性でしたが受診できますか？</v>
      </c>
      <c r="B999" s="31" t="str">
        <f>IFERROR(__xludf.DUMMYFUNCTION("""COMPUTED_VALUE"""),"健康診断での細胞診結果が陽性の場合、検査結果の内容によってお受けできるものと出来かねるものがございます。そのため、詳細につきましては恐れ入りますがお電話にてご相談ください。お電話は 050-1730-2768 となります。なお、本件はオンライン診療では対応できかねますので、受診可能な内容の場合はご来院でのご案内となります。")</f>
        <v>健康診断での細胞診結果が陽性の場合、検査結果の内容によってお受けできるものと出来かねるものがございます。そのため、詳細につきましては恐れ入りますがお電話にてご相談ください。お電話は 050-1730-2768 となります。なお、本件はオンライン診療では対応できかねますので、受診可能な内容の場合はご来院でのご案内となります。</v>
      </c>
      <c r="C999" s="31" t="str">
        <f>IFERROR(__xludf.DUMMYFUNCTION("""COMPUTED_VALUE"""),"受診可否・検査結果")</f>
        <v>受診可否・検査結果</v>
      </c>
      <c r="D999" s="31" t="str">
        <f>IFERROR(__xludf.DUMMYFUNCTION("""COMPUTED_VALUE"""),"健康診断,細胞診,陽性,受診可否,来院診療,オンライン診療不可,要電話確認")</f>
        <v>健康診断,細胞診,陽性,受診可否,来院診療,オンライン診療不可,要電話確認</v>
      </c>
      <c r="E999" s="31"/>
    </row>
    <row r="1000">
      <c r="A1000" s="31" t="str">
        <f>IFERROR(__xludf.DUMMYFUNCTION("""COMPUTED_VALUE"""),"受診内容が分からない場合はどうすればよいですか？/受診内容が分からない/受診ないようどれがいい")</f>
        <v>受診内容が分からない場合はどうすればよいですか？/受診内容が分からない/受診ないようどれがいい</v>
      </c>
      <c r="B1000" s="31" t="str">
        <f>IFERROR(__xludf.DUMMYFUNCTION("""COMPUTED_VALUE"""),"受診内容がご不明な場合は、お電話にてご相談くださいませ。症状やご希望内容をお伺いし、適切な受診内容をご案内いたします。お電話は 050-1730-2768 となります。")</f>
        <v>受診内容がご不明な場合は、お電話にてご相談くださいませ。症状やご希望内容をお伺いし、適切な受診内容をご案内いたします。お電話は 050-1730-2768 となります。</v>
      </c>
      <c r="C1000" s="31" t="str">
        <f>IFERROR(__xludf.DUMMYFUNCTION("""COMPUTED_VALUE"""),"受診案内・予約相談")</f>
        <v>受診案内・予約相談</v>
      </c>
      <c r="D1000" s="31" t="str">
        <f>IFERROR(__xludf.DUMMYFUNCTION("""COMPUTED_VALUE"""),"受診内容が分からない,どれで予約,予約内容不明,症状相談,電話相談,予約相談")</f>
        <v>受診内容が分からない,どれで予約,予約内容不明,症状相談,電話相談,予約相談</v>
      </c>
      <c r="E1000" s="31"/>
    </row>
    <row r="1001">
      <c r="A1001" s="31" t="str">
        <f>IFERROR(__xludf.DUMMYFUNCTION("""COMPUTED_VALUE"""),"セカンドオピニオンは受けられますか？/紹介状なしでセカンドオピニオンは受け付けている？/他院の診断について相談したい/セカンドオピニオンについて教えてください")</f>
        <v>セカンドオピニオンは受けられますか？/紹介状なしでセカンドオピニオンは受け付けている？/他院の診断について相談したい/セカンドオピニオンについて教えてください</v>
      </c>
      <c r="B1001" s="31" t="str">
        <f>IFERROR(__xludf.DUMMYFUNCTION("""COMPUTED_VALUE"""),"ルナレディースクリニックでは、セカンドオピニオンのみの対応は行っておりません。ただし、通常の診察として現在の症状やご状況についてご相談いただくことは可能です。")</f>
        <v>ルナレディースクリニックでは、セカンドオピニオンのみの対応は行っておりません。ただし、通常の診察として現在の症状やご状況についてご相談いただくことは可能です。</v>
      </c>
      <c r="C1001" s="31" t="str">
        <f>IFERROR(__xludf.DUMMYFUNCTION("""COMPUTED_VALUE"""),"受診案内・診察体制")</f>
        <v>受診案内・診察体制</v>
      </c>
      <c r="D1001" s="31" t="str">
        <f>IFERROR(__xludf.DUMMYFUNCTION("""COMPUTED_VALUE"""),"セカンドオピニオン,他院意見,相談,通常診察,受診可否")</f>
        <v>セカンドオピニオン,他院意見,相談,通常診察,受診可否</v>
      </c>
      <c r="E1001" s="31"/>
    </row>
    <row r="1002">
      <c r="A1002" s="31" t="str">
        <f>IFERROR(__xludf.DUMMYFUNCTION("""COMPUTED_VALUE"""),"検査結果で陽性が出た場合は受診したほうが良いですか？/別の病院で検査したら陽性")</f>
        <v>検査結果で陽性が出た場合は受診したほうが良いですか？/別の病院で検査したら陽性</v>
      </c>
      <c r="B1002" s="31" t="str">
        <f>IFERROR(__xludf.DUMMYFUNCTION("""COMPUTED_VALUE"""),"ルナレディースクリニックでは、検査の種類によってご案内が異なります。◆FemCHECK（郵送検査）で陽性の場合 WEB上の案内よりオンライン診療が可能です。◆当院で受けた検査（がん検診・細菌培養・淋病検査・クラミジア検査など）で陽性の場合 お薬の処方や治療についてご案内いたしますのでお電話にてお問い合わせください。◆がん検診で陽性（要精密検査）の場合 内容により対応が異なりますのでお電話にてお問い合わせください。◆他院で受けた検査で陽性の場合 検査結果の内容やご希望内容をお伺いし、適切な受診内容をご案内い"&amp;"たしますのでお電話にてお問い合わせください。お電話は 050-1730-2768 となります。")</f>
        <v>ルナレディースクリニックでは、検査の種類によってご案内が異なります。◆FemCHECK（郵送検査）で陽性の場合 WEB上の案内よりオンライン診療が可能です。◆当院で受けた検査（がん検診・細菌培養・淋病検査・クラミジア検査など）で陽性の場合 お薬の処方や治療についてご案内いたしますのでお電話にてお問い合わせください。◆がん検診で陽性（要精密検査）の場合 内容により対応が異なりますのでお電話にてお問い合わせください。◆他院で受けた検査で陽性の場合 検査結果の内容やご希望内容をお伺いし、適切な受診内容をご案内いたしますのでお電話にてお問い合わせください。お電話は 050-1730-2768 となります。</v>
      </c>
      <c r="C1002" s="31" t="str">
        <f>IFERROR(__xludf.DUMMYFUNCTION("""COMPUTED_VALUE"""),"検査結果・陽性対応")</f>
        <v>検査結果・陽性対応</v>
      </c>
      <c r="D1002" s="31" t="str">
        <f>IFERROR(__xludf.DUMMYFUNCTION("""COMPUTED_VALUE"""),"陽性,検査結果,受診,オンライン診療,FemCHECK,性感染症検査,がん検診,他院検査")</f>
        <v>陽性,検査結果,受診,オンライン診療,FemCHECK,性感染症検査,がん検診,他院検査</v>
      </c>
      <c r="E1002" s="31"/>
    </row>
    <row r="1003">
      <c r="A1003" s="31" t="str">
        <f>IFERROR(__xludf.DUMMYFUNCTION("""COMPUTED_VALUE"""),"産後の受診はできますか？/産後の相談はできますか？/産後の体調について相談したい/産後の診察はしていますか？")</f>
        <v>産後の受診はできますか？/産後の相談はできますか？/産後の体調について相談したい/産後の診察はしていますか？</v>
      </c>
      <c r="B1003" s="31" t="str">
        <f>IFERROR(__xludf.DUMMYFUNCTION("""COMPUTED_VALUE"""),"恐れ入りますが、ルナレディースクリニックでは、産後1ヶ月以内の診療は行っておりません。産後まもない時期は、出産時の経過や処置内容などの情報が診療上重要となるため、まずは出産された医療機関にお問い合わせください。")</f>
        <v>恐れ入りますが、ルナレディースクリニックでは、産後1ヶ月以内の診療は行っておりません。産後まもない時期は、出産時の経過や処置内容などの情報が診療上重要となるため、まずは出産された医療機関にお問い合わせください。</v>
      </c>
      <c r="C1003" s="31" t="str">
        <f>IFERROR(__xludf.DUMMYFUNCTION("""COMPUTED_VALUE"""),"産後ケア・受診案内")</f>
        <v>産後ケア・受診案内</v>
      </c>
      <c r="D1003" s="31" t="str">
        <f>IFERROR(__xludf.DUMMYFUNCTION("""COMPUTED_VALUE"""),"産後,産後受診,1ヶ月以内,診療不可,電話問い合わせ,産後相談,産後ケア,産後受診")</f>
        <v>産後,産後受診,1ヶ月以内,診療不可,電話問い合わせ,産後相談,産後ケア,産後受診</v>
      </c>
      <c r="E1003" s="31"/>
    </row>
    <row r="1004">
      <c r="A1004" s="31" t="str">
        <f>IFERROR(__xludf.DUMMYFUNCTION("""COMPUTED_VALUE"""),"悪阻がひどいので点滴希望/つわりの薬を出してもらえますか？/悪阻の薬はありますか？")</f>
        <v>悪阻がひどいので点滴希望/つわりの薬を出してもらえますか？/悪阻の薬はありますか？</v>
      </c>
      <c r="B1004" s="31" t="str">
        <f>IFERROR(__xludf.DUMMYFUNCTION("""COMPUTED_VALUE"""),"当院では吐き気止めの処方は可能ですが、悪阻に対する点滴治療は行っておりません。吐き気止めをご希望の場合は「一般婦人科診療」のメニューでご予約ください。→https://cline-app.com/qr-codes/98ad6f149bfa20f4f2a9a2e91aac4187/preview")</f>
        <v>当院では吐き気止めの処方は可能ですが、悪阻に対する点滴治療は行っておりません。吐き気止めをご希望の場合は「一般婦人科診療」のメニューでご予約ください。→https://cline-app.com/qr-codes/98ad6f149bfa20f4f2a9a2e91aac4187/preview</v>
      </c>
      <c r="C1004" s="31" t="str">
        <f>IFERROR(__xludf.DUMMYFUNCTION("""COMPUTED_VALUE"""),"診療可否")</f>
        <v>診療可否</v>
      </c>
      <c r="D1004" s="31" t="str">
        <f>IFERROR(__xludf.DUMMYFUNCTION("""COMPUTED_VALUE"""),"悪阻,つわり,点滴,妊娠,治療不可")</f>
        <v>悪阻,つわり,点滴,妊娠,治療不可</v>
      </c>
      <c r="E1004" s="31"/>
    </row>
    <row r="1005">
      <c r="A1005" s="31" t="str">
        <f>IFERROR(__xludf.DUMMYFUNCTION("""COMPUTED_VALUE"""),"異形成の受診はできますか？")</f>
        <v>異形成の受診はできますか？</v>
      </c>
      <c r="B1005" s="31" t="str">
        <f>IFERROR(__xludf.DUMMYFUNCTION("""COMPUTED_VALUE"""),"大変恐縮ではございますが、当院では異形成の検査・診察は行っておりません。恐れ入りますが、お近くの婦人科をご受診ください。")</f>
        <v>大変恐縮ではございますが、当院では異形成の検査・診察は行っておりません。恐れ入りますが、お近くの婦人科をご受診ください。</v>
      </c>
      <c r="C1005" s="31" t="str">
        <f>IFERROR(__xludf.DUMMYFUNCTION("""COMPUTED_VALUE"""),"受診可否・対応不可")</f>
        <v>受診可否・対応不可</v>
      </c>
      <c r="D1005" s="31" t="str">
        <f>IFERROR(__xludf.DUMMYFUNCTION("""COMPUTED_VALUE"""),"異形成,子宮頸部異形成,CIN,軽度異形成,中等度異形成,高度異形成,健診異常,細胞診異常,受診可否,受診不可")</f>
        <v>異形成,子宮頸部異形成,CIN,軽度異形成,中等度異形成,高度異形成,健診異常,細胞診異常,受診可否,受診不可</v>
      </c>
      <c r="E1005" s="31"/>
    </row>
    <row r="1006">
      <c r="A1006" s="31" t="str">
        <f>IFERROR(__xludf.DUMMYFUNCTION("""COMPUTED_VALUE"""),"クレームを伝えたい/不満があります/対応に問題がありました/改善してほしいことがあります/スタッフの対応が気になりました/医師の態度")</f>
        <v>クレームを伝えたい/不満があります/対応に問題がありました/改善してほしいことがあります/スタッフの対応が気になりました/医師の態度</v>
      </c>
      <c r="B1006" s="31" t="str">
        <f>IFERROR(__xludf.DUMMYFUNCTION("""COMPUTED_VALUE"""),"ご不便・ご不満をおかけしてしまい、大変申し訳ございません。
いただいたご意見は、より良い医療サービスのために真摯に受け止めております。
以下のご意見フォームより詳しくお聞かせいただけますと幸いです。
→ https://docs.google.com/forms/d/e/1FAIpQLSc3UbKV7RThiDP2RwV5SJUs203CQCPFY-8VJJCWJch0nVxBOQ/viewform?usp=header
ご返答をご希望の場合は、フォーム内にメールアドレスのご入力をお願いいたします。追って"&amp;"メールにてご連絡いたします。なお、内容により事実確認にお時間をいただく場合がございます。
※ 診察のご予約や体調に関するお急ぎのご相談は、お電話にて直接ご連絡ください。")</f>
        <v>ご不便・ご不満をおかけしてしまい、大変申し訳ございません。
いただいたご意見は、より良い医療サービスのために真摯に受け止めております。
以下のご意見フォームより詳しくお聞かせいただけますと幸いです。
→ https://docs.google.com/forms/d/e/1FAIpQLSc3UbKV7RThiDP2RwV5SJUs203CQCPFY-8VJJCWJch0nVxBOQ/viewform?usp=header
ご返答をご希望の場合は、フォーム内にメールアドレスのご入力をお願いいたします。追ってメールにてご連絡いたします。なお、内容により事実確認にお時間をいただく場合がございます。
※ 診察のご予約や体調に関するお急ぎのご相談は、お電話にて直接ご連絡ください。</v>
      </c>
      <c r="C1006" s="31" t="str">
        <f>IFERROR(__xludf.DUMMYFUNCTION("""COMPUTED_VALUE"""),"クレーム・ご意見")</f>
        <v>クレーム・ご意見</v>
      </c>
      <c r="D1006" s="31" t="str">
        <f>IFERROR(__xludf.DUMMYFUNCTION("""COMPUTED_VALUE"""),"クレーム, 苦情, 不満, 改善, ご意見, フィードバック, 対応, スタッフ, 問題")</f>
        <v>クレーム, 苦情, 不満, 改善, ご意見, フィードバック, 対応, スタッフ, 問題</v>
      </c>
      <c r="E1006" s="32" t="str">
        <f>IFERROR(__xludf.DUMMYFUNCTION("""COMPUTED_VALUE"""),"https://docs.google.com/forms/d/e/1FAIpQLSc3UbKV7RThiDP2RwV5SJUs203CQCPFY-8VJJCWJch0nVxBOQ/viewform?usp=header")</f>
        <v>https://docs.google.com/forms/d/e/1FAIpQLSc3UbKV7RThiDP2RwV5SJUs203CQCPFY-8VJJCWJch0nVxBOQ/viewform?usp=header</v>
      </c>
    </row>
    <row r="1007">
      <c r="A1007" s="31" t="str">
        <f>IFERROR(__xludf.DUMMYFUNCTION("""COMPUTED_VALUE"""),"相模原市のがん検診は受けられますか？/相模原市の子宮頸がん検診は対応していますか？/相模原市のクーポンは使えますか？/相模原市の子宮がん検診はできますか？")</f>
        <v>相模原市のがん検診は受けられますか？/相模原市の子宮頸がん検診は対応していますか？/相模原市のクーポンは使えますか？/相模原市の子宮がん検診はできますか？</v>
      </c>
      <c r="B1007" s="31" t="str">
        <f>IFERROR(__xludf.DUMMYFUNCTION("""COMPUTED_VALUE"""),"大変恐縮ですが、当院で対応している自治体のがん検診は横浜市・川崎市・町田市のみとなっており、相模原市のがん検診（子宮頸がん検診）には対応しておりません。相模原市にお住まいの方は、自費での子宮頸がん検診（5,000円・税込）をお受けいただくことは可能です。ご予約は公式LINEから承っております。LINEはこちら→https://cline-app.com/qr-codes/98ad6f149bfa20f4f2a9a2e91aac4187/preview")</f>
        <v>大変恐縮ですが、当院で対応している自治体のがん検診は横浜市・川崎市・町田市のみとなっており、相模原市のがん検診（子宮頸がん検診）には対応しておりません。相模原市にお住まいの方は、自費での子宮頸がん検診（5,000円・税込）をお受けいただくことは可能です。ご予約は公式LINEから承っております。LINEはこちら→https://cline-app.com/qr-codes/98ad6f149bfa20f4f2a9a2e91aac4187/preview</v>
      </c>
      <c r="C1007" s="31" t="str">
        <f>IFERROR(__xludf.DUMMYFUNCTION("""COMPUTED_VALUE"""),"婦人科健診")</f>
        <v>婦人科健診</v>
      </c>
      <c r="D1007" s="31" t="str">
        <f>IFERROR(__xludf.DUMMYFUNCTION("""COMPUTED_VALUE"""),"相模原市,がん検診,子宮頸がん検診,自治体検診,クーポン,対応外")</f>
        <v>相模原市,がん検診,子宮頸がん検診,自治体検診,クーポン,対応外</v>
      </c>
      <c r="E1007" s="31"/>
    </row>
    <row r="1008">
      <c r="A1008" s="31" t="str">
        <f>IFERROR(__xludf.DUMMYFUNCTION("""COMPUTED_VALUE"""),"性病検査は保険診療で受けられますか？/性感染症検査は保険適用ですか？/性病検査は保険がききますか？/性感染症の検査は自費ですか？")</f>
        <v>性病検査は保険診療で受けられますか？/性感染症検査は保険適用ですか？/性病検査は保険がききますか？/性感染症の検査は自費ですか？</v>
      </c>
      <c r="B1008" s="31" t="str">
        <f>IFERROR(__xludf.DUMMYFUNCTION("""COMPUTED_VALUE"""),"■ 症状がある場合
おりものの異常・かゆみ・痛みなど具体的な症状がある方は、医師の判断により健康保険を適用した検査が可能です
■ 症状がない場合
「念のためチェックしておきたい」「パートナーのために確認したい」など、無症状でのスクリーニングをご希望の場合は、原則、自由診療（自費）となります。
保険適用の可否や検査内容は、診察時に状態を確認しながらご説明いたします。
検査をご希望の方は、ご予約のうえご来院ください。ご予約は公式LINEから承っております。ご予約はLINE予約画面の「一般婦人科診療」のメニ"&amp;"ューからお取りください。→https://cline-app.com/qr-codes/98ad6f149bfa20f4f2a9a2e91aac4187/preview")</f>
        <v>■ 症状がある場合
おりものの異常・かゆみ・痛みなど具体的な症状がある方は、医師の判断により健康保険を適用した検査が可能です
■ 症状がない場合
「念のためチェックしておきたい」「パートナーのために確認したい」など、無症状でのスクリーニングをご希望の場合は、原則、自由診療（自費）となります。
保険適用の可否や検査内容は、診察時に状態を確認しながらご説明いたします。
検査をご希望の方は、ご予約のうえご来院ください。ご予約は公式LINEから承っております。ご予約はLINE予約画面の「一般婦人科診療」のメニューからお取りください。→https://cline-app.com/qr-codes/98ad6f149bfa20f4f2a9a2e91aac4187/preview</v>
      </c>
      <c r="C1008" s="31" t="str">
        <f>IFERROR(__xludf.DUMMYFUNCTION("""COMPUTED_VALUE"""),"性感染症検査")</f>
        <v>性感染症検査</v>
      </c>
      <c r="D1008" s="31" t="str">
        <f>IFERROR(__xludf.DUMMYFUNCTION("""COMPUTED_VALUE"""),"性病検査,保険診療,保険適用,自費,性感染症検査,スクリーニング")</f>
        <v>性病検査,保険診療,保険適用,自費,性感染症検査,スクリーニング</v>
      </c>
      <c r="E1008" s="31"/>
    </row>
    <row r="1009">
      <c r="A1009" s="31" t="str">
        <f>IFERROR(__xludf.DUMMYFUNCTION("""COMPUTED_VALUE"""),"肛門ポリープの診察はできますか？/肛門の診察はできますか？/肛門の症状は診てもらえますか？")</f>
        <v>肛門ポリープの診察はできますか？/肛門の診察はできますか？/肛門の症状は診てもらえますか？</v>
      </c>
      <c r="B1009" s="31" t="str">
        <f>IFERROR(__xludf.DUMMYFUNCTION("""COMPUTED_VALUE"""),"大変恐縮ですが、当院は婦人科クリニックのため、肛門に関する診療は行っておりません。肛門ポリープについては、肛門科（肛門外科）をご受診ください。")</f>
        <v>大変恐縮ですが、当院は婦人科クリニックのため、肛門に関する診療は行っておりません。肛門ポリープについては、肛門科（肛門外科）をご受診ください。</v>
      </c>
      <c r="C1009" s="31" t="str">
        <f>IFERROR(__xludf.DUMMYFUNCTION("""COMPUTED_VALUE"""),"受診可否・対応不可")</f>
        <v>受診可否・対応不可</v>
      </c>
      <c r="D1009" s="31" t="str">
        <f>IFERROR(__xludf.DUMMYFUNCTION("""COMPUTED_VALUE"""),"肛門,肛門ポリープ,診療不可,対応外")</f>
        <v>肛門,肛門ポリープ,診療不可,対応外</v>
      </c>
      <c r="E1009" s="31"/>
    </row>
    <row r="1010">
      <c r="A1010" s="31" t="str">
        <f>IFERROR(__xludf.DUMMYFUNCTION("""COMPUTED_VALUE"""),"ブライダルチェックを予約したいのですが、メニューで何を選べばいいですか？/ブライダルチェックの予約は何のメニューで取ればいいですか？/ブライダルチェックは何の項目で予約しますか？")</f>
        <v>ブライダルチェックを予約したいのですが、メニューで何を選べばいいですか？/ブライダルチェックの予約は何のメニューで取ればいいですか？/ブライダルチェックは何の項目で予約しますか？</v>
      </c>
      <c r="B1010" s="31" t="str">
        <f>IFERROR(__xludf.DUMMYFUNCTION("""COMPUTED_VALUE"""),"ブライダルチェックのご予約は、LINE予約画面の「一般婦人科診療」のメニューからお取りください。ご予約は公式LINEから承っております。LINEはこちら→https://cline-app.com/qr-codes/98ad6f149bfa20f4f2a9a2e91aac4187/preview")</f>
        <v>ブライダルチェックのご予約は、LINE予約画面の「一般婦人科診療」のメニューからお取りください。ご予約は公式LINEから承っております。LINEはこちら→https://cline-app.com/qr-codes/98ad6f149bfa20f4f2a9a2e91aac4187/preview</v>
      </c>
      <c r="C1010" s="31" t="str">
        <f>IFERROR(__xludf.DUMMYFUNCTION("""COMPUTED_VALUE"""),"ブライダルチェック")</f>
        <v>ブライダルチェック</v>
      </c>
      <c r="D1010" s="31" t="str">
        <f>IFERROR(__xludf.DUMMYFUNCTION("""COMPUTED_VALUE"""),"ブライダルチェック,予約メニュー,一般婦人科診療,予約方法,メニュー選択")</f>
        <v>ブライダルチェック,予約メニュー,一般婦人科診療,予約方法,メニュー選択</v>
      </c>
      <c r="E1010" s="31"/>
    </row>
    <row r="1011">
      <c r="A1011" s="31" t="str">
        <f>IFERROR(__xludf.DUMMYFUNCTION("""COMPUTED_VALUE"""),"LINEで診察券番号はどこで確認できますか？/診察番号の確認方法を教えてください/診察番号を教えてください/診察番号の確認方法")</f>
        <v>LINEで診察券番号はどこで確認できますか？/診察番号の確認方法を教えてください/診察番号を教えてください/診察番号の確認方法</v>
      </c>
      <c r="B1011" s="31" t="str">
        <f>IFERROR(__xludf.DUMMYFUNCTION("""COMPUTED_VALUE"""),"LINEでの診察券番号の確認方法については、こちらのページをご参照ください。→https://luna-dr.notion.site/f0a26ab231534d8fa9cb069193c411a4")</f>
        <v>LINEでの診察券番号の確認方法については、こちらのページをご参照ください。→https://luna-dr.notion.site/f0a26ab231534d8fa9cb069193c411a4</v>
      </c>
      <c r="C1011" s="31" t="str">
        <f>IFERROR(__xludf.DUMMYFUNCTION("""COMPUTED_VALUE"""),"受診案内・本人確認")</f>
        <v>受診案内・本人確認</v>
      </c>
      <c r="D1011" s="31" t="str">
        <f>IFERROR(__xludf.DUMMYFUNCTION("""COMPUTED_VALUE"""),"LINE,診察券番号,確認方法,番号,どこで確認,診察番号")</f>
        <v>LINE,診察券番号,確認方法,番号,どこで確認,診察番号</v>
      </c>
      <c r="E1011" s="32" t="str">
        <f>IFERROR(__xludf.DUMMYFUNCTION("""COMPUTED_VALUE"""),"https://luna-dr.notion.site/f0a26ab231534d8fa9cb069193c411a4")</f>
        <v>https://luna-dr.notion.site/f0a26ab231534d8fa9cb069193c411a4</v>
      </c>
    </row>
    <row r="1012">
      <c r="A1012" s="31" t="str">
        <f>IFERROR(__xludf.DUMMYFUNCTION("""COMPUTED_VALUE"""),"自費のピルはクレジットカードで払えますか？/ピルの支払いはクレジットカードは使えますか？/自費ピルの支払い方法は？")</f>
        <v>自費のピルはクレジットカードで払えますか？/ピルの支払いはクレジットカードは使えますか？/自費ピルの支払い方法は？</v>
      </c>
      <c r="B1012" s="31" t="str">
        <f>IFERROR(__xludf.DUMMYFUNCTION("""COMPUTED_VALUE"""),"ルナレディースクリニックでは、自費のピル処方を含め、現金のほか、クレジットカード（VISA、Mastercard、JCB、American Express、Diners Club、Discover）、交通系電子マネー、QRコード決済（PayPayなど）でお支払いいただけます。")</f>
        <v>ルナレディースクリニックでは、自費のピル処方を含め、現金のほか、クレジットカード（VISA、Mastercard、JCB、American Express、Diners Club、Discover）、交通系電子マネー、QRコード決済（PayPayなど）でお支払いいただけます。</v>
      </c>
      <c r="C1012" s="31" t="str">
        <f>IFERROR(__xludf.DUMMYFUNCTION("""COMPUTED_VALUE"""),"料金・支払い")</f>
        <v>料金・支払い</v>
      </c>
      <c r="D1012" s="31" t="str">
        <f>IFERROR(__xludf.DUMMYFUNCTION("""COMPUTED_VALUE"""),"自費ピル,クレジットカード,支払い方法,ピル,決済")</f>
        <v>自費ピル,クレジットカード,支払い方法,ピル,決済</v>
      </c>
      <c r="E1012" s="32" t="str">
        <f>IFERROR(__xludf.DUMMYFUNCTION("""COMPUTED_VALUE"""),"https://luna-dr.com/")</f>
        <v>https://luna-dr.com/</v>
      </c>
    </row>
    <row r="1013">
      <c r="A1013" s="31" t="str">
        <f>IFERROR(__xludf.DUMMYFUNCTION("""COMPUTED_VALUE"""),"ベビーカーで行けますか？/ベビーカーで来院できますか？/ベビーカーは持ち込めますか？/赤ちゃん連れで行けますか？")</f>
        <v>ベビーカーで行けますか？/ベビーカーで来院できますか？/ベビーカーは持ち込めますか？/赤ちゃん連れで行けますか？</v>
      </c>
      <c r="B1013" s="31" t="str">
        <f>IFERROR(__xludf.DUMMYFUNCTION("""COMPUTED_VALUE"""),"ベビーカーでのご来院は可能です。ただし、ベビーカーの大きさによっては院内で折りたたんでいただく場合がございます。その際は、患者さまご本人様にお子様を抱っこしていただく必要がございますので、あらかじめご了承ください。")</f>
        <v>ベビーカーでのご来院は可能です。ただし、ベビーカーの大きさによっては院内で折りたたんでいただく場合がございます。その際は、患者さまご本人様にお子様を抱っこしていただく必要がございますので、あらかじめご了承ください。</v>
      </c>
      <c r="C1013" s="31" t="str">
        <f>IFERROR(__xludf.DUMMYFUNCTION("""COMPUTED_VALUE"""),"受診ルール・院内ルール")</f>
        <v>受診ルール・院内ルール</v>
      </c>
      <c r="D1013" s="31" t="str">
        <f>IFERROR(__xludf.DUMMYFUNCTION("""COMPUTED_VALUE"""),"ベビーカー,赤ちゃん連れ,子連れ,抱っこ,来院")</f>
        <v>ベビーカー,赤ちゃん連れ,子連れ,抱っこ,来院</v>
      </c>
      <c r="E1013" s="31"/>
    </row>
    <row r="1014">
      <c r="A1014" s="31" t="str">
        <f>IFERROR(__xludf.DUMMYFUNCTION("""COMPUTED_VALUE"""),"保険診療の料金はいくらですか？/保険診療の大体の金額を教えてください/保険診療の費用はいくらくらいですか？/保険診療の値段を知りたい")</f>
        <v>保険診療の料金はいくらですか？/保険診療の大体の金額を教えてください/保険診療の費用はいくらくらいですか？/保険診療の値段を知りたい</v>
      </c>
      <c r="B1014" s="31" t="str">
        <f>IFERROR(__xludf.DUMMYFUNCTION("""COMPUTED_VALUE"""),"保険診療の料金は、診察内容や検査項目によって異なります。おおよその目安につきましては、各院の料金ページをご確認ください。※診察内容により変動する可能性がございます。横浜駅前院：https://luna-dr.com/yokohama/price/ →川崎駅前院：https://luna-dr.com/kawasaki/price/ →町田駅前院：https://luna-dr.com/machida/price/")</f>
        <v>保険診療の料金は、診察内容や検査項目によって異なります。おおよその目安につきましては、各院の料金ページをご確認ください。※診察内容により変動する可能性がございます。横浜駅前院：https://luna-dr.com/yokohama/price/ →川崎駅前院：https://luna-dr.com/kawasaki/price/ →町田駅前院：https://luna-dr.com/machida/price/</v>
      </c>
      <c r="C1014" s="31" t="str">
        <f>IFERROR(__xludf.DUMMYFUNCTION("""COMPUTED_VALUE"""),"料金・保険")</f>
        <v>料金・保険</v>
      </c>
      <c r="D1014" s="31" t="str">
        <f>IFERROR(__xludf.DUMMYFUNCTION("""COMPUTED_VALUE"""),"保険診療,料金,金額,費用,いくら,保険適用")</f>
        <v>保険診療,料金,金額,費用,いくら,保険適用</v>
      </c>
      <c r="E1014" s="31" t="str">
        <f>IFERROR(__xludf.DUMMYFUNCTION("""COMPUTED_VALUE"""),"https://luna-dr.com/yokohama/price/ | https://luna-dr.com/kawasaki/price/ | https://luna-dr.com/machida/price/")</f>
        <v>https://luna-dr.com/yokohama/price/ | https://luna-dr.com/kawasaki/price/ | https://luna-dr.com/machida/price/</v>
      </c>
    </row>
    <row r="1015">
      <c r="A1015" s="31" t="str">
        <f>IFERROR(__xludf.DUMMYFUNCTION("""COMPUTED_VALUE"""),"これから予約なしで行きたいのですが大丈夫ですか？/今から予約なしで行けますか？/今日予約なしで行っても大丈夫ですか？/今から行きたいのですが予約なしで受診できますか？ /今日今から行けますか？/今から行けますか？/当日予約はできますか？/予約がいっぱいの場合直接行って待てば見てもらえますか？/予約が取れないが直接行っていいか /今日今から行けますか？/予約がいっぱいの場合直接行って待てば見てもらえますか？")</f>
        <v>これから予約なしで行きたいのですが大丈夫ですか？/今から予約なしで行けますか？/今日予約なしで行っても大丈夫ですか？/今から行きたいのですが予約なしで受診できますか？ /今日今から行けますか？/今から行けますか？/当日予約はできますか？/予約がいっぱいの場合直接行って待てば見てもらえますか？/予約が取れないが直接行っていいか /今日今から行けますか？/予約がいっぱいの場合直接行って待てば見てもらえますか？</v>
      </c>
      <c r="B1015" s="31" t="str">
        <f>IFERROR(__xludf.DUMMYFUNCTION("""COMPUTED_VALUE"""),"直接のご来院も可能ですが、待ち時間が発生する場合がございます。また、混雑状況によってはお受けできない場合や、ご案内を終了している場合もございます。事前にご予約をいただくことでスムーズに診察に進むことができます。ご予約は公式LINEからお取りください。LINEはこちら→https://cline-app.com/qr-codes/98ad6f149bfa20f4f2a9a2e91aac4187/preview
本日のご受診をご希望の場合は、ご受診内容によっては受付時間が異なるため、お電話（050-1730-"&amp;"2768）にてご確認ください。")</f>
        <v>直接のご来院も可能ですが、待ち時間が発生する場合がございます。また、混雑状況によってはお受けできない場合や、ご案内を終了している場合もございます。事前にご予約をいただくことでスムーズに診察に進むことができます。ご予約は公式LINEからお取りください。LINEはこちら→https://cline-app.com/qr-codes/98ad6f149bfa20f4f2a9a2e91aac4187/preview
本日のご受診をご希望の場合は、ご受診内容によっては受付時間が異なるため、お電話（050-1730-2768）にてご確認ください。</v>
      </c>
      <c r="C1015" s="31" t="str">
        <f>IFERROR(__xludf.DUMMYFUNCTION("""COMPUTED_VALUE"""),"予約・受診")</f>
        <v>予約・受診</v>
      </c>
      <c r="D1015" s="31" t="str">
        <f>IFERROR(__xludf.DUMMYFUNCTION("""COMPUTED_VALUE"""),"これから,今から,予約なし,当日,飛び込み,今日行きたい")</f>
        <v>これから,今から,予約なし,当日,飛び込み,今日行きたい</v>
      </c>
      <c r="E1015" s="31"/>
    </row>
    <row r="1016">
      <c r="A1016" s="31" t="str">
        <f>IFERROR(__xludf.DUMMYFUNCTION("""COMPUTED_VALUE"""),"熱があっても診療してもらえますか？/発熱していても受診できますか？/熱があるのですが受診できますか？/体温が高くても診察してもらえますか？")</f>
        <v>熱があっても診療してもらえますか？/発熱していても受診できますか？/熱があるのですが受診できますか？/体温が高くても診察してもらえますか？</v>
      </c>
      <c r="B1016" s="31" t="str">
        <f>IFERROR(__xludf.DUMMYFUNCTION("""COMPUTED_VALUE"""),"37.5度以上の発熱がある場合は、受診をお受けすることができません。恐れ入りますが、熱が下がってからの受診をお願いいたします。")</f>
        <v>37.5度以上の発熱がある場合は、受診をお受けすることができません。恐れ入りますが、熱が下がってからの受診をお願いいたします。</v>
      </c>
      <c r="C1016" s="31" t="str">
        <f>IFERROR(__xludf.DUMMYFUNCTION("""COMPUTED_VALUE"""),"受診ルール・院内ルール")</f>
        <v>受診ルール・院内ルール</v>
      </c>
      <c r="D1016" s="31" t="str">
        <f>IFERROR(__xludf.DUMMYFUNCTION("""COMPUTED_VALUE"""),"発熱,熱,37.5度,体温,受診不可,受け入れ")</f>
        <v>発熱,熱,37.5度,体温,受診不可,受け入れ</v>
      </c>
      <c r="E1016" s="31"/>
    </row>
    <row r="1017">
      <c r="A1017" s="31" t="str">
        <f>IFERROR(__xludf.DUMMYFUNCTION("""COMPUTED_VALUE"""),"定期便の料金はいくらですか？/定期配送の料金を教えてください/定期便はいくらですか？/ピルの定期配送の値段を知りたい/定期便の費用")</f>
        <v>定期便の料金はいくらですか？/定期配送の料金を教えてください/定期便はいくらですか？/ピルの定期配送の値段を知りたい/定期便の費用</v>
      </c>
      <c r="B1017" s="31" t="str">
        <f>IFERROR(__xludf.DUMMYFUNCTION("""COMPUTED_VALUE"""),"定期配送の料金は、こちらのページからご確認ください。→https://shop.luna-dr.com/collections/low_dose_pill_subscription")</f>
        <v>定期配送の料金は、こちらのページからご確認ください。→https://shop.luna-dr.com/collections/low_dose_pill_subscription</v>
      </c>
      <c r="C1017" s="31" t="str">
        <f>IFERROR(__xludf.DUMMYFUNCTION("""COMPUTED_VALUE"""),"定期配送")</f>
        <v>定期配送</v>
      </c>
      <c r="D1017" s="31" t="str">
        <f>IFERROR(__xludf.DUMMYFUNCTION("""COMPUTED_VALUE"""),"定期便,定期配送,料金,値段,いくら,費用,ピル,サブスク")</f>
        <v>定期便,定期配送,料金,値段,いくら,費用,ピル,サブスク</v>
      </c>
      <c r="E1017" s="32" t="str">
        <f>IFERROR(__xludf.DUMMYFUNCTION("""COMPUTED_VALUE"""),"https://shop.luna-dr.com/collections/low_dose_pill_subscription")</f>
        <v>https://shop.luna-dr.com/collections/low_dose_pill_subscription</v>
      </c>
    </row>
    <row r="1018">
      <c r="A1018" s="31" t="str">
        <f>IFERROR(__xludf.DUMMYFUNCTION("""COMPUTED_VALUE"""),"お電話の受付時間は【平日：9:45〜13:40、15:15〜19:40、土日祝：9:45〜13:40、15:15〜18:40】となります。お電話は050-1730-2768（全員共通）となります。")</f>
        <v>お電話の受付時間は【平日：9:45〜13:40、15:15〜19:40、土日祝：9:45〜13:40、15:15〜18:40】となります。お電話は050-1730-2768（全員共通）となります。</v>
      </c>
      <c r="B1018" s="31" t="str">
        <f>IFERROR(__xludf.DUMMYFUNCTION("""COMPUTED_VALUE"""),"お電話の受付時間は【平日：9:45〜13:40、15:15〜19:40、土日祝：9:45〜13:40、15:15〜18:40】となります。お電話は050-1730-2768となります。")</f>
        <v>お電話の受付時間は【平日：9:45〜13:40、15:15〜19:40、土日祝：9:45〜13:40、15:15〜18:40】となります。お電話は050-1730-2768となります。</v>
      </c>
      <c r="C1018" s="31" t="str">
        <f>IFERROR(__xludf.DUMMYFUNCTION("""COMPUTED_VALUE"""),"診療時間")</f>
        <v>診療時間</v>
      </c>
      <c r="D1018" s="31" t="str">
        <f>IFERROR(__xludf.DUMMYFUNCTION("""COMPUTED_VALUE"""),"電話,受付時間,電話番号,何時まで,つながる時間")</f>
        <v>電話,受付時間,電話番号,何時まで,つながる時間</v>
      </c>
      <c r="E1018" s="31"/>
    </row>
    <row r="1019">
      <c r="A1019" s="31" t="str">
        <f>IFERROR(__xludf.DUMMYFUNCTION("""COMPUTED_VALUE"""),"診療時間と料金を教えてください/診療時間と料金/営業時間と料金を知りたい")</f>
        <v>診療時間と料金を教えてください/診療時間と料金/営業時間と料金を知りたい</v>
      </c>
      <c r="B1019" s="31" t="str">
        <f>IFERROR(__xludf.DUMMYFUNCTION("""COMPUTED_VALUE"""),"ルナレディースクリニックの診療時間は院によって異なります。・横浜駅前院：平日は午前10:00〜14:00、午後15:30〜20:00。土日祝は午前10:00〜14:00、午後15:30〜19:00。毎日診療しています。詳しくはこちら→https://luna-dr.com/yokohama/ ・川崎駅前院：平日は午前10:00〜14:00、午後15:30〜20:00。土日祝は午前10:00〜14:00、午後15:30〜19:00。毎日診療。詳しくはこちら→https://luna-dr.com/kawas"&amp;"aki/ ・町田駅前院：平日は午前10:00〜14:00、午後15:30〜20:00。日曜は休診。土曜の午後は15:30〜19:00。詳しくはこちら→https://luna-dr.com/machida/ 各院の料金については、料金ページをご確認ください。・横浜駅前院：https://luna-dr.com/yokohama/price/ ・川崎駅前院：https://luna-dr.com/kawasaki/price/ ・町田駅前院：https://luna-dr.com/machida/price"&amp;"/")</f>
        <v>ルナレディースクリニックの診療時間は院によって異なります。・横浜駅前院：平日は午前10:00〜14:00、午後15:30〜20:00。土日祝は午前10:00〜14:00、午後15:30〜19:00。毎日診療しています。詳しくはこちら→https://luna-dr.com/yokohama/ ・川崎駅前院：平日は午前10:00〜14:00、午後15:30〜20:00。土日祝は午前10:00〜14:00、午後15:30〜19:00。毎日診療。詳しくはこちら→https://luna-dr.com/kawasaki/ ・町田駅前院：平日は午前10:00〜14:00、午後15:30〜20:00。日曜は休診。土曜の午後は15:30〜19:00。詳しくはこちら→https://luna-dr.com/machida/ 各院の料金については、料金ページをご確認ください。・横浜駅前院：https://luna-dr.com/yokohama/price/ ・川崎駅前院：https://luna-dr.com/kawasaki/price/ ・町田駅前院：https://luna-dr.com/machida/price/</v>
      </c>
      <c r="C1019" s="31" t="str">
        <f>IFERROR(__xludf.DUMMYFUNCTION("""COMPUTED_VALUE"""),"診療時間")</f>
        <v>診療時間</v>
      </c>
      <c r="D1019" s="31" t="str">
        <f>IFERROR(__xludf.DUMMYFUNCTION("""COMPUTED_VALUE"""),"診療時間,料金,営業時間,費用,時間と料金")</f>
        <v>診療時間,料金,営業時間,費用,時間と料金</v>
      </c>
      <c r="E1019" s="31"/>
    </row>
    <row r="1020">
      <c r="A1020" s="31" t="str">
        <f>IFERROR(__xludf.DUMMYFUNCTION("""COMPUTED_VALUE"""),"ピルが届かないのですが/定期便が届きません/定期配送のピルが届かない")</f>
        <v>ピルが届かないのですが/定期便が届きません/定期配送のピルが届かない</v>
      </c>
      <c r="B1020" s="31" t="str">
        <f>IFERROR(__xludf.DUMMYFUNCTION("""COMPUTED_VALUE"""),"定期配送に関するお問い合わせは、お電話にて承っております。お電話：050-1730-2768（受付時間：平日9:45〜13:40・15:15〜19:40、土日祝9:45〜13:40・15:15〜18:40）")</f>
        <v>定期配送に関するお問い合わせは、お電話にて承っております。お電話：050-1730-2768（受付時間：平日9:45〜13:40・15:15〜19:40、土日祝9:45〜13:40・15:15〜18:40）</v>
      </c>
      <c r="C1020" s="31" t="str">
        <f>IFERROR(__xludf.DUMMYFUNCTION("""COMPUTED_VALUE"""),"定期配送")</f>
        <v>定期配送</v>
      </c>
      <c r="D1020" s="31" t="str">
        <f>IFERROR(__xludf.DUMMYFUNCTION("""COMPUTED_VALUE"""),"ピル届かない,届かない,配送トラブル,定期便")</f>
        <v>ピル届かない,届かない,配送トラブル,定期便</v>
      </c>
      <c r="E1020" s="31"/>
    </row>
    <row r="1021">
      <c r="A1021" s="31" t="str">
        <f>IFERROR(__xludf.DUMMYFUNCTION("""COMPUTED_VALUE"""),"保険ピルは毎回診察が必要ですか？/保険ピルの処方のみ受け取りは可能ですか？")</f>
        <v>保険ピルは毎回診察が必要ですか？/保険ピルの処方のみ受け取りは可能ですか？</v>
      </c>
      <c r="B1021" s="31" t="str">
        <f>IFERROR(__xludf.DUMMYFUNCTION("""COMPUTED_VALUE"""),"保険ピルの場合、処方のたびに医師の診察が必須となります。毎回診察室にて医師より処方いたします。なお、医師の判断により年に1回内診がございます。")</f>
        <v>保険ピルの場合、処方のたびに医師の診察が必須となります。毎回診察室にて医師より処方いたします。なお、医師の判断により年に1回内診がございます。</v>
      </c>
      <c r="C1021" s="31" t="str">
        <f>IFERROR(__xludf.DUMMYFUNCTION("""COMPUTED_VALUE"""),"低用量ピル（保険）")</f>
        <v>低用量ピル（保険）</v>
      </c>
      <c r="D1021" s="31" t="str">
        <f>IFERROR(__xludf.DUMMYFUNCTION("""COMPUTED_VALUE"""),"保険ピル,診察,毎回,処方のみ,受け取り")</f>
        <v>保険ピル,診察,毎回,処方のみ,受け取り</v>
      </c>
      <c r="E1021" s="31"/>
    </row>
    <row r="1022">
      <c r="A1022" s="31" t="str">
        <f>IFERROR(__xludf.DUMMYFUNCTION("""COMPUTED_VALUE"""),"自費診療の場合、初診料や再診料はかかりますか？/自費ピルの初診料はいくらですか？/自費ピルの再診料はいくらですか？/自費診療でのピル処方の初診料と再診料を教えてください")</f>
        <v>自費診療の場合、初診料や再診料はかかりますか？/自費ピルの初診料はいくらですか？/自費ピルの再診料はいくらですか？/自費診療でのピル処方の初診料と再診料を教えてください</v>
      </c>
      <c r="B1022" s="31" t="str">
        <f>IFERROR(__xludf.DUMMYFUNCTION("""COMPUTED_VALUE"""),"自費診療の場合、初診料・再診料はかかりません。保険診療の場合は、毎回初診料または再診料が発生いたします。")</f>
        <v>自費診療の場合、初診料・再診料はかかりません。保険診療の場合は、毎回初診料または再診料が発生いたします。</v>
      </c>
      <c r="C1022" s="31" t="str">
        <f>IFERROR(__xludf.DUMMYFUNCTION("""COMPUTED_VALUE"""),"料金・保険")</f>
        <v>料金・保険</v>
      </c>
      <c r="D1022" s="31" t="str">
        <f>IFERROR(__xludf.DUMMYFUNCTION("""COMPUTED_VALUE"""),"自費,ピル,初診料,再診料,保険診療")</f>
        <v>自費,ピル,初診料,再診料,保険診療</v>
      </c>
      <c r="E1022" s="31"/>
    </row>
    <row r="1023">
      <c r="A1023" s="31" t="str">
        <f>IFERROR(__xludf.DUMMYFUNCTION("""COMPUTED_VALUE"""),"町田で処方しているピルを横浜でも処方できますか？/町田で処方しているピルを川崎でも処方できますか？/横浜で処方しているピルを川崎でも処方できますか？/横浜で処方しているピルを町田でも処方できますか？/川崎で処方しているピルを町田でも処方できますか？/川崎で処方しているピルを横浜でも処方できますか？")</f>
        <v>町田で処方しているピルを横浜でも処方できますか？/町田で処方しているピルを川崎でも処方できますか？/横浜で処方しているピルを川崎でも処方できますか？/横浜で処方しているピルを町田でも処方できますか？/川崎で処方しているピルを町田でも処方できますか？/川崎で処方しているピルを横浜でも処方できますか？</v>
      </c>
      <c r="B1023" s="31" t="str">
        <f>IFERROR(__xludf.DUMMYFUNCTION("""COMPUTED_VALUE"""),"当院の別の院でもピルの処方は可能です。カルテは電子カルテですべての院で共有されておりますので、継続としての処方が可能です。ただし、別の院での受診は初診扱いとなり、保険診療の場合は初診料がかかりますので予めご了承くださいませ。")</f>
        <v>当院の別の院でもピルの処方は可能です。カルテは電子カルテですべての院で共有されておりますので、継続としての処方が可能です。ただし、別の院での受診は初診扱いとなり、保険診療の場合は初診料がかかりますので予めご了承くださいませ。</v>
      </c>
      <c r="C1023" s="31" t="str">
        <f>IFERROR(__xludf.DUMMYFUNCTION("""COMPUTED_VALUE"""),"受診案内・院変更")</f>
        <v>受診案内・院変更</v>
      </c>
      <c r="D1023" s="31" t="str">
        <f>IFERROR(__xludf.DUMMYFUNCTION("""COMPUTED_VALUE"""),"院変更,ピル処方,別の院,カルテ,引き継ぎ")</f>
        <v>院変更,ピル処方,別の院,カルテ,引き継ぎ</v>
      </c>
      <c r="E1023" s="31"/>
    </row>
    <row r="1024">
      <c r="A1024" s="31" t="str">
        <f>IFERROR(__xludf.DUMMYFUNCTION("""COMPUTED_VALUE"""),"ピルの種類を変更したいのですが/避妊効果ありのピルから避妊効果なしのピルに変えたい/OCからLEPに変更したい/ピルを変えたい/ピルの変更")</f>
        <v>ピルの種類を変更したいのですが/避妊効果ありのピルから避妊効果なしのピルに変えたい/OCからLEPに変更したい/ピルを変えたい/ピルの変更</v>
      </c>
      <c r="B1024" s="31" t="str">
        <f>IFERROR(__xludf.DUMMYFUNCTION("""COMPUTED_VALUE"""),"ピルの種類の変更には医師の診察が必要です。ピルの変更をご希望の場合は、ご受診いただき医師にご相談をお願いいたします。ご予約は公式LINEから24時間承っております。LINEはこちら→https://cline-app.com/qr-codes/98ad6f149bfa20f4f2a9a2e91aac4187/preview")</f>
        <v>ピルの種類の変更には医師の診察が必要です。ピルの変更をご希望の場合は、ご受診いただき医師にご相談をお願いいたします。ご予約は公式LINEから24時間承っております。LINEはこちら→https://cline-app.com/qr-codes/98ad6f149bfa20f4f2a9a2e91aac4187/preview</v>
      </c>
      <c r="C1024" s="31" t="str">
        <f>IFERROR(__xludf.DUMMYFUNCTION("""COMPUTED_VALUE"""),"ピル処方")</f>
        <v>ピル処方</v>
      </c>
      <c r="D1024" s="31" t="str">
        <f>IFERROR(__xludf.DUMMYFUNCTION("""COMPUTED_VALUE"""),"ピル変更,種類変更,OC,LEP,切り替え,ピル変更,種類変更,OC,LEP,切り替え,ピルの変更,薬変更,変えたい")</f>
        <v>ピル変更,種類変更,OC,LEP,切り替え,ピル変更,種類変更,OC,LEP,切り替え,ピルの変更,薬変更,変えたい</v>
      </c>
      <c r="E1024" s="31"/>
    </row>
    <row r="1025">
      <c r="A1025" s="31" t="str">
        <f>IFERROR(__xludf.DUMMYFUNCTION("""COMPUTED_VALUE"""),"授乳中でもピルを処方してもらえますか？/授乳中に飲めるピルはありますか？")</f>
        <v>授乳中でもピルを処方してもらえますか？/授乳中に飲めるピルはありますか？</v>
      </c>
      <c r="B1025" s="31" t="str">
        <f>IFERROR(__xludf.DUMMYFUNCTION("""COMPUTED_VALUE"""),"授乳中のピルの内服はリスクもあり慎重投与となるため、ご受診いただき医師にご相談ください。処方の可否は最終的に医師の判断となります。ご予約は公式LINEから24時間承っております。LINEはこちら→https://cline-app.com/qr-codes/98ad6f149bfa20f4f2a9a2e91aac4187/preview")</f>
        <v>授乳中のピルの内服はリスクもあり慎重投与となるため、ご受診いただき医師にご相談ください。処方の可否は最終的に医師の判断となります。ご予約は公式LINEから24時間承っております。LINEはこちら→https://cline-app.com/qr-codes/98ad6f149bfa20f4f2a9a2e91aac4187/preview</v>
      </c>
      <c r="C1025" s="31" t="str">
        <f>IFERROR(__xludf.DUMMYFUNCTION("""COMPUTED_VALUE"""),"低用量ピル")</f>
        <v>低用量ピル</v>
      </c>
      <c r="D1025" s="31" t="str">
        <f>IFERROR(__xludf.DUMMYFUNCTION("""COMPUTED_VALUE"""),"授乳中,ピル,処方,種類,母親")</f>
        <v>授乳中,ピル,処方,種類,母親</v>
      </c>
      <c r="E1025" s="31"/>
    </row>
    <row r="1026">
      <c r="A1026" s="31" t="str">
        <f>IFERROR(__xludf.DUMMYFUNCTION("""COMPUTED_VALUE"""),"ロキソニンは処方してもらえますか？/鎮痛剤を処方してほしい")</f>
        <v>ロキソニンは処方してもらえますか？/鎮痛剤を処方してほしい</v>
      </c>
      <c r="B1026" s="31" t="str">
        <f>IFERROR(__xludf.DUMMYFUNCTION("""COMPUTED_VALUE"""),"薬剤の処方は最終的に医師の判断となりますので、ご受診いただき医師にご相談をお願いいたします。ご予約は公式LINEから24時間承っております。LINEはこちら→https://cline-app.com/qr-codes/98ad6f149bfa20f4f2a9a2e91aac4187/preview")</f>
        <v>薬剤の処方は最終的に医師の判断となりますので、ご受診いただき医師にご相談をお願いいたします。ご予約は公式LINEから24時間承っております。LINEはこちら→https://cline-app.com/qr-codes/98ad6f149bfa20f4f2a9a2e91aac4187/preview</v>
      </c>
      <c r="C1026" s="31" t="str">
        <f>IFERROR(__xludf.DUMMYFUNCTION("""COMPUTED_VALUE"""),"処方")</f>
        <v>処方</v>
      </c>
      <c r="D1026" s="31" t="str">
        <f>IFERROR(__xludf.DUMMYFUNCTION("""COMPUTED_VALUE"""),"ロキソニン,鎮痛剤,処方,痛み止め")</f>
        <v>ロキソニン,鎮痛剤,処方,痛み止め</v>
      </c>
      <c r="E1026" s="31"/>
    </row>
    <row r="1027">
      <c r="A1027" s="31" t="str">
        <f>IFERROR(__xludf.DUMMYFUNCTION("""COMPUTED_VALUE"""),"保険診療の初診料・再診料はいくらですか？/初診料を教えてください")</f>
        <v>保険診療の初診料・再診料はいくらですか？/初診料を教えてください</v>
      </c>
      <c r="B1027" s="31" t="str">
        <f>IFERROR(__xludf.DUMMYFUNCTION("""COMPUTED_VALUE"""),"保険診療の場合、初診料は約890円、再診料は約390円が加算されます。なお、夜間・早朝の受診の場合は、別途加算（約150円）がかかる場合がございます。※あくまで目安の金額となりますのでご了承くださいませ。自費診療の場合は初診料・再診料はかかりません。")</f>
        <v>保険診療の場合、初診料は約890円、再診料は約390円が加算されます。なお、夜間・早朝の受診の場合は、別途加算（約150円）がかかる場合がございます。※あくまで目安の金額となりますのでご了承くださいませ。自費診療の場合は初診料・再診料はかかりません。</v>
      </c>
      <c r="C1027" s="31" t="str">
        <f>IFERROR(__xludf.DUMMYFUNCTION("""COMPUTED_VALUE"""),"料金・保険")</f>
        <v>料金・保険</v>
      </c>
      <c r="D1027" s="31" t="str">
        <f>IFERROR(__xludf.DUMMYFUNCTION("""COMPUTED_VALUE"""),"初診料,再診料,890円,390円,夜間加算")</f>
        <v>初診料,再診料,890円,390円,夜間加算</v>
      </c>
      <c r="E1027" s="31"/>
    </row>
    <row r="1028">
      <c r="A1028" s="31" t="str">
        <f>IFERROR(__xludf.DUMMYFUNCTION("""COMPUTED_VALUE"""),"初診の対応時間はどれくらいですか？/受診にはどのくらい時間がかかりますか？/所要時間を教えてください/診療時間はどのくらいかかりますか？/診察はどのくらいかかりますか？ /予約外来の場合の所要時間は？/予約なしで行くとどのくらいかかりますか？/妊娠検査はどのくらい時間がかかりますか？/妊娠検査の所要時間")</f>
        <v>初診の対応時間はどれくらいですか？/受診にはどのくらい時間がかかりますか？/所要時間を教えてください/診療時間はどのくらいかかりますか？/診察はどのくらいかかりますか？ /予約外来の場合の所要時間は？/予約なしで行くとどのくらいかかりますか？/妊娠検査はどのくらい時間がかかりますか？/妊娠検査の所要時間</v>
      </c>
      <c r="B1028" s="31" t="str">
        <f>IFERROR(__xludf.DUMMYFUNCTION("""COMPUTED_VALUE"""),"外来の状況によって変動いたしますが、ご予約をお取りいただいた場合、トータル1時間前後を目安としていただければと思います。予約外来の場合は、当日の診察状況によって変動いたしますのでご了承くださいませ。")</f>
        <v>外来の状況によって変動いたしますが、ご予約をお取りいただいた場合、トータル1時間前後を目安としていただければと思います。予約外来の場合は、当日の診察状況によって変動いたしますのでご了承くださいませ。</v>
      </c>
      <c r="C1028" s="31" t="str">
        <f>IFERROR(__xludf.DUMMYFUNCTION("""COMPUTED_VALUE"""),"予約・受診")</f>
        <v>予約・受診</v>
      </c>
      <c r="D1028" s="31" t="str">
        <f>IFERROR(__xludf.DUMMYFUNCTION("""COMPUTED_VALUE"""),"所要時間,対応時間,初診,時間,1時間,月経移動,診療時間,どのくらいかかる,かかる時間")</f>
        <v>所要時間,対応時間,初診,時間,1時間,月経移動,診療時間,どのくらいかかる,かかる時間</v>
      </c>
      <c r="E1028" s="31"/>
    </row>
    <row r="1029">
      <c r="A1029" s="31" t="str">
        <f>IFERROR(__xludf.DUMMYFUNCTION("""COMPUTED_VALUE"""),"相談が2つある場合の予約方法を教えてください/複数の相談がある場合はどう予約すればいいですか？/2つの相談を同時にしたい場合の予約方法は？/月経の痛みと月経移動ピルの両方を相談したい/子宮頸がん検診とピル処方を一度に受けたい/診察と検査を同じ日にまとめたい")</f>
        <v>相談が2つある場合の予約方法を教えてください/複数の相談がある場合はどう予約すればいいですか？/2つの相談を同時にしたい場合の予約方法は？/月経の痛みと月経移動ピルの両方を相談したい/子宮頸がん検診とピル処方を一度に受けたい/診察と検査を同じ日にまとめたい</v>
      </c>
      <c r="B1029" s="31" t="str">
        <f>IFERROR(__xludf.DUMMYFUNCTION("""COMPUTED_VALUE"""),"複数のご相談がある場合は、「一般婦人科診療」で1つご予約をお取りいただき、WEB問診票の備考欄にご相談内容をご記入ください。1回のご予約で複数のご相談に対応可能です。ただし、公費での検診（がん検診・HPVワクチン等）と保険診療は、同日に行うことができませんので、それぞれ別日でのご予約をお願いいたします。なお、女性医師をご希望の場合は、お電話（050-1730-2768）にてご予約をお願いいたします。
また、恐れ入りますが、当院では乳房に関する診療（乳腺炎・マンモグラフィ・乳腺エコー・乳がん検診など）、更年"&amp;"期障害の治療、不妊治療・妊活のご相談（妊娠しやすいかどうかの検査等）、体重100kg以上の方への診療、救急対応（緊急搬送・急性期対応）は行っておりませんのであらかじめご了承くださいませ。")</f>
        <v>複数のご相談がある場合は、「一般婦人科診療」で1つご予約をお取りいただき、WEB問診票の備考欄にご相談内容をご記入ください。1回のご予約で複数のご相談に対応可能です。ただし、公費での検診（がん検診・HPVワクチン等）と保険診療は、同日に行うことができませんので、それぞれ別日でのご予約をお願いいたします。なお、女性医師をご希望の場合は、お電話（050-1730-2768）にてご予約をお願いいたします。
また、恐れ入りますが、当院では乳房に関する診療（乳腺炎・マンモグラフィ・乳腺エコー・乳がん検診など）、更年期障害の治療、不妊治療・妊活のご相談（妊娠しやすいかどうかの検査等）、体重100kg以上の方への診療、救急対応（緊急搬送・急性期対応）は行っておりませんのであらかじめご了承くださいませ。</v>
      </c>
      <c r="C1029" s="31" t="str">
        <f>IFERROR(__xludf.DUMMYFUNCTION("""COMPUTED_VALUE"""),"予約・受診")</f>
        <v>予約・受診</v>
      </c>
      <c r="D1029" s="31" t="str">
        <f>IFERROR(__xludf.DUMMYFUNCTION("""COMPUTED_VALUE"""),"複数相談,2つ,同時,一緒に,まとめて,一般婦人科診療,問診票,備考欄")</f>
        <v>複数相談,2つ,同時,一緒に,まとめて,一般婦人科診療,問診票,備考欄</v>
      </c>
      <c r="E1029" s="31"/>
    </row>
    <row r="1030">
      <c r="A1030" s="31" t="str">
        <f>IFERROR(__xludf.DUMMYFUNCTION("""COMPUTED_VALUE"""),"予約のキャンセルはいつまでにすればいいですか？/予約のキャンセルルールを教えてください/キャンセル料はかかりますか？")</f>
        <v>予約のキャンセルはいつまでにすればいいですか？/予約のキャンセルルールを教えてください/キャンセル料はかかりますか？</v>
      </c>
      <c r="B1030" s="31" t="str">
        <f>IFERROR(__xludf.DUMMYFUNCTION("""COMPUTED_VALUE"""),"ご予約のキャンセルに期限はなく、いつでもキャンセルが可能です。キャンセル料もかかりませんので、次回もお気兼ねなくご予約ください。
キャンセルをされる場合は、公式LINEの画面下の「予約確認」からお進みください。LINEはこちら→https://cline-app.com/qr-codes/98ad6f149bfa20f4f2a9a2e91aac4187/preview
※中絶手術（オペ）のご予約をお取りされている方はキャンセル期限がございますので、お電話（050-1730-2768）にてご連絡をお願いいた"&amp;"します。中絶の相談のご予約は、期限なくキャンセル可能です。")</f>
        <v>ご予約のキャンセルに期限はなく、いつでもキャンセルが可能です。キャンセル料もかかりませんので、次回もお気兼ねなくご予約ください。
キャンセルをされる場合は、公式LINEの画面下の「予約確認」からお進みください。LINEはこちら→https://cline-app.com/qr-codes/98ad6f149bfa20f4f2a9a2e91aac4187/preview
※中絶手術（オペ）のご予約をお取りされている方はキャンセル期限がございますので、お電話（050-1730-2768）にてご連絡をお願いいたします。中絶の相談のご予約は、期限なくキャンセル可能です。</v>
      </c>
      <c r="C1030" s="31" t="str">
        <f>IFERROR(__xludf.DUMMYFUNCTION("""COMPUTED_VALUE"""),"予約・受診")</f>
        <v>予約・受診</v>
      </c>
      <c r="D1030" s="31" t="str">
        <f>IFERROR(__xludf.DUMMYFUNCTION("""COMPUTED_VALUE"""),"キャンセル,期限,キャンセル料,無料")</f>
        <v>キャンセル,期限,キャンセル料,無料</v>
      </c>
      <c r="E1030" s="31"/>
    </row>
    <row r="1031">
      <c r="A1031" s="31" t="str">
        <f>IFERROR(__xludf.DUMMYFUNCTION("""COMPUTED_VALUE"""),"マスクは必須ですか？/マスクなしで来院できますか？")</f>
        <v>マスクは必須ですか？/マスクなしで来院できますか？</v>
      </c>
      <c r="B1031" s="31" t="str">
        <f>IFERROR(__xludf.DUMMYFUNCTION("""COMPUTED_VALUE"""),"当院では、マスクの着用は必須ではございません。")</f>
        <v>当院では、マスクの着用は必須ではございません。</v>
      </c>
      <c r="C1031" s="31" t="str">
        <f>IFERROR(__xludf.DUMMYFUNCTION("""COMPUTED_VALUE"""),"受診ルール・院内ルール")</f>
        <v>受診ルール・院内ルール</v>
      </c>
      <c r="D1031" s="31" t="str">
        <f>IFERROR(__xludf.DUMMYFUNCTION("""COMPUTED_VALUE"""),"マスク,必須,着用")</f>
        <v>マスク,必須,着用</v>
      </c>
      <c r="E1031" s="31"/>
    </row>
    <row r="1032">
      <c r="A1032" s="31" t="str">
        <f>IFERROR(__xludf.DUMMYFUNCTION("""COMPUTED_VALUE"""),"一般診療とピル処方どちらを選べばいいですか？/予約メニューの選び方を教えてください/術後検診が終わった後の不調はどの枠で予約すればいい？/検査結果が陽性で治療したい場合の予約項目/月経困難症の薬はどの項目で予約？/ピルの種類変更はどのメニュー？/うまく予約ができない/ホルモン検査を予約したい/ホルモン検査の予約方法/ホルモン検査は何で予約すればいい？/ホルモン検査の予約項目がない")</f>
        <v>一般診療とピル処方どちらを選べばいいですか？/予約メニューの選び方を教えてください/術後検診が終わった後の不調はどの枠で予約すればいい？/検査結果が陽性で治療したい場合の予約項目/月経困難症の薬はどの項目で予約？/ピルの種類変更はどのメニュー？/うまく予約ができない/ホルモン検査を予約したい/ホルモン検査の予約方法/ホルモン検査は何で予約すればいい？/ホルモン検査の予約項目がない</v>
      </c>
      <c r="B1032" s="31" t="str">
        <f>IFERROR(__xludf.DUMMYFUNCTION("""COMPUTED_VALUE"""),"ピルのご相談・処方をご希望の場合は「ピル処方」でご予約ください。それ以外のご相談は「一般婦人科診療」でご予約いただき、WEB問診票に受診内容をご入力ください。複数のご相談がある場合も「一般婦人科診療」で1つご予約ください。")</f>
        <v>ピルのご相談・処方をご希望の場合は「ピル処方」でご予約ください。それ以外のご相談は「一般婦人科診療」でご予約いただき、WEB問診票に受診内容をご入力ください。複数のご相談がある場合も「一般婦人科診療」で1つご予約ください。</v>
      </c>
      <c r="C1032" s="31" t="str">
        <f>IFERROR(__xludf.DUMMYFUNCTION("""COMPUTED_VALUE"""),"予約・受診")</f>
        <v>予約・受診</v>
      </c>
      <c r="D1032" s="31" t="str">
        <f>IFERROR(__xludf.DUMMYFUNCTION("""COMPUTED_VALUE"""),"一般診療,ピル処方,メニュー,選び方")</f>
        <v>一般診療,ピル処方,メニュー,選び方</v>
      </c>
      <c r="E1032" s="31"/>
    </row>
    <row r="1033">
      <c r="A1033" s="31" t="str">
        <f>IFERROR(__xludf.DUMMYFUNCTION("""COMPUTED_VALUE"""),"自治体のがん検診に必要な持ち物を教えてください/川崎市のがん検診に書類は必要ですか？/横浜市のがん検診に書類は必要ですか？/町田市のがん検診に書類は必要ですか？/自治体の子宮頸がん検診に必要な持ち物を教えてください/川崎市子宮頸がん検診に書類は必要ですか？/横浜市の子宮頸がん検診に書類は必要ですか？/町田市の子宮頸がん検診に書類は必要ですか？")</f>
        <v>自治体のがん検診に必要な持ち物を教えてください/川崎市のがん検診に書類は必要ですか？/横浜市のがん検診に書類は必要ですか？/町田市のがん検診に書類は必要ですか？/自治体の子宮頸がん検診に必要な持ち物を教えてください/川崎市子宮頸がん検診に書類は必要ですか？/横浜市の子宮頸がん検診に書類は必要ですか？/町田市の子宮頸がん検診に書類は必要ですか？</v>
      </c>
      <c r="B1033" s="31" t="str">
        <f>IFERROR(__xludf.DUMMYFUNCTION("""COMPUTED_VALUE"""),"自治体のがん検診にお越しの際は、身分証明書をご持参ください。※川崎市・横浜市の20歳・21歳で無料クーポンをご利用の場合は、自治体から届く無料クーポンの持参が必要です。※横浜市のHPV単独法検査をご希望の場合は、自治体から届く受診券シールが必要です。")</f>
        <v>自治体のがん検診にお越しの際は、身分証明書をご持参ください。※川崎市・横浜市の20歳・21歳で無料クーポンをご利用の場合は、自治体から届く無料クーポンの持参が必要です。※横浜市のHPV単独法検査をご希望の場合は、自治体から届く受診券シールが必要です。</v>
      </c>
      <c r="C1033" s="31" t="str">
        <f>IFERROR(__xludf.DUMMYFUNCTION("""COMPUTED_VALUE"""),"婦人科健診")</f>
        <v>婦人科健診</v>
      </c>
      <c r="D1033" s="31" t="str">
        <f>IFERROR(__xludf.DUMMYFUNCTION("""COMPUTED_VALUE"""),"がん検診,持ち物,身分証明書,無料クーポン,受診券シール,子宮頸がん")</f>
        <v>がん検診,持ち物,身分証明書,無料クーポン,受診券シール,子宮頸がん</v>
      </c>
      <c r="E1033" s="31"/>
    </row>
    <row r="1034">
      <c r="A1034" s="31" t="str">
        <f>IFERROR(__xludf.DUMMYFUNCTION("""COMPUTED_VALUE"""),"子宮頸がん検診の結果を持って精密検査を受けたいのですが/他院の検診結果で精密検査はできますか？")</f>
        <v>子宮頸がん検診の結果を持って精密検査を受けたいのですが/他院の検診結果で精密検査はできますか？</v>
      </c>
      <c r="B1034" s="31" t="str">
        <f>IFERROR(__xludf.DUMMYFUNCTION("""COMPUTED_VALUE"""),"検査結果の内容によってご案内が異なるため、お電話（050-1730-2768）にてお問い合わせください。お電話の受付時間は平日9:45〜13:40・15:15〜19:40、土日祝9:45〜13:40・15:15〜18:40となります。")</f>
        <v>検査結果の内容によってご案内が異なるため、お電話（050-1730-2768）にてお問い合わせください。お電話の受付時間は平日9:45〜13:40・15:15〜19:40、土日祝9:45〜13:40・15:15〜18:40となります。</v>
      </c>
      <c r="C1034" s="31" t="str">
        <f>IFERROR(__xludf.DUMMYFUNCTION("""COMPUTED_VALUE"""),"婦人科健診")</f>
        <v>婦人科健診</v>
      </c>
      <c r="D1034" s="31" t="str">
        <f>IFERROR(__xludf.DUMMYFUNCTION("""COMPUTED_VALUE"""),"精密検査,子宮頸がん検診,他院,検診結果,子宮頸管,頸管")</f>
        <v>精密検査,子宮頸がん検診,他院,検診結果,子宮頸管,頸管</v>
      </c>
      <c r="E1034" s="31"/>
    </row>
    <row r="1035">
      <c r="A1035" s="31" t="str">
        <f>IFERROR(__xludf.DUMMYFUNCTION("""COMPUTED_VALUE"""),"ウレアプラズマの検査費用はいくらですか？/マイコプラズマの検査費用はいくらですか？")</f>
        <v>ウレアプラズマの検査費用はいくらですか？/マイコプラズマの検査費用はいくらですか？</v>
      </c>
      <c r="B1035" s="31" t="str">
        <f>IFERROR(__xludf.DUMMYFUNCTION("""COMPUTED_VALUE"""),"マイコプラズマ・ウレアプラズマの検査は川崎駅前院のみで対応しております。検査費用は以下の通りです。・マイコプラズマ・ウレアプラズマ（腟分泌物）5,000円（税込）・マイコプラズマ・ウレアプラズマ（咽頭液）5,000円（税込）")</f>
        <v>マイコプラズマ・ウレアプラズマの検査は川崎駅前院のみで対応しております。検査費用は以下の通りです。・マイコプラズマ・ウレアプラズマ（腟分泌物）5,000円（税込）・マイコプラズマ・ウレアプラズマ（咽頭液）5,000円（税込）</v>
      </c>
      <c r="C1035" s="31" t="str">
        <f>IFERROR(__xludf.DUMMYFUNCTION("""COMPUTED_VALUE"""),"性感染症検査")</f>
        <v>性感染症検査</v>
      </c>
      <c r="D1035" s="31" t="str">
        <f>IFERROR(__xludf.DUMMYFUNCTION("""COMPUTED_VALUE"""),"ウレアプラズマ,マイコプラズマ,検査費用,川崎駅前院,5000円")</f>
        <v>ウレアプラズマ,マイコプラズマ,検査費用,川崎駅前院,5000円</v>
      </c>
      <c r="E1035" s="31"/>
    </row>
    <row r="1036">
      <c r="A1036" s="31" t="str">
        <f>IFERROR(__xludf.DUMMYFUNCTION("""COMPUTED_VALUE"""),"咽頭クラミジアの検査はできますか？/のどのクラミジア検査はできますか？/喉と陰部のクラミジア検査はできますか？/咽頭と膣のクラミジア検査")</f>
        <v>咽頭クラミジアの検査はできますか？/のどのクラミジア検査はできますか？/喉と陰部のクラミジア検査はできますか？/咽頭と膣のクラミジア検査</v>
      </c>
      <c r="B1036" s="31" t="str">
        <f>IFERROR(__xludf.DUMMYFUNCTION("""COMPUTED_VALUE"""),"咽頭クラミジアの検査は当院で対応可能です。ご予約は「一般婦人科診療」のメニューからお取りください。→https://cline-app.com/qr-codes/98ad6f149bfa20f4f2a9a2e91aac4187/preview")</f>
        <v>咽頭クラミジアの検査は当院で対応可能です。ご予約は「一般婦人科診療」のメニューからお取りください。→https://cline-app.com/qr-codes/98ad6f149bfa20f4f2a9a2e91aac4187/preview</v>
      </c>
      <c r="C1036" s="31" t="str">
        <f>IFERROR(__xludf.DUMMYFUNCTION("""COMPUTED_VALUE"""),"性感染症検査")</f>
        <v>性感染症検査</v>
      </c>
      <c r="D1036" s="31" t="str">
        <f>IFERROR(__xludf.DUMMYFUNCTION("""COMPUTED_VALUE"""),"咽頭クラミジア,のど,クラミジア検査")</f>
        <v>咽頭クラミジア,のど,クラミジア検査</v>
      </c>
      <c r="E1036" s="31"/>
    </row>
    <row r="1037">
      <c r="A1037" s="31" t="str">
        <f>IFERROR(__xludf.DUMMYFUNCTION("""COMPUTED_VALUE"""),"中絶手術は最短でいつ受けられますか？/中絶手術のスケジュールを教えてください/中絶手術は翌日にできますか？/中絶手術まで、最短どのくらい")</f>
        <v>中絶手術は最短でいつ受けられますか？/中絶手術のスケジュールを教えてください/中絶手術は翌日にできますか？/中絶手術まで、最短どのくらい</v>
      </c>
      <c r="B1037" s="31" t="str">
        <f>IFERROR(__xludf.DUMMYFUNCTION("""COMPUTED_VALUE"""),"中絶手術は、初回診療の日にエコー検査・血液検査を実施いたします。検査結果が出るまでに2〜3日かかるため、手術は検査結果が出た後のオペの空き状況に応じてのご案内となります。ご予約は公式LINEから24時間承っております。LINEはこちら→https://cline-app.com/qr-codes/98ad6f149bfa20f4f2a9a2e91aac4187/preview")</f>
        <v>中絶手術は、初回診療の日にエコー検査・血液検査を実施いたします。検査結果が出るまでに2〜3日かかるため、手術は検査結果が出た後のオペの空き状況に応じてのご案内となります。ご予約は公式LINEから24時間承っております。LINEはこちら→https://cline-app.com/qr-codes/98ad6f149bfa20f4f2a9a2e91aac4187/preview</v>
      </c>
      <c r="C1037" s="31" t="str">
        <f>IFERROR(__xludf.DUMMYFUNCTION("""COMPUTED_VALUE"""),"中絶手術")</f>
        <v>中絶手術</v>
      </c>
      <c r="D1037" s="31" t="str">
        <f>IFERROR(__xludf.DUMMYFUNCTION("""COMPUTED_VALUE"""),"中絶手術,スケジュール,翌日,最短,検査結果,2-3日")</f>
        <v>中絶手術,スケジュール,翌日,最短,検査結果,2-3日</v>
      </c>
      <c r="E1037" s="31"/>
    </row>
    <row r="1038">
      <c r="A1038" s="31" t="str">
        <f>IFERROR(__xludf.DUMMYFUNCTION("""COMPUTED_VALUE"""),"流産の手術はできますか？/流産手術は保険適用されますか？")</f>
        <v>流産の手術はできますか？/流産手術は保険適用されますか？</v>
      </c>
      <c r="B1038" s="31" t="str">
        <f>IFERROR(__xludf.DUMMYFUNCTION("""COMPUTED_VALUE"""),"流産の手術も当院で対応可能です。保険適用か自費診療かにつきましては、医師の判断となります。ご受診のご予約は公式LINEから24時間承っております。LINEはこちら→https://cline-app.com/qr-codes/98ad6f149bfa20f4f2a9a2e91aac4187/preview")</f>
        <v>流産の手術も当院で対応可能です。保険適用か自費診療かにつきましては、医師の判断となります。ご受診のご予約は公式LINEから24時間承っております。LINEはこちら→https://cline-app.com/qr-codes/98ad6f149bfa20f4f2a9a2e91aac4187/preview</v>
      </c>
      <c r="C1038" s="31" t="str">
        <f>IFERROR(__xludf.DUMMYFUNCTION("""COMPUTED_VALUE"""),"中絶手術")</f>
        <v>中絶手術</v>
      </c>
      <c r="D1038" s="31" t="str">
        <f>IFERROR(__xludf.DUMMYFUNCTION("""COMPUTED_VALUE"""),"流産,手術,保険適用,対応")</f>
        <v>流産,手術,保険適用,対応</v>
      </c>
      <c r="E1038" s="31"/>
    </row>
    <row r="1039">
      <c r="A1039" s="31" t="str">
        <f>IFERROR(__xludf.DUMMYFUNCTION("""COMPUTED_VALUE"""),"中絶手術の同意書はシャチハタでも大丈夫ですか？/同意書の捺印ルールを教えてください")</f>
        <v>中絶手術の同意書はシャチハタでも大丈夫ですか？/同意書の捺印ルールを教えてください</v>
      </c>
      <c r="B1039" s="31" t="str">
        <f>IFERROR(__xludf.DUMMYFUNCTION("""COMPUTED_VALUE"""),"中絶手術の同意書には、印鑑・シャチハタ・拇印のいずれかで対応可能です。")</f>
        <v>中絶手術の同意書には、印鑑・シャチハタ・拇印のいずれかで対応可能です。</v>
      </c>
      <c r="C1039" s="31" t="str">
        <f>IFERROR(__xludf.DUMMYFUNCTION("""COMPUTED_VALUE"""),"中絶手術")</f>
        <v>中絶手術</v>
      </c>
      <c r="D1039" s="31" t="str">
        <f>IFERROR(__xludf.DUMMYFUNCTION("""COMPUTED_VALUE"""),"同意書,シャチハタ,印鑑,拇印,捺印")</f>
        <v>同意書,シャチハタ,印鑑,拇印,捺印</v>
      </c>
      <c r="E1039" s="31"/>
    </row>
    <row r="1040">
      <c r="A1040" s="31" t="str">
        <f>IFERROR(__xludf.DUMMYFUNCTION("""COMPUTED_VALUE"""),"HPVワクチンは何回打つ必要がありますか？/子宮頸がんワクチンは全部で何回接種しますか？/HPVワクチンの接種回数を教えてください/HPVワクチンは何回打ちますか？")</f>
        <v>HPVワクチンは何回打つ必要がありますか？/子宮頸がんワクチンは全部で何回接種しますか？/HPVワクチンの接種回数を教えてください/HPVワクチンは何回打ちますか？</v>
      </c>
      <c r="B1040" s="31" t="str">
        <f>IFERROR(__xludf.DUMMYFUNCTION("""COMPUTED_VALUE"""),"HPVワクチン（子宮頸がんワクチン）は、接種開始時の年齢によって合計2回または3回接種します。当院で取り扱っている9価ワクチン（シルガード9）の場合、15歳未満で初回接種をすれば2回、15歳以上で開始した場合は3回接種となります。【15歳未満で初回接種の場合（2回）】1回目から6か月〜12か月間隔を空けて2回目を接種。※1回目と2回目は5か月以上空ける必要があります。【15歳以上で初回接種の場合（3回）】1回目から2か月後に2回目、1回目から6か月後に3回目を接種。※標準的なスケジュールが難しい場合、2回"&amp;"目は1か月以上、3回目は2回目から3か月以上空けます。HPVワクチンのご予約はお電話（050-1730-2768）にて承っております。")</f>
        <v>HPVワクチン（子宮頸がんワクチン）は、接種開始時の年齢によって合計2回または3回接種します。当院で取り扱っている9価ワクチン（シルガード9）の場合、15歳未満で初回接種をすれば2回、15歳以上で開始した場合は3回接種となります。【15歳未満で初回接種の場合（2回）】1回目から6か月〜12か月間隔を空けて2回目を接種。※1回目と2回目は5か月以上空ける必要があります。【15歳以上で初回接種の場合（3回）】1回目から2か月後に2回目、1回目から6か月後に3回目を接種。※標準的なスケジュールが難しい場合、2回目は1か月以上、3回目は2回目から3か月以上空けます。HPVワクチンのご予約はお電話（050-1730-2768）にて承っております。</v>
      </c>
      <c r="C1040" s="31" t="str">
        <f>IFERROR(__xludf.DUMMYFUNCTION("""COMPUTED_VALUE"""),"HPVワクチン")</f>
        <v>HPVワクチン</v>
      </c>
      <c r="D1040" s="31" t="str">
        <f>IFERROR(__xludf.DUMMYFUNCTION("""COMPUTED_VALUE"""),"HPVワクチン,子宮頸がんワクチン,接種回数,シルガード9,9価,2回,3回,15歳未満,スケジュール")</f>
        <v>HPVワクチン,子宮頸がんワクチン,接種回数,シルガード9,9価,2回,3回,15歳未満,スケジュール</v>
      </c>
      <c r="E1040" s="31"/>
    </row>
    <row r="1041">
      <c r="A1041" s="31" t="str">
        <f>IFERROR(__xludf.DUMMYFUNCTION("""COMPUTED_VALUE"""),"HPVワクチンの公費接種の申請はどこでできますか？/HPVワクチンを公費で受けたいが申請が必要と言われました")</f>
        <v>HPVワクチンの公費接種の申請はどこでできますか？/HPVワクチンを公費で受けたいが申請が必要と言われました</v>
      </c>
      <c r="B1041" s="31" t="str">
        <f>IFERROR(__xludf.DUMMYFUNCTION("""COMPUTED_VALUE"""),"HPVワクチンの公費接種に関する申請手続きは、お住まいの市区町村で受け付けております。対象年齢や申請方法は自治体によって異なりますので、お住まいの自治体のホームページまたは窓口にてご確認ください。")</f>
        <v>HPVワクチンの公費接種に関する申請手続きは、お住まいの市区町村で受け付けております。対象年齢や申請方法は自治体によって異なりますので、お住まいの自治体のホームページまたは窓口にてご確認ください。</v>
      </c>
      <c r="C1041" s="31" t="str">
        <f>IFERROR(__xludf.DUMMYFUNCTION("""COMPUTED_VALUE"""),"HPVワクチン")</f>
        <v>HPVワクチン</v>
      </c>
      <c r="D1041" s="31" t="str">
        <f>IFERROR(__xludf.DUMMYFUNCTION("""COMPUTED_VALUE"""),"HPVワクチン,公費,申請,自治体")</f>
        <v>HPVワクチン,公費,申請,自治体</v>
      </c>
      <c r="E1041" s="31"/>
    </row>
    <row r="1042">
      <c r="A1042" s="31" t="str">
        <f>IFERROR(__xludf.DUMMYFUNCTION("""COMPUTED_VALUE"""),"妊娠証明書は発行できますか？/妊娠証明書をもらえますか？")</f>
        <v>妊娠証明書は発行できますか？/妊娠証明書をもらえますか？</v>
      </c>
      <c r="B1042" s="31" t="str">
        <f>IFERROR(__xludf.DUMMYFUNCTION("""COMPUTED_VALUE"""),"妊娠証明書の発行は可能です。最終的には医師の判断となりますので、ご受診いただき医師にご相談をお願いいたします。ご受診のご予約は公式LINEから24時間承っております。LINEはこちら→https://cline-app.com/qr-codes/98ad6f149bfa20f4f2a9a2e91aac4187/preview")</f>
        <v>妊娠証明書の発行は可能です。最終的には医師の判断となりますので、ご受診いただき医師にご相談をお願いいたします。ご受診のご予約は公式LINEから24時間承っております。LINEはこちら→https://cline-app.com/qr-codes/98ad6f149bfa20f4f2a9a2e91aac4187/preview</v>
      </c>
      <c r="C1042" s="31" t="str">
        <f>IFERROR(__xludf.DUMMYFUNCTION("""COMPUTED_VALUE"""),"書類・証明書")</f>
        <v>書類・証明書</v>
      </c>
      <c r="D1042" s="31" t="str">
        <f>IFERROR(__xludf.DUMMYFUNCTION("""COMPUTED_VALUE"""),"妊娠証明書,発行,書類")</f>
        <v>妊娠証明書,発行,書類</v>
      </c>
      <c r="E1042" s="31"/>
    </row>
    <row r="1043">
      <c r="A1043" s="31" t="str">
        <f>IFERROR(__xludf.DUMMYFUNCTION("""COMPUTED_VALUE"""),"領収書の再発行はできますか？/領収書をなくしてしまったのですが")</f>
        <v>領収書の再発行はできますか？/領収書をなくしてしまったのですが</v>
      </c>
      <c r="B1043" s="31" t="str">
        <f>IFERROR(__xludf.DUMMYFUNCTION("""COMPUTED_VALUE"""),"領収書の再発行はいたしかねます。診療報酬明細書であれば発行が可能です。ご希望の場合は、お電話（050-1730-2768）でのご予約、または受付にてお申し付けください。")</f>
        <v>領収書の再発行はいたしかねます。診療報酬明細書であれば発行が可能です。ご希望の場合は、お電話（050-1730-2768）でのご予約、または受付にてお申し付けください。</v>
      </c>
      <c r="C1043" s="31" t="str">
        <f>IFERROR(__xludf.DUMMYFUNCTION("""COMPUTED_VALUE"""),"書類・証明書")</f>
        <v>書類・証明書</v>
      </c>
      <c r="D1043" s="31" t="str">
        <f>IFERROR(__xludf.DUMMYFUNCTION("""COMPUTED_VALUE"""),"領収書,再発行,診療報酬明細書")</f>
        <v>領収書,再発行,診療報酬明細書</v>
      </c>
      <c r="E1043" s="31"/>
    </row>
    <row r="1044">
      <c r="A1044" s="31" t="str">
        <f>IFERROR(__xludf.DUMMYFUNCTION("""COMPUTED_VALUE"""),"母性健康管理指導事項連絡カードは発行できますか？/母健連絡カードをもらえますか？")</f>
        <v>母性健康管理指導事項連絡カードは発行できますか？/母健連絡カードをもらえますか？</v>
      </c>
      <c r="B1044" s="31" t="str">
        <f>IFERROR(__xludf.DUMMYFUNCTION("""COMPUTED_VALUE"""),"母性健康管理指導事項連絡カードの発行は可能です。最終的には医師の判断となりますので、ご受診いただき医師にご相談をお願いいたします。ご受診のご予約は公式LINEから24時間承っております。LINEはこちら→https://cline-app.com/qr-codes/98ad6f149bfa20f4f2a9a2e91aac4187/preview")</f>
        <v>母性健康管理指導事項連絡カードの発行は可能です。最終的には医師の判断となりますので、ご受診いただき医師にご相談をお願いいたします。ご受診のご予約は公式LINEから24時間承っております。LINEはこちら→https://cline-app.com/qr-codes/98ad6f149bfa20f4f2a9a2e91aac4187/preview</v>
      </c>
      <c r="C1044" s="31" t="str">
        <f>IFERROR(__xludf.DUMMYFUNCTION("""COMPUTED_VALUE"""),"書類・証明書")</f>
        <v>書類・証明書</v>
      </c>
      <c r="D1044" s="31" t="str">
        <f>IFERROR(__xludf.DUMMYFUNCTION("""COMPUTED_VALUE"""),"母性健康管理指導事項連絡カード,母健連絡カード,発行")</f>
        <v>母性健康管理指導事項連絡カード,母健連絡カード,発行</v>
      </c>
      <c r="E1044" s="31"/>
    </row>
    <row r="1045">
      <c r="A1045" s="31" t="str">
        <f>IFERROR(__xludf.DUMMYFUNCTION("""COMPUTED_VALUE"""),"月経移動ピルをもらいに行く時に必要なものはありますか？/月経移動の来院時の持ち物を教えてください")</f>
        <v>月経移動ピルをもらいに行く時に必要なものはありますか？/月経移動の来院時の持ち物を教えてください</v>
      </c>
      <c r="B1045" s="31" t="str">
        <f>IFERROR(__xludf.DUMMYFUNCTION("""COMPUTED_VALUE"""),"月経移動ピルの処方にお越しの際は、身分証明書（マイナ保険証や保険証など）のみご持参ください。")</f>
        <v>月経移動ピルの処方にお越しの際は、身分証明書（マイナ保険証や保険証など）のみご持参ください。</v>
      </c>
      <c r="C1045" s="31" t="str">
        <f>IFERROR(__xludf.DUMMYFUNCTION("""COMPUTED_VALUE"""),"月経移動")</f>
        <v>月経移動</v>
      </c>
      <c r="D1045" s="31" t="str">
        <f>IFERROR(__xludf.DUMMYFUNCTION("""COMPUTED_VALUE"""),"月経移動,持ち物,必要なもの,身分証明書")</f>
        <v>月経移動,持ち物,必要なもの,身分証明書</v>
      </c>
      <c r="E1045" s="31"/>
    </row>
    <row r="1046">
      <c r="A1046" s="31" t="str">
        <f>IFERROR(__xludf.DUMMYFUNCTION("""COMPUTED_VALUE"""),"ピル服用中の血栓検査のための採血はできますか？/血栓スクリーニングの採血は行えますか？/血栓症の検査はいくらですか？")</f>
        <v>ピル服用中の血栓検査のための採血はできますか？/血栓スクリーニングの採血は行えますか？/血栓症の検査はいくらですか？</v>
      </c>
      <c r="B1046" s="31" t="str">
        <f>IFERROR(__xludf.DUMMYFUNCTION("""COMPUTED_VALUE"""),"血栓検査のための採血は当院で対応しております。自費ピル内服者向けの血液検査は5,000円（税込）です。保険適用の場合の料金は受診時にご確認ください。なお、採血は希望される方への対応となります。ピル服用中に定期的に行う検査は超音波検査・細胞診検査です。ご予約は「一般婦人科診療」のメニューからお取りいただき、WEB問診票の備考欄に「血栓検査希望」とご記入ください。→https://cline-app.com/qr-codes/98ad6f149bfa20f4f2a9a2e91aac4187/preview")</f>
        <v>血栓検査のための採血は当院で対応しております。自費ピル内服者向けの血液検査は5,000円（税込）です。保険適用の場合の料金は受診時にご確認ください。なお、採血は希望される方への対応となります。ピル服用中に定期的に行う検査は超音波検査・細胞診検査です。ご予約は「一般婦人科診療」のメニューからお取りいただき、WEB問診票の備考欄に「血栓検査希望」とご記入ください。→https://cline-app.com/qr-codes/98ad6f149bfa20f4f2a9a2e91aac4187/preview</v>
      </c>
      <c r="C1046" s="31" t="str">
        <f>IFERROR(__xludf.DUMMYFUNCTION("""COMPUTED_VALUE"""),"検査")</f>
        <v>検査</v>
      </c>
      <c r="D1046" s="31" t="str">
        <f>IFERROR(__xludf.DUMMYFUNCTION("""COMPUTED_VALUE"""),"血栓検査,採血,ピル,血栓スクリーニング")</f>
        <v>血栓検査,採血,ピル,血栓スクリーニング</v>
      </c>
      <c r="E1046" s="31"/>
    </row>
    <row r="1047">
      <c r="A1047" s="31" t="str">
        <f>IFERROR(__xludf.DUMMYFUNCTION("""COMPUTED_VALUE"""),"マイナ保険証は使えますか？/マイナ保険証の機械は設置されていますか？")</f>
        <v>マイナ保険証は使えますか？/マイナ保険証の機械は設置されていますか？</v>
      </c>
      <c r="B1047" s="31" t="str">
        <f>IFERROR(__xludf.DUMMYFUNCTION("""COMPUTED_VALUE"""),"横浜駅前院・川崎駅前院・町田駅前院の3院すべてにマイナ保険証対応の機械を設置しておりますので、マイナ保険証でのご対応が可能です。")</f>
        <v>横浜駅前院・川崎駅前院・町田駅前院の3院すべてにマイナ保険証対応の機械を設置しておりますので、マイナ保険証でのご対応が可能です。</v>
      </c>
      <c r="C1047" s="31" t="str">
        <f>IFERROR(__xludf.DUMMYFUNCTION("""COMPUTED_VALUE"""),"受診ルール・院内ルール")</f>
        <v>受診ルール・院内ルール</v>
      </c>
      <c r="D1047" s="31" t="str">
        <f>IFERROR(__xludf.DUMMYFUNCTION("""COMPUTED_VALUE"""),"マイナ保険証,マイナンバーカード,対応,設置")</f>
        <v>マイナ保険証,マイナンバーカード,対応,設置</v>
      </c>
      <c r="E1047" s="31"/>
    </row>
    <row r="1048">
      <c r="A1048" s="31" t="str">
        <f>IFERROR(__xludf.DUMMYFUNCTION("""COMPUTED_VALUE"""),"緊急避妊の避妊リングはありますか？/避妊リングを入れたいのですが")</f>
        <v>緊急避妊の避妊リングはありますか？/避妊リングを入れたいのですが</v>
      </c>
      <c r="B1048" s="31" t="str">
        <f>IFERROR(__xludf.DUMMYFUNCTION("""COMPUTED_VALUE"""),"避妊リング（ミレーナ）は当院で対応しております。ミレーナについての詳細はご受診時に医師にご相談ください。ご予約は公式LINEから24時間承っております。LINEはこちら→https://cline-app.com/qr-codes/98ad6f149bfa20f4f2a9a2e91aac4187/preview")</f>
        <v>避妊リング（ミレーナ）は当院で対応しております。ミレーナについての詳細はご受診時に医師にご相談ください。ご予約は公式LINEから24時間承っております。LINEはこちら→https://cline-app.com/qr-codes/98ad6f149bfa20f4f2a9a2e91aac4187/preview</v>
      </c>
      <c r="C1048" s="31" t="str">
        <f>IFERROR(__xludf.DUMMYFUNCTION("""COMPUTED_VALUE"""),"ミレーナ")</f>
        <v>ミレーナ</v>
      </c>
      <c r="D1048" s="31" t="str">
        <f>IFERROR(__xludf.DUMMYFUNCTION("""COMPUTED_VALUE"""),"避妊リング,ミレーナ,IUD")</f>
        <v>避妊リング,ミレーナ,IUD</v>
      </c>
      <c r="E1048" s="31"/>
    </row>
    <row r="1049">
      <c r="A1049" s="31" t="str">
        <f>IFERROR(__xludf.DUMMYFUNCTION("""COMPUTED_VALUE"""),"取り扱っているピルの種類を教えてください/処方できるピルの一覧はありますか？/どんなピルがありますか？/ピルの種類")</f>
        <v>取り扱っているピルの種類を教えてください/処方できるピルの一覧はありますか？/どんなピルがありますか？/ピルの種類</v>
      </c>
      <c r="B1049" s="31" t="str">
        <f>IFERROR(__xludf.DUMMYFUNCTION("""COMPUTED_VALUE"""),"ピルには、毎日服用して避妊や生理トラブルの改善を行う低用量ピルと、緊急時に1回だけ服用するアフターピルがあります。目的によって使い分けます。当院で取り扱っているピルは以下の通りです。【保険ピル（来院診療のみ）】ヤーズフレックス配合錠・アリッサ・ルナベル配合錠LD・フリウェル配合錠LD・ルナベル配合錠ULD・フリウェル配合錠ULD・ヤーズ配合錠・ドロエチ配合錠・ジェミーナ配合錠 ※保険ピルの料金は保険診療の内容により異なるため、事前にお伝えすることができません。【自費ピル】ファボワール21錠/28錠 1シー"&amp;"ト3,000円・ラベルフィーユ21錠/28錠 1シート3,000円・スリンダ（ミニピル）28錠 1シート3,300円（来院のみ）【アフターピル】レボノルゲストレル1.5mg 15,000円・エラワン（ウリプリスタル酢酸エステル）/Josei 17,000円【オンライン診療で処方可能なピル】ラベルフィーユ28・ファボワール28・プラノバール21錠・エラワン（ウリプリスタル酢酸エステル）・レボノルゲストレル ※マーベロン・アンジュ・トリキュラーは取り扱いがございません。詳しくはこちらをご覧ください。→http"&amp;"s://luna-dr.com/subjects/pill-prescription/")</f>
        <v>ピルには、毎日服用して避妊や生理トラブルの改善を行う低用量ピルと、緊急時に1回だけ服用するアフターピルがあります。目的によって使い分けます。当院で取り扱っているピルは以下の通りです。【保険ピル（来院診療のみ）】ヤーズフレックス配合錠・アリッサ・ルナベル配合錠LD・フリウェル配合錠LD・ルナベル配合錠ULD・フリウェル配合錠ULD・ヤーズ配合錠・ドロエチ配合錠・ジェミーナ配合錠 ※保険ピルの料金は保険診療の内容により異なるため、事前にお伝えすることができません。【自費ピル】ファボワール21錠/28錠 1シート3,000円・ラベルフィーユ21錠/28錠 1シート3,000円・スリンダ（ミニピル）28錠 1シート3,300円（来院のみ）【アフターピル】レボノルゲストレル1.5mg 15,000円・エラワン（ウリプリスタル酢酸エステル）/Josei 17,000円【オンライン診療で処方可能なピル】ラベルフィーユ28・ファボワール28・プラノバール21錠・エラワン（ウリプリスタル酢酸エステル）・レボノルゲストレル ※マーベロン・アンジュ・トリキュラーは取り扱いがございません。詳しくはこちらをご覧ください。→https://luna-dr.com/subjects/pill-prescription/</v>
      </c>
      <c r="C1049" s="31" t="str">
        <f>IFERROR(__xludf.DUMMYFUNCTION("""COMPUTED_VALUE"""),"ピル処方")</f>
        <v>ピル処方</v>
      </c>
      <c r="D1049" s="31" t="str">
        <f>IFERROR(__xludf.DUMMYFUNCTION("""COMPUTED_VALUE"""),"ピル,種類,一覧,取り扱い,保険ピル,自費ピル,アフターピル,オンライン,ピルの種類")</f>
        <v>ピル,種類,一覧,取り扱い,保険ピル,自費ピル,アフターピル,オンライン,ピルの種類</v>
      </c>
      <c r="E1049" s="32" t="str">
        <f>IFERROR(__xludf.DUMMYFUNCTION("""COMPUTED_VALUE"""),"https://luna-dr.com/subjects/pill-prescription/")</f>
        <v>https://luna-dr.com/subjects/pill-prescription/</v>
      </c>
    </row>
    <row r="1050">
      <c r="A1050" s="31" t="str">
        <f>IFERROR(__xludf.DUMMYFUNCTION("""COMPUTED_VALUE"""),"ヤーズフレックスは取り扱っていますか？/ヤーズフレックスの処方はできますか？/ヤーズフレックスの料金はいくらですか？")</f>
        <v>ヤーズフレックスは取り扱っていますか？/ヤーズフレックスの処方はできますか？/ヤーズフレックスの料金はいくらですか？</v>
      </c>
      <c r="B1050" s="31" t="str">
        <f>IFERROR(__xludf.DUMMYFUNCTION("""COMPUTED_VALUE"""),"ヤーズフレックス配合錠は当院で取り扱っております。保険適用のピルとなりますので、料金は保険診療の内容により異なります。事前に料金をお伝えすることはできかねますので、ご了承ください。ご予約は公式LINEから受け付けておりますので、友だち追加の上ご利用ください。※生理痛などの治療を目的とする低用量ピルは、初回は検査が必要なため来院診療となりますので、ご注意ください。来院診療のご予約：こちらのLINEをご利用ください→https://cline-app.com/qr-codes/98ad6f149bfa20f4"&amp;"f2a9a2e91aac4187/preview")</f>
        <v>ヤーズフレックス配合錠は当院で取り扱っております。保険適用のピルとなりますので、料金は保険診療の内容により異なります。事前に料金をお伝えすることはできかねますので、ご了承ください。ご予約は公式LINEから受け付けておりますので、友だち追加の上ご利用ください。※生理痛などの治療を目的とする低用量ピルは、初回は検査が必要なため来院診療となりますので、ご注意ください。来院診療のご予約：こちらのLINEをご利用ください→https://cline-app.com/qr-codes/98ad6f149bfa20f4f2a9a2e91aac4187/preview</v>
      </c>
      <c r="C1050" s="31" t="str">
        <f>IFERROR(__xludf.DUMMYFUNCTION("""COMPUTED_VALUE"""),"低用量ピル（保険）")</f>
        <v>低用量ピル（保険）</v>
      </c>
      <c r="D1050" s="31" t="str">
        <f>IFERROR(__xludf.DUMMYFUNCTION("""COMPUTED_VALUE"""),"ヤーズフレックス,保険ピル")</f>
        <v>ヤーズフレックス,保険ピル</v>
      </c>
      <c r="E1050" s="31"/>
    </row>
    <row r="1051">
      <c r="A1051" s="31" t="str">
        <f>IFERROR(__xludf.DUMMYFUNCTION("""COMPUTED_VALUE"""),"アリッサは取り扱っていますか？/アリッサの処方はできますか？/アリッサの料金はいくらですか？")</f>
        <v>アリッサは取り扱っていますか？/アリッサの処方はできますか？/アリッサの料金はいくらですか？</v>
      </c>
      <c r="B1051" s="31" t="str">
        <f>IFERROR(__xludf.DUMMYFUNCTION("""COMPUTED_VALUE"""),"アリッサは当院で取り扱っております。保険適用のピルとなりますので、料金は保険診療の内容により異なります。事前に料金をお伝えすることはできかねますので、ご了承ください。ご予約は公式LINEから受け付けておりますので、友だち追加の上ご利用ください。※生理痛などの治療を目的とする低用量ピルは、初回は検査が必要なため来院診療となりますので、ご注意ください。来院診療のご予約：こちらのLINEをご利用ください→https://cline-app.com/qr-codes/98ad6f149bfa20f4f2a9a2e"&amp;"91aac4187/preview")</f>
        <v>アリッサは当院で取り扱っております。保険適用のピルとなりますので、料金は保険診療の内容により異なります。事前に料金をお伝えすることはできかねますので、ご了承ください。ご予約は公式LINEから受け付けておりますので、友だち追加の上ご利用ください。※生理痛などの治療を目的とする低用量ピルは、初回は検査が必要なため来院診療となりますので、ご注意ください。来院診療のご予約：こちらのLINEをご利用ください→https://cline-app.com/qr-codes/98ad6f149bfa20f4f2a9a2e91aac4187/preview</v>
      </c>
      <c r="C1051" s="31" t="str">
        <f>IFERROR(__xludf.DUMMYFUNCTION("""COMPUTED_VALUE"""),"低用量ピル（保険）")</f>
        <v>低用量ピル（保険）</v>
      </c>
      <c r="D1051" s="31" t="str">
        <f>IFERROR(__xludf.DUMMYFUNCTION("""COMPUTED_VALUE"""),"アリッサ,保険ピル")</f>
        <v>アリッサ,保険ピル</v>
      </c>
      <c r="E1051" s="31"/>
    </row>
    <row r="1052">
      <c r="A1052" s="31" t="str">
        <f>IFERROR(__xludf.DUMMYFUNCTION("""COMPUTED_VALUE"""),"ルナベルは取り扱っていますか？/ルナベルLDの処方はできますか？/ルナベルULDの料金はいくらですか？")</f>
        <v>ルナベルは取り扱っていますか？/ルナベルLDの処方はできますか？/ルナベルULDの料金はいくらですか？</v>
      </c>
      <c r="B1052" s="31" t="str">
        <f>IFERROR(__xludf.DUMMYFUNCTION("""COMPUTED_VALUE"""),"ルナベル配合錠LD・ルナベル配合錠ULDともに当院で取り扱っております。保険適用のピルとなりますので、料金は保険診療の内容により異なります。事前に料金をお伝えすることはできかねますので、ご了承ください。ご予約は公式LINEから受け付けておりますので、友だち追加の上ご利用ください。※生理痛などの治療を目的とする低用量ピルは、初回は検査が必要なため来院診療となりますので、ご注意ください。来院診療のご予約：こちらのLINEをご利用ください→https://cline-app.com/qr-codes/98ad6"&amp;"f149bfa20f4f2a9a2e91aac4187/preview")</f>
        <v>ルナベル配合錠LD・ルナベル配合錠ULDともに当院で取り扱っております。保険適用のピルとなりますので、料金は保険診療の内容により異なります。事前に料金をお伝えすることはできかねますので、ご了承ください。ご予約は公式LINEから受け付けておりますので、友だち追加の上ご利用ください。※生理痛などの治療を目的とする低用量ピルは、初回は検査が必要なため来院診療となりますので、ご注意ください。来院診療のご予約：こちらのLINEをご利用ください→https://cline-app.com/qr-codes/98ad6f149bfa20f4f2a9a2e91aac4187/preview</v>
      </c>
      <c r="C1052" s="31" t="str">
        <f>IFERROR(__xludf.DUMMYFUNCTION("""COMPUTED_VALUE"""),"低用量ピル（保険）")</f>
        <v>低用量ピル（保険）</v>
      </c>
      <c r="D1052" s="31" t="str">
        <f>IFERROR(__xludf.DUMMYFUNCTION("""COMPUTED_VALUE"""),"ルナベル,ルナベルLD,ルナベルULD,保険ピル")</f>
        <v>ルナベル,ルナベルLD,ルナベルULD,保険ピル</v>
      </c>
      <c r="E1052" s="31"/>
    </row>
    <row r="1053">
      <c r="A1053" s="31" t="str">
        <f>IFERROR(__xludf.DUMMYFUNCTION("""COMPUTED_VALUE"""),"フリウェルは取り扱っていますか？/フリウェルLDの処方はできますか？/フリウェルULDの料金はいくらですか？")</f>
        <v>フリウェルは取り扱っていますか？/フリウェルLDの処方はできますか？/フリウェルULDの料金はいくらですか？</v>
      </c>
      <c r="B1053" s="31" t="str">
        <f>IFERROR(__xludf.DUMMYFUNCTION("""COMPUTED_VALUE"""),"フリウェル配合錠LD・フリウェル配合錠ULDともに当院で取り扱っております。保険適用のピルとなりますので、料金は保険診療の内容により異なります。事前に料金をお伝えすることはできかねますので、ご了承ください。ご予約は公式LINEから受け付けておりますので、友だち追加の上ご利用ください。※生理痛などの治療を目的とする低用量ピルは、初回は検査が必要なため来院診療となりますので、ご注意ください。来院診療のご予約：こちらのLINEをご利用ください→https://cline-app.com/qr-codes/98a"&amp;"d6f149bfa20f4f2a9a2e91aac4187/preview")</f>
        <v>フリウェル配合錠LD・フリウェル配合錠ULDともに当院で取り扱っております。保険適用のピルとなりますので、料金は保険診療の内容により異なります。事前に料金をお伝えすることはできかねますので、ご了承ください。ご予約は公式LINEから受け付けておりますので、友だち追加の上ご利用ください。※生理痛などの治療を目的とする低用量ピルは、初回は検査が必要なため来院診療となりますので、ご注意ください。来院診療のご予約：こちらのLINEをご利用ください→https://cline-app.com/qr-codes/98ad6f149bfa20f4f2a9a2e91aac4187/preview</v>
      </c>
      <c r="C1053" s="31" t="str">
        <f>IFERROR(__xludf.DUMMYFUNCTION("""COMPUTED_VALUE"""),"低用量ピル（保険）")</f>
        <v>低用量ピル（保険）</v>
      </c>
      <c r="D1053" s="31" t="str">
        <f>IFERROR(__xludf.DUMMYFUNCTION("""COMPUTED_VALUE"""),"フリウェル,フリウェルLD,フリウェルULD,保険ピル")</f>
        <v>フリウェル,フリウェルLD,フリウェルULD,保険ピル</v>
      </c>
      <c r="E1053" s="31"/>
    </row>
    <row r="1054">
      <c r="A1054" s="31" t="str">
        <f>IFERROR(__xludf.DUMMYFUNCTION("""COMPUTED_VALUE"""),"ヤーズは取り扱っていますか？/ヤーズ配合錠の処方はできますか？/ヤーズの料金はいくらですか？")</f>
        <v>ヤーズは取り扱っていますか？/ヤーズ配合錠の処方はできますか？/ヤーズの料金はいくらですか？</v>
      </c>
      <c r="B1054" s="31" t="str">
        <f>IFERROR(__xludf.DUMMYFUNCTION("""COMPUTED_VALUE"""),"ヤーズ配合錠は当院で取り扱っております。保険適用のピルとなりますので、料金は保険診療の内容により異なります。事前に料金をお伝えすることはできかねますので、ご了承ください。ご予約は公式LINEから受け付けておりますので、友だち追加の上ご利用ください。※生理痛などの治療を目的とする低用量ピルは、初回は検査が必要なため来院診療となりますので、ご注意ください。来院診療のご予約：こちらのLINEをご利用ください→https://cline-app.com/qr-codes/98ad6f149bfa20f4f2a9a"&amp;"2e91aac4187/preview")</f>
        <v>ヤーズ配合錠は当院で取り扱っております。保険適用のピルとなりますので、料金は保険診療の内容により異なります。事前に料金をお伝えすることはできかねますので、ご了承ください。ご予約は公式LINEから受け付けておりますので、友だち追加の上ご利用ください。※生理痛などの治療を目的とする低用量ピルは、初回は検査が必要なため来院診療となりますので、ご注意ください。来院診療のご予約：こちらのLINEをご利用ください→https://cline-app.com/qr-codes/98ad6f149bfa20f4f2a9a2e91aac4187/preview</v>
      </c>
      <c r="C1054" s="31" t="str">
        <f>IFERROR(__xludf.DUMMYFUNCTION("""COMPUTED_VALUE"""),"低用量ピル（保険）")</f>
        <v>低用量ピル（保険）</v>
      </c>
      <c r="D1054" s="31" t="str">
        <f>IFERROR(__xludf.DUMMYFUNCTION("""COMPUTED_VALUE"""),"ヤーズ,保険ピル")</f>
        <v>ヤーズ,保険ピル</v>
      </c>
      <c r="E1054" s="31"/>
    </row>
    <row r="1055">
      <c r="A1055" s="31" t="str">
        <f>IFERROR(__xludf.DUMMYFUNCTION("""COMPUTED_VALUE"""),"ドロエチは取り扱っていますか？/ドロエチ配合錠の処方はできますか？/ドロエチの料金はいくらですか？")</f>
        <v>ドロエチは取り扱っていますか？/ドロエチ配合錠の処方はできますか？/ドロエチの料金はいくらですか？</v>
      </c>
      <c r="B1055" s="31" t="str">
        <f>IFERROR(__xludf.DUMMYFUNCTION("""COMPUTED_VALUE"""),"ドロエチ配合錠は当院で取り扱っております。保険適用のピルとなりますので、料金は保険診療の内容により異なります。事前に料金をお伝えすることはできかねますので、ご了承ください。ご予約は公式LINEから受け付けておりますので、友だち追加の上ご利用ください。※生理痛などの治療を目的とする低用量ピルは、初回は検査が必要なため来院診療となりますので、ご注意ください。来院診療のご予約：こちらのLINEをご利用ください→https://cline-app.com/qr-codes/98ad6f149bfa20f4f2a9"&amp;"a2e91aac4187/preview")</f>
        <v>ドロエチ配合錠は当院で取り扱っております。保険適用のピルとなりますので、料金は保険診療の内容により異なります。事前に料金をお伝えすることはできかねますので、ご了承ください。ご予約は公式LINEから受け付けておりますので、友だち追加の上ご利用ください。※生理痛などの治療を目的とする低用量ピルは、初回は検査が必要なため来院診療となりますので、ご注意ください。来院診療のご予約：こちらのLINEをご利用ください→https://cline-app.com/qr-codes/98ad6f149bfa20f4f2a9a2e91aac4187/preview</v>
      </c>
      <c r="C1055" s="31" t="str">
        <f>IFERROR(__xludf.DUMMYFUNCTION("""COMPUTED_VALUE"""),"低用量ピル（保険）")</f>
        <v>低用量ピル（保険）</v>
      </c>
      <c r="D1055" s="31" t="str">
        <f>IFERROR(__xludf.DUMMYFUNCTION("""COMPUTED_VALUE"""),"ドロエチ,保険ピル")</f>
        <v>ドロエチ,保険ピル</v>
      </c>
      <c r="E1055" s="31"/>
    </row>
    <row r="1056">
      <c r="A1056" s="31" t="str">
        <f>IFERROR(__xludf.DUMMYFUNCTION("""COMPUTED_VALUE"""),"ジェミーナは取り扱っていますか？/ジェミーナ配合錠の処方はできますか？/ジェミーナの料金はいくらですか？")</f>
        <v>ジェミーナは取り扱っていますか？/ジェミーナ配合錠の処方はできますか？/ジェミーナの料金はいくらですか？</v>
      </c>
      <c r="B1056" s="31" t="str">
        <f>IFERROR(__xludf.DUMMYFUNCTION("""COMPUTED_VALUE"""),"ジェミーナ配合錠は当院で取り扱っております。保険適用のピルとなりますので、料金は保険診療の内容により異なります。事前に料金をお伝えすることはできかねますので、ご了承ください。ご予約は公式LINEから受け付けておりますので、友だち追加の上ご利用ください。※生理痛などの治療を目的とする低用量ピルは、初回は検査が必要なため来院診療となりますので、ご注意ください。来院診療のご予約：こちらのLINEをご利用ください→https://cline-app.com/qr-codes/98ad6f149bfa20f4f2a"&amp;"9a2e91aac4187/preview")</f>
        <v>ジェミーナ配合錠は当院で取り扱っております。保険適用のピルとなりますので、料金は保険診療の内容により異なります。事前に料金をお伝えすることはできかねますので、ご了承ください。ご予約は公式LINEから受け付けておりますので、友だち追加の上ご利用ください。※生理痛などの治療を目的とする低用量ピルは、初回は検査が必要なため来院診療となりますので、ご注意ください。来院診療のご予約：こちらのLINEをご利用ください→https://cline-app.com/qr-codes/98ad6f149bfa20f4f2a9a2e91aac4187/preview</v>
      </c>
      <c r="C1056" s="31" t="str">
        <f>IFERROR(__xludf.DUMMYFUNCTION("""COMPUTED_VALUE"""),"低用量ピル（保険）")</f>
        <v>低用量ピル（保険）</v>
      </c>
      <c r="D1056" s="31" t="str">
        <f>IFERROR(__xludf.DUMMYFUNCTION("""COMPUTED_VALUE"""),"ジェミーナ,保険ピル")</f>
        <v>ジェミーナ,保険ピル</v>
      </c>
      <c r="E1056" s="31"/>
    </row>
    <row r="1057">
      <c r="A1057" s="31" t="str">
        <f>IFERROR(__xludf.DUMMYFUNCTION("""COMPUTED_VALUE"""),"ファボワールの料金はいくらですか？/ファボワールは取り扱っていますか？")</f>
        <v>ファボワールの料金はいくらですか？/ファボワールは取り扱っていますか？</v>
      </c>
      <c r="B1057" s="31" t="str">
        <f>IFERROR(__xludf.DUMMYFUNCTION("""COMPUTED_VALUE"""),"ファボワール21錠/28錠は当院で取り扱っております。自費診療で1シート3,000円（税込）です。ご予約は公式LINEから受け付けておりますので、友だち追加の上ご利用ください。
※生理痛などの治療を目的とする低用量ピルは、初回は検査が必要なため来院診療となりますので、ご注意ください。
来院診療のご予約：こちらのLINEをご利用ください→https://cline-app.com/qr-codes/98ad6f149bfa20f4f2a9a2e91aac4187/preview
オンライン診療のご予約：こ"&amp;"ちらのオンライン診療LINEページをご利用ください→https://liff-gateway.lineml.jp/landing?follow=%40590gpxrd&amp;lp=fX73yx&amp;liff_id=1657094566-LmjNPPbV""")</f>
        <v>ファボワール21錠/28錠は当院で取り扱っております。自費診療で1シート3,000円（税込）です。ご予約は公式LINEから受け付けておりますので、友だち追加の上ご利用ください。
※生理痛などの治療を目的とする低用量ピルは、初回は検査が必要なため来院診療となりますので、ご注意ください。
来院診療のご予約：こちらのLINEをご利用ください→https://cline-app.com/qr-codes/98ad6f149bfa20f4f2a9a2e91aac4187/preview
オンライン診療のご予約：こちらのオンライン診療LINEページをご利用ください→https://liff-gateway.lineml.jp/landing?follow=%40590gpxrd&amp;lp=fX73yx&amp;liff_id=1657094566-LmjNPPbV"</v>
      </c>
      <c r="C1057" s="31" t="str">
        <f>IFERROR(__xludf.DUMMYFUNCTION("""COMPUTED_VALUE"""),"低用量ピル（自費）")</f>
        <v>低用量ピル（自費）</v>
      </c>
      <c r="D1057" s="31" t="str">
        <f>IFERROR(__xludf.DUMMYFUNCTION("""COMPUTED_VALUE"""),"ファボワール,自費ピル,3000円")</f>
        <v>ファボワール,自費ピル,3000円</v>
      </c>
      <c r="E1057" s="31"/>
    </row>
    <row r="1058">
      <c r="A1058" s="31" t="str">
        <f>IFERROR(__xludf.DUMMYFUNCTION("""COMPUTED_VALUE"""),"ラベルフィーユの料金はいくらですか？/ラベルフィーユは取り扱っていますか？")</f>
        <v>ラベルフィーユの料金はいくらですか？/ラベルフィーユは取り扱っていますか？</v>
      </c>
      <c r="B1058" s="31" t="str">
        <f>IFERROR(__xludf.DUMMYFUNCTION("""COMPUTED_VALUE"""),"ラベルフィーユ21錠/28錠は当院で取り扱っております。自費診療で1シート3,000円（税込）です。ご予約は公式LINEから受け付けておりますので、友だち追加の上ご利用ください。
※生理痛などの治療を目的とする低用量ピルは、初回は検査が必要なため来院診療となりますので、ご注意ください。
来院診療のご予約：こちらのLINEをご利用ください→https://cline-app.com/qr-codes/98ad6f149bfa20f4f2a9a2e91aac4187/preview
オンライン診療のご予約："&amp;"こちらのオンライン診療LINEページをご利用ください→https://liff-gateway.lineml.jp/landing?follow=%40590gpxrd&amp;lp=fX73yx&amp;liff_id=1657094566-LmjNPPbV""")</f>
        <v>ラベルフィーユ21錠/28錠は当院で取り扱っております。自費診療で1シート3,000円（税込）です。ご予約は公式LINEから受け付けておりますので、友だち追加の上ご利用ください。
※生理痛などの治療を目的とする低用量ピルは、初回は検査が必要なため来院診療となりますので、ご注意ください。
来院診療のご予約：こちらのLINEをご利用ください→https://cline-app.com/qr-codes/98ad6f149bfa20f4f2a9a2e91aac4187/preview
オンライン診療のご予約：こちらのオンライン診療LINEページをご利用ください→https://liff-gateway.lineml.jp/landing?follow=%40590gpxrd&amp;lp=fX73yx&amp;liff_id=1657094566-LmjNPPbV"</v>
      </c>
      <c r="C1058" s="31" t="str">
        <f>IFERROR(__xludf.DUMMYFUNCTION("""COMPUTED_VALUE"""),"低用量ピル（自費）")</f>
        <v>低用量ピル（自費）</v>
      </c>
      <c r="D1058" s="31" t="str">
        <f>IFERROR(__xludf.DUMMYFUNCTION("""COMPUTED_VALUE"""),"ラベルフィーユ,自費ピル,3000円")</f>
        <v>ラベルフィーユ,自費ピル,3000円</v>
      </c>
      <c r="E1058" s="31"/>
    </row>
    <row r="1059">
      <c r="A1059" s="31" t="str">
        <f>IFERROR(__xludf.DUMMYFUNCTION("""COMPUTED_VALUE"""),"スリンダの料金はいくらですか？/スリンダは取り扱っていますか？")</f>
        <v>スリンダの料金はいくらですか？/スリンダは取り扱っていますか？</v>
      </c>
      <c r="B1059" s="31" t="str">
        <f>IFERROR(__xludf.DUMMYFUNCTION("""COMPUTED_VALUE"""),"スリンダ28錠は当院で取り扱っております。自費診療で1シート3,300円（税込）です。ご予約は公式LINEから受け付けておりますので、友だち追加の上ご利用ください。
※生理痛などの治療を目的とする低用量ピルは、初回は検査が必要なため来院診療となりますので、ご注意ください。
来院診療のご予約：こちらのLINEをご利用ください→https://cline-app.com/qr-codes/98ad6f149bfa20f4f2a9a2e91aac4187/preview
オンライン診療のご予約：こちらのオンラ"&amp;"イン診療LINEページをご利用ください→https://liff-gateway.lineml.jp/landing?follow=%40590gpxrd&amp;lp=fX73yx&amp;liff_id=1657094566-LmjNPPbV""")</f>
        <v>スリンダ28錠は当院で取り扱っております。自費診療で1シート3,300円（税込）です。ご予約は公式LINEから受け付けておりますので、友だち追加の上ご利用ください。
※生理痛などの治療を目的とする低用量ピルは、初回は検査が必要なため来院診療となりますので、ご注意ください。
来院診療のご予約：こちらのLINEをご利用ください→https://cline-app.com/qr-codes/98ad6f149bfa20f4f2a9a2e91aac4187/preview
オンライン診療のご予約：こちらのオンライン診療LINEページをご利用ください→https://liff-gateway.lineml.jp/landing?follow=%40590gpxrd&amp;lp=fX73yx&amp;liff_id=1657094566-LmjNPPbV"</v>
      </c>
      <c r="C1059" s="31" t="str">
        <f>IFERROR(__xludf.DUMMYFUNCTION("""COMPUTED_VALUE"""),"低用量ピル（自費）")</f>
        <v>低用量ピル（自費）</v>
      </c>
      <c r="D1059" s="31" t="str">
        <f>IFERROR(__xludf.DUMMYFUNCTION("""COMPUTED_VALUE"""),"スリンダ,自費ピル,3300円")</f>
        <v>スリンダ,自費ピル,3300円</v>
      </c>
      <c r="E1059" s="31"/>
    </row>
    <row r="1060">
      <c r="A1060" s="31" t="str">
        <f>IFERROR(__xludf.DUMMYFUNCTION("""COMPUTED_VALUE"""),"ミニピルの処方はありますか？/ミニピルは取り扱っていますか？/ミニピルの料金はいくらですか？/ミニピル処方は保険診療ですか？/スリンダは保険適用ですか？/ミニピルは保険がききますか？")</f>
        <v>ミニピルの処方はありますか？/ミニピルは取り扱っていますか？/ミニピルの料金はいくらですか？/ミニピル処方は保険診療ですか？/スリンダは保険適用ですか？/ミニピルは保険がききますか？</v>
      </c>
      <c r="B1060" s="31" t="str">
        <f>IFERROR(__xludf.DUMMYFUNCTION("""COMPUTED_VALUE"""),"当院ではミニピルとしてスリンダ28錠を取り扱っております。自費診療で1シート3,300円（税込）です。スリンダは黄体ホルモンのみを含むピルで、来院診療での処方となります。ご予約は公式LINEから24時間承っております。LINEはこちら→https://cline-app.com/qr-codes/98ad6f149bfa20f4f2a9a2e91aac4187/preview")</f>
        <v>当院ではミニピルとしてスリンダ28錠を取り扱っております。自費診療で1シート3,300円（税込）です。スリンダは黄体ホルモンのみを含むピルで、来院診療での処方となります。ご予約は公式LINEから24時間承っております。LINEはこちら→https://cline-app.com/qr-codes/98ad6f149bfa20f4f2a9a2e91aac4187/preview</v>
      </c>
      <c r="C1060" s="31" t="str">
        <f>IFERROR(__xludf.DUMMYFUNCTION("""COMPUTED_VALUE"""),"ピル処方")</f>
        <v>ピル処方</v>
      </c>
      <c r="D1060" s="31" t="str">
        <f>IFERROR(__xludf.DUMMYFUNCTION("""COMPUTED_VALUE"""),"ミニピル,スリンダ,黄体ホルモン,プロゲスチン,3300円")</f>
        <v>ミニピル,スリンダ,黄体ホルモン,プロゲスチン,3300円</v>
      </c>
      <c r="E1060" s="31"/>
    </row>
    <row r="1061">
      <c r="A1061" s="31" t="str">
        <f>IFERROR(__xludf.DUMMYFUNCTION("""COMPUTED_VALUE"""),"マーベロンは取り扱っていますか？/マーベロンの処方はできますか？")</f>
        <v>マーベロンは取り扱っていますか？/マーベロンの処方はできますか？</v>
      </c>
      <c r="B1061" s="31" t="str">
        <f>IFERROR(__xludf.DUMMYFUNCTION("""COMPUTED_VALUE"""),"大変恐縮ではございますが、マーベロン21錠/28錠は当院では取り扱いがございません。当院で取り扱いのある自費ピルは、ファボワール（1シート3,000円）、ラベルフィーユ（1シート3,000円）、スリンダ（1シート3,300円）となります。当院で取り扱いがあるピルの処方をご希望される場合は、ご予約を公式LINEから受け付けております。友だち追加の上ご利用ください。
※生理痛などの治療を目的とする低用量ピルは、初回は検査が必要なため来院診療となりますので、ご注意ください。
来院診療のご予約：こちらのLINE"&amp;"をご利用ください→https://cline-app.com/qr-codes/98ad6f149bfa20f4f2a9a2e91aac4187/preview
オンライン診療のご予約：こちらのオンライン診療LINEページをご利用ください→https://liff-gateway.lineml.jp/landing?follow=%40590gpxrd&amp;lp=fX73yx&amp;liff_id=1657094566-LmjNPPbV""")</f>
        <v>大変恐縮ではございますが、マーベロン21錠/28錠は当院では取り扱いがございません。当院で取り扱いのある自費ピルは、ファボワール（1シート3,000円）、ラベルフィーユ（1シート3,000円）、スリンダ（1シート3,300円）となります。当院で取り扱いがあるピルの処方をご希望される場合は、ご予約を公式LINEから受け付けております。友だち追加の上ご利用ください。
※生理痛などの治療を目的とする低用量ピルは、初回は検査が必要なため来院診療となりますので、ご注意ください。
来院診療のご予約：こちらのLINEをご利用ください→https://cline-app.com/qr-codes/98ad6f149bfa20f4f2a9a2e91aac4187/preview
オンライン診療のご予約：こちらのオンライン診療LINEページをご利用ください→https://liff-gateway.lineml.jp/landing?follow=%40590gpxrd&amp;lp=fX73yx&amp;liff_id=1657094566-LmjNPPbV"</v>
      </c>
      <c r="C1061" s="31" t="str">
        <f>IFERROR(__xludf.DUMMYFUNCTION("""COMPUTED_VALUE"""),"低用量ピル（自費）")</f>
        <v>低用量ピル（自費）</v>
      </c>
      <c r="D1061" s="31" t="str">
        <f>IFERROR(__xludf.DUMMYFUNCTION("""COMPUTED_VALUE"""),"マーベロン,取り扱いなし")</f>
        <v>マーベロン,取り扱いなし</v>
      </c>
      <c r="E1061" s="31"/>
    </row>
    <row r="1062">
      <c r="A1062" s="31" t="str">
        <f>IFERROR(__xludf.DUMMYFUNCTION("""COMPUTED_VALUE"""),"アンジュは取り扱っていますか？/アンジュの処方はできますか？")</f>
        <v>アンジュは取り扱っていますか？/アンジュの処方はできますか？</v>
      </c>
      <c r="B1062" s="31" t="str">
        <f>IFERROR(__xludf.DUMMYFUNCTION("""COMPUTED_VALUE"""),"大変恐縮ではございますが、アンジュ21錠/28錠は当院では取り扱いがございません。当院で取り扱いのある自費ピルは、ファボワール（1シート3,000円）、ラベルフィーユ（1シート3,000円）、スリンダ（1シート3,300円）となります。当院で取り扱いがあるピルの処方をご希望される場合は、ご予約を公式LINEから受け付けております。友だち追加の上ご利用ください。
※生理痛などの治療を目的とする低用量ピルは、初回は検査が必要なため来院診療となりますので、ご注意ください。
来院診療のご予約：こちらのLINEを"&amp;"ご利用ください→https://cline-app.com/qr-codes/98ad6f149bfa20f4f2a9a2e91aac4187/preview
オンライン診療のご予約：こちらのオンライン診療LINEページをご利用ください→https://liff-gateway.lineml.jp/landing?follow=%40590gpxrd&amp;lp=fX73yx&amp;liff_id=1657094566-LmjNPPbV""")</f>
        <v>大変恐縮ではございますが、アンジュ21錠/28錠は当院では取り扱いがございません。当院で取り扱いのある自費ピルは、ファボワール（1シート3,000円）、ラベルフィーユ（1シート3,000円）、スリンダ（1シート3,300円）となります。当院で取り扱いがあるピルの処方をご希望される場合は、ご予約を公式LINEから受け付けております。友だち追加の上ご利用ください。
※生理痛などの治療を目的とする低用量ピルは、初回は検査が必要なため来院診療となりますので、ご注意ください。
来院診療のご予約：こちらのLINEをご利用ください→https://cline-app.com/qr-codes/98ad6f149bfa20f4f2a9a2e91aac4187/preview
オンライン診療のご予約：こちらのオンライン診療LINEページをご利用ください→https://liff-gateway.lineml.jp/landing?follow=%40590gpxrd&amp;lp=fX73yx&amp;liff_id=1657094566-LmjNPPbV"</v>
      </c>
      <c r="C1062" s="31" t="str">
        <f>IFERROR(__xludf.DUMMYFUNCTION("""COMPUTED_VALUE"""),"低用量ピル（自費）")</f>
        <v>低用量ピル（自費）</v>
      </c>
      <c r="D1062" s="31" t="str">
        <f>IFERROR(__xludf.DUMMYFUNCTION("""COMPUTED_VALUE"""),"アンジュ,取り扱いなし")</f>
        <v>アンジュ,取り扱いなし</v>
      </c>
      <c r="E1062" s="31"/>
    </row>
    <row r="1063">
      <c r="A1063" s="31" t="str">
        <f>IFERROR(__xludf.DUMMYFUNCTION("""COMPUTED_VALUE"""),"トリキュラーは取り扱っていますか？/トリキュラーの処方はできますか？")</f>
        <v>トリキュラーは取り扱っていますか？/トリキュラーの処方はできますか？</v>
      </c>
      <c r="B1063" s="31" t="str">
        <f>IFERROR(__xludf.DUMMYFUNCTION("""COMPUTED_VALUE"""),"大変恐縮ではございますが、トリキュラー錠21/28は当院では取り扱いがございません。当院で取り扱いのある自費ピルは、ファボワール（1シート3,000円）、ラベルフィーユ（1シート3,000円）、スリンダ（1シート3,300円）となります。当院で取り扱いがあるピルの処方をご希望される場合は、ご予約を公式LINEから受け付けております。友だち追加の上ご利用ください。
※生理痛などの治療を目的とする低用量ピルは、初回は検査が必要なため来院診療となりますので、ご注意ください。
来院診療のご予約：こちらのLINE"&amp;"をご利用ください→https://cline-app.com/qr-codes/98ad6f149bfa20f4f2a9a2e91aac4187/preview
オンライン診療のご予約：こちらのオンライン診療LINEページをご利用ください→https://liff-gateway.lineml.jp/landing?follow=%40590gpxrd&amp;lp=fX73yx&amp;liff_id=1657094566-LmjNPPbV""")</f>
        <v>大変恐縮ではございますが、トリキュラー錠21/28は当院では取り扱いがございません。当院で取り扱いのある自費ピルは、ファボワール（1シート3,000円）、ラベルフィーユ（1シート3,000円）、スリンダ（1シート3,300円）となります。当院で取り扱いがあるピルの処方をご希望される場合は、ご予約を公式LINEから受け付けております。友だち追加の上ご利用ください。
※生理痛などの治療を目的とする低用量ピルは、初回は検査が必要なため来院診療となりますので、ご注意ください。
来院診療のご予約：こちらのLINEをご利用ください→https://cline-app.com/qr-codes/98ad6f149bfa20f4f2a9a2e91aac4187/preview
オンライン診療のご予約：こちらのオンライン診療LINEページをご利用ください→https://liff-gateway.lineml.jp/landing?follow=%40590gpxrd&amp;lp=fX73yx&amp;liff_id=1657094566-LmjNPPbV"</v>
      </c>
      <c r="C1063" s="31" t="str">
        <f>IFERROR(__xludf.DUMMYFUNCTION("""COMPUTED_VALUE"""),"低用量ピル（自費）")</f>
        <v>低用量ピル（自費）</v>
      </c>
      <c r="D1063" s="31" t="str">
        <f>IFERROR(__xludf.DUMMYFUNCTION("""COMPUTED_VALUE"""),"トリキュラー,取り扱いなし")</f>
        <v>トリキュラー,取り扱いなし</v>
      </c>
      <c r="E1063" s="31"/>
    </row>
    <row r="1064">
      <c r="A1064" s="31" t="str">
        <f>IFERROR(__xludf.DUMMYFUNCTION("""COMPUTED_VALUE"""),"レボノルゲストレルの料金はいくらですか？/レボノルゲストレルは取り扱っていますか？")</f>
        <v>レボノルゲストレルの料金はいくらですか？/レボノルゲストレルは取り扱っていますか？</v>
      </c>
      <c r="B1064" s="31" t="str">
        <f>IFERROR(__xludf.DUMMYFUNCTION("""COMPUTED_VALUE"""),"レボノルゲストレル1.5mgは15,000円（税込）です。72時間以内に服用するアフターピルとなります。アフターピルは初診の方でも来院せずにご相談・処方が可能なオンライン診療をご利用いただけます。24時間いつでもご自身のタイミングで予約できます。
来院診療のご予約：こちらのLINEをご利用ください→https://cline-app.com/qr-codes/98ad6f149bfa20f4f2a9a2e91aac4187/preview
オンライン診療のご予約：こちらのオンライン診療LINEページをご"&amp;"利用ください→https://liff-gateway.lineml.jp/landing?follow=%40590gpxrd&amp;lp=fX73yx&amp;liff_id=1657094566-LmjNPPbV")</f>
        <v>レボノルゲストレル1.5mgは15,000円（税込）です。72時間以内に服用するアフターピルとなります。アフターピルは初診の方でも来院せずにご相談・処方が可能なオンライン診療をご利用いただけます。24時間いつでもご自身のタイミングで予約できます。
来院診療のご予約：こちらのLINEをご利用ください→https://cline-app.com/qr-codes/98ad6f149bfa20f4f2a9a2e91aac4187/preview
オンライン診療のご予約：こちらのオンライン診療LINEページをご利用ください→https://liff-gateway.lineml.jp/landing?follow=%40590gpxrd&amp;lp=fX73yx&amp;liff_id=1657094566-LmjNPPbV</v>
      </c>
      <c r="C1064" s="31" t="str">
        <f>IFERROR(__xludf.DUMMYFUNCTION("""COMPUTED_VALUE"""),"アフターピル")</f>
        <v>アフターピル</v>
      </c>
      <c r="D1064" s="31" t="str">
        <f>IFERROR(__xludf.DUMMYFUNCTION("""COMPUTED_VALUE"""),"レボノルゲストレル,アフターピル,15000円,72時間")</f>
        <v>レボノルゲストレル,アフターピル,15000円,72時間</v>
      </c>
      <c r="E1064" s="31"/>
    </row>
    <row r="1065">
      <c r="A1065" s="31" t="str">
        <f>IFERROR(__xludf.DUMMYFUNCTION("""COMPUTED_VALUE"""),"エラワンの料金はいくらですか？/Joseiの料金はいくらですか？/エラワンは取り扱っていますか？")</f>
        <v>エラワンの料金はいくらですか？/Joseiの料金はいくらですか？/エラワンは取り扱っていますか？</v>
      </c>
      <c r="B1065" s="31" t="str">
        <f>IFERROR(__xludf.DUMMYFUNCTION("""COMPUTED_VALUE"""),"エラワン/Joseiは17,000円（税込）です。120時間以内に服用するアフターピルとなります。アフターピルは初診の方でも来院せずにご相談・処方が可能なオンライン診療をご利用いただけます。24時間いつでもご自身のタイミングで予約できます。
来院診療のご予約：こちらのLINEをご利用ください→https://cline-app.com/qr-codes/98ad6f149bfa20f4f2a9a2e91aac4187/preview
オンライン診療のご予約：こちらのオンライン診療LINEページをご利用く"&amp;"ださい→https://liff-gateway.lineml.jp/landing?follow=%40590gpxrd&amp;lp=fX73yx&amp;liff_id=1657094566-LmjNPPbV")</f>
        <v>エラワン/Joseiは17,000円（税込）です。120時間以内に服用するアフターピルとなります。アフターピルは初診の方でも来院せずにご相談・処方が可能なオンライン診療をご利用いただけます。24時間いつでもご自身のタイミングで予約できます。
来院診療のご予約：こちらのLINEをご利用ください→https://cline-app.com/qr-codes/98ad6f149bfa20f4f2a9a2e91aac4187/preview
オンライン診療のご予約：こちらのオンライン診療LINEページをご利用ください→https://liff-gateway.lineml.jp/landing?follow=%40590gpxrd&amp;lp=fX73yx&amp;liff_id=1657094566-LmjNPPbV</v>
      </c>
      <c r="C1065" s="31" t="str">
        <f>IFERROR(__xludf.DUMMYFUNCTION("""COMPUTED_VALUE"""),"アフターピル")</f>
        <v>アフターピル</v>
      </c>
      <c r="D1065" s="31" t="str">
        <f>IFERROR(__xludf.DUMMYFUNCTION("""COMPUTED_VALUE"""),"エラワン,Josei,アフターピル,17000円,120時間")</f>
        <v>エラワン,Josei,アフターピル,17000円,120時間</v>
      </c>
      <c r="E1065" s="31"/>
    </row>
    <row r="1066">
      <c r="A1066" s="31" t="str">
        <f>IFERROR(__xludf.DUMMYFUNCTION("""COMPUTED_VALUE"""),"予約メニューはどれを選べばいいですか？/何のメニューで予約すればいいか分かりません/予約の取り方が分かりません/どのメニューで予約したらいいですか？/保険診療の予約は一般婦人科を選択すれば良いですか？/保険診療の予約メニュー/処方箋の再発行の予約方法を教えてください/妊婦健診の予約方法")</f>
        <v>予約メニューはどれを選べばいいですか？/何のメニューで予約すればいいか分かりません/予約の取り方が分かりません/どのメニューで予約したらいいですか？/保険診療の予約は一般婦人科を選択すれば良いですか？/保険診療の予約メニュー/処方箋の再発行の予約方法を教えてください/妊婦健診の予約方法</v>
      </c>
      <c r="B1066" s="31" t="str">
        <f>IFERROR(__xludf.DUMMYFUNCTION("""COMPUTED_VALUE"""),"ピルのご相談・処方をご希望の場合は「ピル処方」でご予約ください。それ以外のご相談（生理痛・おりもの・性感染症・ミレーナ・ブライダルチェック・コンジローマ・不正出血など）は「一般婦人科診療」でご予約いただき、WEB問診票に受診内容をご入力ください。複数のご相談がある場合も「一般婦人科診療」で1つご予約をお取りいただき、問診票の備考欄にご相談内容をご記入いただければ、1回のご予約で対応いたします。")</f>
        <v>ピルのご相談・処方をご希望の場合は「ピル処方」でご予約ください。それ以外のご相談（生理痛・おりもの・性感染症・ミレーナ・ブライダルチェック・コンジローマ・不正出血など）は「一般婦人科診療」でご予約いただき、WEB問診票に受診内容をご入力ください。複数のご相談がある場合も「一般婦人科診療」で1つご予約をお取りいただき、問診票の備考欄にご相談内容をご記入いただければ、1回のご予約で対応いたします。</v>
      </c>
      <c r="C1066" s="31" t="str">
        <f>IFERROR(__xludf.DUMMYFUNCTION("""COMPUTED_VALUE"""),"予約・受診")</f>
        <v>予約・受診</v>
      </c>
      <c r="D1066" s="31" t="str">
        <f>IFERROR(__xludf.DUMMYFUNCTION("""COMPUTED_VALUE"""),"予約メニュー,どれ,選び方,分からない,ピル処方,一般婦人科診療,問診票")</f>
        <v>予約メニュー,どれ,選び方,分からない,ピル処方,一般婦人科診療,問診票</v>
      </c>
      <c r="E1066" s="31"/>
    </row>
    <row r="1067">
      <c r="A1067" s="31" t="str">
        <f>IFERROR(__xludf.DUMMYFUNCTION("""COMPUTED_VALUE"""),"生理痛の診療時間を教えてください/生理痛で受診したい場合の診療時間は？/生理痛は何時まで診てもらえますか？")</f>
        <v>生理痛の診療時間を教えてください/生理痛で受診したい場合の診療時間は？/生理痛は何時まで診てもらえますか？</v>
      </c>
      <c r="B1067" s="31" t="str">
        <f>IFERROR(__xludf.DUMMYFUNCTION("""COMPUTED_VALUE"""),"生理痛のご相談は通常の診療時間内で対応しております。診療時間は院によって異なりますので、詳しくは各院のページをご確認ください。・横浜駅前院：https://luna-dr.com/yokohama/ ・川崎駅前院：https://luna-dr.com/kawasaki/ ・町田駅前院：https://luna-dr.com/machida/ ご予約は公式LINEから24時間承っております。LINEはこちら→https://cline-app.com/qr-codes/98ad6f149bfa20f4f2"&amp;"a9a2e91aac4187/preview")</f>
        <v>生理痛のご相談は通常の診療時間内で対応しております。診療時間は院によって異なりますので、詳しくは各院のページをご確認ください。・横浜駅前院：https://luna-dr.com/yokohama/ ・川崎駅前院：https://luna-dr.com/kawasaki/ ・町田駅前院：https://luna-dr.com/machida/ ご予約は公式LINEから24時間承っております。LINEはこちら→https://cline-app.com/qr-codes/98ad6f149bfa20f4f2a9a2e91aac4187/preview</v>
      </c>
      <c r="C1067" s="31" t="str">
        <f>IFERROR(__xludf.DUMMYFUNCTION("""COMPUTED_VALUE"""),"診療時間")</f>
        <v>診療時間</v>
      </c>
      <c r="D1067" s="31" t="str">
        <f>IFERROR(__xludf.DUMMYFUNCTION("""COMPUTED_VALUE"""),"生理痛,診療時間,受付時間")</f>
        <v>生理痛,診療時間,受付時間</v>
      </c>
      <c r="E1067" s="31"/>
    </row>
    <row r="1068">
      <c r="A1068" s="31" t="str">
        <f>IFERROR(__xludf.DUMMYFUNCTION("""COMPUTED_VALUE"""),"中絶相談の診療時間を教えてください/中絶相談で受診したい場合の診療時間は？/中絶相談は何時まで診てもらえますか？")</f>
        <v>中絶相談の診療時間を教えてください/中絶相談で受診したい場合の診療時間は？/中絶相談は何時まで診てもらえますか？</v>
      </c>
      <c r="B1068" s="31" t="str">
        <f>IFERROR(__xludf.DUMMYFUNCTION("""COMPUTED_VALUE"""),"中絶相談のご相談は通常の診療時間内で対応しております。診療時間は院によって異なりますので、詳しくは各院のページをご確認ください。・横浜駅前院：https://luna-dr.com/yokohama/ ・川崎駅前院：https://luna-dr.com/kawasaki/ ・町田駅前院：https://luna-dr.com/machida/ ご予約は公式LINEから24時間承っております。LINEはこちら→https://cline-app.com/qr-codes/98ad6f149bfa20f4f"&amp;"2a9a2e91aac4187/preview")</f>
        <v>中絶相談のご相談は通常の診療時間内で対応しております。診療時間は院によって異なりますので、詳しくは各院のページをご確認ください。・横浜駅前院：https://luna-dr.com/yokohama/ ・川崎駅前院：https://luna-dr.com/kawasaki/ ・町田駅前院：https://luna-dr.com/machida/ ご予約は公式LINEから24時間承っております。LINEはこちら→https://cline-app.com/qr-codes/98ad6f149bfa20f4f2a9a2e91aac4187/preview</v>
      </c>
      <c r="C1068" s="31" t="str">
        <f>IFERROR(__xludf.DUMMYFUNCTION("""COMPUTED_VALUE"""),"診療時間")</f>
        <v>診療時間</v>
      </c>
      <c r="D1068" s="31" t="str">
        <f>IFERROR(__xludf.DUMMYFUNCTION("""COMPUTED_VALUE"""),"中絶相談,診療時間,受付時間")</f>
        <v>中絶相談,診療時間,受付時間</v>
      </c>
      <c r="E1068" s="31"/>
    </row>
    <row r="1069">
      <c r="A1069" s="31" t="str">
        <f>IFERROR(__xludf.DUMMYFUNCTION("""COMPUTED_VALUE"""),"コンジローマとは何ですか？/尖圭コンジローマとはどんな病気ですか？")</f>
        <v>コンジローマとは何ですか？/尖圭コンジローマとはどんな病気ですか？</v>
      </c>
      <c r="B1069" s="31" t="str">
        <f>IFERROR(__xludf.DUMMYFUNCTION("""COMPUTED_VALUE"""),"尖圭コンジローマは、HPV（ヒトパピローマウイルス）の6型・11型への感染によって発症する性感染症です。性器周辺にイボ状の小さな腫瘍があらわれます。イボの形状は乳頭状・トサカ状・カリフラワー状などで、色はピンク色や茶色、白色や黒色などです。潜伏期間は数週間〜2〜3ヶ月程度ですが、半年以上経ってから症状が出る場合もあります。詳しくはこちらをご確認ください。→https://luna-dr.com/subjects/media/2794/")</f>
        <v>尖圭コンジローマは、HPV（ヒトパピローマウイルス）の6型・11型への感染によって発症する性感染症です。性器周辺にイボ状の小さな腫瘍があらわれます。イボの形状は乳頭状・トサカ状・カリフラワー状などで、色はピンク色や茶色、白色や黒色などです。潜伏期間は数週間〜2〜3ヶ月程度ですが、半年以上経ってから症状が出る場合もあります。詳しくはこちらをご確認ください。→https://luna-dr.com/subjects/media/2794/</v>
      </c>
      <c r="C1069" s="31" t="str">
        <f>IFERROR(__xludf.DUMMYFUNCTION("""COMPUTED_VALUE"""),"性感染症")</f>
        <v>性感染症</v>
      </c>
      <c r="D1069" s="31" t="str">
        <f>IFERROR(__xludf.DUMMYFUNCTION("""COMPUTED_VALUE"""),"コンジローマ,尖圭コンジローマ,HPV,イボ,性感染症,性病")</f>
        <v>コンジローマ,尖圭コンジローマ,HPV,イボ,性感染症,性病</v>
      </c>
      <c r="E1069" s="32" t="str">
        <f>IFERROR(__xludf.DUMMYFUNCTION("""COMPUTED_VALUE"""),"https://luna-dr.com/subjects/media/2794/")</f>
        <v>https://luna-dr.com/subjects/media/2794/</v>
      </c>
    </row>
    <row r="1070">
      <c r="A1070" s="31" t="str">
        <f>IFERROR(__xludf.DUMMYFUNCTION("""COMPUTED_VALUE"""),"コンジローマの治療方法を教えてください/尖圭コンジローマの治療はできますか？/コンジローマはどうやって治療しますか？")</f>
        <v>コンジローマの治療方法を教えてください/尖圭コンジローマの治療はできますか？/コンジローマはどうやって治療しますか？</v>
      </c>
      <c r="B1070" s="31" t="str">
        <f>IFERROR(__xludf.DUMMYFUNCTION("""COMPUTED_VALUE"""),"尖圭コンジローマの治療は当院で対応しております。主な治療方法は以下の3つです。【外用薬による治療】抗ウイルス作用のある塗り薬を患部に塗布します。週3回、最大16週間継続します。治療費は3割負担で約4,500円/月です。【液体窒素による治療】液体窒素を患部に押し当て、ウイルスの活性を抑えます。1〜2週おきに治療を継続します。治療費は3割負担で1回約800〜1,000円です。【手術療法】局所麻酔の上、電気メスでイボを切除します。1度の治療で全てのイボを取り除くことができます。治療費は3割負担で約9,000〜1"&amp;"5,000円です。症状に応じて医師が最適な治療法を判断いたします。詳しくはこちらをご確認ください。→https://luna-dr.com/subjects/media/2794/")</f>
        <v>尖圭コンジローマの治療は当院で対応しております。主な治療方法は以下の3つです。【外用薬による治療】抗ウイルス作用のある塗り薬を患部に塗布します。週3回、最大16週間継続します。治療費は3割負担で約4,500円/月です。【液体窒素による治療】液体窒素を患部に押し当て、ウイルスの活性を抑えます。1〜2週おきに治療を継続します。治療費は3割負担で1回約800〜1,000円です。【手術療法】局所麻酔の上、電気メスでイボを切除します。1度の治療で全てのイボを取り除くことができます。治療費は3割負担で約9,000〜15,000円です。症状に応じて医師が最適な治療法を判断いたします。詳しくはこちらをご確認ください。→https://luna-dr.com/subjects/media/2794/</v>
      </c>
      <c r="C1070" s="31" t="str">
        <f>IFERROR(__xludf.DUMMYFUNCTION("""COMPUTED_VALUE"""),"性感染症")</f>
        <v>性感染症</v>
      </c>
      <c r="D1070" s="31" t="str">
        <f>IFERROR(__xludf.DUMMYFUNCTION("""COMPUTED_VALUE"""),"コンジローマ,尖圭コンジローマ,治療,外用薬,液体窒素,手術,電気メス,治療費")</f>
        <v>コンジローマ,尖圭コンジローマ,治療,外用薬,液体窒素,手術,電気メス,治療費</v>
      </c>
      <c r="E1070" s="32" t="str">
        <f>IFERROR(__xludf.DUMMYFUNCTION("""COMPUTED_VALUE"""),"https://luna-dr.com/subjects/media/2794/")</f>
        <v>https://luna-dr.com/subjects/media/2794/</v>
      </c>
    </row>
    <row r="1071">
      <c r="A1071" s="31" t="str">
        <f>IFERROR(__xludf.DUMMYFUNCTION("""COMPUTED_VALUE"""),"コンジローマは自然に治りますか？/コンジローマは放置しても大丈夫ですか？")</f>
        <v>コンジローマは自然に治りますか？/コンジローマは放置しても大丈夫ですか？</v>
      </c>
      <c r="B1071" s="31" t="str">
        <f>IFERROR(__xludf.DUMMYFUNCTION("""COMPUTED_VALUE"""),"尖圭コンジローマが自然治癒することは稀です。放置するとイボが増殖・大きくなる可能性があり、悪性化する恐れもあります。また、パートナーに感染させてしまう場合もあります。症状の悪化防止と感染拡大予防のため、早めの受診をおすすめいたします。ご予約は公式LINEから24時間承っております。LINEはこちら→https://cline-app.com/qr-codes/98ad6f149bfa20f4f2a9a2e91aac4187/preview")</f>
        <v>尖圭コンジローマが自然治癒することは稀です。放置するとイボが増殖・大きくなる可能性があり、悪性化する恐れもあります。また、パートナーに感染させてしまう場合もあります。症状の悪化防止と感染拡大予防のため、早めの受診をおすすめいたします。ご予約は公式LINEから24時間承っております。LINEはこちら→https://cline-app.com/qr-codes/98ad6f149bfa20f4f2a9a2e91aac4187/preview</v>
      </c>
      <c r="C1071" s="31" t="str">
        <f>IFERROR(__xludf.DUMMYFUNCTION("""COMPUTED_VALUE"""),"性感染症")</f>
        <v>性感染症</v>
      </c>
      <c r="D1071" s="31" t="str">
        <f>IFERROR(__xludf.DUMMYFUNCTION("""COMPUTED_VALUE"""),"コンジローマ,自然治癒,放置,悪性化,再発")</f>
        <v>コンジローマ,自然治癒,放置,悪性化,再発</v>
      </c>
      <c r="E1071" s="32" t="str">
        <f>IFERROR(__xludf.DUMMYFUNCTION("""COMPUTED_VALUE"""),"https://luna-dr.com/subjects/media/2794/")</f>
        <v>https://luna-dr.com/subjects/media/2794/</v>
      </c>
    </row>
    <row r="1072">
      <c r="A1072" s="31" t="str">
        <f>IFERROR(__xludf.DUMMYFUNCTION("""COMPUTED_VALUE"""),"コンジローマは再発しますか？/コンジローマの再発率はどのくらいですか？")</f>
        <v>コンジローマは再発しますか？/コンジローマの再発率はどのくらいですか？</v>
      </c>
      <c r="B1072" s="31" t="str">
        <f>IFERROR(__xludf.DUMMYFUNCTION("""COMPUTED_VALUE"""),"尖圭コンジローマの再発リスクは、治療後3ヵ月以内で約25％といわれています。表面上のイボを取り除いた場合でもウイルスが潜在し再発する恐れがあるため、イボ消失後も最低3ヵ月は再発していないかどうかの確認が必要です。詳しくはこちらをご確認ください。→https://luna-dr.com/subjects/media/2794/")</f>
        <v>尖圭コンジローマの再発リスクは、治療後3ヵ月以内で約25％といわれています。表面上のイボを取り除いた場合でもウイルスが潜在し再発する恐れがあるため、イボ消失後も最低3ヵ月は再発していないかどうかの確認が必要です。詳しくはこちらをご確認ください。→https://luna-dr.com/subjects/media/2794/</v>
      </c>
      <c r="C1072" s="31" t="str">
        <f>IFERROR(__xludf.DUMMYFUNCTION("""COMPUTED_VALUE"""),"性感染症")</f>
        <v>性感染症</v>
      </c>
      <c r="D1072" s="31" t="str">
        <f>IFERROR(__xludf.DUMMYFUNCTION("""COMPUTED_VALUE"""),"コンジローマ,再発,再発率,25%,経過観察")</f>
        <v>コンジローマ,再発,再発率,25%,経過観察</v>
      </c>
      <c r="E1072" s="32" t="str">
        <f>IFERROR(__xludf.DUMMYFUNCTION("""COMPUTED_VALUE"""),"https://luna-dr.com/subjects/media/2794/")</f>
        <v>https://luna-dr.com/subjects/media/2794/</v>
      </c>
    </row>
    <row r="1073">
      <c r="A1073" s="31" t="str">
        <f>IFERROR(__xludf.DUMMYFUNCTION("""COMPUTED_VALUE"""),"コンジローマの検査方法を教えてください/コンジローマはどうやって検査しますか？")</f>
        <v>コンジローマの検査方法を教えてください/コンジローマはどうやって検査しますか？</v>
      </c>
      <c r="B1073" s="31" t="str">
        <f>IFERROR(__xludf.DUMMYFUNCTION("""COMPUTED_VALUE"""),"尖圭コンジローマの検査は、医師による目視での「視診」で行います。特別な検査は基本的に必要ありません。気になる症状がございましたら、ご受診いただき医師にご相談ください。ご予約は公式LINEから24時間承っております。LINEはこちら→https://cline-app.com/qr-codes/98ad6f149bfa20f4f2a9a2e91aac4187/preview")</f>
        <v>尖圭コンジローマの検査は、医師による目視での「視診」で行います。特別な検査は基本的に必要ありません。気になる症状がございましたら、ご受診いただき医師にご相談ください。ご予約は公式LINEから24時間承っております。LINEはこちら→https://cline-app.com/qr-codes/98ad6f149bfa20f4f2a9a2e91aac4187/preview</v>
      </c>
      <c r="C1073" s="31" t="str">
        <f>IFERROR(__xludf.DUMMYFUNCTION("""COMPUTED_VALUE"""),"性感染症")</f>
        <v>性感染症</v>
      </c>
      <c r="D1073" s="31" t="str">
        <f>IFERROR(__xludf.DUMMYFUNCTION("""COMPUTED_VALUE"""),"コンジローマ,検査,視診,診察")</f>
        <v>コンジローマ,検査,視診,診察</v>
      </c>
      <c r="E1073" s="32" t="str">
        <f>IFERROR(__xludf.DUMMYFUNCTION("""COMPUTED_VALUE"""),"https://luna-dr.com/subjects/media/2794/")</f>
        <v>https://luna-dr.com/subjects/media/2794/</v>
      </c>
    </row>
    <row r="1074">
      <c r="A1074" s="31" t="str">
        <f>IFERROR(__xludf.DUMMYFUNCTION("""COMPUTED_VALUE"""),"コンジローマの予防方法はありますか？/コンジローマを予防するにはどうすればいいですか？")</f>
        <v>コンジローマの予防方法はありますか？/コンジローマを予防するにはどうすればいいですか？</v>
      </c>
      <c r="B1074" s="31" t="str">
        <f>IFERROR(__xludf.DUMMYFUNCTION("""COMPUTED_VALUE"""),"尖圭コンジローマの予防には、コンドームの使用に加え、HPVワクチンの接種が効果的です。当院で取り扱っている9価ワクチン（シルガード9）はHPV6型・11型にも対応しており、尖圭コンジローマの予防効果があります。HPVワクチンのご予約はお電話（050-1730-2768）にて承っております。")</f>
        <v>尖圭コンジローマの予防には、コンドームの使用に加え、HPVワクチンの接種が効果的です。当院で取り扱っている9価ワクチン（シルガード9）はHPV6型・11型にも対応しており、尖圭コンジローマの予防効果があります。HPVワクチンのご予約はお電話（050-1730-2768）にて承っております。</v>
      </c>
      <c r="C1074" s="31" t="str">
        <f>IFERROR(__xludf.DUMMYFUNCTION("""COMPUTED_VALUE"""),"性感染症")</f>
        <v>性感染症</v>
      </c>
      <c r="D1074" s="31" t="str">
        <f>IFERROR(__xludf.DUMMYFUNCTION("""COMPUTED_VALUE"""),"コンジローマ,予防,HPVワクチン,シルガード9,コンドーム")</f>
        <v>コンジローマ,予防,HPVワクチン,シルガード9,コンドーム</v>
      </c>
      <c r="E1074" s="32" t="str">
        <f>IFERROR(__xludf.DUMMYFUNCTION("""COMPUTED_VALUE"""),"https://luna-dr.com/subjects/media/2794/")</f>
        <v>https://luna-dr.com/subjects/media/2794/</v>
      </c>
    </row>
    <row r="1075">
      <c r="A1075" s="31" t="str">
        <f>IFERROR(__xludf.DUMMYFUNCTION("""COMPUTED_VALUE"""),"月経移動ピルの処方にはどのくらい時間がかかりますか？/月経移動の診察の所要時間は？")</f>
        <v>月経移動ピルの処方にはどのくらい時間がかかりますか？/月経移動の診察の所要時間は？</v>
      </c>
      <c r="B1075" s="31" t="str">
        <f>IFERROR(__xludf.DUMMYFUNCTION("""COMPUTED_VALUE"""),"外来の状況によって変動いたしますが、ご予約をお取りいただいた場合、トータル1時間前後を目安としていただければと思います。")</f>
        <v>外来の状況によって変動いたしますが、ご予約をお取りいただいた場合、トータル1時間前後を目安としていただければと思います。</v>
      </c>
      <c r="C1075" s="31" t="str">
        <f>IFERROR(__xludf.DUMMYFUNCTION("""COMPUTED_VALUE"""),"月経移動")</f>
        <v>月経移動</v>
      </c>
      <c r="D1075" s="31" t="str">
        <f>IFERROR(__xludf.DUMMYFUNCTION("""COMPUTED_VALUE"""),"月経移動,所要時間,時間,どのくらい")</f>
        <v>月経移動,所要時間,時間,どのくらい</v>
      </c>
      <c r="E1075" s="31"/>
    </row>
    <row r="1076">
      <c r="A1076" s="31" t="str">
        <f>IFERROR(__xludf.DUMMYFUNCTION("""COMPUTED_VALUE"""),"ピル処方の診察にはどのくらい時間がかかりますか？/ピルの処方の所要時間は？")</f>
        <v>ピル処方の診察にはどのくらい時間がかかりますか？/ピルの処方の所要時間は？</v>
      </c>
      <c r="B1076" s="31" t="str">
        <f>IFERROR(__xludf.DUMMYFUNCTION("""COMPUTED_VALUE"""),"外来の状況によって変動いたしますが、ご予約をお取りいただいた場合、トータル1時間前後を目安としていただければと思います。")</f>
        <v>外来の状況によって変動いたしますが、ご予約をお取りいただいた場合、トータル1時間前後を目安としていただければと思います。</v>
      </c>
      <c r="C1076" s="31" t="str">
        <f>IFERROR(__xludf.DUMMYFUNCTION("""COMPUTED_VALUE"""),"ピル処方")</f>
        <v>ピル処方</v>
      </c>
      <c r="D1076" s="31" t="str">
        <f>IFERROR(__xludf.DUMMYFUNCTION("""COMPUTED_VALUE"""),"ピル処方,所要時間,時間,どのくらい")</f>
        <v>ピル処方,所要時間,時間,どのくらい</v>
      </c>
      <c r="E1076" s="31"/>
    </row>
    <row r="1077">
      <c r="A1077" s="31" t="str">
        <f>IFERROR(__xludf.DUMMYFUNCTION("""COMPUTED_VALUE"""),"性病検査にはどのくらい時間がかかりますか？/性感染症検査の所要時間は？")</f>
        <v>性病検査にはどのくらい時間がかかりますか？/性感染症検査の所要時間は？</v>
      </c>
      <c r="B1077" s="31" t="str">
        <f>IFERROR(__xludf.DUMMYFUNCTION("""COMPUTED_VALUE"""),"外来の状況によって変動いたしますが、ご予約をお取りいただいた場合、トータル1時間前後を目安としていただければと思います。")</f>
        <v>外来の状況によって変動いたしますが、ご予約をお取りいただいた場合、トータル1時間前後を目安としていただければと思います。</v>
      </c>
      <c r="C1077" s="31" t="str">
        <f>IFERROR(__xludf.DUMMYFUNCTION("""COMPUTED_VALUE"""),"性感染症検査")</f>
        <v>性感染症検査</v>
      </c>
      <c r="D1077" s="31" t="str">
        <f>IFERROR(__xludf.DUMMYFUNCTION("""COMPUTED_VALUE"""),"性病検査,性感染症検査,所要時間,時間,どのくらい")</f>
        <v>性病検査,性感染症検査,所要時間,時間,どのくらい</v>
      </c>
      <c r="E1077" s="31"/>
    </row>
    <row r="1078">
      <c r="A1078" s="31" t="str">
        <f>IFERROR(__xludf.DUMMYFUNCTION("""COMPUTED_VALUE"""),"子宮頸がん検診にはどのくらい時間がかかりますか？/子宮頸がん検査の所要時間は？")</f>
        <v>子宮頸がん検診にはどのくらい時間がかかりますか？/子宮頸がん検査の所要時間は？</v>
      </c>
      <c r="B1078" s="31" t="str">
        <f>IFERROR(__xludf.DUMMYFUNCTION("""COMPUTED_VALUE"""),"外来の状況によって変動いたしますが、ご予約をお取りいただいた場合、トータル1時間前後を目安としていただければと思います。")</f>
        <v>外来の状況によって変動いたしますが、ご予約をお取りいただいた場合、トータル1時間前後を目安としていただければと思います。</v>
      </c>
      <c r="C1078" s="31" t="str">
        <f>IFERROR(__xludf.DUMMYFUNCTION("""COMPUTED_VALUE"""),"婦人科健診")</f>
        <v>婦人科健診</v>
      </c>
      <c r="D1078" s="31" t="str">
        <f>IFERROR(__xludf.DUMMYFUNCTION("""COMPUTED_VALUE"""),"子宮頸がん検診,子宮頸がん検査,所要時間,時間,どのくらい")</f>
        <v>子宮頸がん検診,子宮頸がん検査,所要時間,時間,どのくらい</v>
      </c>
      <c r="E1078" s="31"/>
    </row>
    <row r="1079">
      <c r="A1079" s="31" t="str">
        <f>IFERROR(__xludf.DUMMYFUNCTION("""COMPUTED_VALUE"""),"おりもの検査にはどのくらい時間がかかりますか？/おりもの検査の所要時間は？")</f>
        <v>おりもの検査にはどのくらい時間がかかりますか？/おりもの検査の所要時間は？</v>
      </c>
      <c r="B1079" s="31" t="str">
        <f>IFERROR(__xludf.DUMMYFUNCTION("""COMPUTED_VALUE"""),"外来の状況によって変動いたしますが、ご予約をお取りいただいた場合、トータル1時間前後を目安としていただければと思います。")</f>
        <v>外来の状況によって変動いたしますが、ご予約をお取りいただいた場合、トータル1時間前後を目安としていただければと思います。</v>
      </c>
      <c r="C1079" s="31" t="str">
        <f>IFERROR(__xludf.DUMMYFUNCTION("""COMPUTED_VALUE"""),"おりもの検査")</f>
        <v>おりもの検査</v>
      </c>
      <c r="D1079" s="31" t="str">
        <f>IFERROR(__xludf.DUMMYFUNCTION("""COMPUTED_VALUE"""),"おりもの検査,所要時間,時間,どのくらい")</f>
        <v>おりもの検査,所要時間,時間,どのくらい</v>
      </c>
      <c r="E1079" s="31"/>
    </row>
    <row r="1080">
      <c r="A1080" s="31" t="str">
        <f>IFERROR(__xludf.DUMMYFUNCTION("""COMPUTED_VALUE"""),"中絶手術の診察にはどのくらい時間がかかりますか？/中絶の初回診療の所要時間は？")</f>
        <v>中絶手術の診察にはどのくらい時間がかかりますか？/中絶の初回診療の所要時間は？</v>
      </c>
      <c r="B1080" s="31" t="str">
        <f>IFERROR(__xludf.DUMMYFUNCTION("""COMPUTED_VALUE"""),"外来の状況によって変動いたしますが、ご予約をお取りいただいた場合、トータル1時間前後を目安としていただければと思います。")</f>
        <v>外来の状況によって変動いたしますが、ご予約をお取りいただいた場合、トータル1時間前後を目安としていただければと思います。</v>
      </c>
      <c r="C1080" s="31" t="str">
        <f>IFERROR(__xludf.DUMMYFUNCTION("""COMPUTED_VALUE"""),"中絶手術")</f>
        <v>中絶手術</v>
      </c>
      <c r="D1080" s="31" t="str">
        <f>IFERROR(__xludf.DUMMYFUNCTION("""COMPUTED_VALUE"""),"中絶手術,初回診療,所要時間,時間,どのくらい")</f>
        <v>中絶手術,初回診療,所要時間,時間,どのくらい</v>
      </c>
      <c r="E1080" s="31"/>
    </row>
    <row r="1081">
      <c r="A1081" s="31" t="str">
        <f>IFERROR(__xludf.DUMMYFUNCTION("""COMPUTED_VALUE"""),"予約枠が空いていないのですが/予約が取れません/予約が埋まっています/空いている日はありますか？/予約の空きがありません")</f>
        <v>予約枠が空いていないのですが/予約が取れません/予約が埋まっています/空いている日はありますか？/予約の空きがありません</v>
      </c>
      <c r="B1081" s="31" t="str">
        <f>IFERROR(__xludf.DUMMYFUNCTION("""COMPUTED_VALUE"""),"ご予約の空き状況につきましては、お電話（050-1730-2768）にてお問い合わせください。電話受付時間は、平日9:45〜13:40・15:15〜19:40、土日祝9:45〜13:40・15:15〜18:40です。")</f>
        <v>ご予約の空き状況につきましては、お電話（050-1730-2768）にてお問い合わせください。電話受付時間は、平日9:45〜13:40・15:15〜19:40、土日祝9:45〜13:40・15:15〜18:40です。</v>
      </c>
      <c r="C1081" s="31" t="str">
        <f>IFERROR(__xludf.DUMMYFUNCTION("""COMPUTED_VALUE"""),"予約・受診")</f>
        <v>予約・受診</v>
      </c>
      <c r="D1081" s="31" t="str">
        <f>IFERROR(__xludf.DUMMYFUNCTION("""COMPUTED_VALUE"""),"予約枠,空いていない,空き,取れない,埋まっている,満席")</f>
        <v>予約枠,空いていない,空き,取れない,埋まっている,満席</v>
      </c>
      <c r="E1081" s="31"/>
    </row>
    <row r="1082">
      <c r="A1082" s="31" t="str">
        <f>IFERROR(__xludf.DUMMYFUNCTION("""COMPUTED_VALUE"""),"ミレーナは予約メニューで何を選べばいいですか？/ミレーナの予約はどのメニューですか？")</f>
        <v>ミレーナは予約メニューで何を選べばいいですか？/ミレーナの予約はどのメニューですか？</v>
      </c>
      <c r="B1082" s="31" t="str">
        <f>IFERROR(__xludf.DUMMYFUNCTION("""COMPUTED_VALUE"""),"ミレーナのご相談は「一般婦人科診療」のメニューでご予約ください。ご予約は公式LINEから24時間承っております。LINEはこちら→https://cline-app.com/qr-codes/98ad6f149bfa20f4f2a9a2e91aac4187/preview")</f>
        <v>ミレーナのご相談は「一般婦人科診療」のメニューでご予約ください。ご予約は公式LINEから24時間承っております。LINEはこちら→https://cline-app.com/qr-codes/98ad6f149bfa20f4f2a9a2e91aac4187/preview</v>
      </c>
      <c r="C1082" s="31" t="str">
        <f>IFERROR(__xludf.DUMMYFUNCTION("""COMPUTED_VALUE"""),"ミレーナ")</f>
        <v>ミレーナ</v>
      </c>
      <c r="D1082" s="31" t="str">
        <f>IFERROR(__xludf.DUMMYFUNCTION("""COMPUTED_VALUE"""),"ミレーナ,予約メニュー,一般婦人科診療")</f>
        <v>ミレーナ,予約メニュー,一般婦人科診療</v>
      </c>
      <c r="E1082" s="31"/>
    </row>
    <row r="1083">
      <c r="A1083" s="31" t="str">
        <f>IFERROR(__xludf.DUMMYFUNCTION("""COMPUTED_VALUE"""),"性病検査は予約メニューで何を選べばいいですか？/性感染症検査の予約はどのメニューですか？")</f>
        <v>性病検査は予約メニューで何を選べばいいですか？/性感染症検査の予約はどのメニューですか？</v>
      </c>
      <c r="B1083" s="31" t="str">
        <f>IFERROR(__xludf.DUMMYFUNCTION("""COMPUTED_VALUE"""),"性感染症（性病）検査のご予約は「一般婦人科診療」のメニューからお取りください。WEB問診票に検査希望の内容をご入力ください。ご予約は公式LINEから24時間承っております。LINEはこちら→https://cline-app.com/qr-codes/98ad6f149bfa20f4f2a9a2e91aac4187/preview")</f>
        <v>性感染症（性病）検査のご予約は「一般婦人科診療」のメニューからお取りください。WEB問診票に検査希望の内容をご入力ください。ご予約は公式LINEから24時間承っております。LINEはこちら→https://cline-app.com/qr-codes/98ad6f149bfa20f4f2a9a2e91aac4187/preview</v>
      </c>
      <c r="C1083" s="31" t="str">
        <f>IFERROR(__xludf.DUMMYFUNCTION("""COMPUTED_VALUE"""),"性感染症検査")</f>
        <v>性感染症検査</v>
      </c>
      <c r="D1083" s="31" t="str">
        <f>IFERROR(__xludf.DUMMYFUNCTION("""COMPUTED_VALUE"""),"性病検査,性感染症検査,予約メニュー,一般婦人科診療")</f>
        <v>性病検査,性感染症検査,予約メニュー,一般婦人科診療</v>
      </c>
      <c r="E1083" s="31"/>
    </row>
    <row r="1084">
      <c r="A1084" s="31" t="str">
        <f>IFERROR(__xludf.DUMMYFUNCTION("""COMPUTED_VALUE"""),"おりもの検査は予約メニューで何を選べばいいですか？/おりもの検査の予約はどのメニューですか？")</f>
        <v>おりもの検査は予約メニューで何を選べばいいですか？/おりもの検査の予約はどのメニューですか？</v>
      </c>
      <c r="B1084" s="31" t="str">
        <f>IFERROR(__xludf.DUMMYFUNCTION("""COMPUTED_VALUE"""),"おりもの検査のご予約は「一般婦人科診療」のメニューからお取りください。WEB問診票に検査希望の内容をご入力ください。ご予約は公式LINEから24時間承っております。LINEはこちら→https://cline-app.com/qr-codes/98ad6f149bfa20f4f2a9a2e91aac4187/preview")</f>
        <v>おりもの検査のご予約は「一般婦人科診療」のメニューからお取りください。WEB問診票に検査希望の内容をご入力ください。ご予約は公式LINEから24時間承っております。LINEはこちら→https://cline-app.com/qr-codes/98ad6f149bfa20f4f2a9a2e91aac4187/preview</v>
      </c>
      <c r="C1084" s="31" t="str">
        <f>IFERROR(__xludf.DUMMYFUNCTION("""COMPUTED_VALUE"""),"おりもの検査")</f>
        <v>おりもの検査</v>
      </c>
      <c r="D1084" s="31" t="str">
        <f>IFERROR(__xludf.DUMMYFUNCTION("""COMPUTED_VALUE"""),"おりもの検査,予約メニュー,一般婦人科診療")</f>
        <v>おりもの検査,予約メニュー,一般婦人科診療</v>
      </c>
      <c r="E1084" s="31"/>
    </row>
    <row r="1085">
      <c r="A1085" s="31" t="str">
        <f>IFERROR(__xludf.DUMMYFUNCTION("""COMPUTED_VALUE"""),"不正出血の相談は予約メニューで何を選べばいいですか？/不正出血の予約はどのメニューですか？")</f>
        <v>不正出血の相談は予約メニューで何を選べばいいですか？/不正出血の予約はどのメニューですか？</v>
      </c>
      <c r="B1085" s="31" t="str">
        <f>IFERROR(__xludf.DUMMYFUNCTION("""COMPUTED_VALUE"""),"不正出血のご相談は「一般婦人科診療」のメニューでご予約ください。WEB問診票に症状をご入力ください。ご予約は公式LINEから24時間承っております。LINEはこちら→https://cline-app.com/qr-codes/98ad6f149bfa20f4f2a9a2e91aac4187/preview")</f>
        <v>不正出血のご相談は「一般婦人科診療」のメニューでご予約ください。WEB問診票に症状をご入力ください。ご予約は公式LINEから24時間承っております。LINEはこちら→https://cline-app.com/qr-codes/98ad6f149bfa20f4f2a9a2e91aac4187/preview</v>
      </c>
      <c r="C1085" s="31" t="str">
        <f>IFERROR(__xludf.DUMMYFUNCTION("""COMPUTED_VALUE"""),"不正出血")</f>
        <v>不正出血</v>
      </c>
      <c r="D1085" s="31" t="str">
        <f>IFERROR(__xludf.DUMMYFUNCTION("""COMPUTED_VALUE"""),"不正出血,予約メニュー,一般婦人科診療")</f>
        <v>不正出血,予約メニュー,一般婦人科診療</v>
      </c>
      <c r="E1085" s="31"/>
    </row>
    <row r="1086">
      <c r="A1086" s="31" t="str">
        <f>IFERROR(__xludf.DUMMYFUNCTION("""COMPUTED_VALUE"""),"生理痛の相談は予約メニューで何を選べばいいですか？/生理痛の予約はどのメニューですか？")</f>
        <v>生理痛の相談は予約メニューで何を選べばいいですか？/生理痛の予約はどのメニューですか？</v>
      </c>
      <c r="B1086" s="31" t="str">
        <f>IFERROR(__xludf.DUMMYFUNCTION("""COMPUTED_VALUE"""),"生理痛のご相談は「一般婦人科診療」のメニューでご予約ください。WEB問診票に症状をご入力ください。ご予約は公式LINEから24時間承っております。LINEはこちら→https://cline-app.com/qr-codes/98ad6f149bfa20f4f2a9a2e91aac4187/preview")</f>
        <v>生理痛のご相談は「一般婦人科診療」のメニューでご予約ください。WEB問診票に症状をご入力ください。ご予約は公式LINEから24時間承っております。LINEはこちら→https://cline-app.com/qr-codes/98ad6f149bfa20f4f2a9a2e91aac4187/preview</v>
      </c>
      <c r="C1086" s="31" t="str">
        <f>IFERROR(__xludf.DUMMYFUNCTION("""COMPUTED_VALUE"""),"生理痛")</f>
        <v>生理痛</v>
      </c>
      <c r="D1086" s="31" t="str">
        <f>IFERROR(__xludf.DUMMYFUNCTION("""COMPUTED_VALUE"""),"生理痛,予約メニュー,一般婦人科診療")</f>
        <v>生理痛,予約メニュー,一般婦人科診療</v>
      </c>
      <c r="E1086" s="31"/>
    </row>
    <row r="1087">
      <c r="A1087" s="31" t="str">
        <f>IFERROR(__xludf.DUMMYFUNCTION("""COMPUTED_VALUE"""),"コンジローマの予約は何のメニューですか？/コンジローマは予約メニューで何を選べばいいですか？")</f>
        <v>コンジローマの予約は何のメニューですか？/コンジローマは予約メニューで何を選べばいいですか？</v>
      </c>
      <c r="B1087" s="31" t="str">
        <f>IFERROR(__xludf.DUMMYFUNCTION("""COMPUTED_VALUE"""),"コンジローマのご相談・治療は「一般婦人科診療」のメニューでご予約ください。WEB問診票に症状をご入力ください。ご予約は公式LINEから24時間承っております。LINEはこちら→https://cline-app.com/qr-codes/98ad6f149bfa20f4f2a9a2e91aac4187/preview")</f>
        <v>コンジローマのご相談・治療は「一般婦人科診療」のメニューでご予約ください。WEB問診票に症状をご入力ください。ご予約は公式LINEから24時間承っております。LINEはこちら→https://cline-app.com/qr-codes/98ad6f149bfa20f4f2a9a2e91aac4187/preview</v>
      </c>
      <c r="C1087" s="31" t="str">
        <f>IFERROR(__xludf.DUMMYFUNCTION("""COMPUTED_VALUE"""),"性感染症")</f>
        <v>性感染症</v>
      </c>
      <c r="D1087" s="31" t="str">
        <f>IFERROR(__xludf.DUMMYFUNCTION("""COMPUTED_VALUE"""),"コンジローマ,予約メニュー,一般婦人科診療")</f>
        <v>コンジローマ,予約メニュー,一般婦人科診療</v>
      </c>
      <c r="E1087" s="31"/>
    </row>
    <row r="1088">
      <c r="A1088" s="31" t="str">
        <f>IFERROR(__xludf.DUMMYFUNCTION("""COMPUTED_VALUE"""),"保険ピルの再診は予約メニューで何を選べばいいですか？/保険ピルの継続処方の予約メニューは？")</f>
        <v>保険ピルの再診は予約メニューで何を選べばいいですか？/保険ピルの継続処方の予約メニューは？</v>
      </c>
      <c r="B1088" s="31" t="str">
        <f>IFERROR(__xludf.DUMMYFUNCTION("""COMPUTED_VALUE"""),"保険ピルの継続処方で当院に処方歴がある方は「保険ピル（診察あり）」のメニューでご予約ください。当院での処方が初めての方は「ピル処方」でご予約ください。ご予約は公式LINEから24時間承っております。LINEはこちら→https://cline-app.com/qr-codes/98ad6f149bfa20f4f2a9a2e91aac4187/preview")</f>
        <v>保険ピルの継続処方で当院に処方歴がある方は「保険ピル（診察あり）」のメニューでご予約ください。当院での処方が初めての方は「ピル処方」でご予約ください。ご予約は公式LINEから24時間承っております。LINEはこちら→https://cline-app.com/qr-codes/98ad6f149bfa20f4f2a9a2e91aac4187/preview</v>
      </c>
      <c r="C1088" s="31" t="str">
        <f>IFERROR(__xludf.DUMMYFUNCTION("""COMPUTED_VALUE"""),"低用量ピル（保険）")</f>
        <v>低用量ピル（保険）</v>
      </c>
      <c r="D1088" s="31" t="str">
        <f>IFERROR(__xludf.DUMMYFUNCTION("""COMPUTED_VALUE"""),"保険ピル,再診,継続処方,予約メニュー")</f>
        <v>保険ピル,再診,継続処方,予約メニュー</v>
      </c>
      <c r="E1088" s="31"/>
    </row>
    <row r="1089">
      <c r="A1089" s="31" t="str">
        <f>IFERROR(__xludf.DUMMYFUNCTION("""COMPUTED_VALUE"""),"自費ピルの薬だけ欲しいのですが/診察なしで薬だけもらえますか？/以前もらった薬を追加でもらえますか？/診察はしないで薬だけもらいたい/診察なしで薬だけ欲しい/薬だけもらいたい/薬を貰いに行く為の予約項目/他の病院で処方された薬を出してほしい/他院で処方されたデュファストンを継続したい/他院の薬を追加で出してほしい/処方箋のみ/処方箋だけ欲しい/処方箋が欲しい/再来は薬のみの処方は可能ですか？")</f>
        <v>自費ピルの薬だけ欲しいのですが/診察なしで薬だけもらえますか？/以前もらった薬を追加でもらえますか？/診察はしないで薬だけもらいたい/診察なしで薬だけ欲しい/薬だけもらいたい/薬を貰いに行く為の予約項目/他の病院で処方された薬を出してほしい/他院で処方されたデュファストンを継続したい/他院の薬を追加で出してほしい/処方箋のみ/処方箋だけ欲しい/処方箋が欲しい/再来は薬のみの処方は可能ですか？</v>
      </c>
      <c r="B1089" s="31" t="str">
        <f>IFERROR(__xludf.DUMMYFUNCTION("""COMPUTED_VALUE"""),"【自費ピルの場合】当院で自費ピルの処方歴がある方は「自費ピル処方（薬のみで診察希望なし）」のメニューでご予約ください。当院での処方が初めての方は「ピル処方」でご予約ください。【ピル以外のお薬の場合】ピル以外のお薬は診察なしでの処方はできかねます。「一般婦人科診療（前回の続き）」のメニューでご予約ください。ご予約は公式LINEから24時間承っております。LINEはこちら→https://cline-app.com/qr-codes/98ad6f149bfa20f4f2a9a2e91aac4187/previ"&amp;"ew")</f>
        <v>【自費ピルの場合】当院で自費ピルの処方歴がある方は「自費ピル処方（薬のみで診察希望なし）」のメニューでご予約ください。当院での処方が初めての方は「ピル処方」でご予約ください。【ピル以外のお薬の場合】ピル以外のお薬は診察なしでの処方はできかねます。「一般婦人科診療（前回の続き）」のメニューでご予約ください。ご予約は公式LINEから24時間承っております。LINEはこちら→https://cline-app.com/qr-codes/98ad6f149bfa20f4f2a9a2e91aac4187/preview</v>
      </c>
      <c r="C1089" s="31" t="str">
        <f>IFERROR(__xludf.DUMMYFUNCTION("""COMPUTED_VALUE"""),"低用量ピル（自費）")</f>
        <v>低用量ピル（自費）</v>
      </c>
      <c r="D1089" s="31" t="str">
        <f>IFERROR(__xludf.DUMMYFUNCTION("""COMPUTED_VALUE"""),"自費ピル,薬のみ,処方のみ,予約メニュー,薬だけ,診察なし")</f>
        <v>自費ピル,薬のみ,処方のみ,予約メニュー,薬だけ,診察なし</v>
      </c>
      <c r="E1089" s="31"/>
    </row>
    <row r="1090">
      <c r="A1090" s="31" t="str">
        <f>IFERROR(__xludf.DUMMYFUNCTION("""COMPUTED_VALUE"""),"検査結果を聞きたいのですが予約メニューは何を選べばいいですか？/検査結果の説明を受けたい")</f>
        <v>検査結果を聞きたいのですが予約メニューは何を選べばいいですか？/検査結果の説明を受けたい</v>
      </c>
      <c r="B1090" s="31" t="str">
        <f>IFERROR(__xludf.DUMMYFUNCTION("""COMPUTED_VALUE"""),"検査結果の説明をご希望の方は「検査結果説明」のメニューでご予約ください。治療も含めてのご案内が可能です。ご予約は公式LINEから24時間承っております。LINEはこちら→https://cline-app.com/qr-codes/98ad6f149bfa20f4f2a9a2e91aac4187/preview")</f>
        <v>検査結果の説明をご希望の方は「検査結果説明」のメニューでご予約ください。治療も含めてのご案内が可能です。ご予約は公式LINEから24時間承っております。LINEはこちら→https://cline-app.com/qr-codes/98ad6f149bfa20f4f2a9a2e91aac4187/preview</v>
      </c>
      <c r="C1090" s="31" t="str">
        <f>IFERROR(__xludf.DUMMYFUNCTION("""COMPUTED_VALUE"""),"検査結果・確認方法")</f>
        <v>検査結果・確認方法</v>
      </c>
      <c r="D1090" s="31" t="str">
        <f>IFERROR(__xludf.DUMMYFUNCTION("""COMPUTED_VALUE"""),"検査結果,結果説明,予約メニュー")</f>
        <v>検査結果,結果説明,予約メニュー</v>
      </c>
      <c r="E1090" s="31"/>
    </row>
    <row r="1091">
      <c r="A1091" s="31" t="str">
        <f>IFERROR(__xludf.DUMMYFUNCTION("""COMPUTED_VALUE"""),"予約は何日前から可能ですか？/いつから予約できますか？/当日予約はできますか？/予約はいつから取れますか？")</f>
        <v>予約は何日前から可能ですか？/いつから予約できますか？/当日予約はできますか？/予約はいつから取れますか？</v>
      </c>
      <c r="B1091" s="31" t="str">
        <f>IFERROR(__xludf.DUMMYFUNCTION("""COMPUTED_VALUE"""),"ご予約はいつでも可能です。当日でも枠が空いていればご予約いただけます。ご予約は公式LINEから24時間承っております。LINEはこちら→https://cline-app.com/qr-codes/98ad6f149bfa20f4f2a9a2e91aac4187/preview")</f>
        <v>ご予約はいつでも可能です。当日でも枠が空いていればご予約いただけます。ご予約は公式LINEから24時間承っております。LINEはこちら→https://cline-app.com/qr-codes/98ad6f149bfa20f4f2a9a2e91aac4187/preview</v>
      </c>
      <c r="C1091" s="31" t="str">
        <f>IFERROR(__xludf.DUMMYFUNCTION("""COMPUTED_VALUE"""),"予約・受診")</f>
        <v>予約・受診</v>
      </c>
      <c r="D1091" s="31" t="str">
        <f>IFERROR(__xludf.DUMMYFUNCTION("""COMPUTED_VALUE"""),"予約,何日前,いつから,当日予約,当日枠")</f>
        <v>予約,何日前,いつから,当日予約,当日枠</v>
      </c>
      <c r="E1091" s="31"/>
    </row>
    <row r="1092">
      <c r="A1092" s="31" t="str">
        <f>IFERROR(__xludf.DUMMYFUNCTION("""COMPUTED_VALUE"""),"生理中に性病検査はできますか？/生理中におりもの検査はできますか？/生理中でも性感染症検査は受けられますか？/生理中に子宮頸がん検診はできますか？/生理中にHPV検査はできますか？/生理中に子宮頸がん検査はできますか？/生理中でもクラミジア検査は受けられますか？/カンジダの症状があるが、生理中でも受診できるか")</f>
        <v>生理中に性病検査はできますか？/生理中におりもの検査はできますか？/生理中でも性感染症検査は受けられますか？/生理中に子宮頸がん検診はできますか？/生理中にHPV検査はできますか？/生理中に子宮頸がん検査はできますか？/生理中でもクラミジア検査は受けられますか？/カンジダの症状があるが、生理中でも受診できるか</v>
      </c>
      <c r="B1092" s="31" t="str">
        <f>IFERROR(__xludf.DUMMYFUNCTION("""COMPUTED_VALUE"""),"HPV検査・子宮頸がん・性病検査は生理の日にちを避けた方が良いですが、不正出血などで悩まれている場合は生理中の受診も可能でございます。生理中でも内診台に乗っていただく場合がございますので、気になるようでしたら生理後にご受診ください。また、生理中でも検査は可能ですが、経血量が多い時期は検査精度に影響する可能性があるため、可能な限り避けていただくことを当院ではおすすめしています。")</f>
        <v>HPV検査・子宮頸がん・性病検査は生理の日にちを避けた方が良いですが、不正出血などで悩まれている場合は生理中の受診も可能でございます。生理中でも内診台に乗っていただく場合がございますので、気になるようでしたら生理後にご受診ください。また、生理中でも検査は可能ですが、経血量が多い時期は検査精度に影響する可能性があるため、可能な限り避けていただくことを当院ではおすすめしています。</v>
      </c>
      <c r="C1092" s="31" t="str">
        <f>IFERROR(__xludf.DUMMYFUNCTION("""COMPUTED_VALUE"""),"性感染症検査")</f>
        <v>性感染症検査</v>
      </c>
      <c r="D1092" s="31" t="str">
        <f>IFERROR(__xludf.DUMMYFUNCTION("""COMPUTED_VALUE"""),"生理中,性病検査,性感染症検査,おりもの検査,できる")</f>
        <v>生理中,性病検査,性感染症検査,おりもの検査,できる</v>
      </c>
      <c r="E1092" s="31"/>
    </row>
    <row r="1093">
      <c r="A1093" s="31" t="str">
        <f>IFERROR(__xludf.DUMMYFUNCTION("""COMPUTED_VALUE"""),"陰部のかゆみがあるのですが診てもらえますか？/外陰の腫れを診察できますか？/膣のただれを検査できますか？/カンジダでも診てもらえますか？/カンジタの診断はできますか？/痒みがあるのですが受診できますか？")</f>
        <v>陰部のかゆみがあるのですが診てもらえますか？/外陰の腫れを診察できますか？/膣のただれを検査できますか？/カンジダでも診てもらえますか？/カンジタの診断はできますか？/痒みがあるのですが受診できますか？</v>
      </c>
      <c r="B1093" s="31" t="str">
        <f>IFERROR(__xludf.DUMMYFUNCTION("""COMPUTED_VALUE"""),"かゆみ・腫れ・ただれなどの婦人科症状は当院で対応可能です。「一般婦人科診療」のメニューでご予約いただき、WEB問診票に症状をご入力ください。ご予約は公式LINEから24時間承っております。LINEはこちら→https://cline-app.com/qr-codes/98ad6f149bfa20f4f2a9a2e91aac4187/preview")</f>
        <v>かゆみ・腫れ・ただれなどの婦人科症状は当院で対応可能です。「一般婦人科診療」のメニューでご予約いただき、WEB問診票に症状をご入力ください。ご予約は公式LINEから24時間承っております。LINEはこちら→https://cline-app.com/qr-codes/98ad6f149bfa20f4f2a9a2e91aac4187/preview</v>
      </c>
      <c r="C1093" s="31" t="str">
        <f>IFERROR(__xludf.DUMMYFUNCTION("""COMPUTED_VALUE"""),"受診案内")</f>
        <v>受診案内</v>
      </c>
      <c r="D1093" s="31" t="str">
        <f>IFERROR(__xludf.DUMMYFUNCTION("""COMPUTED_VALUE"""),"かゆみ,痒み,腫れ,ただれ,カンジダ,カンジタ,外陰,陰部,対応可能,診察")</f>
        <v>かゆみ,痒み,腫れ,ただれ,カンジダ,カンジタ,外陰,陰部,対応可能,診察</v>
      </c>
      <c r="E1093" s="31"/>
    </row>
    <row r="1094">
      <c r="A1094" s="31" t="str">
        <f>IFERROR(__xludf.DUMMYFUNCTION("""COMPUTED_VALUE"""),"子宮内膜症を調べてほしいのですが/子宮が痛いので受診したい/PMSがひどくなった/生理痛がひどい/生理が止まらない/一ヶ月生理が続いている/子宮内膜症の検査はできますか？/子宮内膜症の予約方法を教えてください/PMSの症状での予約方法")</f>
        <v>子宮内膜症を調べてほしいのですが/子宮が痛いので受診したい/PMSがひどくなった/生理痛がひどい/生理が止まらない/一ヶ月生理が続いている/子宮内膜症の検査はできますか？/子宮内膜症の予約方法を教えてください/PMSの症状での予約方法</v>
      </c>
      <c r="B1094" s="31" t="str">
        <f>IFERROR(__xludf.DUMMYFUNCTION("""COMPUTED_VALUE"""),"生理トラブルや婦人科症状のご相談は当院で対応可能です。「一般婦人科診療」のメニューでご予約いただき、WEB問診票に症状をご入力ください。ご予約は公式LINEから24時間承っております。LINEはこちら→https://cline-app.com/qr-codes/98ad6f149bfa20f4f2a9a2e91aac4187/preview")</f>
        <v>生理トラブルや婦人科症状のご相談は当院で対応可能です。「一般婦人科診療」のメニューでご予約いただき、WEB問診票に症状をご入力ください。ご予約は公式LINEから24時間承っております。LINEはこちら→https://cline-app.com/qr-codes/98ad6f149bfa20f4f2a9a2e91aac4187/preview</v>
      </c>
      <c r="C1094" s="31" t="str">
        <f>IFERROR(__xludf.DUMMYFUNCTION("""COMPUTED_VALUE"""),"受診案内")</f>
        <v>受診案内</v>
      </c>
      <c r="D1094" s="31" t="str">
        <f>IFERROR(__xludf.DUMMYFUNCTION("""COMPUTED_VALUE"""),"子宮内膜症,PMS,生理痛,生理が止まらない,生理トラブル,対応可能,診察")</f>
        <v>子宮内膜症,PMS,生理痛,生理が止まらない,生理トラブル,対応可能,診察</v>
      </c>
      <c r="E1094" s="31"/>
    </row>
    <row r="1095">
      <c r="A1095" s="31" t="str">
        <f>IFERROR(__xludf.DUMMYFUNCTION("""COMPUTED_VALUE"""),"性病かもしれないのですが検査できますか？/性感染症が心配です/クラミジア陽性で治療したい/性病検査で陽性だったので薬がほしい")</f>
        <v>性病かもしれないのですが検査できますか？/性感染症が心配です/クラミジア陽性で治療したい/性病検査で陽性だったので薬がほしい</v>
      </c>
      <c r="B1095" s="31" t="str">
        <f>IFERROR(__xludf.DUMMYFUNCTION("""COMPUTED_VALUE"""),"性感染症の検査・治療は当院で対応可能です。「一般婦人科診療」のメニューでご予約いただき、WEB問診票に検査希望の内容をご入力ください。治療費は保険適用の場合と自費の場合がございます。料金の詳細は各院の料金ページをご確認ください。ご予約は公式LINEから24時間承っております。LINEはこちら→https://cline-app.com/qr-codes/98ad6f149bfa20f4f2a9a2e91aac4187/preview")</f>
        <v>性感染症の検査・治療は当院で対応可能です。「一般婦人科診療」のメニューでご予約いただき、WEB問診票に検査希望の内容をご入力ください。治療費は保険適用の場合と自費の場合がございます。料金の詳細は各院の料金ページをご確認ください。ご予約は公式LINEから24時間承っております。LINEはこちら→https://cline-app.com/qr-codes/98ad6f149bfa20f4f2a9a2e91aac4187/preview</v>
      </c>
      <c r="C1095" s="31" t="str">
        <f>IFERROR(__xludf.DUMMYFUNCTION("""COMPUTED_VALUE"""),"性感染症検査")</f>
        <v>性感染症検査</v>
      </c>
      <c r="D1095" s="31" t="str">
        <f>IFERROR(__xludf.DUMMYFUNCTION("""COMPUTED_VALUE"""),"性病,性感染症,クラミジア,陽性,治療,薬,心配,検査")</f>
        <v>性病,性感染症,クラミジア,陽性,治療,薬,心配,検査</v>
      </c>
      <c r="E1095" s="31"/>
    </row>
    <row r="1096">
      <c r="A1096" s="31" t="str">
        <f>IFERROR(__xludf.DUMMYFUNCTION("""COMPUTED_VALUE"""),"かかりつけ医が開いていない土日に診てもらえますか？/土日祝は診療していますか？/休日でも受診できますか？")</f>
        <v>かかりつけ医が開いていない土日に診てもらえますか？/土日祝は診療していますか？/休日でも受診できますか？</v>
      </c>
      <c r="B1096" s="31" t="str">
        <f>IFERROR(__xludf.DUMMYFUNCTION("""COMPUTED_VALUE"""),"当院は土日祝も診療しております。診療時間は院によって異なりますので、詳しくは各院のページをご確認ください。・横浜駅前院：https://luna-dr.com/yokohama/ ・川崎駅前院：https://luna-dr.com/kawasaki/ ・町田駅前院：https://luna-dr.com/machida/ ご予約は公式LINEから24時間承っております。LINEはこちら→https://cline-app.com/qr-codes/98ad6f149bfa20f4f2a9a2e91aac"&amp;"4187/preview")</f>
        <v>当院は土日祝も診療しております。診療時間は院によって異なりますので、詳しくは各院のページをご確認ください。・横浜駅前院：https://luna-dr.com/yokohama/ ・川崎駅前院：https://luna-dr.com/kawasaki/ ・町田駅前院：https://luna-dr.com/machida/ ご予約は公式LINEから24時間承っております。LINEはこちら→https://cline-app.com/qr-codes/98ad6f149bfa20f4f2a9a2e91aac4187/preview</v>
      </c>
      <c r="C1096" s="31" t="str">
        <f>IFERROR(__xludf.DUMMYFUNCTION("""COMPUTED_VALUE"""),"診療時間")</f>
        <v>診療時間</v>
      </c>
      <c r="D1096" s="31" t="str">
        <f>IFERROR(__xludf.DUMMYFUNCTION("""COMPUTED_VALUE"""),"土日,祝日,休日,土日祝,かかりつけ,開いていない")</f>
        <v>土日,祝日,休日,土日祝,かかりつけ,開いていない</v>
      </c>
      <c r="E1096" s="31"/>
    </row>
    <row r="1097">
      <c r="A1097" s="31" t="str">
        <f>IFERROR(__xludf.DUMMYFUNCTION("""COMPUTED_VALUE"""),"駐輪場はありますか？/駐車場はありますか？/車で行けますか？/自転車で行けますか？")</f>
        <v>駐輪場はありますか？/駐車場はありますか？/車で行けますか？/自転車で行けますか？</v>
      </c>
      <c r="B1097" s="31" t="str">
        <f>IFERROR(__xludf.DUMMYFUNCTION("""COMPUTED_VALUE"""),"当院（全院）では提携している駐車場・駐輪場はございません。お近くのパーキングをご利用ください。なお、駐車場・駐輪場の利用料は患者さまのご負担となりますので、予めご了承いただけますと幸いです。")</f>
        <v>当院（全院）では提携している駐車場・駐輪場はございません。お近くのパーキングをご利用ください。なお、駐車場・駐輪場の利用料は患者さまのご負担となりますので、予めご了承いただけますと幸いです。</v>
      </c>
      <c r="C1097" s="31" t="str">
        <f>IFERROR(__xludf.DUMMYFUNCTION("""COMPUTED_VALUE"""),"アクセス")</f>
        <v>アクセス</v>
      </c>
      <c r="D1097" s="31" t="str">
        <f>IFERROR(__xludf.DUMMYFUNCTION("""COMPUTED_VALUE"""),"駐輪場,駐車場,自転車,車,パーキング,利用料")</f>
        <v>駐輪場,駐車場,自転車,車,パーキング,利用料</v>
      </c>
      <c r="E1097" s="31"/>
    </row>
    <row r="1098">
      <c r="A1098" s="31" t="str">
        <f>IFERROR(__xludf.DUMMYFUNCTION("""COMPUTED_VALUE"""),"排卵しているか診てもらえますか？/排卵検査はできますか？/排卵日を調べてほしい/排卵チェックはできますか？")</f>
        <v>排卵しているか診てもらえますか？/排卵検査はできますか？/排卵日を調べてほしい/排卵チェックはできますか？</v>
      </c>
      <c r="B1098" s="31" t="str">
        <f>IFERROR(__xludf.DUMMYFUNCTION("""COMPUTED_VALUE"""),"恐れ入りますが、当院では妊娠・妊活・不妊に関する診療を行っておりませんので、排卵に関する検査は行っておりません。")</f>
        <v>恐れ入りますが、当院では妊娠・妊活・不妊に関する診療を行っておりませんので、排卵に関する検査は行っておりません。</v>
      </c>
      <c r="C1098" s="31" t="str">
        <f>IFERROR(__xludf.DUMMYFUNCTION("""COMPUTED_VALUE"""),"受診可否・対応不可")</f>
        <v>受診可否・対応不可</v>
      </c>
      <c r="D1098" s="31" t="str">
        <f>IFERROR(__xludf.DUMMYFUNCTION("""COMPUTED_VALUE"""),"排卵,排卵検査,排卵日,排卵チェック,妊活,不妊")</f>
        <v>排卵,排卵検査,排卵日,排卵チェック,妊活,不妊</v>
      </c>
      <c r="E1098" s="31"/>
    </row>
    <row r="1099">
      <c r="A1099" s="31" t="str">
        <f>IFERROR(__xludf.DUMMYFUNCTION("""COMPUTED_VALUE"""),"LINEを変えた時はどうすればいいですか？/LINEアカウントを変更した場合/LINE引き継ぎできなかった/LINEの機種変更")</f>
        <v>LINEを変えた時はどうすればいいですか？/LINEアカウントを変更した場合/LINE引き継ぎできなかった/LINEの機種変更</v>
      </c>
      <c r="B1099" s="31" t="str">
        <f>IFERROR(__xludf.DUMMYFUNCTION("""COMPUTED_VALUE"""),"LINEアカウントを変更された場合は、次回ご来院の際に受付にてご相談ください。")</f>
        <v>LINEアカウントを変更された場合は、次回ご来院の際に受付にてご相談ください。</v>
      </c>
      <c r="C1099" s="31" t="str">
        <f>IFERROR(__xludf.DUMMYFUNCTION("""COMPUTED_VALUE"""),"受診案内・手続き")</f>
        <v>受診案内・手続き</v>
      </c>
      <c r="D1099" s="31" t="str">
        <f>IFERROR(__xludf.DUMMYFUNCTION("""COMPUTED_VALUE"""),"LINE変更,アカウント変更,機種変更,引き継ぎ,LINE変えた")</f>
        <v>LINE変更,アカウント変更,機種変更,引き継ぎ,LINE変えた</v>
      </c>
      <c r="E1099" s="31"/>
    </row>
    <row r="1100">
      <c r="A1100" s="31" t="str">
        <f>IFERROR(__xludf.DUMMYFUNCTION("""COMPUTED_VALUE"""),"低用量ピルは最大何ヶ月分まで処方してもらえますか？/ピルはまとめて何シートもらえますか？/ピルの最大処方日数を教えてください")</f>
        <v>低用量ピルは最大何ヶ月分まで処方してもらえますか？/ピルはまとめて何シートもらえますか？/ピルの最大処方日数を教えてください</v>
      </c>
      <c r="B1100" s="31" t="str">
        <f>IFERROR(__xludf.DUMMYFUNCTION("""COMPUTED_VALUE"""),"低用量ピルの最大処方数は、ピルの種類によって異なります。【避妊目的のピル（OC・自費）】最大6ヶ月分まで処方可能です。【治療目的のピル（LEP・保険適用）】最大3ヶ月分まで処方可能です。※初診時はお薬がご自身に合うかを確認するため、1シートのみの処方となります。詳しくはこちらをご覧ください。→https://luna-dr.com/subjects/low-dose-contraceptive/")</f>
        <v>低用量ピルの最大処方数は、ピルの種類によって異なります。【避妊目的のピル（OC・自費）】最大6ヶ月分まで処方可能です。【治療目的のピル（LEP・保険適用）】最大3ヶ月分まで処方可能です。※初診時はお薬がご自身に合うかを確認するため、1シートのみの処方となります。詳しくはこちらをご覧ください。→https://luna-dr.com/subjects/low-dose-contraceptive/</v>
      </c>
      <c r="C1100" s="31" t="str">
        <f>IFERROR(__xludf.DUMMYFUNCTION("""COMPUTED_VALUE"""),"ピル処方")</f>
        <v>ピル処方</v>
      </c>
      <c r="D1100" s="31" t="str">
        <f>IFERROR(__xludf.DUMMYFUNCTION("""COMPUTED_VALUE"""),"最大処方,何ヶ月分,何シート,まとめて,処方日数,OC,LEP,6ヶ月,3ヶ月")</f>
        <v>最大処方,何ヶ月分,何シート,まとめて,処方日数,OC,LEP,6ヶ月,3ヶ月</v>
      </c>
      <c r="E1100" s="32" t="str">
        <f>IFERROR(__xludf.DUMMYFUNCTION("""COMPUTED_VALUE"""),"https://luna-dr.com/subjects/low-dose-contraceptive/")</f>
        <v>https://luna-dr.com/subjects/low-dose-contraceptive/</v>
      </c>
    </row>
    <row r="1101">
      <c r="A1101" s="31" t="str">
        <f>IFERROR(__xludf.DUMMYFUNCTION("""COMPUTED_VALUE"""),"未成年でもピルを処方してもらえますか？/低用量ピルを処方してもらいたいのですが未成年です/高校生でもピルはもらえますか？/親の同行は必要ですか？")</f>
        <v>未成年でもピルを処方してもらえますか？/低用量ピルを処方してもらいたいのですが未成年です/高校生でもピルはもらえますか？/親の同行は必要ですか？</v>
      </c>
      <c r="B1101" s="31" t="str">
        <f>IFERROR(__xludf.DUMMYFUNCTION("""COMPUTED_VALUE"""),"15歳以上であればピルの処方は可能です。ただし、18歳未満の患者さまは保護者の方の同伴が必須となります。ご予約は「ピル処方」のメニューからお取りください。ご予約は公式LINEから24時間承っております。LINEはこちら→https://cline-app.com/qr-codes/98ad6f149bfa20f4f2a9a2e91aac4187/preview")</f>
        <v>15歳以上であればピルの処方は可能です。ただし、18歳未満の患者さまは保護者の方の同伴が必須となります。ご予約は「ピル処方」のメニューからお取りください。ご予約は公式LINEから24時間承っております。LINEはこちら→https://cline-app.com/qr-codes/98ad6f149bfa20f4f2a9a2e91aac4187/preview</v>
      </c>
      <c r="C1101" s="31" t="str">
        <f>IFERROR(__xludf.DUMMYFUNCTION("""COMPUTED_VALUE"""),"ピル処方")</f>
        <v>ピル処方</v>
      </c>
      <c r="D1101" s="31" t="str">
        <f>IFERROR(__xludf.DUMMYFUNCTION("""COMPUTED_VALUE"""),"未成年,ピル,処方,保護者,同伴,高校生,15歳,18歳未満,親")</f>
        <v>未成年,ピル,処方,保護者,同伴,高校生,15歳,18歳未満,親</v>
      </c>
      <c r="E1101" s="31"/>
    </row>
    <row r="1102">
      <c r="A1102" s="31" t="str">
        <f>IFERROR(__xludf.DUMMYFUNCTION("""COMPUTED_VALUE"""),"陰唇縮小はできますか？/小陰唇縮小手術は対応していますか？/小陰唇についての診察は行っているか/小陰唇の相談はできますか")</f>
        <v>陰唇縮小はできますか？/小陰唇縮小手術は対応していますか？/小陰唇についての診察は行っているか/小陰唇の相談はできますか</v>
      </c>
      <c r="B1102" s="31" t="str">
        <f>IFERROR(__xludf.DUMMYFUNCTION("""COMPUTED_VALUE"""),"恐れ入りますが、陰唇縮小手術は当院では行っておりません。")</f>
        <v>恐れ入りますが、陰唇縮小手術は当院では行っておりません。</v>
      </c>
      <c r="C1102" s="31" t="str">
        <f>IFERROR(__xludf.DUMMYFUNCTION("""COMPUTED_VALUE"""),"受診可否・対応不可")</f>
        <v>受診可否・対応不可</v>
      </c>
      <c r="D1102" s="31" t="str">
        <f>IFERROR(__xludf.DUMMYFUNCTION("""COMPUTED_VALUE"""),"陰唇縮小,小陰唇,手術,美容外科")</f>
        <v>陰唇縮小,小陰唇,手術,美容外科</v>
      </c>
      <c r="E1102" s="31"/>
    </row>
    <row r="1103">
      <c r="A1103" s="31" t="str">
        <f>IFERROR(__xludf.DUMMYFUNCTION("""COMPUTED_VALUE"""),"利尿剤の処方はできますか？/利尿剤を出してもらえますか？")</f>
        <v>利尿剤の処方はできますか？/利尿剤を出してもらえますか？</v>
      </c>
      <c r="B1103" s="31" t="str">
        <f>IFERROR(__xludf.DUMMYFUNCTION("""COMPUTED_VALUE"""),"恐れ入りますが、利尿剤の処方は当院では行っておりません。")</f>
        <v>恐れ入りますが、利尿剤の処方は当院では行っておりません。</v>
      </c>
      <c r="C1103" s="31" t="str">
        <f>IFERROR(__xludf.DUMMYFUNCTION("""COMPUTED_VALUE"""),"受診可否・対応不可")</f>
        <v>受診可否・対応不可</v>
      </c>
      <c r="D1103" s="31" t="str">
        <f>IFERROR(__xludf.DUMMYFUNCTION("""COMPUTED_VALUE"""),"利尿剤,処方,対応不可")</f>
        <v>利尿剤,処方,対応不可</v>
      </c>
      <c r="E1103" s="31"/>
    </row>
    <row r="1104">
      <c r="A1104" s="31" t="str">
        <f>IFERROR(__xludf.DUMMYFUNCTION("""COMPUTED_VALUE"""),"高校生ですが予約はどうすればいいですか？/未成年の予約方法を教えてください/18歳未満の予約方法/未成年ですが予約できますか？/高校生の予約方法/10代の予約/子供の予約を取りたい/娘の予約を取りたい/高校生ひとりで受診できますか？/高校生1人で行っても大丈夫ですか？/ひとりで受診はできますか？/1人で受診できますか？/保護者なしで受診できますか？")</f>
        <v>高校生ですが予約はどうすればいいですか？/未成年の予約方法を教えてください/18歳未満の予約方法/未成年ですが予約できますか？/高校生の予約方法/10代の予約/子供の予約を取りたい/娘の予約を取りたい/高校生ひとりで受診できますか？/高校生1人で行っても大丈夫ですか？/ひとりで受診はできますか？/1人で受診できますか？/保護者なしで受診できますか？</v>
      </c>
      <c r="B1104" s="31" t="str">
        <f>IFERROR(__xludf.DUMMYFUNCTION("""COMPUTED_VALUE"""),"当院は15歳以上の方からご受診いただけます。18歳未満の患者さまはお1人でのご受診はできませんので、保護者の方の同伴が必須となります。ご予約は保護者の方とご一緒にご来院いただける日時で、ご希望の内容に応じたメニュー（一般婦人科診療・ピル処方等）からお取りください。LINEはこちら→https://cline-app.com/qr-codes/98ad6f149bfa20f4f2a9a2e91aac4187/preview")</f>
        <v>当院は15歳以上の方からご受診いただけます。18歳未満の患者さまはお1人でのご受診はできませんので、保護者の方の同伴が必須となります。ご予約は保護者の方とご一緒にご来院いただける日時で、ご希望の内容に応じたメニュー（一般婦人科診療・ピル処方等）からお取りください。LINEはこちら→https://cline-app.com/qr-codes/98ad6f149bfa20f4f2a9a2e91aac4187/preview</v>
      </c>
      <c r="C1104" s="31" t="str">
        <f>IFERROR(__xludf.DUMMYFUNCTION("""COMPUTED_VALUE"""),"受診案内")</f>
        <v>受診案内</v>
      </c>
      <c r="D1104" s="31" t="str">
        <f>IFERROR(__xludf.DUMMYFUNCTION("""COMPUTED_VALUE"""),"高校生,未成年,18歳未満,保護者,同伴,予約,母親と同伴")</f>
        <v>高校生,未成年,18歳未満,保護者,同伴,予約,母親と同伴</v>
      </c>
      <c r="E1104" s="31"/>
    </row>
    <row r="1105">
      <c r="A1105" s="31" t="str">
        <f>IFERROR(__xludf.DUMMYFUNCTION("""COMPUTED_VALUE"""),"妊娠中ですが外陰部のかゆみで受診できますか？/妊娠中の受診は可能ですか？/妊婦ですが診てもらえますか？")</f>
        <v>妊娠中ですが外陰部のかゆみで受診できますか？/妊娠中の受診は可能ですか？/妊婦ですが診てもらえますか？</v>
      </c>
      <c r="B1105" s="31" t="str">
        <f>IFERROR(__xludf.DUMMYFUNCTION("""COMPUTED_VALUE"""),"当院では妊娠12週未満の方のみご受診が可能です。かかりつけの産婦人科がある場合は、まずかかりつけ医でのご受診をお願いいたします。")</f>
        <v>当院では妊娠12週未満の方のみご受診が可能です。かかりつけの産婦人科がある場合は、まずかかりつけ医でのご受診をお願いいたします。</v>
      </c>
      <c r="C1105" s="31" t="str">
        <f>IFERROR(__xludf.DUMMYFUNCTION("""COMPUTED_VALUE"""),"受診案内")</f>
        <v>受診案内</v>
      </c>
      <c r="D1105" s="31" t="str">
        <f>IFERROR(__xludf.DUMMYFUNCTION("""COMPUTED_VALUE"""),"妊娠中,妊婦,外陰部,かゆみ,12週未満,かかりつけ")</f>
        <v>妊娠中,妊婦,外陰部,かゆみ,12週未満,かかりつけ</v>
      </c>
      <c r="E1105" s="31"/>
    </row>
    <row r="1106">
      <c r="A1106" s="31" t="str">
        <f>IFERROR(__xludf.DUMMYFUNCTION("""COMPUTED_VALUE"""),"中絶手術のキャンセルをしたいのですが/中絶手術の予約を変更したい/中絶オペの日程を変更したい/中絶手術の予約をキャンセルしたい")</f>
        <v>中絶手術のキャンセルをしたいのですが/中絶手術の予約を変更したい/中絶オペの日程を変更したい/中絶手術の予約をキャンセルしたい</v>
      </c>
      <c r="B1106" s="31" t="str">
        <f>IFERROR(__xludf.DUMMYFUNCTION("""COMPUTED_VALUE"""),"当院で中絶手術のご予約をお取りされている方は、キャンセル期限がございますので、お電話にてご連絡をお願いいたします。お電話：050-1730-2768（受付時間：平日9:45〜13:40・15:15〜19:40、土日祝9:45〜13:40・15:15〜18:40）※中絶相談のご予約（まだオペ予約を取っていない方）のキャンセルは、期限なくいつでも可能です。")</f>
        <v>当院で中絶手術のご予約をお取りされている方は、キャンセル期限がございますので、お電話にてご連絡をお願いいたします。お電話：050-1730-2768（受付時間：平日9:45〜13:40・15:15〜19:40、土日祝9:45〜13:40・15:15〜18:40）※中絶相談のご予約（まだオペ予約を取っていない方）のキャンセルは、期限なくいつでも可能です。</v>
      </c>
      <c r="C1106" s="31" t="str">
        <f>IFERROR(__xludf.DUMMYFUNCTION("""COMPUTED_VALUE"""),"中絶手術")</f>
        <v>中絶手術</v>
      </c>
      <c r="D1106" s="31" t="str">
        <f>IFERROR(__xludf.DUMMYFUNCTION("""COMPUTED_VALUE"""),"中絶手術,オペ,キャンセル,変更,日程変更,予約変更,キャンセル期限")</f>
        <v>中絶手術,オペ,キャンセル,変更,日程変更,予約変更,キャンセル期限</v>
      </c>
      <c r="E1106" s="31" t="str">
        <f>IFERROR(__xludf.DUMMYFUNCTION("""COMPUTED_VALUE"""),"nan")</f>
        <v>nan</v>
      </c>
    </row>
    <row r="1107">
      <c r="A1107" s="31" t="str">
        <f>IFERROR(__xludf.DUMMYFUNCTION("""COMPUTED_VALUE"""),"プラセンタ注射はできますか？/プラセンタ注射は対応していますか？")</f>
        <v>プラセンタ注射はできますか？/プラセンタ注射は対応していますか？</v>
      </c>
      <c r="B1107" s="31" t="str">
        <f>IFERROR(__xludf.DUMMYFUNCTION("""COMPUTED_VALUE"""),"恐れ入りますが、プラセンタ注射は当院では行っておりません。")</f>
        <v>恐れ入りますが、プラセンタ注射は当院では行っておりません。</v>
      </c>
      <c r="C1107" s="31" t="str">
        <f>IFERROR(__xludf.DUMMYFUNCTION("""COMPUTED_VALUE"""),"受診可否・対応不可")</f>
        <v>受診可否・対応不可</v>
      </c>
      <c r="D1107" s="31" t="str">
        <f>IFERROR(__xludf.DUMMYFUNCTION("""COMPUTED_VALUE"""),"プラセンタ,注射,対応不可")</f>
        <v>プラセンタ,注射,対応不可</v>
      </c>
      <c r="E1107" s="31"/>
    </row>
    <row r="1108">
      <c r="A1108" s="31" t="str">
        <f>IFERROR(__xludf.DUMMYFUNCTION("""COMPUTED_VALUE"""),"検査結果を聞きに行く場合、予約は必要ですか？/結果通知は予約なしで行けますか？/子宮頸がん検診の結果予約/検査結果の予約/結果を聞くための予約")</f>
        <v>検査結果を聞きに行く場合、予約は必要ですか？/結果通知は予約なしで行けますか？/子宮頸がん検診の結果予約/検査結果の予約/結果を聞くための予約</v>
      </c>
      <c r="B1108" s="31" t="str">
        <f>IFERROR(__xludf.DUMMYFUNCTION("""COMPUTED_VALUE"""),"検査結果の説明をご希望の場合は「検査結果説明」のメニューでご予約ください。→https://cline-app.com/qr-codes/98ad6f149bfa20f4f2a9a2e91aac4187/preview")</f>
        <v>検査結果の説明をご希望の場合は「検査結果説明」のメニューでご予約ください。→https://cline-app.com/qr-codes/98ad6f149bfa20f4f2a9a2e91aac4187/preview</v>
      </c>
      <c r="C1108" s="31" t="str">
        <f>IFERROR(__xludf.DUMMYFUNCTION("""COMPUTED_VALUE"""),"予約・受診")</f>
        <v>予約・受診</v>
      </c>
      <c r="D1108" s="31" t="str">
        <f>IFERROR(__xludf.DUMMYFUNCTION("""COMPUTED_VALUE"""),"検査結果,結果通知,予約,検査結果説明")</f>
        <v>検査結果,結果通知,予約,検査結果説明</v>
      </c>
      <c r="E1108" s="31"/>
    </row>
    <row r="1109">
      <c r="A1109" s="31" t="str">
        <f>IFERROR(__xludf.DUMMYFUNCTION("""COMPUTED_VALUE"""),"相模原市民ですが受診可能ですか？/他の市区町村からでも受診できますか？/他の市区町村の保険証でも受診できますか？")</f>
        <v>相模原市民ですが受診可能ですか？/他の市区町村からでも受診できますか？/他の市区町村の保険証でも受診できますか？</v>
      </c>
      <c r="B1109" s="31" t="str">
        <f>IFERROR(__xludf.DUMMYFUNCTION("""COMPUTED_VALUE"""),"お住まいの市区町村に関係なくご受診いただけます。健康保険証（またはマイナ保険証）をお持ちであれば、どの自治体の方でも保険診療が可能です。ただし、自治体のがん検診（公費）につきましては、横浜市・川崎市・町田市が対象となります。")</f>
        <v>お住まいの市区町村に関係なくご受診いただけます。健康保険証（またはマイナ保険証）をお持ちであれば、どの自治体の方でも保険診療が可能です。ただし、自治体のがん検診（公費）につきましては、横浜市・川崎市・町田市が対象となります。</v>
      </c>
      <c r="C1109" s="31" t="str">
        <f>IFERROR(__xludf.DUMMYFUNCTION("""COMPUTED_VALUE"""),"受診案内")</f>
        <v>受診案内</v>
      </c>
      <c r="D1109" s="31" t="str">
        <f>IFERROR(__xludf.DUMMYFUNCTION("""COMPUTED_VALUE"""),"相模原市,他の市区町村,保険証,受診可能,自治体")</f>
        <v>相模原市,他の市区町村,保険証,受診可能,自治体</v>
      </c>
      <c r="E1109" s="31"/>
    </row>
    <row r="1110">
      <c r="A1110" s="31" t="str">
        <f>IFERROR(__xludf.DUMMYFUNCTION("""COMPUTED_VALUE"""),"低用量ピルの治療目的の場合の検査って何ですか？/LEPの初回検査は何をしますか？")</f>
        <v>低用量ピルの治療目的の場合の検査って何ですか？/LEPの初回検査は何をしますか？</v>
      </c>
      <c r="B1110" s="31" t="str">
        <f>IFERROR(__xludf.DUMMYFUNCTION("""COMPUTED_VALUE"""),"治療目的（LEPピル）の場合、生理痛などの原因を詳しく調べるため、超音波（エコー）検査を行います。その上で、生理の回数を減らして負担を軽減する「ヤーズフレックス」など、症状に合ったお薬をご提案します。")</f>
        <v>治療目的（LEPピル）の場合、生理痛などの原因を詳しく調べるため、超音波（エコー）検査を行います。その上で、生理の回数を減らして負担を軽減する「ヤーズフレックス」など、症状に合ったお薬をご提案します。</v>
      </c>
      <c r="C1110" s="31" t="str">
        <f>IFERROR(__xludf.DUMMYFUNCTION("""COMPUTED_VALUE"""),"ピル処方")</f>
        <v>ピル処方</v>
      </c>
      <c r="D1110" s="31" t="str">
        <f>IFERROR(__xludf.DUMMYFUNCTION("""COMPUTED_VALUE"""),"LEP,治療目的,検査,エコー,超音波,初回")</f>
        <v>LEP,治療目的,検査,エコー,超音波,初回</v>
      </c>
      <c r="E1110" s="32" t="str">
        <f>IFERROR(__xludf.DUMMYFUNCTION("""COMPUTED_VALUE"""),"https://luna-dr.com/subjects/low-dose-contraceptive/")</f>
        <v>https://luna-dr.com/subjects/low-dose-contraceptive/</v>
      </c>
    </row>
    <row r="1111">
      <c r="A1111" s="31" t="str">
        <f>IFERROR(__xludf.DUMMYFUNCTION("""COMPUTED_VALUE"""),"AMH検査はどの予約メニューで取ればいいですか？/AMH検査の予約方法")</f>
        <v>AMH検査はどの予約メニューで取ればいいですか？/AMH検査の予約方法</v>
      </c>
      <c r="B1111" s="31" t="str">
        <f>IFERROR(__xludf.DUMMYFUNCTION("""COMPUTED_VALUE"""),"AMH検査のご予約は「一般婦人科診療」のメニューからお取りください。→https://cline-app.com/qr-codes/98ad6f149bfa20f4f2a9a2e91aac4187/preview")</f>
        <v>AMH検査のご予約は「一般婦人科診療」のメニューからお取りください。→https://cline-app.com/qr-codes/98ad6f149bfa20f4f2a9a2e91aac4187/preview</v>
      </c>
      <c r="C1111" s="31" t="str">
        <f>IFERROR(__xludf.DUMMYFUNCTION("""COMPUTED_VALUE"""),"ブライダルチェック")</f>
        <v>ブライダルチェック</v>
      </c>
      <c r="D1111" s="31" t="str">
        <f>IFERROR(__xludf.DUMMYFUNCTION("""COMPUTED_VALUE"""),"AMH,予約メニュー,一般婦人科診療,ブライダルチェック")</f>
        <v>AMH,予約メニュー,一般婦人科診療,ブライダルチェック</v>
      </c>
      <c r="E1111" s="31"/>
    </row>
    <row r="1112">
      <c r="A1112" s="31" t="str">
        <f>IFERROR(__xludf.DUMMYFUNCTION("""COMPUTED_VALUE"""),"出産費用はいくらですか？/出産はできますか？分娩は行っていますか？/出産できますか？/お産はできますか？/子供は産めますか？/産科受診/分娩は対応していますか？/無痛分娩はできますか")</f>
        <v>出産費用はいくらですか？/出産はできますか？分娩は行っていますか？/出産できますか？/お産はできますか？/子供は産めますか？/産科受診/分娩は対応していますか？/無痛分娩はできますか</v>
      </c>
      <c r="B1112" s="31" t="str">
        <f>IFERROR(__xludf.DUMMYFUNCTION("""COMPUTED_VALUE"""),"恐れ入りますが、当院は婦人科クリニックのため、分娩（出産）には対応しておりません。")</f>
        <v>恐れ入りますが、当院は婦人科クリニックのため、分娩（出産）には対応しておりません。</v>
      </c>
      <c r="C1112" s="31" t="str">
        <f>IFERROR(__xludf.DUMMYFUNCTION("""COMPUTED_VALUE"""),"受診可否・対応不可")</f>
        <v>受診可否・対応不可</v>
      </c>
      <c r="D1112" s="31" t="str">
        <f>IFERROR(__xludf.DUMMYFUNCTION("""COMPUTED_VALUE"""),"出産,分娩,対応不可,無痛分娩")</f>
        <v>出産,分娩,対応不可,無痛分娩</v>
      </c>
      <c r="E1112" s="31"/>
    </row>
    <row r="1113">
      <c r="A1113" s="31" t="str">
        <f>IFERROR(__xludf.DUMMYFUNCTION("""COMPUTED_VALUE"""),"資格確認書とは何ですか？/資格確認書について教えてください")</f>
        <v>資格確認書とは何ですか？/資格確認書について教えてください</v>
      </c>
      <c r="B1113" s="31" t="str">
        <f>IFERROR(__xludf.DUMMYFUNCTION("""COMPUTED_VALUE"""),"資格確認書は、健康保険の加入状況を証明する書類です。マイナ保険証をお持ちでない方は、お手元の資格確認書を保険証の代わりとしてご持参ください。")</f>
        <v>資格確認書は、健康保険の加入状況を証明する書類です。マイナ保険証をお持ちでない方は、お手元の資格確認書を保険証の代わりとしてご持参ください。</v>
      </c>
      <c r="C1113" s="31" t="str">
        <f>IFERROR(__xludf.DUMMYFUNCTION("""COMPUTED_VALUE"""),"受診案内")</f>
        <v>受診案内</v>
      </c>
      <c r="D1113" s="31" t="str">
        <f>IFERROR(__xludf.DUMMYFUNCTION("""COMPUTED_VALUE"""),"資格確認書,保険証,マイナ保険証")</f>
        <v>資格確認書,保険証,マイナ保険証</v>
      </c>
      <c r="E1113" s="31"/>
    </row>
    <row r="1114">
      <c r="A1114" s="31" t="str">
        <f>IFERROR(__xludf.DUMMYFUNCTION("""COMPUTED_VALUE"""),"予約の日時を変更したいのですが/予約日を変更できますか？/予約変更の方法を教えてください")</f>
        <v>予約の日時を変更したいのですが/予約日を変更できますか？/予約変更の方法を教えてください</v>
      </c>
      <c r="B1114" s="31" t="str">
        <f>IFERROR(__xludf.DUMMYFUNCTION("""COMPUTED_VALUE"""),"ご予約の日時変更は、LINEの予約画面から変更が可能です。一度ご予約をキャンセルいただき、ご希望の日時で再度ご予約をお取りください。→https://cline-app.com/qr-codes/98ad6f149bfa20f4f2a9a2e91aac4187/preview")</f>
        <v>ご予約の日時変更は、LINEの予約画面から変更が可能です。一度ご予約をキャンセルいただき、ご希望の日時で再度ご予約をお取りください。→https://cline-app.com/qr-codes/98ad6f149bfa20f4f2a9a2e91aac4187/preview</v>
      </c>
      <c r="C1114" s="31" t="str">
        <f>IFERROR(__xludf.DUMMYFUNCTION("""COMPUTED_VALUE"""),"予約・受診")</f>
        <v>予約・受診</v>
      </c>
      <c r="D1114" s="31" t="str">
        <f>IFERROR(__xludf.DUMMYFUNCTION("""COMPUTED_VALUE"""),"予約変更,日時変更,変更方法")</f>
        <v>予約変更,日時変更,変更方法</v>
      </c>
      <c r="E1114" s="31"/>
    </row>
    <row r="1115">
      <c r="A1115" s="31" t="str">
        <f>IFERROR(__xludf.DUMMYFUNCTION("""COMPUTED_VALUE"""),"ベトナム語の通訳はいますか？/通訳はいますか？")</f>
        <v>ベトナム語の通訳はいますか？/通訳はいますか？</v>
      </c>
      <c r="B1115" s="31" t="str">
        <f>IFERROR(__xludf.DUMMYFUNCTION("""COMPUTED_VALUE"""),"恐れ入りますが、当院では通訳のご用意はございません。患者さまご本人が日本語で直接コミュニケーションが取れることが必要となります。")</f>
        <v>恐れ入りますが、当院では通訳のご用意はございません。患者さまご本人が日本語で直接コミュニケーションが取れることが必要となります。</v>
      </c>
      <c r="C1115" s="31" t="str">
        <f>IFERROR(__xludf.DUMMYFUNCTION("""COMPUTED_VALUE"""),"受診案内")</f>
        <v>受診案内</v>
      </c>
      <c r="D1115" s="31" t="str">
        <f>IFERROR(__xludf.DUMMYFUNCTION("""COMPUTED_VALUE"""),"通訳,ベトナム語,外国語,対応")</f>
        <v>通訳,ベトナム語,外国語,対応</v>
      </c>
      <c r="E1115" s="31"/>
    </row>
    <row r="1116">
      <c r="A1116" s="31" t="str">
        <f>IFERROR(__xludf.DUMMYFUNCTION("""COMPUTED_VALUE"""),"HPVワクチンは何回打つ必要がありますか？/子宮頸がんワクチンは全部で何回接種しますか？/HPVワクチンの接種回数を教えてください/HPVワクチンは何回打ちますか？")</f>
        <v>HPVワクチンは何回打つ必要がありますか？/子宮頸がんワクチンは全部で何回接種しますか？/HPVワクチンの接種回数を教えてください/HPVワクチンは何回打ちますか？</v>
      </c>
      <c r="B1116" s="31" t="str">
        <f>IFERROR(__xludf.DUMMYFUNCTION("""COMPUTED_VALUE"""),"HPVワクチン（子宮頸がんワクチン）は、接種開始時の年齢によって合計2回または3回接種します。当院で取り扱っている9価ワクチン（シルガード9）の場合、15歳未満で初回接種をすれば2回、15歳以上で開始した場合は3回接種となります。【15歳未満で初回接種の場合（2回）】1回目から6か月〜12か月間隔を空けて2回目を接種。※1回目と2回目は5か月以上空ける必要があります。【15歳以上で初回接種の場合（3回）】1回目から2か月後に2回目、1回目から6か月後に3回目を接種。※標準的なスケジュールが難しい場合、2回"&amp;"目は1か月以上、3回目は2回目から3か月以上空けます。HPVワクチンのご予約はお電話（050-1730-2768）にて承っております。")</f>
        <v>HPVワクチン（子宮頸がんワクチン）は、接種開始時の年齢によって合計2回または3回接種します。当院で取り扱っている9価ワクチン（シルガード9）の場合、15歳未満で初回接種をすれば2回、15歳以上で開始した場合は3回接種となります。【15歳未満で初回接種の場合（2回）】1回目から6か月〜12か月間隔を空けて2回目を接種。※1回目と2回目は5か月以上空ける必要があります。【15歳以上で初回接種の場合（3回）】1回目から2か月後に2回目、1回目から6か月後に3回目を接種。※標準的なスケジュールが難しい場合、2回目は1か月以上、3回目は2回目から3か月以上空けます。HPVワクチンのご予約はお電話（050-1730-2768）にて承っております。</v>
      </c>
      <c r="C1116" s="31" t="str">
        <f>IFERROR(__xludf.DUMMYFUNCTION("""COMPUTED_VALUE"""),"HPVワクチン")</f>
        <v>HPVワクチン</v>
      </c>
      <c r="D1116" s="31" t="str">
        <f>IFERROR(__xludf.DUMMYFUNCTION("""COMPUTED_VALUE"""),"HPVワクチン,子宮頸がんワクチン,接種回数,シルガード9,9価,2回,3回,15歳未満,スケジュール")</f>
        <v>HPVワクチン,子宮頸がんワクチン,接種回数,シルガード9,9価,2回,3回,15歳未満,スケジュール</v>
      </c>
      <c r="E1116" s="31"/>
    </row>
    <row r="1117">
      <c r="A1117" s="31" t="str">
        <f>IFERROR(__xludf.DUMMYFUNCTION("""COMPUTED_VALUE"""),"血尿が出ているのですが診てもらえますか？/血尿の検査はできますか？")</f>
        <v>血尿が出ているのですが診てもらえますか？/血尿の検査はできますか？</v>
      </c>
      <c r="B1117" s="31" t="str">
        <f>IFERROR(__xludf.DUMMYFUNCTION("""COMPUTED_VALUE"""),"恐れ入りますが、血尿の診療は当院では行っておりません。泌尿器科でのご受診をお願いいたします。")</f>
        <v>恐れ入りますが、血尿の診療は当院では行っておりません。泌尿器科でのご受診をお願いいたします。</v>
      </c>
      <c r="C1117" s="31" t="str">
        <f>IFERROR(__xludf.DUMMYFUNCTION("""COMPUTED_VALUE"""),"受診可否・対応不可")</f>
        <v>受診可否・対応不可</v>
      </c>
      <c r="D1117" s="31" t="str">
        <f>IFERROR(__xludf.DUMMYFUNCTION("""COMPUTED_VALUE"""),"血尿,泌尿器科,対応不可")</f>
        <v>血尿,泌尿器科,対応不可</v>
      </c>
      <c r="E1117" s="31"/>
    </row>
    <row r="1118">
      <c r="A1118" s="31" t="str">
        <f>IFERROR(__xludf.DUMMYFUNCTION("""COMPUTED_VALUE"""),"男性も診療できますか？/男性の受診はできますか？/彼も一緒に受診できますか？/男性の付き添いは可能ですか？/男性はいくらですか？/男性の料金")</f>
        <v>男性も診療できますか？/男性の受診はできますか？/彼も一緒に受診できますか？/男性の付き添いは可能ですか？/男性はいくらですか？/男性の料金</v>
      </c>
      <c r="B1118" s="31" t="str">
        <f>IFERROR(__xludf.DUMMYFUNCTION("""COMPUTED_VALUE"""),"当院は女性専用クリニックのため、男性の診療・ご入室は承っておりません。")</f>
        <v>当院は女性専用クリニックのため、男性の診療・ご入室は承っておりません。</v>
      </c>
      <c r="C1118" s="31" t="str">
        <f>IFERROR(__xludf.DUMMYFUNCTION("""COMPUTED_VALUE"""),"受診可否・対応不可")</f>
        <v>受診可否・対応不可</v>
      </c>
      <c r="D1118" s="31" t="str">
        <f>IFERROR(__xludf.DUMMYFUNCTION("""COMPUTED_VALUE"""),"男性,男,彼,パートナー,付き添い,入室")</f>
        <v>男性,男,彼,パートナー,付き添い,入室</v>
      </c>
      <c r="E1118" s="31"/>
    </row>
    <row r="1119">
      <c r="A1119" s="31" t="str">
        <f>IFERROR(__xludf.DUMMYFUNCTION("""COMPUTED_VALUE"""),"紹介状を書いてもらいたいのですが何で予約すればいいですか？/紹介状が欲しい場合の予約メニュー")</f>
        <v>紹介状を書いてもらいたいのですが何で予約すればいいですか？/紹介状が欲しい場合の予約メニュー</v>
      </c>
      <c r="B1119" s="31" t="str">
        <f>IFERROR(__xludf.DUMMYFUNCTION("""COMPUTED_VALUE"""),"紹介状の発行をご希望の場合は、前回の続きの診察であれば「再診 &gt; 一般婦人科診療（前回の続き）」、それ以外であれば「一般婦人科診療」のメニューでご予約ください。WEB問診票の備考欄に「紹介状希望」とご記入いただくとスムーズです。ご予約は公式LINEからお願い致します→https://cline-app.com/qr-codes/98ad6f149bfa20f4f2a9a2e91aac4187/preview")</f>
        <v>紹介状の発行をご希望の場合は、前回の続きの診察であれば「再診 &gt; 一般婦人科診療（前回の続き）」、それ以外であれば「一般婦人科診療」のメニューでご予約ください。WEB問診票の備考欄に「紹介状希望」とご記入いただくとスムーズです。ご予約は公式LINEからお願い致します→https://cline-app.com/qr-codes/98ad6f149bfa20f4f2a9a2e91aac4187/preview</v>
      </c>
      <c r="C1119" s="31" t="str">
        <f>IFERROR(__xludf.DUMMYFUNCTION("""COMPUTED_VALUE"""),"受診案内・手続き")</f>
        <v>受診案内・手続き</v>
      </c>
      <c r="D1119" s="31" t="str">
        <f>IFERROR(__xludf.DUMMYFUNCTION("""COMPUTED_VALUE"""),"紹介状,予約メニュー,書いてほしい")</f>
        <v>紹介状,予約メニュー,書いてほしい</v>
      </c>
      <c r="E1119" s="31"/>
    </row>
    <row r="1120">
      <c r="A1120" s="31" t="str">
        <f>IFERROR(__xludf.DUMMYFUNCTION("""COMPUTED_VALUE"""),"ゴールデンウィークは営業していますか？/GW中は診療していますか？/GW期間中の休診日はありますか？")</f>
        <v>ゴールデンウィークは営業していますか？/GW中は診療していますか？/GW期間中の休診日はありますか？</v>
      </c>
      <c r="B1120" s="31" t="str">
        <f>IFERROR(__xludf.DUMMYFUNCTION("""COMPUTED_VALUE"""),"ゴールデンウィーク期間中も横浜駅前院、川崎駅前院、町田駅前院は通常通り診療しております。町田駅前院は通常通り日曜日が休診です。ご予約は公式LINEから24時間承っております。ご予約は公式LINEからお願い致します→https://cline-app.com/qr-codes/98ad6f149bfa20f4f2a9a2e91aac4187/preview")</f>
        <v>ゴールデンウィーク期間中も横浜駅前院、川崎駅前院、町田駅前院は通常通り診療しております。町田駅前院は通常通り日曜日が休診です。ご予約は公式LINEから24時間承っております。ご予約は公式LINEからお願い致します→https://cline-app.com/qr-codes/98ad6f149bfa20f4f2a9a2e91aac4187/preview</v>
      </c>
      <c r="C1120" s="31" t="str">
        <f>IFERROR(__xludf.DUMMYFUNCTION("""COMPUTED_VALUE"""),"診療時間")</f>
        <v>診療時間</v>
      </c>
      <c r="D1120" s="31" t="str">
        <f>IFERROR(__xludf.DUMMYFUNCTION("""COMPUTED_VALUE"""),"ゴールデンウィーク,GW,連休,営業,休診")</f>
        <v>ゴールデンウィーク,GW,連休,営業,休診</v>
      </c>
      <c r="E1120" s="31"/>
    </row>
    <row r="1121">
      <c r="A1121" s="31" t="str">
        <f>IFERROR(__xludf.DUMMYFUNCTION("""COMPUTED_VALUE"""),"吐き気止めの料金はいくらですか？/吐き気止めは処方してもらえますか？")</f>
        <v>吐き気止めの料金はいくらですか？/吐き気止めは処方してもらえますか？</v>
      </c>
      <c r="B1121" s="31" t="str">
        <f>IFERROR(__xludf.DUMMYFUNCTION("""COMPUTED_VALUE"""),"吐き気止めの料金は220円（税込）です。別途、初診料・再診料がかかります。")</f>
        <v>吐き気止めの料金は220円（税込）です。別途、初診料・再診料がかかります。</v>
      </c>
      <c r="C1121" s="31" t="str">
        <f>IFERROR(__xludf.DUMMYFUNCTION("""COMPUTED_VALUE"""),"料金・支払い")</f>
        <v>料金・支払い</v>
      </c>
      <c r="D1121" s="31" t="str">
        <f>IFERROR(__xludf.DUMMYFUNCTION("""COMPUTED_VALUE"""),"吐き気止め,料金,220円")</f>
        <v>吐き気止め,料金,220円</v>
      </c>
      <c r="E1121" s="31"/>
    </row>
    <row r="1122">
      <c r="A1122" s="31" t="str">
        <f>IFERROR(__xludf.DUMMYFUNCTION("""COMPUTED_VALUE"""),"ピルの服用をやめたい場合、診察は必要ですか？/妊娠希望でピルを中止したい")</f>
        <v>ピルの服用をやめたい場合、診察は必要ですか？/妊娠希望でピルを中止したい</v>
      </c>
      <c r="B1122" s="31" t="str">
        <f>IFERROR(__xludf.DUMMYFUNCTION("""COMPUTED_VALUE"""),"ピルの中断時期については医師の判断が必要となりますので、一度ご受診をお願いいたします。「一般婦人科診療（前回の続き）」のメニューでご予約ください。→https://cline-app.com/qr-codes/98ad6f149bfa20f4f2a9a2e91aac4187/preview
なお、当院では妊活・不妊に関する診療は行っておりませんので、妊活のご相談については妊活を取り扱っているクリニックへのご受診をおすすめいたします。")</f>
        <v>ピルの中断時期については医師の判断が必要となりますので、一度ご受診をお願いいたします。「一般婦人科診療（前回の続き）」のメニューでご予約ください。→https://cline-app.com/qr-codes/98ad6f149bfa20f4f2a9a2e91aac4187/preview
なお、当院では妊活・不妊に関する診療は行っておりませんので、妊活のご相談については妊活を取り扱っているクリニックへのご受診をおすすめいたします。</v>
      </c>
      <c r="C1122" s="31" t="str">
        <f>IFERROR(__xludf.DUMMYFUNCTION("""COMPUTED_VALUE"""),"ピル処方")</f>
        <v>ピル処方</v>
      </c>
      <c r="D1122" s="31" t="str">
        <f>IFERROR(__xludf.DUMMYFUNCTION("""COMPUTED_VALUE"""),"ピル中止,やめたい,妊娠希望,妊活")</f>
        <v>ピル中止,やめたい,妊娠希望,妊活</v>
      </c>
      <c r="E1122" s="31"/>
    </row>
    <row r="1123">
      <c r="A1123" s="31" t="str">
        <f>IFERROR(__xludf.DUMMYFUNCTION("""COMPUTED_VALUE"""),"生理中でもピルを処方してもらえますか？/生理中でも受診できますか？/生理中のピル処方")</f>
        <v>生理中でもピルを処方してもらえますか？/生理中でも受診できますか？/生理中のピル処方</v>
      </c>
      <c r="B1123" s="31" t="str">
        <f>IFERROR(__xludf.DUMMYFUNCTION("""COMPUTED_VALUE"""),"生理中でもピルの処方は可能です。ご予約は「ピル処方」のメニューからお取りください。→https://cline-app.com/qr-codes/98ad6f149bfa20f4f2a9a2e91aac4187/preview")</f>
        <v>生理中でもピルの処方は可能です。ご予約は「ピル処方」のメニューからお取りください。→https://cline-app.com/qr-codes/98ad6f149bfa20f4f2a9a2e91aac4187/preview</v>
      </c>
      <c r="C1123" s="31" t="str">
        <f>IFERROR(__xludf.DUMMYFUNCTION("""COMPUTED_VALUE"""),"ピル処方")</f>
        <v>ピル処方</v>
      </c>
      <c r="D1123" s="31" t="str">
        <f>IFERROR(__xludf.DUMMYFUNCTION("""COMPUTED_VALUE"""),"生理中,ピル処方,受診可能")</f>
        <v>生理中,ピル処方,受診可能</v>
      </c>
      <c r="E1123" s="31"/>
    </row>
    <row r="1124">
      <c r="A1124" s="31" t="str">
        <f>IFERROR(__xludf.DUMMYFUNCTION("""COMPUTED_VALUE"""),"ブライダルチェックの基本パックから一部検査を外した場合、料金は変わりますか？/ブライダルチェックの検査を選べますか？")</f>
        <v>ブライダルチェックの基本パックから一部検査を外した場合、料金は変わりますか？/ブライダルチェックの検査を選べますか？</v>
      </c>
      <c r="B1124" s="31" t="str">
        <f>IFERROR(__xludf.DUMMYFUNCTION("""COMPUTED_VALUE"""),"ブライダルチェックの基本セット（経膣超音波・クラミジア・子宮頸がん検診）はセット価格で15,000円のため、一部の検査を外しても料金は変わりません。ご希望に応じてセット以外の組み合わせでのご案内も可能ですので、看護師にご相談ください。")</f>
        <v>ブライダルチェックの基本セット（経膣超音波・クラミジア・子宮頸がん検診）はセット価格で15,000円のため、一部の検査を外しても料金は変わりません。ご希望に応じてセット以外の組み合わせでのご案内も可能ですので、看護師にご相談ください。</v>
      </c>
      <c r="C1124" s="31" t="str">
        <f>IFERROR(__xludf.DUMMYFUNCTION("""COMPUTED_VALUE"""),"ブライダルチェック")</f>
        <v>ブライダルチェック</v>
      </c>
      <c r="D1124" s="31" t="str">
        <f>IFERROR(__xludf.DUMMYFUNCTION("""COMPUTED_VALUE"""),"ブライダルチェック,料金,一部外す,セット,変更")</f>
        <v>ブライダルチェック,料金,一部外す,セット,変更</v>
      </c>
      <c r="E1124" s="31"/>
    </row>
    <row r="1125">
      <c r="A1125" s="31" t="str">
        <f>IFERROR(__xludf.DUMMYFUNCTION("""COMPUTED_VALUE"""),"子宮頚部細胞診で陽性だった場合どうすればいいですか？/細胞診の結果が要精密検査だった")</f>
        <v>子宮頚部細胞診で陽性だった場合どうすればいいですか？/細胞診の結果が要精密検査だった</v>
      </c>
      <c r="B1125" s="31" t="str">
        <f>IFERROR(__xludf.DUMMYFUNCTION("""COMPUTED_VALUE"""),"検査結果の内容によって対応が異なるため、検査結果をお持ちの上ご受診をお願いいたします。「一般婦人科診療」のメニューでご予約ください。→https://cline-app.com/qr-codes/98ad6f149bfa20f4f2a9a2e91aac4187/preview")</f>
        <v>検査結果の内容によって対応が異なるため、検査結果をお持ちの上ご受診をお願いいたします。「一般婦人科診療」のメニューでご予約ください。→https://cline-app.com/qr-codes/98ad6f149bfa20f4f2a9a2e91aac4187/preview</v>
      </c>
      <c r="C1125" s="31" t="str">
        <f>IFERROR(__xludf.DUMMYFUNCTION("""COMPUTED_VALUE"""),"検診")</f>
        <v>検診</v>
      </c>
      <c r="D1125" s="31" t="str">
        <f>IFERROR(__xludf.DUMMYFUNCTION("""COMPUTED_VALUE"""),"細胞診,陽性,要精密検査,子宮頸がん")</f>
        <v>細胞診,陽性,要精密検査,子宮頸がん</v>
      </c>
      <c r="E1125" s="31"/>
    </row>
    <row r="1126">
      <c r="A1126" s="31" t="str">
        <f>IFERROR(__xludf.DUMMYFUNCTION("""COMPUTED_VALUE"""),"健康診断で再検査になりました。受診できますか？/健康診断で引っかかった")</f>
        <v>健康診断で再検査になりました。受診できますか？/健康診断で引っかかった</v>
      </c>
      <c r="B1126" s="31" t="str">
        <f>IFERROR(__xludf.DUMMYFUNCTION("""COMPUTED_VALUE"""),"婦人科関連の再検査については、検査結果の内容によって受診可否が異なります。子宮頸がん検査での再検査の場合はお電話（050-1730-2768）にてご確認ください。なお、胸に関する検査での再検査は当院では対応しておりませんので予めご了承くださいませ。")</f>
        <v>婦人科関連の再検査については、検査結果の内容によって受診可否が異なります。子宮頸がん検査での再検査の場合はお電話（050-1730-2768）にてご確認ください。なお、胸に関する検査での再検査は当院では対応しておりませんので予めご了承くださいませ。</v>
      </c>
      <c r="C1126" s="31" t="str">
        <f>IFERROR(__xludf.DUMMYFUNCTION("""COMPUTED_VALUE"""),"検診")</f>
        <v>検診</v>
      </c>
      <c r="D1126" s="31" t="str">
        <f>IFERROR(__xludf.DUMMYFUNCTION("""COMPUTED_VALUE"""),"健康診断,再検査,引っかかった,要精密検査")</f>
        <v>健康診断,再検査,引っかかった,要精密検査</v>
      </c>
      <c r="E1126" s="31"/>
    </row>
    <row r="1127">
      <c r="A1127" s="31" t="str">
        <f>IFERROR(__xludf.DUMMYFUNCTION("""COMPUTED_VALUE"""),"子宮頚部細胞診に性病検査は含まれますか？/細胞診で性感染症は分かりますか？")</f>
        <v>子宮頚部細胞診に性病検査は含まれますか？/細胞診で性感染症は分かりますか？</v>
      </c>
      <c r="B1127" s="31" t="str">
        <f>IFERROR(__xludf.DUMMYFUNCTION("""COMPUTED_VALUE"""),"子宮頚部細胞診に性病検査は含まれておりません。性感染症が気になる方は、別途性感染症検査をお受けください。「一般婦人科診療」のメニューでご予約いただき、WEB問診票に検査希望の内容をご入力ください。→https://cline-app.com/qr-codes/98ad6f149bfa20f4f2a9a2e91aac4187/preview")</f>
        <v>子宮頚部細胞診に性病検査は含まれておりません。性感染症が気になる方は、別途性感染症検査をお受けください。「一般婦人科診療」のメニューでご予約いただき、WEB問診票に検査希望の内容をご入力ください。→https://cline-app.com/qr-codes/98ad6f149bfa20f4f2a9a2e91aac4187/preview</v>
      </c>
      <c r="C1127" s="31" t="str">
        <f>IFERROR(__xludf.DUMMYFUNCTION("""COMPUTED_VALUE"""),"検診")</f>
        <v>検診</v>
      </c>
      <c r="D1127" s="31" t="str">
        <f>IFERROR(__xludf.DUMMYFUNCTION("""COMPUTED_VALUE"""),"細胞診,性病検査,含まれる,性感染症")</f>
        <v>細胞診,性病検査,含まれる,性感染症</v>
      </c>
      <c r="E1127" s="31"/>
    </row>
    <row r="1128">
      <c r="A1128" s="31" t="str">
        <f>IFERROR(__xludf.DUMMYFUNCTION("""COMPUTED_VALUE"""),"咽頭クラミジアの検査費用はいくらですか？/喉の性病検査の料金")</f>
        <v>咽頭クラミジアの検査費用はいくらですか？/喉の性病検査の料金</v>
      </c>
      <c r="B1128" s="31" t="str">
        <f>IFERROR(__xludf.DUMMYFUNCTION("""COMPUTED_VALUE"""),"咽頭の性感染症検査も当院で対応可能です。検査費用は1項目5,000円（税込）です。ご予約は「一般婦人科診療」のメニューからお取りください。→https://cline-app.com/qr-codes/98ad6f149bfa20f4f2a9a2e91aac4187/preview")</f>
        <v>咽頭の性感染症検査も当院で対応可能です。検査費用は1項目5,000円（税込）です。ご予約は「一般婦人科診療」のメニューからお取りください。→https://cline-app.com/qr-codes/98ad6f149bfa20f4f2a9a2e91aac4187/preview</v>
      </c>
      <c r="C1128" s="31" t="str">
        <f>IFERROR(__xludf.DUMMYFUNCTION("""COMPUTED_VALUE"""),"性感染症検査")</f>
        <v>性感染症検査</v>
      </c>
      <c r="D1128" s="31" t="str">
        <f>IFERROR(__xludf.DUMMYFUNCTION("""COMPUTED_VALUE"""),"咽頭クラミジア,喉,性病検査,検査費用")</f>
        <v>咽頭クラミジア,喉,性病検査,検査費用</v>
      </c>
      <c r="E1128" s="31"/>
    </row>
    <row r="1129">
      <c r="A1129" s="31" t="str">
        <f>IFERROR(__xludf.DUMMYFUNCTION("""COMPUTED_VALUE"""),"他院で性病検査をして陽性でした。治療はできますか？/他の病院の検査結果で治療してもらえますか？")</f>
        <v>他院で性病検査をして陽性でした。治療はできますか？/他の病院の検査結果で治療してもらえますか？</v>
      </c>
      <c r="B1129" s="31" t="str">
        <f>IFERROR(__xludf.DUMMYFUNCTION("""COMPUTED_VALUE"""),"他院での検査結果（オンライン検査を含む）で、検査結果にフルネームの記載がある場合は保険適用で治療が可能です。ただし、検査項目によっては自費のみの診療となる場合もございますのでご了承ください。検査結果をお持ちの上「一般婦人科診療」のメニューでご予約ください。→https://cline-app.com/qr-codes/98ad6f149bfa20f4f2a9a2e91aac4187/preview")</f>
        <v>他院での検査結果（オンライン検査を含む）で、検査結果にフルネームの記載がある場合は保険適用で治療が可能です。ただし、検査項目によっては自費のみの診療となる場合もございますのでご了承ください。検査結果をお持ちの上「一般婦人科診療」のメニューでご予約ください。→https://cline-app.com/qr-codes/98ad6f149bfa20f4f2a9a2e91aac4187/preview</v>
      </c>
      <c r="C1129" s="31" t="str">
        <f>IFERROR(__xludf.DUMMYFUNCTION("""COMPUTED_VALUE"""),"性感染症検査")</f>
        <v>性感染症検査</v>
      </c>
      <c r="D1129" s="31" t="str">
        <f>IFERROR(__xludf.DUMMYFUNCTION("""COMPUTED_VALUE"""),"他院,陽性,治療,保険適用,検査結果")</f>
        <v>他院,陽性,治療,保険適用,検査結果</v>
      </c>
      <c r="E1129" s="31"/>
    </row>
    <row r="1130">
      <c r="A1130" s="31" t="str">
        <f>IFERROR(__xludf.DUMMYFUNCTION("""COMPUTED_VALUE"""),"子宮頸がん検査とAMH検査を当日まとめて受けられますか？/複数の検査を同じ日にできますか？")</f>
        <v>子宮頸がん検査とAMH検査を当日まとめて受けられますか？/複数の検査を同じ日にできますか？</v>
      </c>
      <c r="B1130" s="31" t="str">
        <f>IFERROR(__xludf.DUMMYFUNCTION("""COMPUTED_VALUE"""),"検査の組み合わせについては医師の判断となりますので、ご受診時に医師にご相談ください。ご予約は「一般婦人科診療」のメニューからお取りいただき、WEB問診票の備考欄にご希望の検査内容をご記入ください。ご予約は「一般婦人科診療」のメニューからお取りください。→https://cline-app.com/qr-codes/98ad6f149bfa20f4f2a9a2e91aac4187/preview")</f>
        <v>検査の組み合わせについては医師の判断となりますので、ご受診時に医師にご相談ください。ご予約は「一般婦人科診療」のメニューからお取りいただき、WEB問診票の備考欄にご希望の検査内容をご記入ください。ご予約は「一般婦人科診療」のメニューからお取りください。→https://cline-app.com/qr-codes/98ad6f149bfa20f4f2a9a2e91aac4187/preview</v>
      </c>
      <c r="C1130" s="31" t="str">
        <f>IFERROR(__xludf.DUMMYFUNCTION("""COMPUTED_VALUE"""),"検診")</f>
        <v>検診</v>
      </c>
      <c r="D1130" s="31" t="str">
        <f>IFERROR(__xludf.DUMMYFUNCTION("""COMPUTED_VALUE"""),"当日,同時,まとめて,複数検査,AMH")</f>
        <v>当日,同時,まとめて,複数検査,AMH</v>
      </c>
      <c r="E1130" s="31"/>
    </row>
    <row r="1131">
      <c r="A1131" s="31" t="str">
        <f>IFERROR(__xludf.DUMMYFUNCTION("""COMPUTED_VALUE"""),"麻疹抗体検査はできますか？/麻疹の検査はできますか？")</f>
        <v>麻疹抗体検査はできますか？/麻疹の検査はできますか？</v>
      </c>
      <c r="B1131" s="31" t="str">
        <f>IFERROR(__xludf.DUMMYFUNCTION("""COMPUTED_VALUE"""),"恐れ入りますが、麻疹抗体検査及び、麻疹ワクチン接種は当院では対応しておりません。")</f>
        <v>恐れ入りますが、麻疹抗体検査及び、麻疹ワクチン接種は当院では対応しておりません。</v>
      </c>
      <c r="C1131" s="31" t="str">
        <f>IFERROR(__xludf.DUMMYFUNCTION("""COMPUTED_VALUE"""),"受診可否・対応不可")</f>
        <v>受診可否・対応不可</v>
      </c>
      <c r="D1131" s="31" t="str">
        <f>IFERROR(__xludf.DUMMYFUNCTION("""COMPUTED_VALUE"""),"麻疹,麻疹抗体,対応不可")</f>
        <v>麻疹,麻疹抗体,対応不可</v>
      </c>
      <c r="E1131" s="31"/>
    </row>
    <row r="1132">
      <c r="A1132" s="31" t="str">
        <f>IFERROR(__xludf.DUMMYFUNCTION("""COMPUTED_VALUE"""),"がん検診の結果は電話で聞けますか？/検査結果を電話で教えてもらえますか？")</f>
        <v>がん検診の結果は電話で聞けますか？/検査結果を電話で教えてもらえますか？</v>
      </c>
      <c r="B1132" s="31" t="str">
        <f>IFERROR(__xludf.DUMMYFUNCTION("""COMPUTED_VALUE"""),"恐れ入りますが、検査結果のお電話でのご案内は行っておりません。検査結果のご説明は「検査結果説明」のメニューでご予約ください。→https://cline-app.com/qr-codes/98ad6f149bfa20f4f2a9a2e91aac4187/preview")</f>
        <v>恐れ入りますが、検査結果のお電話でのご案内は行っておりません。検査結果のご説明は「検査結果説明」のメニューでご予約ください。→https://cline-app.com/qr-codes/98ad6f149bfa20f4f2a9a2e91aac4187/preview</v>
      </c>
      <c r="C1132" s="31" t="str">
        <f>IFERROR(__xludf.DUMMYFUNCTION("""COMPUTED_VALUE"""),"検査結果")</f>
        <v>検査結果</v>
      </c>
      <c r="D1132" s="31" t="str">
        <f>IFERROR(__xludf.DUMMYFUNCTION("""COMPUTED_VALUE"""),"電話,結果,聞けますか,確認方法")</f>
        <v>電話,結果,聞けますか,確認方法</v>
      </c>
      <c r="E1132" s="31"/>
    </row>
    <row r="1133">
      <c r="A1133" s="31" t="str">
        <f>IFERROR(__xludf.DUMMYFUNCTION("""COMPUTED_VALUE"""),"中絶手術の予約は何時からできますか？/中絶手術は午前と午後どちらですか？")</f>
        <v>中絶手術の予約は何時からできますか？/中絶手術は午前と午後どちらですか？</v>
      </c>
      <c r="B1133" s="31" t="str">
        <f>IFERROR(__xludf.DUMMYFUNCTION("""COMPUTED_VALUE"""),"中絶手術のご予約については、午前・午後の枠でのご案内となります。詳しい時間につきましては看護師よりご案内いたしますので、まずは「中絶相談」のメニューで初回診療をご予約ください。→https://cline-app.com/qr-codes/98ad6f149bfa20f4f2a9a2e91aac4187/preview")</f>
        <v>中絶手術のご予約については、午前・午後の枠でのご案内となります。詳しい時間につきましては看護師よりご案内いたしますので、まずは「中絶相談」のメニューで初回診療をご予約ください。→https://cline-app.com/qr-codes/98ad6f149bfa20f4f2a9a2e91aac4187/preview</v>
      </c>
      <c r="C1133" s="31" t="str">
        <f>IFERROR(__xludf.DUMMYFUNCTION("""COMPUTED_VALUE"""),"中絶手術")</f>
        <v>中絶手術</v>
      </c>
      <c r="D1133" s="31" t="str">
        <f>IFERROR(__xludf.DUMMYFUNCTION("""COMPUTED_VALUE"""),"中絶手術,予約,何時から,午前,午後")</f>
        <v>中絶手術,予約,何時から,午前,午後</v>
      </c>
      <c r="E1133" s="31"/>
    </row>
    <row r="1134">
      <c r="A1134" s="31" t="str">
        <f>IFERROR(__xludf.DUMMYFUNCTION("""COMPUTED_VALUE"""),"中絶手術後に自宅に郵送で届くものはありますか？")</f>
        <v>中絶手術後に自宅に郵送で届くものはありますか？</v>
      </c>
      <c r="B1134" s="31" t="str">
        <f>IFERROR(__xludf.DUMMYFUNCTION("""COMPUTED_VALUE"""),"中絶手術後にご自宅に届くものはございませんので、ご安心ください。")</f>
        <v>中絶手術後にご自宅に届くものはございませんので、ご安心ください。</v>
      </c>
      <c r="C1134" s="31" t="str">
        <f>IFERROR(__xludf.DUMMYFUNCTION("""COMPUTED_VALUE"""),"中絶手術")</f>
        <v>中絶手術</v>
      </c>
      <c r="D1134" s="31" t="str">
        <f>IFERROR(__xludf.DUMMYFUNCTION("""COMPUTED_VALUE"""),"中絶手術,郵送,届くもの,プライバシー")</f>
        <v>中絶手術,郵送,届くもの,プライバシー</v>
      </c>
      <c r="E1134" s="31"/>
    </row>
    <row r="1135">
      <c r="A1135" s="31" t="str">
        <f>IFERROR(__xludf.DUMMYFUNCTION("""COMPUTED_VALUE"""),"中絶手術日は何時に行けばいいですか？/中絶手術の当日の流れを教えてください")</f>
        <v>中絶手術日は何時に行けばいいですか？/中絶手術の当日の流れを教えてください</v>
      </c>
      <c r="B1135" s="31" t="str">
        <f>IFERROR(__xludf.DUMMYFUNCTION("""COMPUTED_VALUE"""),"手術当日の来院時間や流れにつきましては、初回診療の際に看護師よりご案内いたします。まずは「中絶相談」のメニューで初回診療をご予約ください。→https://cline-app.com/qr-codes/98ad6f149bfa20f4f2a9a2e91aac4187/preview")</f>
        <v>手術当日の来院時間や流れにつきましては、初回診療の際に看護師よりご案内いたします。まずは「中絶相談」のメニューで初回診療をご予約ください。→https://cline-app.com/qr-codes/98ad6f149bfa20f4f2a9a2e91aac4187/preview</v>
      </c>
      <c r="C1135" s="31" t="str">
        <f>IFERROR(__xludf.DUMMYFUNCTION("""COMPUTED_VALUE"""),"中絶手術")</f>
        <v>中絶手術</v>
      </c>
      <c r="D1135" s="31" t="str">
        <f>IFERROR(__xludf.DUMMYFUNCTION("""COMPUTED_VALUE"""),"中絶手術,当日,何時,来院時間,流れ")</f>
        <v>中絶手術,当日,何時,来院時間,流れ</v>
      </c>
      <c r="E1135" s="31"/>
    </row>
    <row r="1136">
      <c r="A1136" s="31" t="str">
        <f>IFERROR(__xludf.DUMMYFUNCTION("""COMPUTED_VALUE"""),"流産の手術の予約メニューは何を選べばいいですか？/稽留流産の手術の予約方法")</f>
        <v>流産の手術の予約メニューは何を選べばいいですか？/稽留流産の手術の予約方法</v>
      </c>
      <c r="B1136" s="31" t="str">
        <f>IFERROR(__xludf.DUMMYFUNCTION("""COMPUTED_VALUE"""),"流産手術のご予約は「一般婦人科診療」のメニューからお取りください。WEB問診票の備考欄に「流産手術」とご記入ください。→https://cline-app.com/qr-codes/98ad6f149bfa20f4f2a9a2e91aac4187/preview")</f>
        <v>流産手術のご予約は「一般婦人科診療」のメニューからお取りください。WEB問診票の備考欄に「流産手術」とご記入ください。→https://cline-app.com/qr-codes/98ad6f149bfa20f4f2a9a2e91aac4187/preview</v>
      </c>
      <c r="C1136" s="31" t="str">
        <f>IFERROR(__xludf.DUMMYFUNCTION("""COMPUTED_VALUE"""),"中絶手術")</f>
        <v>中絶手術</v>
      </c>
      <c r="D1136" s="31" t="str">
        <f>IFERROR(__xludf.DUMMYFUNCTION("""COMPUTED_VALUE"""),"流産,手術,予約メニュー,稽留流産,一般婦人科診療")</f>
        <v>流産,手術,予約メニュー,稽留流産,一般婦人科診療</v>
      </c>
      <c r="E1136" s="31"/>
    </row>
    <row r="1137">
      <c r="A1137" s="31" t="str">
        <f>IFERROR(__xludf.DUMMYFUNCTION("""COMPUTED_VALUE"""),"流産のエコー検査は保険適用ですか？/流産の検査費用")</f>
        <v>流産のエコー検査は保険適用ですか？/流産の検査費用</v>
      </c>
      <c r="B1137" s="31" t="str">
        <f>IFERROR(__xludf.DUMMYFUNCTION("""COMPUTED_VALUE"""),"流産関連の検査の保険適用可否については、診察の上で医師の判断となるため、事前にお伝えすることができかねます。ご受診いただき医師にご相談ください。「一般婦人科診療」のメニューでご予約ください。→https://cline-app.com/qr-codes/98ad6f149bfa20f4f2a9a2e91aac4187/preview")</f>
        <v>流産関連の検査の保険適用可否については、診察の上で医師の判断となるため、事前にお伝えすることができかねます。ご受診いただき医師にご相談ください。「一般婦人科診療」のメニューでご予約ください。→https://cline-app.com/qr-codes/98ad6f149bfa20f4f2a9a2e91aac4187/preview</v>
      </c>
      <c r="C1137" s="31" t="str">
        <f>IFERROR(__xludf.DUMMYFUNCTION("""COMPUTED_VALUE"""),"中絶手術")</f>
        <v>中絶手術</v>
      </c>
      <c r="D1137" s="31" t="str">
        <f>IFERROR(__xludf.DUMMYFUNCTION("""COMPUTED_VALUE"""),"流産,エコー,保険適用,検査費用")</f>
        <v>流産,エコー,保険適用,検査費用</v>
      </c>
      <c r="E1137" s="31"/>
    </row>
    <row r="1138">
      <c r="A1138" s="31" t="str">
        <f>IFERROR(__xludf.DUMMYFUNCTION("""COMPUTED_VALUE"""),"中絶同意書のフォーマットはダウンロードできますか？/中絶の同意書は事前にもらえますか？")</f>
        <v>中絶同意書のフォーマットはダウンロードできますか？/中絶の同意書は事前にもらえますか？</v>
      </c>
      <c r="B1138" s="31" t="str">
        <f>IFERROR(__xludf.DUMMYFUNCTION("""COMPUTED_VALUE"""),"中絶同意書は初回のご相談でご受診いただいた際にお渡ししております。事前にダウンロードできるフォーマットはございません。ご本人とパートナーの署名・捺印（印鑑・シャチハタ・拇印いずれも可）が必要です。")</f>
        <v>中絶同意書は初回のご相談でご受診いただいた際にお渡ししております。事前にダウンロードできるフォーマットはございません。ご本人とパートナーの署名・捺印（印鑑・シャチハタ・拇印いずれも可）が必要です。</v>
      </c>
      <c r="C1138" s="31" t="str">
        <f>IFERROR(__xludf.DUMMYFUNCTION("""COMPUTED_VALUE"""),"中絶手術")</f>
        <v>中絶手術</v>
      </c>
      <c r="D1138" s="31" t="str">
        <f>IFERROR(__xludf.DUMMYFUNCTION("""COMPUTED_VALUE"""),"中絶,同意書,フォーマット,ダウンロード,事前")</f>
        <v>中絶,同意書,フォーマット,ダウンロード,事前</v>
      </c>
      <c r="E1138" s="31"/>
    </row>
    <row r="1139">
      <c r="A1139" s="31" t="str">
        <f>IFERROR(__xludf.DUMMYFUNCTION("""COMPUTED_VALUE"""),"流産手術後の経過確認の費用はどれくらいですか？/流産手術後の検診費用")</f>
        <v>流産手術後の経過確認の費用はどれくらいですか？/流産手術後の検診費用</v>
      </c>
      <c r="B1139" s="31" t="str">
        <f>IFERROR(__xludf.DUMMYFUNCTION("""COMPUTED_VALUE"""),"術後検診の料金につきましては、受診時に受付にてご確認ください。")</f>
        <v>術後検診の料金につきましては、受診時に受付にてご確認ください。</v>
      </c>
      <c r="C1139" s="31" t="str">
        <f>IFERROR(__xludf.DUMMYFUNCTION("""COMPUTED_VALUE"""),"中絶手術")</f>
        <v>中絶手術</v>
      </c>
      <c r="D1139" s="31" t="str">
        <f>IFERROR(__xludf.DUMMYFUNCTION("""COMPUTED_VALUE"""),"流産手術,術後,経過確認,費用,検診")</f>
        <v>流産手術,術後,経過確認,費用,検診</v>
      </c>
      <c r="E1139" s="31"/>
    </row>
    <row r="1140">
      <c r="A1140" s="31" t="str">
        <f>IFERROR(__xludf.DUMMYFUNCTION("""COMPUTED_VALUE"""),"保険証がないのですが受診できますか？/保険証を持っていない場合/資格確認証がない/資格確認証をもっていない/保険証なしで保険ピルを自費で処方された場合、次回保険証を持参すれば返金されますか？/アフターピルに保険証はいりますか？/自費の性病検査でも保険証は必要？")</f>
        <v>保険証がないのですが受診できますか？/保険証を持っていない場合/資格確認証がない/資格確認証をもっていない/保険証なしで保険ピルを自費で処方された場合、次回保険証を持参すれば返金されますか？/アフターピルに保険証はいりますか？/自費の性病検査でも保険証は必要？</v>
      </c>
      <c r="B1140" s="31" t="str">
        <f>IFERROR(__xludf.DUMMYFUNCTION("""COMPUTED_VALUE"""),"保険証をお持ちでない場合でもご受診いただけます。保険診療を行った場合は当日10割負担となりますが、当月中に領収書と保険証をお持ちいただければ7割分の返金対応を行っております。自費診療の場合は保険証がなくても処方可能です。")</f>
        <v>保険証をお持ちでない場合でもご受診いただけます。保険診療を行った場合は当日10割負担となりますが、当月中に領収書と保険証をお持ちいただければ7割分の返金対応を行っております。自費診療の場合は保険証がなくても処方可能です。</v>
      </c>
      <c r="C1140" s="31" t="str">
        <f>IFERROR(__xludf.DUMMYFUNCTION("""COMPUTED_VALUE"""),"受診案内")</f>
        <v>受診案内</v>
      </c>
      <c r="D1140" s="31" t="str">
        <f>IFERROR(__xludf.DUMMYFUNCTION("""COMPUTED_VALUE"""),"保険証なし,保険証がない,10割負担,返金")</f>
        <v>保険証なし,保険証がない,10割負担,返金</v>
      </c>
      <c r="E1140" s="31"/>
    </row>
    <row r="1141">
      <c r="A1141" s="31" t="str">
        <f>IFERROR(__xludf.DUMMYFUNCTION("""COMPUTED_VALUE"""),"紹介状の再発行はできますか？/紹介状をもう一度出してもらえますか？")</f>
        <v>紹介状の再発行はできますか？/紹介状をもう一度出してもらえますか？</v>
      </c>
      <c r="B1141" s="31" t="str">
        <f>IFERROR(__xludf.DUMMYFUNCTION("""COMPUTED_VALUE"""),"紹介状の再発行は可能です。再発行料は自費の場合2,200円（税込）です。保険適用の場合の料金は受診時にご確認ください。お電話（050-1730-2768）または受付にてお申し付けください。")</f>
        <v>紹介状の再発行は可能です。再発行料は自費の場合2,200円（税込）です。保険適用の場合の料金は受診時にご確認ください。お電話（050-1730-2768）または受付にてお申し付けください。</v>
      </c>
      <c r="C1141" s="31" t="str">
        <f>IFERROR(__xludf.DUMMYFUNCTION("""COMPUTED_VALUE"""),"書類・証明")</f>
        <v>書類・証明</v>
      </c>
      <c r="D1141" s="31" t="str">
        <f>IFERROR(__xludf.DUMMYFUNCTION("""COMPUTED_VALUE"""),"紹介状,再発行,料金")</f>
        <v>紹介状,再発行,料金</v>
      </c>
      <c r="E1141" s="31"/>
    </row>
    <row r="1142">
      <c r="A1142" s="31" t="str">
        <f>IFERROR(__xludf.DUMMYFUNCTION("""COMPUTED_VALUE"""),"HRTの相談はできますか？/ホルモン補充療法は対応していますか？")</f>
        <v>HRTの相談はできますか？/ホルモン補充療法は対応していますか？</v>
      </c>
      <c r="B1142" s="31" t="str">
        <f>IFERROR(__xludf.DUMMYFUNCTION("""COMPUTED_VALUE"""),"恐れ入りますが、HRT（ホルモン補充療法）は当院では対応しておりません。")</f>
        <v>恐れ入りますが、HRT（ホルモン補充療法）は当院では対応しておりません。</v>
      </c>
      <c r="C1142" s="31" t="str">
        <f>IFERROR(__xludf.DUMMYFUNCTION("""COMPUTED_VALUE"""),"受診可否・対応不可")</f>
        <v>受診可否・対応不可</v>
      </c>
      <c r="D1142" s="31" t="str">
        <f>IFERROR(__xludf.DUMMYFUNCTION("""COMPUTED_VALUE"""),"HRT,ホルモン補充療法,対応不可")</f>
        <v>HRT,ホルモン補充療法,対応不可</v>
      </c>
      <c r="E1142" s="31"/>
    </row>
    <row r="1143">
      <c r="A1143" s="31" t="str">
        <f>IFERROR(__xludf.DUMMYFUNCTION("""COMPUTED_VALUE"""),"バルトリン腺の治療はできますか？/バルトリン腺炎は診てもらえますか？/バルトリン腺化膿の診察/バルトリン腺のレーザー治療はできますか？/バルトリン腺の切開はできますか？")</f>
        <v>バルトリン腺の治療はできますか？/バルトリン腺炎は診てもらえますか？/バルトリン腺化膿の診察/バルトリン腺のレーザー治療はできますか？/バルトリン腺の切開はできますか？</v>
      </c>
      <c r="B1143" s="31" t="str">
        <f>IFERROR(__xludf.DUMMYFUNCTION("""COMPUTED_VALUE"""),"バルトリン腺の治療は当院で対応可能です。ただし、レーザー治療・切開は行っておらず、排膿処置のみの対応となります。ご予約は「一般婦人科診療」のメニューでご予約ください。→https://cline-app.com/qr-codes/98ad6f149bfa20f4f2a9a2e91aac4187/preview")</f>
        <v>バルトリン腺の治療は当院で対応可能です。ただし、レーザー治療・切開は行っておらず、排膿処置のみの対応となります。ご予約は「一般婦人科診療」のメニューでご予約ください。→https://cline-app.com/qr-codes/98ad6f149bfa20f4f2a9a2e91aac4187/preview</v>
      </c>
      <c r="C1143" s="31" t="str">
        <f>IFERROR(__xludf.DUMMYFUNCTION("""COMPUTED_VALUE"""),"受診案内")</f>
        <v>受診案内</v>
      </c>
      <c r="D1143" s="31" t="str">
        <f>IFERROR(__xludf.DUMMYFUNCTION("""COMPUTED_VALUE"""),"バルトリン腺,治療,化膿,対応可能")</f>
        <v>バルトリン腺,治療,化膿,対応可能</v>
      </c>
      <c r="E1143" s="31"/>
    </row>
    <row r="1144">
      <c r="A1144" s="31" t="str">
        <f>IFERROR(__xludf.DUMMYFUNCTION("""COMPUTED_VALUE"""),"漢方の処方はできますか？/漢方薬を出してもらえますか？")</f>
        <v>漢方の処方はできますか？/漢方薬を出してもらえますか？</v>
      </c>
      <c r="B1144" s="31" t="str">
        <f>IFERROR(__xludf.DUMMYFUNCTION("""COMPUTED_VALUE"""),"漢方の処方については医師の判断で可能です。ご希望の場合は「一般婦人科診療」のメニューでご予約ください。→https://cline-app.com/qr-codes/98ad6f149bfa20f4f2a9a2e91aac4187/preview")</f>
        <v>漢方の処方については医師の判断で可能です。ご希望の場合は「一般婦人科診療」のメニューでご予約ください。→https://cline-app.com/qr-codes/98ad6f149bfa20f4f2a9a2e91aac4187/preview</v>
      </c>
      <c r="C1144" s="31" t="str">
        <f>IFERROR(__xludf.DUMMYFUNCTION("""COMPUTED_VALUE"""),"受診案内")</f>
        <v>受診案内</v>
      </c>
      <c r="D1144" s="31" t="str">
        <f>IFERROR(__xludf.DUMMYFUNCTION("""COMPUTED_VALUE"""),"漢方,漢方薬,処方")</f>
        <v>漢方,漢方薬,処方</v>
      </c>
      <c r="E1144" s="31"/>
    </row>
    <row r="1145">
      <c r="A1145" s="31" t="str">
        <f>IFERROR(__xludf.DUMMYFUNCTION("""COMPUTED_VALUE"""),"心拍確認はできますか？/妊娠初期の心拍確認")</f>
        <v>心拍確認はできますか？/妊娠初期の心拍確認</v>
      </c>
      <c r="B1145" s="31" t="str">
        <f>IFERROR(__xludf.DUMMYFUNCTION("""COMPUTED_VALUE"""),"心拍確認は当院で行っております。ご予約は「一般婦人科診療」のメニューからお取りください。なお、卵黄嚢確認には対応しておりません。→https://cline-app.com/qr-codes/98ad6f149bfa20f4f2a9a2e91aac4187/preview")</f>
        <v>心拍確認は当院で行っております。ご予約は「一般婦人科診療」のメニューからお取りください。なお、卵黄嚢確認には対応しておりません。→https://cline-app.com/qr-codes/98ad6f149bfa20f4f2a9a2e91aac4187/preview</v>
      </c>
      <c r="C1145" s="31" t="str">
        <f>IFERROR(__xludf.DUMMYFUNCTION("""COMPUTED_VALUE"""),"受診案内")</f>
        <v>受診案内</v>
      </c>
      <c r="D1145" s="31" t="str">
        <f>IFERROR(__xludf.DUMMYFUNCTION("""COMPUTED_VALUE"""),"心拍確認,妊娠初期,超音波")</f>
        <v>心拍確認,妊娠初期,超音波</v>
      </c>
      <c r="E1145" s="31"/>
    </row>
    <row r="1146">
      <c r="A1146" s="31" t="str">
        <f>IFERROR(__xludf.DUMMYFUNCTION("""COMPUTED_VALUE"""),"オンライン診療のビデオ通話はどのくらいの時間がかかりますか？/オンライン診療の所要時間")</f>
        <v>オンライン診療のビデオ通話はどのくらいの時間がかかりますか？/オンライン診療の所要時間</v>
      </c>
      <c r="B1146" s="31" t="str">
        <f>IFERROR(__xludf.DUMMYFUNCTION("""COMPUTED_VALUE"""),"オンライン診療の通話時間は10分ほどです。予約枠は30分確保されておりますので、ご質問等ございましたらお気軽にお聞きください。")</f>
        <v>オンライン診療の通話時間は10分ほどです。予約枠は30分確保されておりますので、ご質問等ございましたらお気軽にお聞きください。</v>
      </c>
      <c r="C1146" s="31" t="str">
        <f>IFERROR(__xludf.DUMMYFUNCTION("""COMPUTED_VALUE"""),"オンライン診療")</f>
        <v>オンライン診療</v>
      </c>
      <c r="D1146" s="31" t="str">
        <f>IFERROR(__xludf.DUMMYFUNCTION("""COMPUTED_VALUE"""),"オンライン診療,ビデオ通話,時間,所要時間,10分")</f>
        <v>オンライン診療,ビデオ通話,時間,所要時間,10分</v>
      </c>
      <c r="E1146" s="31"/>
    </row>
    <row r="1147">
      <c r="A1147" s="31" t="str">
        <f>IFERROR(__xludf.DUMMYFUNCTION("""COMPUTED_VALUE"""),"予約の時間より前に来ても大丈夫ですか？/予約より早く着いた場合/初診の場合何分前に受付すればいいですか？/予約時間の何分前に行けばいいですか？/来院は何分前が良いですか？")</f>
        <v>予約の時間より前に来ても大丈夫ですか？/予約より早く着いた場合/初診の場合何分前に受付すればいいですか？/予約時間の何分前に行けばいいですか？/来院は何分前が良いですか？</v>
      </c>
      <c r="B1147" s="31" t="str">
        <f>IFERROR(__xludf.DUMMYFUNCTION("""COMPUTED_VALUE"""),"予約時間より前にご来院いただいても問題ございません。ただし、その時間帯のご予約の方が優先となりますので、少しお待ちいただく場合がございます。")</f>
        <v>予約時間より前にご来院いただいても問題ございません。ただし、その時間帯のご予約の方が優先となりますので、少しお待ちいただく場合がございます。</v>
      </c>
      <c r="C1147" s="31" t="str">
        <f>IFERROR(__xludf.DUMMYFUNCTION("""COMPUTED_VALUE"""),"予約・受診")</f>
        <v>予約・受診</v>
      </c>
      <c r="D1147" s="31" t="str">
        <f>IFERROR(__xludf.DUMMYFUNCTION("""COMPUTED_VALUE"""),"予約前,早く着いた,早めに来院")</f>
        <v>予約前,早く着いた,早めに来院</v>
      </c>
      <c r="E1147" s="31"/>
    </row>
    <row r="1148">
      <c r="A1148" s="31" t="str">
        <f>IFERROR(__xludf.DUMMYFUNCTION("""COMPUTED_VALUE"""),"コンジローマの視診の料金はいくらですか？/コンジローマの診察費用")</f>
        <v>コンジローマの視診の料金はいくらですか？/コンジローマの診察費用</v>
      </c>
      <c r="B1148" s="31" t="str">
        <f>IFERROR(__xludf.DUMMYFUNCTION("""COMPUTED_VALUE"""),"コンジローマの視診料金につきましては、受診時に受付にてご確認ください。")</f>
        <v>コンジローマの視診料金につきましては、受診時に受付にてご確認ください。</v>
      </c>
      <c r="C1148" s="31" t="str">
        <f>IFERROR(__xludf.DUMMYFUNCTION("""COMPUTED_VALUE"""),"料金・支払い")</f>
        <v>料金・支払い</v>
      </c>
      <c r="D1148" s="31" t="str">
        <f>IFERROR(__xludf.DUMMYFUNCTION("""COMPUTED_VALUE"""),"コンジローマ,視診,料金")</f>
        <v>コンジローマ,視診,料金</v>
      </c>
      <c r="E1148" s="31"/>
    </row>
    <row r="1149">
      <c r="A1149" s="31" t="str">
        <f>IFERROR(__xludf.DUMMYFUNCTION("""COMPUTED_VALUE"""),"生理中でも膣錠はもらえますか？/生理中の膣錠処方")</f>
        <v>生理中でも膣錠はもらえますか？/生理中の膣錠処方</v>
      </c>
      <c r="B1149" s="31" t="str">
        <f>IFERROR(__xludf.DUMMYFUNCTION("""COMPUTED_VALUE"""),"膣錠の処方可否は医師の判断となりますので、ご受診時に医師にご相談ください。なお、生理中は膣錠が経血と一緒に流れ出てしまうため、使用を控えていただいております。「一般婦人科診療（前回の続き）」のメニューでご予約ください。→https://cline-app.com/qr-codes/98ad6f149bfa20f4f2a9a2e91aac4187/preview")</f>
        <v>膣錠の処方可否は医師の判断となりますので、ご受診時に医師にご相談ください。なお、生理中は膣錠が経血と一緒に流れ出てしまうため、使用を控えていただいております。「一般婦人科診療（前回の続き）」のメニューでご予約ください。→https://cline-app.com/qr-codes/98ad6f149bfa20f4f2a9a2e91aac4187/preview</v>
      </c>
      <c r="C1149" s="31" t="str">
        <f>IFERROR(__xludf.DUMMYFUNCTION("""COMPUTED_VALUE"""),"処方薬")</f>
        <v>処方薬</v>
      </c>
      <c r="D1149" s="31" t="str">
        <f>IFERROR(__xludf.DUMMYFUNCTION("""COMPUTED_VALUE"""),"膣錠,生理中,処方")</f>
        <v>膣錠,生理中,処方</v>
      </c>
      <c r="E1149" s="31"/>
    </row>
    <row r="1150">
      <c r="A1150" s="31" t="str">
        <f>IFERROR(__xludf.DUMMYFUNCTION("""COMPUTED_VALUE"""),"胎児エコーはできますか？/妊娠中のエコー検査はできますか？/赤ちゃんのエコーを見てもらえますか？")</f>
        <v>胎児エコーはできますか？/妊娠中のエコー検査はできますか？/赤ちゃんのエコーを見てもらえますか？</v>
      </c>
      <c r="B1150" s="31" t="str">
        <f>IFERROR(__xludf.DUMMYFUNCTION("""COMPUTED_VALUE"""),"当院では妊娠12週未満の方のエコー検査に対応しております。ご予約は「一般婦人科診療」のメニューからお取りください。→https://cline-app.com/qr-codes/98ad6f149bfa20f4f2a9a2e91aac4187/preview　※妊娠12週以降の方は、かかりつけの産婦人科でのご受診をお願いいたします。")</f>
        <v>当院では妊娠12週未満の方のエコー検査に対応しております。ご予約は「一般婦人科診療」のメニューからお取りください。→https://cline-app.com/qr-codes/98ad6f149bfa20f4f2a9a2e91aac4187/preview　※妊娠12週以降の方は、かかりつけの産婦人科でのご受診をお願いいたします。</v>
      </c>
      <c r="C1150" s="31" t="str">
        <f>IFERROR(__xludf.DUMMYFUNCTION("""COMPUTED_VALUE"""),"受診案内")</f>
        <v>受診案内</v>
      </c>
      <c r="D1150" s="31" t="str">
        <f>IFERROR(__xludf.DUMMYFUNCTION("""COMPUTED_VALUE"""),"胎児エコー,エコー検査,妊娠中,超音波,12週")</f>
        <v>胎児エコー,エコー検査,妊娠中,超音波,12週</v>
      </c>
      <c r="E1150" s="31"/>
    </row>
    <row r="1151">
      <c r="A1151" s="31" t="str">
        <f>IFERROR(__xludf.DUMMYFUNCTION("""COMPUTED_VALUE"""),"排卵誘発剤の処方はしてもらえますか？/排卵誘発剤は出してもらえますか？")</f>
        <v>排卵誘発剤の処方はしてもらえますか？/排卵誘発剤は出してもらえますか？</v>
      </c>
      <c r="B1151" s="31" t="str">
        <f>IFERROR(__xludf.DUMMYFUNCTION("""COMPUTED_VALUE"""),"恐れ入りますが、当院では妊娠・妊活・不妊に関する診療を行っておりませんので、排卵誘発剤の処方は行っておりません。")</f>
        <v>恐れ入りますが、当院では妊娠・妊活・不妊に関する診療を行っておりませんので、排卵誘発剤の処方は行っておりません。</v>
      </c>
      <c r="C1151" s="31" t="str">
        <f>IFERROR(__xludf.DUMMYFUNCTION("""COMPUTED_VALUE"""),"受診可否・対応不可")</f>
        <v>受診可否・対応不可</v>
      </c>
      <c r="D1151" s="31" t="str">
        <f>IFERROR(__xludf.DUMMYFUNCTION("""COMPUTED_VALUE"""),"排卵誘発剤,処方,妊活,不妊,対応不可")</f>
        <v>排卵誘発剤,処方,妊活,不妊,対応不可</v>
      </c>
      <c r="E1151" s="31"/>
    </row>
    <row r="1152">
      <c r="A1152" s="31" t="str">
        <f>IFERROR(__xludf.DUMMYFUNCTION("""COMPUTED_VALUE"""),"妊活の相談はできますか？/妊活について相談したい/不妊の相談はできますか？")</f>
        <v>妊活の相談はできますか？/妊活について相談したい/不妊の相談はできますか？</v>
      </c>
      <c r="B1152" s="31" t="str">
        <f>IFERROR(__xludf.DUMMYFUNCTION("""COMPUTED_VALUE"""),"恐れ入りますが、当院では妊活・不妊に関する診療は行っておりません。妊活を取り扱っているクリニックへのご受診をおすすめいたします。")</f>
        <v>恐れ入りますが、当院では妊活・不妊に関する診療は行っておりません。妊活を取り扱っているクリニックへのご受診をおすすめいたします。</v>
      </c>
      <c r="C1152" s="31" t="str">
        <f>IFERROR(__xludf.DUMMYFUNCTION("""COMPUTED_VALUE"""),"受診可否・対応不可")</f>
        <v>受診可否・対応不可</v>
      </c>
      <c r="D1152" s="31" t="str">
        <f>IFERROR(__xludf.DUMMYFUNCTION("""COMPUTED_VALUE"""),"妊活,不妊,相談,対応不可")</f>
        <v>妊活,不妊,相談,対応不可</v>
      </c>
      <c r="E1152" s="31"/>
    </row>
    <row r="1153">
      <c r="A1153" s="31" t="str">
        <f>IFERROR(__xludf.DUMMYFUNCTION("""COMPUTED_VALUE"""),"高校生でピル処方したいのですが親に知られますか？/未成年のピル処方は親にバレますか？/ピル処方で親に通知は届きますか？")</f>
        <v>高校生でピル処方したいのですが親に知られますか？/未成年のピル処方は親にバレますか？/ピル処方で親に通知は届きますか？</v>
      </c>
      <c r="B1153" s="31" t="str">
        <f>IFERROR(__xludf.DUMMYFUNCTION("""COMPUTED_VALUE"""),"当院では未成年の方のピル処方について、ピルの種類によって対応が異なります。【自費ピル・アフターピル・月経移動ピルの場合】15歳以上であれば保護者の同伴なしでご受診いただけます。通知等がご自宅に届くことはございません。【保険適用のピル（LEP）の場合】初回診察時に保護者の方の同伴が必須となります。来院診療のご予約：こちらのLINEをご利用ください。ご予約は「ピル処方」のメニューからお取りください。→https://cline-app.com/qr-codes/98ad6f149bfa20f4f2a9a2e9"&amp;"1aac4187/preview
オンライン診療のご予約：こちらのオンライン診療LINEページをご利用ください→https://liff-gateway.lineml.jp/landing?follow=%40590gpxrd&amp;lp=fX73yx&amp;liff_id=1657094566-LmjNPPbV")</f>
        <v>当院では未成年の方のピル処方について、ピルの種類によって対応が異なります。【自費ピル・アフターピル・月経移動ピルの場合】15歳以上であれば保護者の同伴なしでご受診いただけます。通知等がご自宅に届くことはございません。【保険適用のピル（LEP）の場合】初回診察時に保護者の方の同伴が必須となります。来院診療のご予約：こちらのLINEをご利用ください。ご予約は「ピル処方」のメニューからお取りください。→https://cline-app.com/qr-codes/98ad6f149bfa20f4f2a9a2e91aac4187/preview
オンライン診療のご予約：こちらのオンライン診療LINEページをご利用ください→https://liff-gateway.lineml.jp/landing?follow=%40590gpxrd&amp;lp=fX73yx&amp;liff_id=1657094566-LmjNPPbV</v>
      </c>
      <c r="C1153" s="31" t="str">
        <f>IFERROR(__xludf.DUMMYFUNCTION("""COMPUTED_VALUE"""),"ピル処方")</f>
        <v>ピル処方</v>
      </c>
      <c r="D1153" s="31" t="str">
        <f>IFERROR(__xludf.DUMMYFUNCTION("""COMPUTED_VALUE"""),"高校生,未成年,親にバレる,保護者,通知,知られる")</f>
        <v>高校生,未成年,親にバレる,保護者,通知,知られる</v>
      </c>
      <c r="E1153" s="31" t="str">
        <f>IFERROR(__xludf.DUMMYFUNCTION("""COMPUTED_VALUE"""),"nan")</f>
        <v>nan</v>
      </c>
    </row>
    <row r="1154">
      <c r="A1154" s="31" t="str">
        <f>IFERROR(__xludf.DUMMYFUNCTION("""COMPUTED_VALUE"""),"処方箋が切れた場合どうすればいいですか？/自費ピルの処方箋の期限が切れた/処方箋の再発行はできますか？")</f>
        <v>処方箋が切れた場合どうすればいいですか？/自費ピルの処方箋の期限が切れた/処方箋の再発行はできますか？</v>
      </c>
      <c r="B1154" s="31" t="str">
        <f>IFERROR(__xludf.DUMMYFUNCTION("""COMPUTED_VALUE"""),"期限切れの処方箋は受付にて再発行が可能です。再発行料は1,100円（税込）です。再度の診察は基本的に不要ですが、前回の処方からだいぶ期間が空いている場合はカウンセリングがある場合がございます。")</f>
        <v>期限切れの処方箋は受付にて再発行が可能です。再発行料は1,100円（税込）です。再度の診察は基本的に不要ですが、前回の処方からだいぶ期間が空いている場合はカウンセリングがある場合がございます。</v>
      </c>
      <c r="C1154" s="31" t="str">
        <f>IFERROR(__xludf.DUMMYFUNCTION("""COMPUTED_VALUE"""),"ピル処方")</f>
        <v>ピル処方</v>
      </c>
      <c r="D1154" s="31" t="str">
        <f>IFERROR(__xludf.DUMMYFUNCTION("""COMPUTED_VALUE"""),"処方箋,期限切れ,再発行,1100円")</f>
        <v>処方箋,期限切れ,再発行,1100円</v>
      </c>
      <c r="E1154" s="31"/>
    </row>
    <row r="1155">
      <c r="A1155" s="31" t="str">
        <f>IFERROR(__xludf.DUMMYFUNCTION("""COMPUTED_VALUE"""),"スリンダは避妊効果はありますか？/スリンダに避妊効果はある？/ミニピルの避妊効果")</f>
        <v>スリンダは避妊効果はありますか？/スリンダに避妊効果はある？/ミニピルの避妊効果</v>
      </c>
      <c r="B1155" s="31" t="str">
        <f>IFERROR(__xludf.DUMMYFUNCTION("""COMPUTED_VALUE"""),"スリンダ（ミニピル）には避妊効果がございます。")</f>
        <v>スリンダ（ミニピル）には避妊効果がございます。</v>
      </c>
      <c r="C1155" s="31" t="str">
        <f>IFERROR(__xludf.DUMMYFUNCTION("""COMPUTED_VALUE"""),"ピル処方")</f>
        <v>ピル処方</v>
      </c>
      <c r="D1155" s="31" t="str">
        <f>IFERROR(__xludf.DUMMYFUNCTION("""COMPUTED_VALUE"""),"スリンダ,ミニピル,避妊効果")</f>
        <v>スリンダ,ミニピル,避妊効果</v>
      </c>
      <c r="E1155" s="31"/>
    </row>
    <row r="1156">
      <c r="A1156" s="31" t="str">
        <f>IFERROR(__xludf.DUMMYFUNCTION("""COMPUTED_VALUE"""),"スリンダで生理日程をずらせますか？/スリンダで月経移動はできますか？/ミニピルで生理をずらしたい")</f>
        <v>スリンダで生理日程をずらせますか？/スリンダで月経移動はできますか？/ミニピルで生理をずらしたい</v>
      </c>
      <c r="B1156" s="31" t="str">
        <f>IFERROR(__xludf.DUMMYFUNCTION("""COMPUTED_VALUE"""),"スリンダ（ミニピル）での月経移動については、事前に看護師への確認が必要となります。")</f>
        <v>スリンダ（ミニピル）での月経移動については、事前に看護師への確認が必要となります。</v>
      </c>
      <c r="C1156" s="31" t="str">
        <f>IFERROR(__xludf.DUMMYFUNCTION("""COMPUTED_VALUE"""),"ピル処方")</f>
        <v>ピル処方</v>
      </c>
      <c r="D1156" s="31" t="str">
        <f>IFERROR(__xludf.DUMMYFUNCTION("""COMPUTED_VALUE"""),"スリンダ,ミニピル,月経移動,生理をずらす,日程変更")</f>
        <v>スリンダ,ミニピル,月経移動,生理をずらす,日程変更</v>
      </c>
      <c r="E1156" s="31"/>
    </row>
    <row r="1157">
      <c r="A1157" s="31" t="str">
        <f>IFERROR(__xludf.DUMMYFUNCTION("""COMPUTED_VALUE"""),"コルポスコピー検査はできますか？/コルポ検査は受けられますか？/組織診は受けられますか？")</f>
        <v>コルポスコピー検査はできますか？/コルポ検査は受けられますか？/組織診は受けられますか？</v>
      </c>
      <c r="B1157" s="31" t="str">
        <f>IFERROR(__xludf.DUMMYFUNCTION("""COMPUTED_VALUE"""),"恐れ入りますが、コルポスコピー検査（腟拡大鏡検査）は当院では行っておりません。")</f>
        <v>恐れ入りますが、コルポスコピー検査（腟拡大鏡検査）は当院では行っておりません。</v>
      </c>
      <c r="C1157" s="31" t="str">
        <f>IFERROR(__xludf.DUMMYFUNCTION("""COMPUTED_VALUE"""),"受診可否・対応不可")</f>
        <v>受診可否・対応不可</v>
      </c>
      <c r="D1157" s="31" t="str">
        <f>IFERROR(__xludf.DUMMYFUNCTION("""COMPUTED_VALUE"""),"コルポスコピー,コルポ,組織診,腟拡大鏡")</f>
        <v>コルポスコピー,コルポ,組織診,腟拡大鏡</v>
      </c>
      <c r="E1157" s="31"/>
    </row>
    <row r="1158">
      <c r="A1158" s="31" t="str">
        <f>IFERROR(__xludf.DUMMYFUNCTION("""COMPUTED_VALUE"""),"子宮頸がんの精密検査はできますか？/子宮頸がん検査で要精密検査と言われました/子宮頸がんの再検査をしたい")</f>
        <v>子宮頸がんの精密検査はできますか？/子宮頸がん検査で要精密検査と言われました/子宮頸がんの再検査をしたい</v>
      </c>
      <c r="B1158" s="31" t="str">
        <f>IFERROR(__xludf.DUMMYFUNCTION("""COMPUTED_VALUE"""),"子宮頸がんの精密検査につきましては、検査結果の内容によってご案内が異なります。検査結果をお手元にご準備の上、お電話（050-1730-2768）にてお問い合わせください。")</f>
        <v>子宮頸がんの精密検査につきましては、検査結果の内容によってご案内が異なります。検査結果をお手元にご準備の上、お電話（050-1730-2768）にてお問い合わせください。</v>
      </c>
      <c r="C1158" s="31" t="str">
        <f>IFERROR(__xludf.DUMMYFUNCTION("""COMPUTED_VALUE"""),"検診")</f>
        <v>検診</v>
      </c>
      <c r="D1158" s="31" t="str">
        <f>IFERROR(__xludf.DUMMYFUNCTION("""COMPUTED_VALUE"""),"子宮頸がん,精密検査,要精密検査,再検査")</f>
        <v>子宮頸がん,精密検査,要精密検査,再検査</v>
      </c>
      <c r="E1158" s="31"/>
    </row>
    <row r="1159">
      <c r="A1159" s="31" t="str">
        <f>IFERROR(__xludf.DUMMYFUNCTION("""COMPUTED_VALUE"""),"中絶手術にパートナーは付き添えますか？/手術後はパートナーが付き添えますか？/手術当日に保護者は一緒に待てますか？")</f>
        <v>中絶手術にパートナーは付き添えますか？/手術後はパートナーが付き添えますか？/手術当日に保護者は一緒に待てますか？</v>
      </c>
      <c r="B1159" s="31" t="str">
        <f>IFERROR(__xludf.DUMMYFUNCTION("""COMPUTED_VALUE"""),"男性のご入室は当院ではお断りしております。また、中絶手術当日のお付き添い（保護者の方を含む）および院内でお待ちいただくことは出来ませんので予めご了承くださいませ。")</f>
        <v>男性のご入室は当院ではお断りしております。また、中絶手術当日のお付き添い（保護者の方を含む）および院内でお待ちいただくことは出来ませんので予めご了承くださいませ。</v>
      </c>
      <c r="C1159" s="31" t="str">
        <f>IFERROR(__xludf.DUMMYFUNCTION("""COMPUTED_VALUE"""),"中絶手術")</f>
        <v>中絶手術</v>
      </c>
      <c r="D1159" s="31" t="str">
        <f>IFERROR(__xludf.DUMMYFUNCTION("""COMPUTED_VALUE"""),"付き添い,パートナー,手術,保護者,待つ,入室")</f>
        <v>付き添い,パートナー,手術,保護者,待つ,入室</v>
      </c>
      <c r="E1159" s="31"/>
    </row>
    <row r="1160">
      <c r="A1160" s="31" t="str">
        <f>IFERROR(__xludf.DUMMYFUNCTION("""COMPUTED_VALUE"""),"経膣エコーが痛いのですが配慮してもらえますか？/内診が怖いです/検査の痛みが心配/内診は拒否できますか？/内診は必須ですか？/内診したくない/性交渉経験がないのですが内診はありますか？/内診は必ずしなければいけませんか/生理不順は内診しますか/内診を受けずに診察や処方はできますか？")</f>
        <v>経膣エコーが痛いのですが配慮してもらえますか？/内診が怖いです/検査の痛みが心配/内診は拒否できますか？/内診は必須ですか？/内診したくない/性交渉経験がないのですが内診はありますか？/内診は必ずしなければいけませんか/生理不順は内診しますか/内診を受けずに診察や処方はできますか？</v>
      </c>
      <c r="B1160" s="31" t="str">
        <f>IFERROR(__xludf.DUMMYFUNCTION("""COMPUTED_VALUE"""),"検査時のご不安やお痛みについては、診察の際に医師やスタッフにお伝えください。できる限り配慮してご対応いたします。")</f>
        <v>検査時のご不安やお痛みについては、診察の際に医師やスタッフにお伝えください。できる限り配慮してご対応いたします。</v>
      </c>
      <c r="C1160" s="31" t="str">
        <f>IFERROR(__xludf.DUMMYFUNCTION("""COMPUTED_VALUE"""),"受診案内")</f>
        <v>受診案内</v>
      </c>
      <c r="D1160" s="31" t="str">
        <f>IFERROR(__xludf.DUMMYFUNCTION("""COMPUTED_VALUE"""),"経膣エコー,痛み,内診,配慮,怖い")</f>
        <v>経膣エコー,痛み,内診,配慮,怖い</v>
      </c>
      <c r="E1160" s="31"/>
    </row>
    <row r="1161">
      <c r="A1161" s="31" t="str">
        <f>IFERROR(__xludf.DUMMYFUNCTION("""COMPUTED_VALUE"""),"保険診療と自由診療はどう決まるのですか？/保険か自費かの判別はどうするの？/保険適用になるかどうかの基準は？")</f>
        <v>保険診療と自由診療はどう決まるのですか？/保険か自費かの判別はどうするの？/保険適用になるかどうかの基準は？</v>
      </c>
      <c r="B1161" s="31" t="str">
        <f>IFERROR(__xludf.DUMMYFUNCTION("""COMPUTED_VALUE"""),"保険適用か自由診療かは、症状の有無やご受診内容によって異なります。具体的な適用可否は診察時に医師が判断いたします。")</f>
        <v>保険適用か自由診療かは、症状の有無やご受診内容によって異なります。具体的な適用可否は診察時に医師が判断いたします。</v>
      </c>
      <c r="C1161" s="31" t="str">
        <f>IFERROR(__xludf.DUMMYFUNCTION("""COMPUTED_VALUE"""),"料金・保険")</f>
        <v>料金・保険</v>
      </c>
      <c r="D1161" s="31" t="str">
        <f>IFERROR(__xludf.DUMMYFUNCTION("""COMPUTED_VALUE"""),"保険診療,自由診療,判別,保険適用,自費")</f>
        <v>保険診療,自由診療,判別,保険適用,自費</v>
      </c>
      <c r="E1161" s="31"/>
    </row>
    <row r="1162">
      <c r="A1162" s="31" t="str">
        <f>IFERROR(__xludf.DUMMYFUNCTION("""COMPUTED_VALUE"""),"診察の流れを教えてください/初めて受診する場合の流れは？/来院時の流れ/受診の流れ")</f>
        <v>診察の流れを教えてください/初めて受診する場合の流れは？/来院時の流れ/受診の流れ</v>
      </c>
      <c r="B1162" s="31" t="str">
        <f>IFERROR(__xludf.DUMMYFUNCTION("""COMPUTED_VALUE"""),"ご来院後の流れは、受付→WEB問診（事前にご回答いただくとスムーズです）→診察→検査（必要な場合）→お会計となります。ご予約は公式LINEから24時間承っております。LINEはこちら→https://cline-app.com/qr-codes/98ad6f149bfa20f4f2a9a2e91aac4187/preview")</f>
        <v>ご来院後の流れは、受付→WEB問診（事前にご回答いただくとスムーズです）→診察→検査（必要な場合）→お会計となります。ご予約は公式LINEから24時間承っております。LINEはこちら→https://cline-app.com/qr-codes/98ad6f149bfa20f4f2a9a2e91aac4187/preview</v>
      </c>
      <c r="C1162" s="31" t="str">
        <f>IFERROR(__xludf.DUMMYFUNCTION("""COMPUTED_VALUE"""),"受診案内")</f>
        <v>受診案内</v>
      </c>
      <c r="D1162" s="31" t="str">
        <f>IFERROR(__xludf.DUMMYFUNCTION("""COMPUTED_VALUE"""),"診察の流れ,初めて,来院,受診の流れ")</f>
        <v>診察の流れ,初めて,来院,受診の流れ</v>
      </c>
      <c r="E1162" s="31"/>
    </row>
    <row r="1163">
      <c r="A1163" s="31" t="str">
        <f>IFERROR(__xludf.DUMMYFUNCTION("""COMPUTED_VALUE"""),"定期便とは何ですか？/定期配送とは/ピルの定期購入とは/定期便について教えてください")</f>
        <v>定期便とは何ですか？/定期配送とは/ピルの定期購入とは/定期便について教えてください</v>
      </c>
      <c r="B1163" s="31" t="str">
        <f>IFERROR(__xludf.DUMMYFUNCTION("""COMPUTED_VALUE"""),"低用量ピルの定期配送サービスです。オンライン診療で処方を受けた後、ご自宅にお薬を定期的にお届けします。詳しくはこちら→https://luna-dr.com/telemedicine/")</f>
        <v>低用量ピルの定期配送サービスです。オンライン診療で処方を受けた後、ご自宅にお薬を定期的にお届けします。詳しくはこちら→https://luna-dr.com/telemedicine/</v>
      </c>
      <c r="C1163" s="31" t="str">
        <f>IFERROR(__xludf.DUMMYFUNCTION("""COMPUTED_VALUE"""),"定期配送")</f>
        <v>定期配送</v>
      </c>
      <c r="D1163" s="31" t="str">
        <f>IFERROR(__xludf.DUMMYFUNCTION("""COMPUTED_VALUE"""),"定期便,定期配送,定期購入,とは")</f>
        <v>定期便,定期配送,定期購入,とは</v>
      </c>
      <c r="E1163" s="32" t="str">
        <f>IFERROR(__xludf.DUMMYFUNCTION("""COMPUTED_VALUE"""),"https://luna-dr.com/telemedicine/")</f>
        <v>https://luna-dr.com/telemedicine/</v>
      </c>
    </row>
    <row r="1164">
      <c r="A1164" s="31" t="str">
        <f>IFERROR(__xludf.DUMMYFUNCTION("""COMPUTED_VALUE"""),"検査結果はいつ分かりますか？/検査結果はどれくらいで出ますか？/結果はいつ頃わかりますか？/培養検査の結果はどれくらいで出る？/雑菌検査結果はいつ出ますか？")</f>
        <v>検査結果はいつ分かりますか？/検査結果はどれくらいで出ますか？/結果はいつ頃わかりますか？/培養検査の結果はどれくらいで出る？/雑菌検査結果はいつ出ますか？</v>
      </c>
      <c r="B1164" s="31" t="str">
        <f>IFERROR(__xludf.DUMMYFUNCTION("""COMPUTED_VALUE"""),"検査結果は検査の種類によって異なります。クラミジア・淋菌等は約4日〜10日後にWebでご確認いただけます。血液検査は約1〜2週間後にご来院いただき医師から直接ご説明いたします。検査結果確認サイトはこちら→https://result.luna-dr.com/clinic_login")</f>
        <v>検査結果は検査の種類によって異なります。クラミジア・淋菌等は約4日〜10日後にWebでご確認いただけます。血液検査は約1〜2週間後にご来院いただき医師から直接ご説明いたします。検査結果確認サイトはこちら→https://result.luna-dr.com/clinic_login</v>
      </c>
      <c r="C1164" s="31" t="str">
        <f>IFERROR(__xludf.DUMMYFUNCTION("""COMPUTED_VALUE"""),"検査結果")</f>
        <v>検査結果</v>
      </c>
      <c r="D1164" s="31" t="str">
        <f>IFERROR(__xludf.DUMMYFUNCTION("""COMPUTED_VALUE"""),"検査結果,いつ,どれくらい,結果,日数")</f>
        <v>検査結果,いつ,どれくらい,結果,日数</v>
      </c>
      <c r="E1164" s="32" t="str">
        <f>IFERROR(__xludf.DUMMYFUNCTION("""COMPUTED_VALUE"""),"https://result.luna-dr.com/clinic_login")</f>
        <v>https://result.luna-dr.com/clinic_login</v>
      </c>
    </row>
    <row r="1165">
      <c r="A1165" s="31" t="str">
        <f>IFERROR(__xludf.DUMMYFUNCTION("""COMPUTED_VALUE"""),"尿路感染は診てもらえますか？/尿路感染症の診察はできますか？/膀胱炎と尿路感染の両方を診てもらえますか？/尿路感染について相談したい/尿路感染か膣炎疑いなんですが/尿路感染と膣炎の両方を診てもらえますか？")</f>
        <v>尿路感染は診てもらえますか？/尿路感染症の診察はできますか？/膀胱炎と尿路感染の両方を診てもらえますか？/尿路感染について相談したい/尿路感染か膣炎疑いなんですが/尿路感染と膣炎の両方を診てもらえますか？</v>
      </c>
      <c r="B1165" s="31" t="str">
        <f>IFERROR(__xludf.DUMMYFUNCTION("""COMPUTED_VALUE"""),"尿路感染症については泌尿器科が専門となるため、当院での診察は行っておりません。お近くの泌尿器科へのご受診をお願いいたします。")</f>
        <v>尿路感染症については泌尿器科が専門となるため、当院での診察は行っておりません。お近くの泌尿器科へのご受診をお願いいたします。</v>
      </c>
      <c r="C1165" s="31" t="str">
        <f>IFERROR(__xludf.DUMMYFUNCTION("""COMPUTED_VALUE"""),"対応不可")</f>
        <v>対応不可</v>
      </c>
      <c r="D1165" s="31" t="str">
        <f>IFERROR(__xludf.DUMMYFUNCTION("""COMPUTED_VALUE"""),"尿路感染,尿路感染症,泌尿器科,膀胱炎,膣炎")</f>
        <v>尿路感染,尿路感染症,泌尿器科,膀胱炎,膣炎</v>
      </c>
      <c r="E1165" s="31"/>
    </row>
    <row r="1166">
      <c r="A1166" s="31" t="str">
        <f>IFERROR(__xludf.DUMMYFUNCTION("""COMPUTED_VALUE"""),"モナリザタッチはできますか？/モナリザタッチは行っていますか？/モナリザタッチについて教えてください")</f>
        <v>モナリザタッチはできますか？/モナリザタッチは行っていますか？/モナリザタッチについて教えてください</v>
      </c>
      <c r="B1166" s="31" t="str">
        <f>IFERROR(__xludf.DUMMYFUNCTION("""COMPUTED_VALUE"""),"モナリザタッチは当院では行っておりません。モナリザタッチをご希望の場合は、取り扱いのあるクリニックへのご受診をお願いいたします。")</f>
        <v>モナリザタッチは当院では行っておりません。モナリザタッチをご希望の場合は、取り扱いのあるクリニックへのご受診をお願いいたします。</v>
      </c>
      <c r="C1166" s="31" t="str">
        <f>IFERROR(__xludf.DUMMYFUNCTION("""COMPUTED_VALUE"""),"対応不可")</f>
        <v>対応不可</v>
      </c>
      <c r="D1166" s="31" t="str">
        <f>IFERROR(__xludf.DUMMYFUNCTION("""COMPUTED_VALUE"""),"モナリザタッチ,MonaLisa Touch,レーザー治療")</f>
        <v>モナリザタッチ,MonaLisa Touch,レーザー治療</v>
      </c>
      <c r="E1166" s="31"/>
    </row>
    <row r="1167">
      <c r="A1167" s="31" t="str">
        <f>IFERROR(__xludf.DUMMYFUNCTION("""COMPUTED_VALUE"""),"妊娠中の咳や気管支の痛みで受診できますか？/妊娠中の風邪は診てもらえますか？/妊娠中の内科的な症状")</f>
        <v>妊娠中の咳や気管支の痛みで受診できますか？/妊娠中の風邪は診てもらえますか？/妊娠中の内科的な症状</v>
      </c>
      <c r="B1167" s="31" t="str">
        <f>IFERROR(__xludf.DUMMYFUNCTION("""COMPUTED_VALUE"""),"当院は婦人科のため、咳・気管支の痛みなどの内科的な症状の診療は行っておりません。内科へのご受診をお願いいたします。")</f>
        <v>当院は婦人科のため、咳・気管支の痛みなどの内科的な症状の診療は行っておりません。内科へのご受診をお願いいたします。</v>
      </c>
      <c r="C1167" s="31" t="str">
        <f>IFERROR(__xludf.DUMMYFUNCTION("""COMPUTED_VALUE"""),"対応不可")</f>
        <v>対応不可</v>
      </c>
      <c r="D1167" s="31" t="str">
        <f>IFERROR(__xludf.DUMMYFUNCTION("""COMPUTED_VALUE"""),"妊娠中,咳,気管支,内科,風邪")</f>
        <v>妊娠中,咳,気管支,内科,風邪</v>
      </c>
      <c r="E1167" s="31"/>
    </row>
    <row r="1168">
      <c r="A1168" s="31" t="str">
        <f>IFERROR(__xludf.DUMMYFUNCTION("""COMPUTED_VALUE"""),"脱毛は取り扱っていますか？/医療脱毛はできますか？/脱毛について")</f>
        <v>脱毛は取り扱っていますか？/医療脱毛はできますか？/脱毛について</v>
      </c>
      <c r="B1168" s="31" t="str">
        <f>IFERROR(__xludf.DUMMYFUNCTION("""COMPUTED_VALUE"""),"当院では脱毛（医療脱毛を含む）は行っておりません。")</f>
        <v>当院では脱毛（医療脱毛を含む）は行っておりません。</v>
      </c>
      <c r="C1168" s="31" t="str">
        <f>IFERROR(__xludf.DUMMYFUNCTION("""COMPUTED_VALUE"""),"対応不可")</f>
        <v>対応不可</v>
      </c>
      <c r="D1168" s="31" t="str">
        <f>IFERROR(__xludf.DUMMYFUNCTION("""COMPUTED_VALUE"""),"脱毛,医療脱毛")</f>
        <v>脱毛,医療脱毛</v>
      </c>
      <c r="E1168" s="31"/>
    </row>
    <row r="1169">
      <c r="A1169" s="31" t="str">
        <f>IFERROR(__xludf.DUMMYFUNCTION("""COMPUTED_VALUE"""),"アレルギー検査は行っていますか？/アレルギー検査はできますか？/アレルギーの検査")</f>
        <v>アレルギー検査は行っていますか？/アレルギー検査はできますか？/アレルギーの検査</v>
      </c>
      <c r="B1169" s="31" t="str">
        <f>IFERROR(__xludf.DUMMYFUNCTION("""COMPUTED_VALUE"""),"当院は婦人科のため、アレルギー検査は行っておりません。アレルギー科または内科へのご受診をお願いいたします。")</f>
        <v>当院は婦人科のため、アレルギー検査は行っておりません。アレルギー科または内科へのご受診をお願いいたします。</v>
      </c>
      <c r="C1169" s="31" t="str">
        <f>IFERROR(__xludf.DUMMYFUNCTION("""COMPUTED_VALUE"""),"対応不可")</f>
        <v>対応不可</v>
      </c>
      <c r="D1169" s="31" t="str">
        <f>IFERROR(__xludf.DUMMYFUNCTION("""COMPUTED_VALUE"""),"アレルギー検査,アレルギー")</f>
        <v>アレルギー検査,アレルギー</v>
      </c>
      <c r="E1169" s="31"/>
    </row>
    <row r="1170">
      <c r="A1170" s="31" t="str">
        <f>IFERROR(__xludf.DUMMYFUNCTION("""COMPUTED_VALUE"""),"父親が娘を連れて受診できますか？/父親の付き添いは可能ですか？/男性の保護者は同伴できますか？")</f>
        <v>父親が娘を連れて受診できますか？/父親の付き添いは可能ですか？/男性の保護者は同伴できますか？</v>
      </c>
      <c r="B1170" s="31" t="str">
        <f>IFERROR(__xludf.DUMMYFUNCTION("""COMPUTED_VALUE"""),"当院は女性専用のため、男性の方のご入室はお断りしております。18歳未満の患者さまには保護者の同伴が必須ですが、女性の保護者の方にお願いしております。男性の保護者の方は院外でお待ちいただくことになりますので、ご了承ください。")</f>
        <v>当院は女性専用のため、男性の方のご入室はお断りしております。18歳未満の患者さまには保護者の同伴が必須ですが、女性の保護者の方にお願いしております。男性の保護者の方は院外でお待ちいただくことになりますので、ご了承ください。</v>
      </c>
      <c r="C1170" s="31" t="str">
        <f>IFERROR(__xludf.DUMMYFUNCTION("""COMPUTED_VALUE"""),"受診案内")</f>
        <v>受診案内</v>
      </c>
      <c r="D1170" s="31" t="str">
        <f>IFERROR(__xludf.DUMMYFUNCTION("""COMPUTED_VALUE"""),"父親,男性,保護者,付き添い,高校生,娘")</f>
        <v>父親,男性,保護者,付き添い,高校生,娘</v>
      </c>
      <c r="E1170" s="31"/>
    </row>
    <row r="1171">
      <c r="A1171" s="31" t="str">
        <f>IFERROR(__xludf.DUMMYFUNCTION("""COMPUTED_VALUE"""),"アクセスと診療時間を教えてください/場所と診療時間/アクセスと診療時間")</f>
        <v>アクセスと診療時間を教えてください/場所と診療時間/アクセスと診療時間</v>
      </c>
      <c r="B1171" s="31" t="str">
        <f>IFERROR(__xludf.DUMMYFUNCTION("""COMPUTED_VALUE"""),"ルナレディースクリニックの住所は院によって異なります。
・横浜駅前院：〒220-0004 神奈川県横浜市西区北幸1丁目1-8 エキニア横浜7F（横浜駅から徒歩2分）。詳しくはこちら：https://luna-dr.com/yokohama/
・川崎駅前院：〒210-0007 神奈川県川崎市川崎区駅前本町3-1 NMF川崎東口ビルB1F（川崎駅から徒歩30秒）。詳しくはこちら：https://luna-dr.com/kawasaki/
・町田駅前院：〒194-0013 東京都町田市原町田6丁目3-20 TK"&amp;"町田ビル3階（町田駅から徒歩2分）。詳しくはこちら：https://luna-dr.com/
診療時間は院によって診療時間・休診日が異なります。
・横浜駅前院：平日は午前診療が10:00〜14:00、午後診療が15:30〜20:00です。土日祝は午前診療が10:00〜14:00、午後診療が15:30〜19:00です。土日祝日も含め、毎日診療を行っています。診療時間はこちら：https://luna-dr.com/yokohama/consultation-hours/ 
・川崎駅前院：平日は午前診療が10"&amp;":00〜14:00、午後診療が15:30〜20:00です。土日祝は午前診療が10:00〜14:00、午後診療が15:30〜19:00です。土日祝日も含め、毎日診療を行っています。診療時間はこちら：https://luna-dr.com/kawasaki/consultation-hours/ 
・町田駅前院：午前診療が10:00〜14:00、午後診療が15:30〜20:00です。日曜は休診となります。土曜日の午後診療は15:30〜19:00です。診療時間はこちら：https://luna-dr.com/m"&amp;"achida/consultation-hours/")</f>
        <v>ルナレディースクリニックの住所は院によって異なります。
・横浜駅前院：〒220-0004 神奈川県横浜市西区北幸1丁目1-8 エキニア横浜7F（横浜駅から徒歩2分）。詳しくはこちら：https://luna-dr.com/yokohama/
・川崎駅前院：〒210-0007 神奈川県川崎市川崎区駅前本町3-1 NMF川崎東口ビルB1F（川崎駅から徒歩30秒）。詳しくはこちら：https://luna-dr.com/kawasaki/
・町田駅前院：〒194-0013 東京都町田市原町田6丁目3-20 TK町田ビル3階（町田駅から徒歩2分）。詳しくはこちら：https://luna-dr.com/
診療時間は院によって診療時間・休診日が異なります。
・横浜駅前院：平日は午前診療が10:00〜14:00、午後診療が15:30〜20:00です。土日祝は午前診療が10:00〜14:00、午後診療が15:30〜19:00です。土日祝日も含め、毎日診療を行っています。診療時間はこちら：https://luna-dr.com/yokohama/consultation-hours/ 
・川崎駅前院：平日は午前診療が10:00〜14:00、午後診療が15:30〜20:00です。土日祝は午前診療が10:00〜14:00、午後診療が15:30〜19:00です。土日祝日も含め、毎日診療を行っています。診療時間はこちら：https://luna-dr.com/kawasaki/consultation-hours/ 
・町田駅前院：午前診療が10:00〜14:00、午後診療が15:30〜20:00です。日曜は休診となります。土曜日の午後診療は15:30〜19:00です。診療時間はこちら：https://luna-dr.com/machida/consultation-hours/</v>
      </c>
      <c r="C1171" s="31" t="str">
        <f>IFERROR(__xludf.DUMMYFUNCTION("""COMPUTED_VALUE"""),"アクセス")</f>
        <v>アクセス</v>
      </c>
      <c r="D1171" s="31" t="str">
        <f>IFERROR(__xludf.DUMMYFUNCTION("""COMPUTED_VALUE"""),"アクセス,診療時間,場所,行き方")</f>
        <v>アクセス,診療時間,場所,行き方</v>
      </c>
      <c r="E1171" s="31"/>
    </row>
    <row r="1172">
      <c r="A1172" s="31" t="str">
        <f>IFERROR(__xludf.DUMMYFUNCTION("""COMPUTED_VALUE"""),"婦人科検診の結果はどこで見られますか？/検査結果のネットでの見方を教えてください/検査結果の確認方法/子宮頸がん検診の結果の見方/検査結果をWebで確認する方法/結果はどうやって見るんですか？/がん検査結果の表がほしい/検査結果の書類をもらいたい/検査結果を紙でもらえますか")</f>
        <v>婦人科検診の結果はどこで見られますか？/検査結果のネットでの見方を教えてください/検査結果の確認方法/子宮頸がん検診の結果の見方/検査結果をWebで確認する方法/結果はどうやって見るんですか？/がん検査結果の表がほしい/検査結果の書類をもらいたい/検査結果を紙でもらえますか</v>
      </c>
      <c r="B1172" s="31" t="str">
        <f>IFERROR(__xludf.DUMMYFUNCTION("""COMPUTED_VALUE"""),"婦人科検診の結果は、検査日から約2週間後に検査結果確認サイトからWebでご確認いただけます。確認サイトはこちら→https://result.luna-dr.com/clinic_login 診察番号（患者番号）はLINEまたは領収書からご確認いただけます。詳しい確認手順はこちらのページをご参照ください。→https://luna-dr.notion.site/f0a26ab231534d8fa9cb069193c411a4　精密検査や治療が必要な結果だった場合は、医師が改めて診察を行い、今後の治療方針に"&amp;"ついてご説明します。")</f>
        <v>婦人科検診の結果は、検査日から約2週間後に検査結果確認サイトからWebでご確認いただけます。確認サイトはこちら→https://result.luna-dr.com/clinic_login 診察番号（患者番号）はLINEまたは領収書からご確認いただけます。詳しい確認手順はこちらのページをご参照ください。→https://luna-dr.notion.site/f0a26ab231534d8fa9cb069193c411a4　精密検査や治療が必要な結果だった場合は、医師が改めて診察を行い、今後の治療方針についてご説明します。</v>
      </c>
      <c r="C1172" s="31" t="str">
        <f>IFERROR(__xludf.DUMMYFUNCTION("""COMPUTED_VALUE"""),"検査結果")</f>
        <v>検査結果</v>
      </c>
      <c r="D1172" s="31" t="str">
        <f>IFERROR(__xludf.DUMMYFUNCTION("""COMPUTED_VALUE"""),"検査結果,確認方法,見方,Web,ネット,子宮頸がん検診,婦人科検診,結果確認")</f>
        <v>検査結果,確認方法,見方,Web,ネット,子宮頸がん検診,婦人科検診,結果確認</v>
      </c>
      <c r="E1172" s="31"/>
    </row>
    <row r="1173">
      <c r="A1173" s="31" t="str">
        <f>IFERROR(__xludf.DUMMYFUNCTION("""COMPUTED_VALUE"""),"超低用量ピルは処方してもらえますか？/超低用量ピルの取り扱いはありますか？/LEPは処方可能ですか？")</f>
        <v>超低用量ピルは処方してもらえますか？/超低用量ピルの取り扱いはありますか？/LEPは処方可能ですか？</v>
      </c>
      <c r="B1173" s="31" t="str">
        <f>IFERROR(__xludf.DUMMYFUNCTION("""COMPUTED_VALUE"""),"超低用量ピル（LEP）は来院診療にて医師の診察（エコー）を受けていただき、医師の許可があれば処方可能です。当院で取り扱いのある超低用量ピルは、ヤーズフレックス・ドロエチ・ルリウェル（ルナベル）ULD・ヤーズ配合錠・ジェミーナがございます。ご予約は公式LINEから24時間承っております。LINEはこちら→https://cline-app.com/qr-codes/98ad6f149bfa20f4f2a9a2e91aac4187/preview")</f>
        <v>超低用量ピル（LEP）は来院診療にて医師の診察（エコー）を受けていただき、医師の許可があれば処方可能です。当院で取り扱いのある超低用量ピルは、ヤーズフレックス・ドロエチ・ルリウェル（ルナベル）ULD・ヤーズ配合錠・ジェミーナがございます。ご予約は公式LINEから24時間承っております。LINEはこちら→https://cline-app.com/qr-codes/98ad6f149bfa20f4f2a9a2e91aac4187/preview</v>
      </c>
      <c r="C1173" s="31" t="str">
        <f>IFERROR(__xludf.DUMMYFUNCTION("""COMPUTED_VALUE"""),"低用量ピル")</f>
        <v>低用量ピル</v>
      </c>
      <c r="D1173" s="31" t="str">
        <f>IFERROR(__xludf.DUMMYFUNCTION("""COMPUTED_VALUE"""),"超低用量ピル,LEP,ヤーズフレックス,ドロエチ,ルリウェル,ルナベル,ジェミーナ,ヤーズ")</f>
        <v>超低用量ピル,LEP,ヤーズフレックス,ドロエチ,ルリウェル,ルナベル,ジェミーナ,ヤーズ</v>
      </c>
      <c r="E1173" s="31"/>
    </row>
    <row r="1174">
      <c r="A1174" s="31" t="str">
        <f>IFERROR(__xludf.DUMMYFUNCTION("""COMPUTED_VALUE"""),"低用量ピルは定期便ではなく1シートだけオンラインで購入できますか？/ピルを1シートだけ買いたい/単発でピルを買えますか？")</f>
        <v>低用量ピルは定期便ではなく1シートだけオンラインで購入できますか？/ピルを1シートだけ買いたい/単発でピルを買えますか？</v>
      </c>
      <c r="B1174" s="31" t="str">
        <f>IFERROR(__xludf.DUMMYFUNCTION("""COMPUTED_VALUE"""),"ネットショップでの単発購入は行っておりません。1シートのみのご購入をご希望の場合は、オンライン診療を受けていただいたうえで単品購入が可能です。オンライン診療はこちらのLINEからご予約ください。→https://liff-gateway.lineml.jp/landing?follow=%40590gpxrd&amp;lp=rJHUjK&amp;liff_id=1657094566-LmjNPPbV")</f>
        <v>ネットショップでの単発購入は行っておりません。1シートのみのご購入をご希望の場合は、オンライン診療を受けていただいたうえで単品購入が可能です。オンライン診療はこちらのLINEからご予約ください。→https://liff-gateway.lineml.jp/landing?follow=%40590gpxrd&amp;lp=rJHUjK&amp;liff_id=1657094566-LmjNPPbV</v>
      </c>
      <c r="C1174" s="31" t="str">
        <f>IFERROR(__xludf.DUMMYFUNCTION("""COMPUTED_VALUE"""),"定期配送")</f>
        <v>定期配送</v>
      </c>
      <c r="D1174" s="31" t="str">
        <f>IFERROR(__xludf.DUMMYFUNCTION("""COMPUTED_VALUE"""),"低用量ピル,1シート,単発,単品,オンライン購入")</f>
        <v>低用量ピル,1シート,単発,単品,オンライン購入</v>
      </c>
      <c r="E1174" s="31"/>
    </row>
    <row r="1175">
      <c r="A1175" s="31" t="str">
        <f>IFERROR(__xludf.DUMMYFUNCTION("""COMPUTED_VALUE"""),"予約枠はいつ解放されますか？/翌月の予約はいつからできますか？/来月の予約はいつから取れますか？/予約は何日からできますか？/先の予約は可能ですか？/")</f>
        <v>予約枠はいつ解放されますか？/翌月の予約はいつからできますか？/来月の予約はいつから取れますか？/予約は何日からできますか？/先の予約は可能ですか？/</v>
      </c>
      <c r="B1175" s="31" t="str">
        <f>IFERROR(__xludf.DUMMYFUNCTION("""COMPUTED_VALUE"""),"毎月20日に翌月分の予約枠が解放されます。ご予約は公式LINEから24時間承っております。LINEはこちら→https://cline-app.com/qr-codes/98ad6f149bfa20f4f2a9a2e91aac4187/preview")</f>
        <v>毎月20日に翌月分の予約枠が解放されます。ご予約は公式LINEから24時間承っております。LINEはこちら→https://cline-app.com/qr-codes/98ad6f149bfa20f4f2a9a2e91aac4187/preview</v>
      </c>
      <c r="C1175" s="31" t="str">
        <f>IFERROR(__xludf.DUMMYFUNCTION("""COMPUTED_VALUE"""),"予約")</f>
        <v>予約</v>
      </c>
      <c r="D1175" s="31" t="str">
        <f>IFERROR(__xludf.DUMMYFUNCTION("""COMPUTED_VALUE"""),"予約枠,解放,いつから,翌月,来月,先の予約")</f>
        <v>予約枠,解放,いつから,翌月,来月,先の予約</v>
      </c>
      <c r="E1175" s="31"/>
    </row>
    <row r="1176">
      <c r="A1176" s="31" t="str">
        <f>IFERROR(__xludf.DUMMYFUNCTION("""COMPUTED_VALUE"""),"予約が勝手にキャンセルされていたのですが/自動キャンセルの条件はありますか？/予約がキャンセルになっていた")</f>
        <v>予約が勝手にキャンセルされていたのですが/自動キャンセルの条件はありますか？/予約がキャンセルになっていた</v>
      </c>
      <c r="B1176" s="31" t="str">
        <f>IFERROR(__xludf.DUMMYFUNCTION("""COMPUTED_VALUE"""),"予約時間を10分以上経過しますと、予約が自動でキャンセルされます。キャンセルされた場合は、LINEに自動で通知が届きます。再度ご予約をお取りいただくか、お電話（050-1730-2768）にてお問い合わせください。")</f>
        <v>予約時間を10分以上経過しますと、予約が自動でキャンセルされます。キャンセルされた場合は、LINEに自動で通知が届きます。再度ご予約をお取りいただくか、お電話（050-1730-2768）にてお問い合わせください。</v>
      </c>
      <c r="C1176" s="31" t="str">
        <f>IFERROR(__xludf.DUMMYFUNCTION("""COMPUTED_VALUE"""),"予約")</f>
        <v>予約</v>
      </c>
      <c r="D1176" s="31" t="str">
        <f>IFERROR(__xludf.DUMMYFUNCTION("""COMPUTED_VALUE"""),"自動キャンセル,勝手にキャンセル,10分")</f>
        <v>自動キャンセル,勝手にキャンセル,10分</v>
      </c>
      <c r="E1176" s="31"/>
    </row>
    <row r="1177">
      <c r="A1177" s="31" t="str">
        <f>IFERROR(__xludf.DUMMYFUNCTION("""COMPUTED_VALUE"""),"オンライン診療の確認メールはいつ届きますか？/オンライン診療のリマインド")</f>
        <v>オンライン診療の確認メールはいつ届きますか？/オンライン診療のリマインド</v>
      </c>
      <c r="B1177" s="31" t="str">
        <f>IFERROR(__xludf.DUMMYFUNCTION("""COMPUTED_VALUE"""),"オンライン診療の連絡は、ご予約取得日と予約当日の朝に届きます。")</f>
        <v>オンライン診療の連絡は、ご予約取得日と予約当日の朝に届きます。</v>
      </c>
      <c r="C1177" s="31" t="str">
        <f>IFERROR(__xludf.DUMMYFUNCTION("""COMPUTED_VALUE"""),"オンライン診療")</f>
        <v>オンライン診療</v>
      </c>
      <c r="D1177" s="31" t="str">
        <f>IFERROR(__xludf.DUMMYFUNCTION("""COMPUTED_VALUE"""),"オンライン診療,メール,連絡,リマインド,届く")</f>
        <v>オンライン診療,メール,連絡,リマインド,届く</v>
      </c>
      <c r="E1177" s="31"/>
    </row>
    <row r="1178">
      <c r="A1178" s="31" t="str">
        <f>IFERROR(__xludf.DUMMYFUNCTION("""COMPUTED_VALUE"""),"ビデオ診察はカメラオフでも大丈夫ですか？/オンライン診療でカメラをオフにしたい")</f>
        <v>ビデオ診察はカメラオフでも大丈夫ですか？/オンライン診療でカメラをオフにしたい</v>
      </c>
      <c r="B1178" s="31" t="str">
        <f>IFERROR(__xludf.DUMMYFUNCTION("""COMPUTED_VALUE"""),"ビデオ診療ではカメラオンが必須となっております。医師・患者さまともにカメラをオンにしていただく必要がございます。")</f>
        <v>ビデオ診療ではカメラオンが必須となっております。医師・患者さまともにカメラをオンにしていただく必要がございます。</v>
      </c>
      <c r="C1178" s="31" t="str">
        <f>IFERROR(__xludf.DUMMYFUNCTION("""COMPUTED_VALUE"""),"オンライン診療")</f>
        <v>オンライン診療</v>
      </c>
      <c r="D1178" s="31" t="str">
        <f>IFERROR(__xludf.DUMMYFUNCTION("""COMPUTED_VALUE"""),"ビデオ診察,カメラオフ,カメラ,オンライン")</f>
        <v>ビデオ診察,カメラオフ,カメラ,オンライン</v>
      </c>
      <c r="E1178" s="31"/>
    </row>
    <row r="1179">
      <c r="A1179" s="31" t="str">
        <f>IFERROR(__xludf.DUMMYFUNCTION("""COMPUTED_VALUE"""),"術後検診の所要時間はどのくらいですか？/術後検診にかかる時間")</f>
        <v>術後検診の所要時間はどのくらいですか？/術後検診にかかる時間</v>
      </c>
      <c r="B1179" s="31" t="str">
        <f>IFERROR(__xludf.DUMMYFUNCTION("""COMPUTED_VALUE"""),"術後検診はご受診からお会計まで1時間前後が目安です。")</f>
        <v>術後検診はご受診からお会計まで1時間前後が目安です。</v>
      </c>
      <c r="C1179" s="31" t="str">
        <f>IFERROR(__xludf.DUMMYFUNCTION("""COMPUTED_VALUE"""),"中絶手術")</f>
        <v>中絶手術</v>
      </c>
      <c r="D1179" s="31" t="str">
        <f>IFERROR(__xludf.DUMMYFUNCTION("""COMPUTED_VALUE"""),"術後検診,所要時間,時間")</f>
        <v>術後検診,所要時間,時間</v>
      </c>
      <c r="E1179" s="31"/>
    </row>
    <row r="1180">
      <c r="A1180" s="31" t="str">
        <f>IFERROR(__xludf.DUMMYFUNCTION("""COMPUTED_VALUE"""),"術後検診の持ち物は何ですか？/術後検診に必要なもの")</f>
        <v>術後検診の持ち物は何ですか？/術後検診に必要なもの</v>
      </c>
      <c r="B1180" s="31" t="str">
        <f>IFERROR(__xludf.DUMMYFUNCTION("""COMPUTED_VALUE"""),"術後検診にお持ちいただくものは身分証明書のみです。")</f>
        <v>術後検診にお持ちいただくものは身分証明書のみです。</v>
      </c>
      <c r="C1180" s="31" t="str">
        <f>IFERROR(__xludf.DUMMYFUNCTION("""COMPUTED_VALUE"""),"中絶手術")</f>
        <v>中絶手術</v>
      </c>
      <c r="D1180" s="31" t="str">
        <f>IFERROR(__xludf.DUMMYFUNCTION("""COMPUTED_VALUE"""),"術後検診,持ち物,必要なもの")</f>
        <v>術後検診,持ち物,必要なもの</v>
      </c>
      <c r="E1180" s="31"/>
    </row>
    <row r="1181">
      <c r="A1181" s="31" t="str">
        <f>IFERROR(__xludf.DUMMYFUNCTION("""COMPUTED_VALUE"""),"ラクトフローラは店舗で購入できますか？/院内で購入できる商品はありますか？/院内で売っている商品は？")</f>
        <v>ラクトフローラは店舗で購入できますか？/院内で購入できる商品はありますか？/院内で売っている商品は？</v>
      </c>
      <c r="B1181" s="31" t="str">
        <f>IFERROR(__xludf.DUMMYFUNCTION("""COMPUTED_VALUE"""),"ラクトフローラ（乳酸桿菌）は全院の店舗で購入可能です。そのほか院内では、Lypo-C・Lypo-C+D・FemCHECK検査キット・コラージュフルフルをお取り扱いしております。")</f>
        <v>ラクトフローラ（乳酸桿菌）は全院の店舗で購入可能です。そのほか院内では、Lypo-C・Lypo-C+D・FemCHECK検査キット・コラージュフルフルをお取り扱いしております。</v>
      </c>
      <c r="C1181" s="31" t="str">
        <f>IFERROR(__xludf.DUMMYFUNCTION("""COMPUTED_VALUE"""),"受診案内")</f>
        <v>受診案内</v>
      </c>
      <c r="D1181" s="31" t="str">
        <f>IFERROR(__xludf.DUMMYFUNCTION("""COMPUTED_VALUE"""),"ラクトフローラ,店舗購入,院内販売,Lypo-C,コラージュフルフル")</f>
        <v>ラクトフローラ,店舗購入,院内販売,Lypo-C,コラージュフルフル</v>
      </c>
      <c r="E1181" s="31"/>
    </row>
    <row r="1182">
      <c r="A1182" s="31" t="str">
        <f>IFERROR(__xludf.DUMMYFUNCTION("""COMPUTED_VALUE"""),"解析結果の「ステータス」とは何ですか？/解析中で陽性と書いてある場合は陽性ですか？/検査結果が解析中と表示されている")</f>
        <v>解析結果の「ステータス」とは何ですか？/解析中で陽性と書いてある場合は陽性ですか？/検査結果が解析中と表示されている</v>
      </c>
      <c r="B1182" s="31" t="str">
        <f>IFERROR(__xludf.DUMMYFUNCTION("""COMPUTED_VALUE"""),"「解析中」は全ての検査結果が出揃っていない状態を表しています。全ての結果が出揃うとステータスが変わります。なお、解析中であっても、表示されている検査結果は確定のものとなります。")</f>
        <v>「解析中」は全ての検査結果が出揃っていない状態を表しています。全ての結果が出揃うとステータスが変わります。なお、解析中であっても、表示されている検査結果は確定のものとなります。</v>
      </c>
      <c r="C1182" s="31" t="str">
        <f>IFERROR(__xludf.DUMMYFUNCTION("""COMPUTED_VALUE"""),"検査結果")</f>
        <v>検査結果</v>
      </c>
      <c r="D1182" s="31" t="str">
        <f>IFERROR(__xludf.DUMMYFUNCTION("""COMPUTED_VALUE"""),"解析中,ステータス,検査結果,確定,陽性")</f>
        <v>解析中,ステータス,検査結果,確定,陽性</v>
      </c>
      <c r="E1182" s="31"/>
    </row>
    <row r="1183">
      <c r="A1183" s="31" t="str">
        <f>IFERROR(__xludf.DUMMYFUNCTION("""COMPUTED_VALUE"""),"エコー写真はもらえますか？/エコー写真が欲しい/前回もらえなかったエコー写真が欲しい")</f>
        <v>エコー写真はもらえますか？/エコー写真が欲しい/前回もらえなかったエコー写真が欲しい</v>
      </c>
      <c r="B1183" s="31" t="str">
        <f>IFERROR(__xludf.DUMMYFUNCTION("""COMPUTED_VALUE"""),"エコー写真は、診察時に医師にご希望をお伝えいただければお渡し可能です。")</f>
        <v>エコー写真は、診察時に医師にご希望をお伝えいただければお渡し可能です。</v>
      </c>
      <c r="C1183" s="31" t="str">
        <f>IFERROR(__xludf.DUMMYFUNCTION("""COMPUTED_VALUE"""),"検査結果")</f>
        <v>検査結果</v>
      </c>
      <c r="D1183" s="31" t="str">
        <f>IFERROR(__xludf.DUMMYFUNCTION("""COMPUTED_VALUE"""),"エコー写真,もらえる,お渡し")</f>
        <v>エコー写真,もらえる,お渡し</v>
      </c>
      <c r="E1183" s="31"/>
    </row>
    <row r="1184">
      <c r="A1184" s="31" t="str">
        <f>IFERROR(__xludf.DUMMYFUNCTION("""COMPUTED_VALUE"""),"月経移動で受診する場合、内診はありますか？/月経移動の診察は内診がありますか？")</f>
        <v>月経移動で受診する場合、内診はありますか？/月経移動の診察は内診がありますか？</v>
      </c>
      <c r="B1184" s="31" t="str">
        <f>IFERROR(__xludf.DUMMYFUNCTION("""COMPUTED_VALUE"""),"月経移動の処方のみの場合は、通常は内診なく処方が可能です。ただし、当日の医師の判断により内診を行う場合がございます。ご予約は「月経移動」のメニューからお取りください。→https://cline-app.com/qr-codes/98ad6f149bfa20f4f2a9a2e91aac4187/preview")</f>
        <v>月経移動の処方のみの場合は、通常は内診なく処方が可能です。ただし、当日の医師の判断により内診を行う場合がございます。ご予約は「月経移動」のメニューからお取りください。→https://cline-app.com/qr-codes/98ad6f149bfa20f4f2a9a2e91aac4187/preview</v>
      </c>
      <c r="C1184" s="31" t="str">
        <f>IFERROR(__xludf.DUMMYFUNCTION("""COMPUTED_VALUE"""),"月経移動")</f>
        <v>月経移動</v>
      </c>
      <c r="D1184" s="31" t="str">
        <f>IFERROR(__xludf.DUMMYFUNCTION("""COMPUTED_VALUE"""),"月経移動,内診,処方")</f>
        <v>月経移動,内診,処方</v>
      </c>
      <c r="E1184" s="31"/>
    </row>
    <row r="1185">
      <c r="A1185" s="31" t="str">
        <f>IFERROR(__xludf.DUMMYFUNCTION("""COMPUTED_VALUE"""),"診察と経膣エコーは同日にできますか？/予約した即日にエコー検査を受けられますか？")</f>
        <v>診察と経膣エコーは同日にできますか？/予約した即日にエコー検査を受けられますか？</v>
      </c>
      <c r="B1185" s="31" t="str">
        <f>IFERROR(__xludf.DUMMYFUNCTION("""COMPUTED_VALUE"""),"診察と経膣エコーは同日に対応可能です。診察時に医師にご希望をお伝えください。ご予約は公式LINEから24時間承っております。LINEはこちら→https://cline-app.com/qr-codes/98ad6f149bfa20f4f2a9a2e91aac4187/preview")</f>
        <v>診察と経膣エコーは同日に対応可能です。診察時に医師にご希望をお伝えください。ご予約は公式LINEから24時間承っております。LINEはこちら→https://cline-app.com/qr-codes/98ad6f149bfa20f4f2a9a2e91aac4187/preview</v>
      </c>
      <c r="C1185" s="31" t="str">
        <f>IFERROR(__xludf.DUMMYFUNCTION("""COMPUTED_VALUE"""),"受診案内")</f>
        <v>受診案内</v>
      </c>
      <c r="D1185" s="31" t="str">
        <f>IFERROR(__xludf.DUMMYFUNCTION("""COMPUTED_VALUE"""),"経膣エコー,同日,即日,超音波")</f>
        <v>経膣エコー,同日,即日,超音波</v>
      </c>
      <c r="E1185" s="31"/>
    </row>
    <row r="1186">
      <c r="A1186" s="31" t="str">
        <f>IFERROR(__xludf.DUMMYFUNCTION("""COMPUTED_VALUE"""),"術後検診は生理中でも受診できますか？/術後検診で超音波検査はありますか？")</f>
        <v>術後検診は生理中でも受診できますか？/術後検診で超音波検査はありますか？</v>
      </c>
      <c r="B1186" s="31" t="str">
        <f>IFERROR(__xludf.DUMMYFUNCTION("""COMPUTED_VALUE"""),"術後検診は生理中でも受診可能です。子宮の状態確認のため、医師の判断で超音波検査を行う場合がございます。ご予約は公式LINEから24時間承っております。LINEはこちら→https://cline-app.com/qr-codes/98ad6f149bfa20f4f2a9a2e91aac4187/preview")</f>
        <v>術後検診は生理中でも受診可能です。子宮の状態確認のため、医師の判断で超音波検査を行う場合がございます。ご予約は公式LINEから24時間承っております。LINEはこちら→https://cline-app.com/qr-codes/98ad6f149bfa20f4f2a9a2e91aac4187/preview</v>
      </c>
      <c r="C1186" s="31" t="str">
        <f>IFERROR(__xludf.DUMMYFUNCTION("""COMPUTED_VALUE"""),"中絶手術")</f>
        <v>中絶手術</v>
      </c>
      <c r="D1186" s="31" t="str">
        <f>IFERROR(__xludf.DUMMYFUNCTION("""COMPUTED_VALUE"""),"術後検診,生理中,超音波")</f>
        <v>術後検診,生理中,超音波</v>
      </c>
      <c r="E1186" s="31"/>
    </row>
    <row r="1187">
      <c r="A1187" s="31" t="str">
        <f>IFERROR(__xludf.DUMMYFUNCTION("""COMPUTED_VALUE"""),"アフターピルを処方してもらう場合、診察料や初診料はかかりますか？/アフターピルは薬代以外にかかりますか？/15000円以外にかかりますか？")</f>
        <v>アフターピルを処方してもらう場合、診察料や初診料はかかりますか？/アフターピルは薬代以外にかかりますか？/15000円以外にかかりますか？</v>
      </c>
      <c r="B1187" s="31" t="str">
        <f>IFERROR(__xludf.DUMMYFUNCTION("""COMPUTED_VALUE"""),"アフターピルは自費診療となるため、診察料・初診料はかかりません。お薬の金額のみのお支払いとなります。")</f>
        <v>アフターピルは自費診療となるため、診察料・初診料はかかりません。お薬の金額のみのお支払いとなります。</v>
      </c>
      <c r="C1187" s="31" t="str">
        <f>IFERROR(__xludf.DUMMYFUNCTION("""COMPUTED_VALUE"""),"アフターピル")</f>
        <v>アフターピル</v>
      </c>
      <c r="D1187" s="31" t="str">
        <f>IFERROR(__xludf.DUMMYFUNCTION("""COMPUTED_VALUE"""),"アフターピル,診察料,初診料,自費,追加料金")</f>
        <v>アフターピル,診察料,初診料,自費,追加料金</v>
      </c>
      <c r="E1187" s="31"/>
    </row>
    <row r="1188">
      <c r="A1188" s="31" t="str">
        <f>IFERROR(__xludf.DUMMYFUNCTION("""COMPUTED_VALUE"""),"問診票のURLが開けません/SMSの問診票URLがエラーになる/問診票が開けない場合")</f>
        <v>問診票のURLが開けません/SMSの問診票URLがエラーになる/問診票が開けない場合</v>
      </c>
      <c r="B1188" s="31" t="str">
        <f>IFERROR(__xludf.DUMMYFUNCTION("""COMPUTED_VALUE"""),"問診票のURLが開けない場合は、お電話（050-1730-2768）にてご連絡いただければ再度URLを送信可能です。また、問診票が未回答のままでもご受診当日に院内でご対応いただけますので、ご安心ください。")</f>
        <v>問診票のURLが開けない場合は、お電話（050-1730-2768）にてご連絡いただければ再度URLを送信可能です。また、問診票が未回答のままでもご受診当日に院内でご対応いただけますので、ご安心ください。</v>
      </c>
      <c r="C1188" s="31" t="str">
        <f>IFERROR(__xludf.DUMMYFUNCTION("""COMPUTED_VALUE"""),"UI操作")</f>
        <v>UI操作</v>
      </c>
      <c r="D1188" s="31" t="str">
        <f>IFERROR(__xludf.DUMMYFUNCTION("""COMPUTED_VALUE"""),"問診票,URL,エラー,開けない,SMS")</f>
        <v>問診票,URL,エラー,開けない,SMS</v>
      </c>
      <c r="E1188" s="31"/>
    </row>
    <row r="1189">
      <c r="A1189" s="31" t="str">
        <f>IFERROR(__xludf.DUMMYFUNCTION("""COMPUTED_VALUE"""),"問診票を回答済みですが確認できますか？/回答した問診票を見直したい")</f>
        <v>問診票を回答済みですが確認できますか？/回答した問診票を見直したい</v>
      </c>
      <c r="B1189" s="31" t="str">
        <f>IFERROR(__xludf.DUMMYFUNCTION("""COMPUTED_VALUE"""),"恐れ入りますが、回答済みの問診票を再度ご確認いただくことはできかねます。内容の修正が必要な場合は、ご受診当日に受付にてお申し出ください。")</f>
        <v>恐れ入りますが、回答済みの問診票を再度ご確認いただくことはできかねます。内容の修正が必要な場合は、ご受診当日に受付にてお申し出ください。</v>
      </c>
      <c r="C1189" s="31" t="str">
        <f>IFERROR(__xludf.DUMMYFUNCTION("""COMPUTED_VALUE"""),"UI操作")</f>
        <v>UI操作</v>
      </c>
      <c r="D1189" s="31" t="str">
        <f>IFERROR(__xludf.DUMMYFUNCTION("""COMPUTED_VALUE"""),"問診票,確認,回答済み")</f>
        <v>問診票,確認,回答済み</v>
      </c>
      <c r="E1189" s="31"/>
    </row>
    <row r="1190">
      <c r="A1190" s="31" t="str">
        <f>IFERROR(__xludf.DUMMYFUNCTION("""COMPUTED_VALUE"""),"問診票の喫煙回数は1日あたりですか？")</f>
        <v>問診票の喫煙回数は1日あたりですか？</v>
      </c>
      <c r="B1190" s="31" t="str">
        <f>IFERROR(__xludf.DUMMYFUNCTION("""COMPUTED_VALUE"""),"問診票の喫煙回数は1日あたりの喫煙本数をご入力ください。")</f>
        <v>問診票の喫煙回数は1日あたりの喫煙本数をご入力ください。</v>
      </c>
      <c r="C1190" s="31" t="str">
        <f>IFERROR(__xludf.DUMMYFUNCTION("""COMPUTED_VALUE"""),"UI操作")</f>
        <v>UI操作</v>
      </c>
      <c r="D1190" s="31" t="str">
        <f>IFERROR(__xludf.DUMMYFUNCTION("""COMPUTED_VALUE"""),"問診票,喫煙,本数,1日")</f>
        <v>問診票,喫煙,本数,1日</v>
      </c>
      <c r="E1190" s="31"/>
    </row>
    <row r="1191">
      <c r="A1191" s="31" t="str">
        <f>IFERROR(__xludf.DUMMYFUNCTION("""COMPUTED_VALUE"""),"前回いつ診療を受けたか確認したい/受診履歴を知りたい/最後の受診日")</f>
        <v>前回いつ診療を受けたか確認したい/受診履歴を知りたい/最後の受診日</v>
      </c>
      <c r="B1191" s="31" t="str">
        <f>IFERROR(__xludf.DUMMYFUNCTION("""COMPUTED_VALUE"""),"LINEからご予約された場合は、LINEの予約履歴からご確認いただけます。お電話でご予約された場合は、予約受診状況の確認ができかねますので、お電話（050-1730-2768）にてお問い合わせください。")</f>
        <v>LINEからご予約された場合は、LINEの予約履歴からご確認いただけます。お電話でご予約された場合は、予約受診状況の確認ができかねますので、お電話（050-1730-2768）にてお問い合わせください。</v>
      </c>
      <c r="C1191" s="31" t="str">
        <f>IFERROR(__xludf.DUMMYFUNCTION("""COMPUTED_VALUE"""),"受診案内")</f>
        <v>受診案内</v>
      </c>
      <c r="D1191" s="31" t="str">
        <f>IFERROR(__xludf.DUMMYFUNCTION("""COMPUTED_VALUE"""),"受診履歴,前回,最後,受診日,確認")</f>
        <v>受診履歴,前回,最後,受診日,確認</v>
      </c>
      <c r="E1191" s="31"/>
    </row>
    <row r="1192">
      <c r="A1192" s="31" t="str">
        <f>IFERROR(__xludf.DUMMYFUNCTION("""COMPUTED_VALUE"""),"スピロノラクトンは処方できますか？/ノアルテンは処方できますか？/クロミッドは処方できますか？/オンライン診療で抗生物質をもらえますか？/〇〇という薬は処方できますか？/ボンジェスタを処方していますか？")</f>
        <v>スピロノラクトンは処方できますか？/ノアルテンは処方できますか？/クロミッドは処方できますか？/オンライン診療で抗生物質をもらえますか？/〇〇という薬は処方できますか？/ボンジェスタを処方していますか？</v>
      </c>
      <c r="B1192" s="31" t="str">
        <f>IFERROR(__xludf.DUMMYFUNCTION("""COMPUTED_VALUE"""),"お薬の処方可否は医師の診察にて判断となるため、事前のご案内ができかねます。お電話でもお答えが難しい内容となりますので、ご予約のうえ医師にご相談ください。ご予約は公式LINEから24時間承っております。LINEはこちら→https://cline-app.com/qr-codes/98ad6f149bfa20f4f2a9a2e91aac4187/preview")</f>
        <v>お薬の処方可否は医師の診察にて判断となるため、事前のご案内ができかねます。お電話でもお答えが難しい内容となりますので、ご予約のうえ医師にご相談ください。ご予約は公式LINEから24時間承っております。LINEはこちら→https://cline-app.com/qr-codes/98ad6f149bfa20f4f2a9a2e91aac4187/preview</v>
      </c>
      <c r="C1192" s="31" t="str">
        <f>IFERROR(__xludf.DUMMYFUNCTION("""COMPUTED_VALUE"""),"処方薬")</f>
        <v>処方薬</v>
      </c>
      <c r="D1192" s="31" t="str">
        <f>IFERROR(__xludf.DUMMYFUNCTION("""COMPUTED_VALUE"""),"処方,薬,処方可能,スピロノラクトン,ノアルテン,クロミッド,抗生物質")</f>
        <v>処方,薬,処方可能,スピロノラクトン,ノアルテン,クロミッド,抗生物質</v>
      </c>
      <c r="E1192" s="31"/>
    </row>
    <row r="1193">
      <c r="A1193" s="31" t="str">
        <f>IFERROR(__xludf.DUMMYFUNCTION("""COMPUTED_VALUE"""),"ミニピルは定期配送できますか？/スリンダは郵送してもらえますか？/ミニピルの定期配送")</f>
        <v>ミニピルは定期配送できますか？/スリンダは郵送してもらえますか？/ミニピルの定期配送</v>
      </c>
      <c r="B1193" s="31" t="str">
        <f>IFERROR(__xludf.DUMMYFUNCTION("""COMPUTED_VALUE"""),"ミニピル（スリンダ）の定期配送は可能です。定期配送の購入はこちらからお進みください→
https://shop.luna-dr.com/collections/low_dose_pill_subscription")</f>
        <v>ミニピル（スリンダ）の定期配送は可能です。定期配送の購入はこちらからお進みください→
https://shop.luna-dr.com/collections/low_dose_pill_subscription</v>
      </c>
      <c r="C1193" s="31" t="str">
        <f>IFERROR(__xludf.DUMMYFUNCTION("""COMPUTED_VALUE"""),"低用量ピル（自費）")</f>
        <v>低用量ピル（自費）</v>
      </c>
      <c r="D1193" s="31" t="str">
        <f>IFERROR(__xludf.DUMMYFUNCTION("""COMPUTED_VALUE"""),"ミニピル,スリンダ,定期配送,郵送")</f>
        <v>ミニピル,スリンダ,定期配送,郵送</v>
      </c>
      <c r="E1193" s="31"/>
    </row>
    <row r="1194">
      <c r="A1194" s="31" t="str">
        <f>IFERROR(__xludf.DUMMYFUNCTION("""COMPUTED_VALUE"""),"ピルと太田胃酸は一緒に飲んでも大丈夫ですか？/ピル服用中に蕁麻疹が出た/ピルと他の薬の飲み合わせ")</f>
        <v>ピルと太田胃酸は一緒に飲んでも大丈夫ですか？/ピル服用中に蕁麻疹が出た/ピルと他の薬の飲み合わせ</v>
      </c>
      <c r="B1194" s="31" t="str">
        <f>IFERROR(__xludf.DUMMYFUNCTION("""COMPUTED_VALUE"""),"お薬の飲み合わせや服用中の症状については、お電話にてお問い合わせくださいませ。お電話は050-1730-2768（受付時間：平日9:45〜13:40・15:15〜19:40、土日祝9:45〜13:40・15:15〜18:40）となります。")</f>
        <v>お薬の飲み合わせや服用中の症状については、お電話にてお問い合わせくださいませ。お電話は050-1730-2768（受付時間：平日9:45〜13:40・15:15〜19:40、土日祝9:45〜13:40・15:15〜18:40）となります。</v>
      </c>
      <c r="C1194" s="31" t="str">
        <f>IFERROR(__xludf.DUMMYFUNCTION("""COMPUTED_VALUE"""),"処方薬")</f>
        <v>処方薬</v>
      </c>
      <c r="D1194" s="31" t="str">
        <f>IFERROR(__xludf.DUMMYFUNCTION("""COMPUTED_VALUE"""),"飲み合わせ,太田胃酸,蕁麻疹,副作用,併用")</f>
        <v>飲み合わせ,太田胃酸,蕁麻疹,副作用,併用</v>
      </c>
      <c r="E1194" s="31"/>
    </row>
    <row r="1195">
      <c r="A1195" s="31" t="str">
        <f>IFERROR(__xludf.DUMMYFUNCTION("""COMPUTED_VALUE"""),"薬は院内処方ですか？/薬は当日もらえますか？/処方箋を持って薬局に行く形ですか？")</f>
        <v>薬は院内処方ですか？/薬は当日もらえますか？/処方箋を持って薬局に行く形ですか？</v>
      </c>
      <c r="B1195" s="31" t="str">
        <f>IFERROR(__xludf.DUMMYFUNCTION("""COMPUTED_VALUE"""),"お薬によって院内でお渡しするものと、処方箋を発行し院外の薬局でお受け取りいただくものがございます。詳しくは診察時に医師・スタッフにご確認ください。")</f>
        <v>お薬によって院内でお渡しするものと、処方箋を発行し院外の薬局でお受け取りいただくものがございます。詳しくは診察時に医師・スタッフにご確認ください。</v>
      </c>
      <c r="C1195" s="31" t="str">
        <f>IFERROR(__xludf.DUMMYFUNCTION("""COMPUTED_VALUE"""),"処方薬")</f>
        <v>処方薬</v>
      </c>
      <c r="D1195" s="31" t="str">
        <f>IFERROR(__xludf.DUMMYFUNCTION("""COMPUTED_VALUE"""),"院内処方,院外処方,処方箋,薬局,当日")</f>
        <v>院内処方,院外処方,処方箋,薬局,当日</v>
      </c>
      <c r="E1195" s="31"/>
    </row>
    <row r="1196">
      <c r="A1196" s="31" t="str">
        <f>IFERROR(__xludf.DUMMYFUNCTION("""COMPUTED_VALUE"""),"保険診療の検査や薬の料金はいくらですか？/フラジール膣錠の料金/膣錠の処方料金")</f>
        <v>保険診療の検査や薬の料金はいくらですか？/フラジール膣錠の料金/膣錠の処方料金</v>
      </c>
      <c r="B1196" s="31" t="str">
        <f>IFERROR(__xludf.DUMMYFUNCTION("""COMPUTED_VALUE"""),"保険診療の場合、診察内容・検査項目・処方薬が医師の判断により異なるため、事前に料金をお伝えすることができかねます。ご了承いただけますと幸いです。")</f>
        <v>保険診療の場合、診察内容・検査項目・処方薬が医師の判断により異なるため、事前に料金をお伝えすることができかねます。ご了承いただけますと幸いです。</v>
      </c>
      <c r="C1196" s="31" t="str">
        <f>IFERROR(__xludf.DUMMYFUNCTION("""COMPUTED_VALUE"""),"料金・保険")</f>
        <v>料金・保険</v>
      </c>
      <c r="D1196" s="31" t="str">
        <f>IFERROR(__xludf.DUMMYFUNCTION("""COMPUTED_VALUE"""),"保険診療,料金,事前,フラジール,膣錠")</f>
        <v>保険診療,料金,事前,フラジール,膣錠</v>
      </c>
      <c r="E1196" s="31"/>
    </row>
    <row r="1197">
      <c r="A1197" s="31" t="str">
        <f>IFERROR(__xludf.DUMMYFUNCTION("""COMPUTED_VALUE"""),"月経移動ピル5,000円には何日分の薬が含まれていますか？/月経移動ピルは何錠もらえますか？/プラノバールは何錠処方されますか？")</f>
        <v>月経移動ピル5,000円には何日分の薬が含まれていますか？/月経移動ピルは何錠もらえますか？/プラノバールは何錠処方されますか？</v>
      </c>
      <c r="B1197" s="31" t="str">
        <f>IFERROR(__xludf.DUMMYFUNCTION("""COMPUTED_VALUE"""),"月経移動ピル（プラノバール）は21錠（1シート）の処方で5,000円（税込）です。7錠のみ等の処方は行っておらず、オンライン・来院ともに1シート単位の処方となります。1回の月経移動で使用し余った残薬は、次回の月経移動でご使用いただけます。")</f>
        <v>月経移動ピル（プラノバール）は21錠（1シート）の処方で5,000円（税込）です。7錠のみ等の処方は行っておらず、オンライン・来院ともに1シート単位の処方となります。1回の月経移動で使用し余った残薬は、次回の月経移動でご使用いただけます。</v>
      </c>
      <c r="C1197" s="31" t="str">
        <f>IFERROR(__xludf.DUMMYFUNCTION("""COMPUTED_VALUE"""),"月経移動")</f>
        <v>月経移動</v>
      </c>
      <c r="D1197" s="31" t="str">
        <f>IFERROR(__xludf.DUMMYFUNCTION("""COMPUTED_VALUE"""),"月経移動,プラノバール,何日分,何錠,21錠,1シート,残薬")</f>
        <v>月経移動,プラノバール,何日分,何錠,21錠,1シート,残薬</v>
      </c>
      <c r="E1197" s="31"/>
    </row>
    <row r="1198">
      <c r="A1198" s="31" t="str">
        <f>IFERROR(__xludf.DUMMYFUNCTION("""COMPUTED_VALUE"""),"ドロエチ服用中に生理がきた場合どうすればいいですか？/アリッサ配合錠を休薬から飲んでしまった/プラノバールで遅らせた次の次の生理は遅れますか？")</f>
        <v>ドロエチ服用中に生理がきた場合どうすればいいですか？/アリッサ配合錠を休薬から飲んでしまった/プラノバールで遅らせた次の次の生理は遅れますか？</v>
      </c>
      <c r="B1198" s="31" t="str">
        <f>IFERROR(__xludf.DUMMYFUNCTION("""COMPUTED_VALUE"""),"お薬の服用方法や服用中の症状については、個別の判断が必要となるため、診察にてご相談ください。ご予約は公式LINEから24時間承っております。LINEはこちら→https://cline-app.com/qr-codes/98ad6f149bfa20f4f2a9a2e91aac4187/preview")</f>
        <v>お薬の服用方法や服用中の症状については、個別の判断が必要となるため、診察にてご相談ください。ご予約は公式LINEから24時間承っております。LINEはこちら→https://cline-app.com/qr-codes/98ad6f149bfa20f4f2a9a2e91aac4187/preview</v>
      </c>
      <c r="C1198" s="31" t="str">
        <f>IFERROR(__xludf.DUMMYFUNCTION("""COMPUTED_VALUE"""),"処方薬")</f>
        <v>処方薬</v>
      </c>
      <c r="D1198" s="31" t="str">
        <f>IFERROR(__xludf.DUMMYFUNCTION("""COMPUTED_VALUE"""),"ドロエチ,アリッサ,服用中,生理がきた,休薬,飲み間違い,服用方法")</f>
        <v>ドロエチ,アリッサ,服用中,生理がきた,休薬,飲み間違い,服用方法</v>
      </c>
      <c r="E1198" s="31"/>
    </row>
    <row r="1199">
      <c r="A1199" s="31" t="str">
        <f>IFERROR(__xludf.DUMMYFUNCTION("""COMPUTED_VALUE"""),"妊娠12週未満ですがかかりつけではなくても受診できますか？/かかりつけ医が休みで受診したい/妊娠中ですが他院でも受診できますか？")</f>
        <v>妊娠12週未満ですがかかりつけではなくても受診できますか？/かかりつけ医が休みで受診したい/妊娠中ですが他院でも受診できますか？</v>
      </c>
      <c r="B1199" s="31" t="str">
        <f>IFERROR(__xludf.DUMMYFUNCTION("""COMPUTED_VALUE"""),"妊娠12週未満であれば、かかりつけ医が休診日等の場合も当院でご受診いただけます。「一般婦人科診療」のメニューでご予約ください。→https://cline-app.com/qr-codes/98ad6f149bfa20f4f2a9a2e91aac4187/preview")</f>
        <v>妊娠12週未満であれば、かかりつけ医が休診日等の場合も当院でご受診いただけます。「一般婦人科診療」のメニューでご予約ください。→https://cline-app.com/qr-codes/98ad6f149bfa20f4f2a9a2e91aac4187/preview</v>
      </c>
      <c r="C1199" s="31" t="str">
        <f>IFERROR(__xludf.DUMMYFUNCTION("""COMPUTED_VALUE"""),"妊娠")</f>
        <v>妊娠</v>
      </c>
      <c r="D1199" s="31" t="str">
        <f>IFERROR(__xludf.DUMMYFUNCTION("""COMPUTED_VALUE"""),"妊娠,12週,かかりつけ,他院,休診")</f>
        <v>妊娠,12週,かかりつけ,他院,休診</v>
      </c>
      <c r="E1199" s="31"/>
    </row>
    <row r="1200">
      <c r="A1200" s="31" t="str">
        <f>IFERROR(__xludf.DUMMYFUNCTION("""COMPUTED_VALUE"""),"分娩先が決まっていなくても妊婦健診だけ受けられますか？/どこで産むか決まっていないが健診だけ受けたい")</f>
        <v>分娩先が決まっていなくても妊婦健診だけ受けられますか？/どこで産むか決まっていないが健診だけ受けたい</v>
      </c>
      <c r="B1200" s="31" t="str">
        <f>IFERROR(__xludf.DUMMYFUNCTION("""COMPUTED_VALUE"""),"妊娠12週未満であれば、分娩先が決まっていなくても妊婦健診をお受けいただけます。「一般婦人科診療」のメニューでご予約ください。→https://cline-app.com/qr-codes/98ad6f149bfa20f4f2a9a2e91aac4187/preview")</f>
        <v>妊娠12週未満であれば、分娩先が決まっていなくても妊婦健診をお受けいただけます。「一般婦人科診療」のメニューでご予約ください。→https://cline-app.com/qr-codes/98ad6f149bfa20f4f2a9a2e91aac4187/preview</v>
      </c>
      <c r="C1200" s="31" t="str">
        <f>IFERROR(__xludf.DUMMYFUNCTION("""COMPUTED_VALUE"""),"妊娠")</f>
        <v>妊娠</v>
      </c>
      <c r="D1200" s="31" t="str">
        <f>IFERROR(__xludf.DUMMYFUNCTION("""COMPUTED_VALUE"""),"妊婦健診,分娩先,未定,健診のみ")</f>
        <v>妊婦健診,分娩先,未定,健診のみ</v>
      </c>
      <c r="E1200" s="31"/>
    </row>
    <row r="1201">
      <c r="A1201" s="31" t="str">
        <f>IFERROR(__xludf.DUMMYFUNCTION("""COMPUTED_VALUE"""),"初診で採血はありますか？/不正出血で受診した場合採血はしますか？")</f>
        <v>初診で採血はありますか？/不正出血で受診した場合採血はしますか？</v>
      </c>
      <c r="B1201" s="31" t="str">
        <f>IFERROR(__xludf.DUMMYFUNCTION("""COMPUTED_VALUE"""),"採血の有無は診察内容や症状により医師が判断いたしますため、事前に確約することができかねます。ご不明な点がございましたら、診察時に医師にご相談ください。")</f>
        <v>採血の有無は診察内容や症状により医師が判断いたしますため、事前に確約することができかねます。ご不明な点がございましたら、診察時に医師にご相談ください。</v>
      </c>
      <c r="C1201" s="31" t="str">
        <f>IFERROR(__xludf.DUMMYFUNCTION("""COMPUTED_VALUE"""),"受診案内")</f>
        <v>受診案内</v>
      </c>
      <c r="D1201" s="31" t="str">
        <f>IFERROR(__xludf.DUMMYFUNCTION("""COMPUTED_VALUE"""),"初診,採血,不正出血")</f>
        <v>初診,採血,不正出血</v>
      </c>
      <c r="E1201" s="31"/>
    </row>
    <row r="1202">
      <c r="A1202" s="31" t="str">
        <f>IFERROR(__xludf.DUMMYFUNCTION("""COMPUTED_VALUE"""),"ピルの購入履歴を確認したい/いつピルを買ったか知りたい/購入履歴の確認方法")</f>
        <v>ピルの購入履歴を確認したい/いつピルを買ったか知りたい/購入履歴の確認方法</v>
      </c>
      <c r="B1202" s="31" t="str">
        <f>IFERROR(__xludf.DUMMYFUNCTION("""COMPUTED_VALUE"""),"来院のみでご購入の場合は領収書にてご確認ください。定期配送をご契約の場合はご契約の媒体よりご確認いただけます。ご不明な場合はお電話（050-1730-2768）にてお問い合わせくださいませ。")</f>
        <v>来院のみでご購入の場合は領収書にてご確認ください。定期配送をご契約の場合はご契約の媒体よりご確認いただけます。ご不明な場合はお電話（050-1730-2768）にてお問い合わせくださいませ。</v>
      </c>
      <c r="C1202" s="31" t="str">
        <f>IFERROR(__xludf.DUMMYFUNCTION("""COMPUTED_VALUE"""),"定期配送")</f>
        <v>定期配送</v>
      </c>
      <c r="D1202" s="31" t="str">
        <f>IFERROR(__xludf.DUMMYFUNCTION("""COMPUTED_VALUE"""),"購入履歴,いつ買った,確認")</f>
        <v>購入履歴,いつ買った,確認</v>
      </c>
      <c r="E1202" s="31"/>
    </row>
    <row r="1203">
      <c r="A1203" s="31" t="str">
        <f>IFERROR(__xludf.DUMMYFUNCTION("""COMPUTED_VALUE"""),"支払い状況を確認したい/定期配送の支払いはどうなっていますか？/決済の確認方法")</f>
        <v>支払い状況を確認したい/定期配送の支払いはどうなっていますか？/決済の確認方法</v>
      </c>
      <c r="B1203" s="31" t="str">
        <f>IFERROR(__xludf.DUMMYFUNCTION("""COMPUTED_VALUE"""),"定期配送は自動決済となっており、お支払いが失敗した場合のみご連絡が届きます。薬剤の発送時にはメールにて配送状況のご連絡がございます。詳しくはお電話（050-1730-2768）にてお問い合わせください。")</f>
        <v>定期配送は自動決済となっており、お支払いが失敗した場合のみご連絡が届きます。薬剤の発送時にはメールにて配送状況のご連絡がございます。詳しくはお電話（050-1730-2768）にてお問い合わせください。</v>
      </c>
      <c r="C1203" s="31" t="str">
        <f>IFERROR(__xludf.DUMMYFUNCTION("""COMPUTED_VALUE"""),"定期配送")</f>
        <v>定期配送</v>
      </c>
      <c r="D1203" s="31" t="str">
        <f>IFERROR(__xludf.DUMMYFUNCTION("""COMPUTED_VALUE"""),"支払い状況,決済,自動決済,配送状況")</f>
        <v>支払い状況,決済,自動決済,配送状況</v>
      </c>
      <c r="E1203" s="31"/>
    </row>
    <row r="1204">
      <c r="A1204" s="31" t="str">
        <f>IFERROR(__xludf.DUMMYFUNCTION("""COMPUTED_VALUE"""),"注文を間違えた場合どうなりますか？/定期配送の注文間違い/間違えて注文してしまった")</f>
        <v>注文を間違えた場合どうなりますか？/定期配送の注文間違い/間違えて注文してしまった</v>
      </c>
      <c r="B1204" s="31" t="str">
        <f>IFERROR(__xludf.DUMMYFUNCTION("""COMPUTED_VALUE"""),"決済後の返金・返品は承ることができかねます。今回分は配送させていただき、解約をご希望の場合はお問い合わせフォームよりご連絡ください。こちらのフォーム（https://docs.google.com/forms/d/e/1FAIpQLSe41t1VsvN-rfcwsRSkalz89S2yqQc4zpWrbdcrwPo95Iif-Q/viewform）よりご連絡ください。なお、処方歴がなく誤ってご注文された場合は、処方ができかねるため返金対応とさせていただきます。")</f>
        <v>決済後の返金・返品は承ることができかねます。今回分は配送させていただき、解約をご希望の場合はお問い合わせフォームよりご連絡ください。こちらのフォーム（https://docs.google.com/forms/d/e/1FAIpQLSe41t1VsvN-rfcwsRSkalz89S2yqQc4zpWrbdcrwPo95Iif-Q/viewform）よりご連絡ください。なお、処方歴がなく誤ってご注文された場合は、処方ができかねるため返金対応とさせていただきます。</v>
      </c>
      <c r="C1204" s="31" t="str">
        <f>IFERROR(__xludf.DUMMYFUNCTION("""COMPUTED_VALUE"""),"定期配送")</f>
        <v>定期配送</v>
      </c>
      <c r="D1204" s="31" t="str">
        <f>IFERROR(__xludf.DUMMYFUNCTION("""COMPUTED_VALUE"""),"注文間違い,返金,返品,解約")</f>
        <v>注文間違い,返金,返品,解約</v>
      </c>
      <c r="E1204" s="31"/>
    </row>
    <row r="1205">
      <c r="A1205" s="31" t="str">
        <f>IFERROR(__xludf.DUMMYFUNCTION("""COMPUTED_VALUE"""),"腹部エコーはできますか？/腹部エコー検査はありますか？/お腹の上からのエコーはできますか？")</f>
        <v>腹部エコーはできますか？/腹部エコー検査はありますか？/お腹の上からのエコーはできますか？</v>
      </c>
      <c r="B1205" s="31" t="str">
        <f>IFERROR(__xludf.DUMMYFUNCTION("""COMPUTED_VALUE"""),"当院では腹部エコーは行っておりません。当院でのエコー検査は経膣エコーでのご対応となります。")</f>
        <v>当院では腹部エコーは行っておりません。当院でのエコー検査は経膣エコーでのご対応となります。</v>
      </c>
      <c r="C1205" s="31" t="str">
        <f>IFERROR(__xludf.DUMMYFUNCTION("""COMPUTED_VALUE"""),"受診案内")</f>
        <v>受診案内</v>
      </c>
      <c r="D1205" s="31" t="str">
        <f>IFERROR(__xludf.DUMMYFUNCTION("""COMPUTED_VALUE"""),"腹部エコー,経膣エコー,エコー検査,超音波,お腹")</f>
        <v>腹部エコー,経膣エコー,エコー検査,超音波,お腹</v>
      </c>
      <c r="E1205" s="31"/>
    </row>
    <row r="1206">
      <c r="A1206" s="31" t="str">
        <f>IFERROR(__xludf.DUMMYFUNCTION("""COMPUTED_VALUE"""),"横浜院と元町ルナは同じ病院ですか？/元町ルナレディースとの違いは？/元町のルナレディースは同じですか？")</f>
        <v>横浜院と元町ルナは同じ病院ですか？/元町ルナレディースとの違いは？/元町のルナレディースは同じですか？</v>
      </c>
      <c r="B1206" s="31" t="str">
        <f>IFERROR(__xludf.DUMMYFUNCTION("""COMPUTED_VALUE"""),"ルナレディースクリニックは横浜駅前院・川崎駅前院・町田駅前院の3院となります。元町のクリニックは当院とは別のクリニックでございます。")</f>
        <v>ルナレディースクリニックは横浜駅前院・川崎駅前院・町田駅前院の3院となります。元町のクリニックは当院とは別のクリニックでございます。</v>
      </c>
      <c r="C1206" s="31" t="str">
        <f>IFERROR(__xludf.DUMMYFUNCTION("""COMPUTED_VALUE"""),"クリニック情報")</f>
        <v>クリニック情報</v>
      </c>
      <c r="D1206" s="31" t="str">
        <f>IFERROR(__xludf.DUMMYFUNCTION("""COMPUTED_VALUE"""),"横浜院,元町,元町ルナ,別のクリニック")</f>
        <v>横浜院,元町,元町ルナ,別のクリニック</v>
      </c>
      <c r="E1206" s="31"/>
    </row>
    <row r="1207">
      <c r="A1207" s="31" t="str">
        <f>IFERROR(__xludf.DUMMYFUNCTION("""COMPUTED_VALUE"""),"初めてですが受付ではどうすればいいですか？/受付で何を伝えればいいですか？/来院したらまず何をすればいいですか？")</f>
        <v>初めてですが受付ではどうすればいいですか？/受付で何を伝えればいいですか？/来院したらまず何をすればいいですか？</v>
      </c>
      <c r="B1207" s="31" t="str">
        <f>IFERROR(__xludf.DUMMYFUNCTION("""COMPUTED_VALUE"""),"ご来院されましたら、受付にてご予約のお名前をお伝えください。保険証またはマイナンバーカードをご提示いただきます。WEB問診を事前にご回答いただくとスムーズに診察へお進みいただけます。")</f>
        <v>ご来院されましたら、受付にてご予約のお名前をお伝えください。保険証またはマイナンバーカードをご提示いただきます。WEB問診を事前にご回答いただくとスムーズに診察へお進みいただけます。</v>
      </c>
      <c r="C1207" s="31" t="str">
        <f>IFERROR(__xludf.DUMMYFUNCTION("""COMPUTED_VALUE"""),"受診案内")</f>
        <v>受診案内</v>
      </c>
      <c r="D1207" s="31" t="str">
        <f>IFERROR(__xludf.DUMMYFUNCTION("""COMPUTED_VALUE"""),"受付,初めて,流れ,名前,来院")</f>
        <v>受付,初めて,流れ,名前,来院</v>
      </c>
      <c r="E1207" s="31"/>
    </row>
    <row r="1208">
      <c r="A1208" s="31" t="str">
        <f>IFERROR(__xludf.DUMMYFUNCTION("""COMPUTED_VALUE"""),"男性医師はいますか？/男性もいるのですか？/男性医師もいるのですか？")</f>
        <v>男性医師はいますか？/男性もいるのですか？/男性医師もいるのですか？</v>
      </c>
      <c r="B1208" s="31" t="str">
        <f>IFERROR(__xludf.DUMMYFUNCTION("""COMPUTED_VALUE"""),"当院には男性医師も在籍しております。女性医師をご希望の場合はお電話でご予約・お問い合わせください。お電話は050-1730-2768までご連絡ください。電話受付時間は、平日9:45〜13:40・15:15〜19:40、土日祝9:45〜13:40・15:15〜18:40です。")</f>
        <v>当院には男性医師も在籍しております。女性医師をご希望の場合はお電話でご予約・お問い合わせください。お電話は050-1730-2768までご連絡ください。電話受付時間は、平日9:45〜13:40・15:15〜19:40、土日祝9:45〜13:40・15:15〜18:40です。</v>
      </c>
      <c r="C1208" s="31" t="str">
        <f>IFERROR(__xludf.DUMMYFUNCTION("""COMPUTED_VALUE"""),"受診案内")</f>
        <v>受診案内</v>
      </c>
      <c r="D1208" s="31" t="str">
        <f>IFERROR(__xludf.DUMMYFUNCTION("""COMPUTED_VALUE"""),"男性医師,いる")</f>
        <v>男性医師,いる</v>
      </c>
      <c r="E1208" s="31"/>
    </row>
    <row r="1209">
      <c r="A1209" s="31" t="str">
        <f>IFERROR(__xludf.DUMMYFUNCTION("""COMPUTED_VALUE"""),"LINEをやっていない場合はどうすればいいですか？/LINE以外で予約できますか？/ラインがない場合の予約方法")</f>
        <v>LINEをやっていない場合はどうすればいいですか？/LINE以外で予約できますか？/ラインがない場合の予約方法</v>
      </c>
      <c r="B1209" s="31" t="str">
        <f>IFERROR(__xludf.DUMMYFUNCTION("""COMPUTED_VALUE"""),"LINEをご利用でない場合は、お電話（050-1730-2768）にてご予約を承っております。受付時間は平日9:45〜13:40・15:15〜19:40、土日祝9:45〜13:40・15:15〜18:40です。")</f>
        <v>LINEをご利用でない場合は、お電話（050-1730-2768）にてご予約を承っております。受付時間は平日9:45〜13:40・15:15〜19:40、土日祝9:45〜13:40・15:15〜18:40です。</v>
      </c>
      <c r="C1209" s="31" t="str">
        <f>IFERROR(__xludf.DUMMYFUNCTION("""COMPUTED_VALUE"""),"予約")</f>
        <v>予約</v>
      </c>
      <c r="D1209" s="31" t="str">
        <f>IFERROR(__xludf.DUMMYFUNCTION("""COMPUTED_VALUE"""),"LINE,やっていない,電話予約,ライン")</f>
        <v>LINE,やっていない,電話予約,ライン</v>
      </c>
      <c r="E1209" s="31"/>
    </row>
    <row r="1210">
      <c r="A1210" s="31" t="str">
        <f>IFERROR(__xludf.DUMMYFUNCTION("""COMPUTED_VALUE"""),"平日の午前は混んでいますか？/土曜日は混んでいますか？/待ち時間はどのくらいですか？/混んでますか？")</f>
        <v>平日の午前は混んでいますか？/土曜日は混んでいますか？/待ち時間はどのくらいですか？/混んでますか？</v>
      </c>
      <c r="B1210" s="31" t="str">
        <f>IFERROR(__xludf.DUMMYFUNCTION("""COMPUTED_VALUE"""),"大変恐縮ですが、混雑状況は外来の診察状況によって異なりますため、具体的なご案内が難しい状況です。恐れ入りますが、ご理解を頂けますと幸いです。")</f>
        <v>大変恐縮ですが、混雑状況は外来の診察状況によって異なりますため、具体的なご案内が難しい状況です。恐れ入りますが、ご理解を頂けますと幸いです。</v>
      </c>
      <c r="C1210" s="31" t="str">
        <f>IFERROR(__xludf.DUMMYFUNCTION("""COMPUTED_VALUE"""),"受診案内")</f>
        <v>受診案内</v>
      </c>
      <c r="D1210" s="31" t="str">
        <f>IFERROR(__xludf.DUMMYFUNCTION("""COMPUTED_VALUE"""),"混雑,混んでいる,待ち時間,土曜日")</f>
        <v>混雑,混んでいる,待ち時間,土曜日</v>
      </c>
      <c r="E1210" s="31"/>
    </row>
    <row r="1211">
      <c r="A1211" s="31" t="str">
        <f>IFERROR(__xludf.DUMMYFUNCTION("""COMPUTED_VALUE"""),"風邪気味ですが受診できますか？/体調が悪いのですが受診できますか？")</f>
        <v>風邪気味ですが受診できますか？/体調が悪いのですが受診できますか？</v>
      </c>
      <c r="B1211" s="31" t="str">
        <f>IFERROR(__xludf.DUMMYFUNCTION("""COMPUTED_VALUE"""),"当院は婦人科のため、風邪や内科的な症状の診療は行っておりません。内科へのご受診をおすすめいたします。なお、37.5℃以上の発熱がある場合はご受診いただけませんので、熱が下がってからご予約ください。")</f>
        <v>当院は婦人科のため、風邪や内科的な症状の診療は行っておりません。内科へのご受診をおすすめいたします。なお、37.5℃以上の発熱がある場合はご受診いただけませんので、熱が下がってからご予約ください。</v>
      </c>
      <c r="C1211" s="31" t="str">
        <f>IFERROR(__xludf.DUMMYFUNCTION("""COMPUTED_VALUE"""),"受診案内")</f>
        <v>受診案内</v>
      </c>
      <c r="D1211" s="31" t="str">
        <f>IFERROR(__xludf.DUMMYFUNCTION("""COMPUTED_VALUE"""),"風邪,体調不良,発熱")</f>
        <v>風邪,体調不良,発熱</v>
      </c>
      <c r="E1211" s="31"/>
    </row>
    <row r="1212">
      <c r="A1212" s="31" t="str">
        <f>IFERROR(__xludf.DUMMYFUNCTION("""COMPUTED_VALUE"""),"新橋銀座口院について知りたい/新橋院はまだ営業していますか？/新橋の店舗は閉店しましたか？")</f>
        <v>新橋銀座口院について知りたい/新橋院はまだ営業していますか？/新橋の店舗は閉店しましたか？</v>
      </c>
      <c r="B1212" s="31" t="str">
        <f>IFERROR(__xludf.DUMMYFUNCTION("""COMPUTED_VALUE"""),"ルナレディースクリニックは横浜駅前院・川崎駅前院・町田駅前院の3院となります。")</f>
        <v>ルナレディースクリニックは横浜駅前院・川崎駅前院・町田駅前院の3院となります。</v>
      </c>
      <c r="C1212" s="31" t="str">
        <f>IFERROR(__xludf.DUMMYFUNCTION("""COMPUTED_VALUE"""),"クリニック情報")</f>
        <v>クリニック情報</v>
      </c>
      <c r="D1212" s="31" t="str">
        <f>IFERROR(__xludf.DUMMYFUNCTION("""COMPUTED_VALUE"""),"横浜院,新橋,新橋銀座口院")</f>
        <v>横浜院,新橋,新橋銀座口院</v>
      </c>
      <c r="E1212" s="31"/>
    </row>
    <row r="1213">
      <c r="A1213" s="31" t="str">
        <f>IFERROR(__xludf.DUMMYFUNCTION("""COMPUTED_VALUE"""),"子宮体がん検査は入院になりますか？/子宮体がん検査は日帰りですか？")</f>
        <v>子宮体がん検査は入院になりますか？/子宮体がん検査は日帰りですか？</v>
      </c>
      <c r="B1213" s="31" t="str">
        <f>IFERROR(__xludf.DUMMYFUNCTION("""COMPUTED_VALUE"""),"子宮体がん検査は外来で行える検査です。細い器具で子宮体部の細胞を採取する検査で、1〜2分で終了します。予約は「婦人科検診」のメニューからお取りください。→https://cline-app.com/qr-codes/98ad6f149bfa20f4f2a9a2e91aac4187/preview")</f>
        <v>子宮体がん検査は外来で行える検査です。細い器具で子宮体部の細胞を採取する検査で、1〜2分で終了します。予約は「婦人科検診」のメニューからお取りください。→https://cline-app.com/qr-codes/98ad6f149bfa20f4f2a9a2e91aac4187/preview</v>
      </c>
      <c r="C1213" s="31" t="str">
        <f>IFERROR(__xludf.DUMMYFUNCTION("""COMPUTED_VALUE"""),"検査・検診")</f>
        <v>検査・検診</v>
      </c>
      <c r="D1213" s="31" t="str">
        <f>IFERROR(__xludf.DUMMYFUNCTION("""COMPUTED_VALUE"""),"子宮体がん,入院,日帰り,検査")</f>
        <v>子宮体がん,入院,日帰り,検査</v>
      </c>
      <c r="E1213" s="32" t="str">
        <f>IFERROR(__xludf.DUMMYFUNCTION("""COMPUTED_VALUE"""),"https://luna-dr.com/subjects/medical-checkup/")</f>
        <v>https://luna-dr.com/subjects/medical-checkup/</v>
      </c>
    </row>
    <row r="1214">
      <c r="A1214" s="31" t="str">
        <f>IFERROR(__xludf.DUMMYFUNCTION("""COMPUTED_VALUE"""),"低用量ピル処方時に血液検査はありますか？/ピル処方で採血はありますか？")</f>
        <v>低用量ピル処方時に血液検査はありますか？/ピル処方で採血はありますか？</v>
      </c>
      <c r="B1214" s="31" t="str">
        <f>IFERROR(__xludf.DUMMYFUNCTION("""COMPUTED_VALUE"""),"避妊目的の低用量ピル（OC）の場合は問診が中心で、基本的に内診や血液検査はございません。治療目的の保険ピル（LEP）の場合は初回に経膣エコー検査が必要です。ご予約は「ピル処方」のメニューからお取りください。→https://cline-app.com/qr-codes/98ad6f149bfa20f4f2a9a2e91aac4187/preview")</f>
        <v>避妊目的の低用量ピル（OC）の場合は問診が中心で、基本的に内診や血液検査はございません。治療目的の保険ピル（LEP）の場合は初回に経膣エコー検査が必要です。ご予約は「ピル処方」のメニューからお取りください。→https://cline-app.com/qr-codes/98ad6f149bfa20f4f2a9a2e91aac4187/preview</v>
      </c>
      <c r="C1214" s="31" t="str">
        <f>IFERROR(__xludf.DUMMYFUNCTION("""COMPUTED_VALUE"""),"ピル処方")</f>
        <v>ピル処方</v>
      </c>
      <c r="D1214" s="31" t="str">
        <f>IFERROR(__xludf.DUMMYFUNCTION("""COMPUTED_VALUE"""),"ピル,血液検査,採血,内診,エコー")</f>
        <v>ピル,血液検査,採血,内診,エコー</v>
      </c>
      <c r="E1214" s="31"/>
    </row>
    <row r="1215">
      <c r="A1215" s="31" t="str">
        <f>IFERROR(__xludf.DUMMYFUNCTION("""COMPUTED_VALUE"""),"question")</f>
        <v>question</v>
      </c>
      <c r="B1215" s="31" t="str">
        <f>IFERROR(__xludf.DUMMYFUNCTION("""COMPUTED_VALUE"""),"answer")</f>
        <v>answer</v>
      </c>
      <c r="C1215" s="31" t="str">
        <f>IFERROR(__xludf.DUMMYFUNCTION("""COMPUTED_VALUE"""),"category")</f>
        <v>category</v>
      </c>
      <c r="D1215" s="31" t="str">
        <f>IFERROR(__xludf.DUMMYFUNCTION("""COMPUTED_VALUE"""),"keywords")</f>
        <v>keywords</v>
      </c>
      <c r="E1215" s="31" t="str">
        <f>IFERROR(__xludf.DUMMYFUNCTION("""COMPUTED_VALUE"""),"source_url")</f>
        <v>source_url</v>
      </c>
    </row>
    <row r="1216">
      <c r="A1216" s="31" t="str">
        <f>IFERROR(__xludf.DUMMYFUNCTION("""COMPUTED_VALUE"""),"横浜駅前院は駅から近いですか？")</f>
        <v>横浜駅前院は駅から近いですか？</v>
      </c>
      <c r="B1216" s="31" t="str">
        <f>IFERROR(__xludf.DUMMYFUNCTION("""COMPUTED_VALUE"""),"ルナレディースクリニック横浜駅前院は、横浜駅から徒歩2分のエキニア横浜7Fにあります。駅から近く、気軽にご来院いただけます。")</f>
        <v>ルナレディースクリニック横浜駅前院は、横浜駅から徒歩2分のエキニア横浜7Fにあります。駅から近く、気軽にご来院いただけます。</v>
      </c>
      <c r="C1216" s="31" t="str">
        <f>IFERROR(__xludf.DUMMYFUNCTION("""COMPUTED_VALUE"""),"アクセス")</f>
        <v>アクセス</v>
      </c>
      <c r="D1216" s="31" t="str">
        <f>IFERROR(__xludf.DUMMYFUNCTION("""COMPUTED_VALUE"""),"横浜駅,徒歩2分,アクセス")</f>
        <v>横浜駅,徒歩2分,アクセス</v>
      </c>
      <c r="E1216" s="32" t="str">
        <f>IFERROR(__xludf.DUMMYFUNCTION("""COMPUTED_VALUE"""),"https://luna-dr.com/yokohama/")</f>
        <v>https://luna-dr.com/yokohama/</v>
      </c>
    </row>
    <row r="1217">
      <c r="A1217" s="31" t="str">
        <f>IFERROR(__xludf.DUMMYFUNCTION("""COMPUTED_VALUE"""),"土日・祝日は診療していますか？")</f>
        <v>土日・祝日は診療していますか？</v>
      </c>
      <c r="B1217" s="31" t="str">
        <f>IFERROR(__xludf.DUMMYFUNCTION("""COMPUTED_VALUE"""),"ルナレディースクリニック横浜駅前院の診療時間は、平日は午前診療が10:00〜14:00、午後診療が15:30〜20:00です。土日祝は午前診療が10:00〜14:00、午後診療が15:30〜19:00です。月曜から日曜まで毎日診療を行っています。")</f>
        <v>ルナレディースクリニック横浜駅前院の診療時間は、平日は午前診療が10:00〜14:00、午後診療が15:30〜20:00です。土日祝は午前診療が10:00〜14:00、午後診療が15:30〜19:00です。月曜から日曜まで毎日診療を行っています。</v>
      </c>
      <c r="C1217" s="31" t="str">
        <f>IFERROR(__xludf.DUMMYFUNCTION("""COMPUTED_VALUE"""),"診療時間")</f>
        <v>診療時間</v>
      </c>
      <c r="D1217" s="31" t="str">
        <f>IFERROR(__xludf.DUMMYFUNCTION("""COMPUTED_VALUE"""),"診療時間,横浜")</f>
        <v>診療時間,横浜</v>
      </c>
      <c r="E1217" s="32" t="str">
        <f>IFERROR(__xludf.DUMMYFUNCTION("""COMPUTED_VALUE"""),"https://luna-dr.com/yokohama/")</f>
        <v>https://luna-dr.com/yokohama/</v>
      </c>
    </row>
    <row r="1218">
      <c r="A1218" s="31" t="str">
        <f>IFERROR(__xludf.DUMMYFUNCTION("""COMPUTED_VALUE"""),"遅刻した場合でも診察は受けられますか？")</f>
        <v>遅刻した場合でも診察は受けられますか？</v>
      </c>
      <c r="B1218" s="31" t="str">
        <f>IFERROR(__xludf.DUMMYFUNCTION("""COMPUTED_VALUE"""),"ルナレディースクリニック横浜駅前院では、10分以上遅刻された場合、事前にご連絡をいただいていても予約外来院扱いとなります。")</f>
        <v>ルナレディースクリニック横浜駅前院では、10分以上遅刻された場合、事前にご連絡をいただいていても予約外来院扱いとなります。</v>
      </c>
      <c r="C1218" s="31" t="str">
        <f>IFERROR(__xludf.DUMMYFUNCTION("""COMPUTED_VALUE"""),"来院ルール")</f>
        <v>来院ルール</v>
      </c>
      <c r="D1218" s="31" t="str">
        <f>IFERROR(__xludf.DUMMYFUNCTION("""COMPUTED_VALUE"""),"遅刻,予約")</f>
        <v>遅刻,予約</v>
      </c>
      <c r="E1218" s="32" t="str">
        <f>IFERROR(__xludf.DUMMYFUNCTION("""COMPUTED_VALUE"""),"https://luna-dr.com/yokohama/")</f>
        <v>https://luna-dr.com/yokohama/</v>
      </c>
    </row>
    <row r="1219">
      <c r="A1219" s="31" t="str">
        <f>IFERROR(__xludf.DUMMYFUNCTION("""COMPUTED_VALUE"""),"予約外来院の最終受付時間を教えてください/予約をしていない場合の最終受付時間を教えてください")</f>
        <v>予約外来院の最終受付時間を教えてください/予約をしていない場合の最終受付時間を教えてください</v>
      </c>
      <c r="B1219" s="31" t="str">
        <f>IFERROR(__xludf.DUMMYFUNCTION("""COMPUTED_VALUE"""),"当院で処方済みのピル処方・アフターピル・月経移動は、午前13:30まで、午後は平日19:30まで、土日祝18:30までが最終受付です。それ以外の相談は、午前は平日13:00まで、土日祝12:00まで、午後は平日18:00まで、土日祝17:00までとなります。
平日18:00以降は大変込み合いますので、予約無しでご来院の際は極力17:00までに受付のご協力をよろしくお願いいたします。
混雑状況により18:00以降はピル処方・中絶相談以外の予約無し診察受付を制限させて頂くことがございますのでご理解の程をよろし"&amp;"くお願いいたします。 ")</f>
        <v>当院で処方済みのピル処方・アフターピル・月経移動は、午前13:30まで、午後は平日19:30まで、土日祝18:30までが最終受付です。それ以外の相談は、午前は平日13:00まで、土日祝12:00まで、午後は平日18:00まで、土日祝17:00までとなります。
平日18:00以降は大変込み合いますので、予約無しでご来院の際は極力17:00までに受付のご協力をよろしくお願いいたします。
混雑状況により18:00以降はピル処方・中絶相談以外の予約無し診察受付を制限させて頂くことがございますのでご理解の程をよろしくお願いいたします。 </v>
      </c>
      <c r="C1219" s="31" t="str">
        <f>IFERROR(__xludf.DUMMYFUNCTION("""COMPUTED_VALUE"""),"受付時間")</f>
        <v>受付時間</v>
      </c>
      <c r="D1219" s="31" t="str">
        <f>IFERROR(__xludf.DUMMYFUNCTION("""COMPUTED_VALUE"""),"最終受付,受付時間")</f>
        <v>最終受付,受付時間</v>
      </c>
      <c r="E1219" s="32" t="str">
        <f>IFERROR(__xludf.DUMMYFUNCTION("""COMPUTED_VALUE"""),"https://luna-dr.com/yokohama/")</f>
        <v>https://luna-dr.com/yokohama/</v>
      </c>
    </row>
    <row r="1220">
      <c r="A1220" s="31" t="str">
        <f>IFERROR(__xludf.DUMMYFUNCTION("""COMPUTED_VALUE"""),"女性医師による診察は可能ですか？")</f>
        <v>女性医師による診察は可能ですか？</v>
      </c>
      <c r="B1220" s="31" t="str">
        <f>IFERROR(__xludf.DUMMYFUNCTION("""COMPUTED_VALUE"""),"ルナレディースクリニック横浜駅前院では、女性医師による診察が可能です。ご希望の場合は、お電話でのご予約をお願いしています。")</f>
        <v>ルナレディースクリニック横浜駅前院では、女性医師による診察が可能です。ご希望の場合は、お電話でのご予約をお願いしています。</v>
      </c>
      <c r="C1220" s="31" t="str">
        <f>IFERROR(__xludf.DUMMYFUNCTION("""COMPUTED_VALUE"""),"診察体制")</f>
        <v>診察体制</v>
      </c>
      <c r="D1220" s="31" t="str">
        <f>IFERROR(__xludf.DUMMYFUNCTION("""COMPUTED_VALUE"""),"女性医師,医師希望")</f>
        <v>女性医師,医師希望</v>
      </c>
      <c r="E1220" s="32" t="str">
        <f>IFERROR(__xludf.DUMMYFUNCTION("""COMPUTED_VALUE"""),"https://luna-dr.com/yokohama/")</f>
        <v>https://luna-dr.com/yokohama/</v>
      </c>
    </row>
    <row r="1221">
      <c r="A1221" s="31" t="str">
        <f>IFERROR(__xludf.DUMMYFUNCTION("""COMPUTED_VALUE"""),"初診でも受診できますか？")</f>
        <v>初診でも受診できますか？</v>
      </c>
      <c r="B1221" s="31" t="str">
        <f>IFERROR(__xludf.DUMMYFUNCTION("""COMPUTED_VALUE"""),"ルナレディースクリニック横浜駅前院では、初診の方も受診いただけます。マイナ保険証または資格確認書をご持参のうえ、受付時間内にご来院ください。
横浜駅前院のご予約はこちら（https://cline-app.com/qr-codes/98ad6f149bfa20f4f2a9a2e91aac4187/preview）")</f>
        <v>ルナレディースクリニック横浜駅前院では、初診の方も受診いただけます。マイナ保険証または資格確認書をご持参のうえ、受付時間内にご来院ください。
横浜駅前院のご予約はこちら（https://cline-app.com/qr-codes/98ad6f149bfa20f4f2a9a2e91aac4187/preview）</v>
      </c>
      <c r="C1221" s="31" t="str">
        <f>IFERROR(__xludf.DUMMYFUNCTION("""COMPUTED_VALUE"""),"初診")</f>
        <v>初診</v>
      </c>
      <c r="D1221" s="31" t="str">
        <f>IFERROR(__xludf.DUMMYFUNCTION("""COMPUTED_VALUE"""),"初診,持ち物")</f>
        <v>初診,持ち物</v>
      </c>
      <c r="E1221" s="32" t="str">
        <f>IFERROR(__xludf.DUMMYFUNCTION("""COMPUTED_VALUE"""),"https://luna-dr.com/yokohama/")</f>
        <v>https://luna-dr.com/yokohama/</v>
      </c>
    </row>
    <row r="1222">
      <c r="A1222" s="31" t="str">
        <f>IFERROR(__xludf.DUMMYFUNCTION("""COMPUTED_VALUE"""),"再診の場合は予約が必要ですか？")</f>
        <v>再診の場合は予約が必要ですか？</v>
      </c>
      <c r="B1222" s="31" t="str">
        <f>IFERROR(__xludf.DUMMYFUNCTION("""COMPUTED_VALUE"""),"ルナレディースクリニック横浜駅前院では、再診の方はスムーズなご案内のため、基本的にご予約をお願いしています。")</f>
        <v>ルナレディースクリニック横浜駅前院では、再診の方はスムーズなご案内のため、基本的にご予約をお願いしています。</v>
      </c>
      <c r="C1222" s="31" t="str">
        <f>IFERROR(__xludf.DUMMYFUNCTION("""COMPUTED_VALUE"""),"再診")</f>
        <v>再診</v>
      </c>
      <c r="D1222" s="31" t="str">
        <f>IFERROR(__xludf.DUMMYFUNCTION("""COMPUTED_VALUE"""),"再診,予約")</f>
        <v>再診,予約</v>
      </c>
      <c r="E1222" s="32" t="str">
        <f>IFERROR(__xludf.DUMMYFUNCTION("""COMPUTED_VALUE"""),"https://luna-dr.com/yokohama/")</f>
        <v>https://luna-dr.com/yokohama/</v>
      </c>
    </row>
    <row r="1223">
      <c r="A1223" s="31" t="str">
        <f>IFERROR(__xludf.DUMMYFUNCTION("""COMPUTED_VALUE"""),"男性の同伴は可能ですか？")</f>
        <v>男性の同伴は可能ですか？</v>
      </c>
      <c r="B1223" s="31" t="str">
        <f>IFERROR(__xludf.DUMMYFUNCTION("""COMPUTED_VALUE"""),"ルナレディースクリニック横浜駅前院では、男性同伴でのご来院はお控えいただいています。")</f>
        <v>ルナレディースクリニック横浜駅前院では、男性同伴でのご来院はお控えいただいています。</v>
      </c>
      <c r="C1223" s="31" t="str">
        <f>IFERROR(__xludf.DUMMYFUNCTION("""COMPUTED_VALUE"""),"来院ルール")</f>
        <v>来院ルール</v>
      </c>
      <c r="D1223" s="31" t="str">
        <f>IFERROR(__xludf.DUMMYFUNCTION("""COMPUTED_VALUE"""),"男性同伴,注意事項")</f>
        <v>男性同伴,注意事項</v>
      </c>
      <c r="E1223" s="32" t="str">
        <f>IFERROR(__xludf.DUMMYFUNCTION("""COMPUTED_VALUE"""),"https://luna-dr.com/yokohama/")</f>
        <v>https://luna-dr.com/yokohama/</v>
      </c>
    </row>
    <row r="1224">
      <c r="A1224" s="31" t="str">
        <f>IFERROR(__xludf.DUMMYFUNCTION("""COMPUTED_VALUE"""),"日本語での会話が難しい場合はどうすればよいですか？")</f>
        <v>日本語での会話が難しい場合はどうすればよいですか？</v>
      </c>
      <c r="B1224" s="31" t="str">
        <f>IFERROR(__xludf.DUMMYFUNCTION("""COMPUTED_VALUE"""),"ルナレディースクリニック横浜駅前院では、日本語での会話が難しい方は、女性通訳の方の同伴をお願いしています。")</f>
        <v>ルナレディースクリニック横浜駅前院では、日本語での会話が難しい方は、女性通訳の方の同伴をお願いしています。</v>
      </c>
      <c r="C1224" s="31" t="str">
        <f>IFERROR(__xludf.DUMMYFUNCTION("""COMPUTED_VALUE"""),"来院ルール")</f>
        <v>来院ルール</v>
      </c>
      <c r="D1224" s="31" t="str">
        <f>IFERROR(__xludf.DUMMYFUNCTION("""COMPUTED_VALUE"""),"通訳,日本語")</f>
        <v>通訳,日本語</v>
      </c>
      <c r="E1224" s="32" t="str">
        <f>IFERROR(__xludf.DUMMYFUNCTION("""COMPUTED_VALUE"""),"https://luna-dr.com/yokohama/")</f>
        <v>https://luna-dr.com/yokohama/</v>
      </c>
    </row>
    <row r="1225">
      <c r="A1225" s="31" t="str">
        <f>IFERROR(__xludf.DUMMYFUNCTION("""COMPUTED_VALUE"""),"横浜駅前院ではどんな診療を行っていますか？")</f>
        <v>横浜駅前院ではどんな診療を行っていますか？</v>
      </c>
      <c r="B1225" s="31" t="str">
        <f>IFERROR(__xludf.DUMMYFUNCTION("""COMPUTED_VALUE"""),"ルナレディースクリニック横浜駅前院では、ピルの処方、低用量ピル、アフターピル、月経移動、ブライダルチェック、生理不順、生理痛、おりもの異常、不正出血、妊娠検査、女性の健診、中絶、性感染症に対応しています。
※乳房に関する診療、更年期障害の治療、不妊治療は行っていません。")</f>
        <v>ルナレディースクリニック横浜駅前院では、ピルの処方、低用量ピル、アフターピル、月経移動、ブライダルチェック、生理不順、生理痛、おりもの異常、不正出血、妊娠検査、女性の健診、中絶、性感染症に対応しています。
※乳房に関する診療、更年期障害の治療、不妊治療は行っていません。</v>
      </c>
      <c r="C1225" s="31" t="str">
        <f>IFERROR(__xludf.DUMMYFUNCTION("""COMPUTED_VALUE"""),"診療内容")</f>
        <v>診療内容</v>
      </c>
      <c r="D1225" s="31" t="str">
        <f>IFERROR(__xludf.DUMMYFUNCTION("""COMPUTED_VALUE"""),"横浜,診療内容")</f>
        <v>横浜,診療内容</v>
      </c>
      <c r="E1225" s="32" t="str">
        <f>IFERROR(__xludf.DUMMYFUNCTION("""COMPUTED_VALUE"""),"https://luna-dr.com/yokohama/")</f>
        <v>https://luna-dr.com/yokohama/</v>
      </c>
    </row>
    <row r="1226">
      <c r="A1226" s="31" t="str">
        <f>IFERROR(__xludf.DUMMYFUNCTION("""COMPUTED_VALUE"""),"対応していない診療はありますか？")</f>
        <v>対応していない診療はありますか？</v>
      </c>
      <c r="B1226" s="31" t="str">
        <f>IFERROR(__xludf.DUMMYFUNCTION("""COMPUTED_VALUE"""),"ルナレディースクリニック横浜駅前院では、乳房に関する診療、更年期障害の治療、不妊治療は行っていません。")</f>
        <v>ルナレディースクリニック横浜駅前院では、乳房に関する診療、更年期障害の治療、不妊治療は行っていません。</v>
      </c>
      <c r="C1226" s="31" t="str">
        <f>IFERROR(__xludf.DUMMYFUNCTION("""COMPUTED_VALUE"""),"診療内容")</f>
        <v>診療内容</v>
      </c>
      <c r="D1226" s="31" t="str">
        <f>IFERROR(__xludf.DUMMYFUNCTION("""COMPUTED_VALUE"""),"対応外,診療範囲")</f>
        <v>対応外,診療範囲</v>
      </c>
      <c r="E1226" s="32" t="str">
        <f>IFERROR(__xludf.DUMMYFUNCTION("""COMPUTED_VALUE"""),"https://luna-dr.com/yokohama/")</f>
        <v>https://luna-dr.com/yokohama/</v>
      </c>
    </row>
    <row r="1227">
      <c r="A1227" s="31" t="str">
        <f>IFERROR(__xludf.DUMMYFUNCTION("""COMPUTED_VALUE"""),"横浜駅前院の住所を教えてください")</f>
        <v>横浜駅前院の住所を教えてください</v>
      </c>
      <c r="B1227" s="31" t="str">
        <f>IFERROR(__xludf.DUMMYFUNCTION("""COMPUTED_VALUE"""),"ルナレディースクリニック横浜駅前院の住所は、〒220-0004 神奈川県横浜市西区北幸1丁目1-8 エキニア横浜7Fです。横浜駅から徒歩2分の場所にあります。")</f>
        <v>ルナレディースクリニック横浜駅前院の住所は、〒220-0004 神奈川県横浜市西区北幸1丁目1-8 エキニア横浜7Fです。横浜駅から徒歩2分の場所にあります。</v>
      </c>
      <c r="C1227" s="31" t="str">
        <f>IFERROR(__xludf.DUMMYFUNCTION("""COMPUTED_VALUE"""),"アクセス")</f>
        <v>アクセス</v>
      </c>
      <c r="D1227" s="31" t="str">
        <f>IFERROR(__xludf.DUMMYFUNCTION("""COMPUTED_VALUE"""),"住所,横浜,アクセス")</f>
        <v>住所,横浜,アクセス</v>
      </c>
      <c r="E1227" s="32" t="str">
        <f>IFERROR(__xludf.DUMMYFUNCTION("""COMPUTED_VALUE"""),"https://luna-dr.com/yokohama/")</f>
        <v>https://luna-dr.com/yokohama/</v>
      </c>
    </row>
    <row r="1228">
      <c r="A1228" s="31" t="str">
        <f>IFERROR(__xludf.DUMMYFUNCTION("""COMPUTED_VALUE"""),"横浜駅前院の地図はどこで確認できますか？")</f>
        <v>横浜駅前院の地図はどこで確認できますか？</v>
      </c>
      <c r="B1228" s="31" t="str">
        <f>IFERROR(__xludf.DUMMYFUNCTION("""COMPUTED_VALUE"""),"ルナレディースクリニック横浜駅前院の場所は、Googleマップでご確認いただけます。横浜駅から徒歩2分のエキニア横浜7Fにあります。")</f>
        <v>ルナレディースクリニック横浜駅前院の場所は、Googleマップでご確認いただけます。横浜駅から徒歩2分のエキニア横浜7Fにあります。</v>
      </c>
      <c r="C1228" s="31" t="str">
        <f>IFERROR(__xludf.DUMMYFUNCTION("""COMPUTED_VALUE"""),"アクセス")</f>
        <v>アクセス</v>
      </c>
      <c r="D1228" s="31" t="str">
        <f>IFERROR(__xludf.DUMMYFUNCTION("""COMPUTED_VALUE"""),"地図,Googleマップ,横浜")</f>
        <v>地図,Googleマップ,横浜</v>
      </c>
      <c r="E1228" s="32" t="str">
        <f>IFERROR(__xludf.DUMMYFUNCTION("""COMPUTED_VALUE"""),"https://luna-dr.com/yokohama/")</f>
        <v>https://luna-dr.com/yokohama/</v>
      </c>
    </row>
    <row r="1229">
      <c r="A1229" s="31" t="str">
        <f>IFERROR(__xludf.DUMMYFUNCTION("""COMPUTED_VALUE"""),"横浜駅前院の電話番号を教えてください")</f>
        <v>横浜駅前院の電話番号を教えてください</v>
      </c>
      <c r="B1229" s="31" t="str">
        <f>IFERROR(__xludf.DUMMYFUNCTION("""COMPUTED_VALUE"""),"当院の電話番号は050-1730-2768 になります。（電話番号は全院共通です。）")</f>
        <v>当院の電話番号は050-1730-2768 になります。（電話番号は全院共通です。）</v>
      </c>
      <c r="C1229" s="31" t="str">
        <f>IFERROR(__xludf.DUMMYFUNCTION("""COMPUTED_VALUE"""),"お問い合わせ")</f>
        <v>お問い合わせ</v>
      </c>
      <c r="D1229" s="31" t="str">
        <f>IFERROR(__xludf.DUMMYFUNCTION("""COMPUTED_VALUE"""),"電話番号,問い合わせ,横浜")</f>
        <v>電話番号,問い合わせ,横浜</v>
      </c>
      <c r="E1229" s="32" t="str">
        <f>IFERROR(__xludf.DUMMYFUNCTION("""COMPUTED_VALUE"""),"https://luna-dr.com/yokohama/")</f>
        <v>https://luna-dr.com/yokohama/</v>
      </c>
    </row>
    <row r="1230">
      <c r="A1230" s="31" t="str">
        <f>IFERROR(__xludf.DUMMYFUNCTION("""COMPUTED_VALUE"""),"横浜駅から横浜駅前院までの行き方を教えてください/横浜駅からの行き方を教えて下さい/横浜駅からクリニックまでの道順を教えてください")</f>
        <v>横浜駅から横浜駅前院までの行き方を教えてください/横浜駅からの行き方を教えて下さい/横浜駅からクリニックまでの道順を教えてください</v>
      </c>
      <c r="B1230" s="31" t="str">
        <f>IFERROR(__xludf.DUMMYFUNCTION("""COMPUTED_VALUE"""),"横浜駅中央北改札を出ましたら、西口へお進みください。※中央南改札の場合も同様です。
下りの短いエスカレーター・階段がありますので、下りて直進してください。
右手に「無印良品」さんが見えてきます。2ブロックに分かれていますので、2ブロック目を過ぎたところで右に曲がってください。
直進すると、突き当りに「横浜銀行」さんがあり、その手前を左に曲がり進みます。
左手に「三菱UFJ銀行」さん、右手に本屋「有隣堂」さんがあります。「有隣堂」さんに沿って右に曲がります。
突き当りを左に曲がるとエレベーターがありますので"&amp;"、7階へお越しくださいませ。
動画でもクリニックへの行き方をご案内しております→https://www.youtube.com/watch?v=HCDkLrmnfz0&amp;t=1s")</f>
        <v>横浜駅中央北改札を出ましたら、西口へお進みください。※中央南改札の場合も同様です。
下りの短いエスカレーター・階段がありますので、下りて直進してください。
右手に「無印良品」さんが見えてきます。2ブロックに分かれていますので、2ブロック目を過ぎたところで右に曲がってください。
直進すると、突き当りに「横浜銀行」さんがあり、その手前を左に曲がり進みます。
左手に「三菱UFJ銀行」さん、右手に本屋「有隣堂」さんがあります。「有隣堂」さんに沿って右に曲がります。
突き当りを左に曲がるとエレベーターがありますので、7階へお越しくださいませ。
動画でもクリニックへの行き方をご案内しております→https://www.youtube.com/watch?v=HCDkLrmnfz0&amp;t=1s</v>
      </c>
      <c r="C1230" s="31" t="str">
        <f>IFERROR(__xludf.DUMMYFUNCTION("""COMPUTED_VALUE"""),"アクセス")</f>
        <v>アクセス</v>
      </c>
      <c r="D1230" s="31" t="str">
        <f>IFERROR(__xludf.DUMMYFUNCTION("""COMPUTED_VALUE"""),"川崎駅前院,道案内,川崎駅,徒歩")</f>
        <v>川崎駅前院,道案内,川崎駅,徒歩</v>
      </c>
      <c r="E1230" s="32" t="str">
        <f>IFERROR(__xludf.DUMMYFUNCTION("""COMPUTED_VALUE"""),"https://luna-dr.com/yokohama/access/")</f>
        <v>https://luna-dr.com/yokohama/access/</v>
      </c>
    </row>
    <row r="1231">
      <c r="A1231" s="31" t="str">
        <f>IFERROR(__xludf.DUMMYFUNCTION("""COMPUTED_VALUE"""),"診療日は何曜日ですか？")</f>
        <v>診療日は何曜日ですか？</v>
      </c>
      <c r="B1231" s="31" t="str">
        <f>IFERROR(__xludf.DUMMYFUNCTION("""COMPUTED_VALUE"""),"当院は月曜日・火曜日・水曜日・木曜日・金曜日・土曜日・日曜日に診療を行っています。平日は午前診療が10:00〜14:00、午後診療が15:30〜20:00です。土日祝は午前診療が10:00〜14:00、午後診療が15:30〜19:00です。")</f>
        <v>当院は月曜日・火曜日・水曜日・木曜日・金曜日・土曜日・日曜日に診療を行っています。平日は午前診療が10:00〜14:00、午後診療が15:30〜20:00です。土日祝は午前診療が10:00〜14:00、午後診療が15:30〜19:00です。</v>
      </c>
      <c r="C1231" s="31" t="str">
        <f>IFERROR(__xludf.DUMMYFUNCTION("""COMPUTED_VALUE"""),"診療時間")</f>
        <v>診療時間</v>
      </c>
      <c r="D1231" s="31" t="str">
        <f>IFERROR(__xludf.DUMMYFUNCTION("""COMPUTED_VALUE"""),"診療日,曜日,休診日")</f>
        <v>診療日,曜日,休診日</v>
      </c>
      <c r="E1231" s="32" t="str">
        <f>IFERROR(__xludf.DUMMYFUNCTION("""COMPUTED_VALUE"""),"https://luna-dr.com/yokohama/consultation-hours/")</f>
        <v>https://luna-dr.com/yokohama/consultation-hours/</v>
      </c>
    </row>
    <row r="1232">
      <c r="A1232" s="31" t="str">
        <f>IFERROR(__xludf.DUMMYFUNCTION("""COMPUTED_VALUE"""),"休診日はいつですか？")</f>
        <v>休診日はいつですか？</v>
      </c>
      <c r="B1232" s="31" t="str">
        <f>IFERROR(__xludf.DUMMYFUNCTION("""COMPUTED_VALUE"""),"当院は、土日祝日も含め、毎日診療を行っています。平日は午前診療が10:00〜14:00、午後診療が15:30〜20:00です。土日祝は午前診療が10:00〜14:00、午後診療が15:30〜19:00です。月曜から日曜まで毎日診療を行っています。")</f>
        <v>当院は、土日祝日も含め、毎日診療を行っています。平日は午前診療が10:00〜14:00、午後診療が15:30〜20:00です。土日祝は午前診療が10:00〜14:00、午後診療が15:30〜19:00です。月曜から日曜まで毎日診療を行っています。</v>
      </c>
      <c r="C1232" s="31" t="str">
        <f>IFERROR(__xludf.DUMMYFUNCTION("""COMPUTED_VALUE"""),"診療時間")</f>
        <v>診療時間</v>
      </c>
      <c r="D1232" s="31" t="str">
        <f>IFERROR(__xludf.DUMMYFUNCTION("""COMPUTED_VALUE"""),"休診日,定休日")</f>
        <v>休診日,定休日</v>
      </c>
      <c r="E1232" s="32" t="str">
        <f>IFERROR(__xludf.DUMMYFUNCTION("""COMPUTED_VALUE"""),"https://luna-dr.com/yokohama/consultation-hours/")</f>
        <v>https://luna-dr.com/yokohama/consultation-hours/</v>
      </c>
    </row>
    <row r="1233">
      <c r="A1233" s="31" t="str">
        <f>IFERROR(__xludf.DUMMYFUNCTION("""COMPUTED_VALUE"""),"祝日は診療していますか？")</f>
        <v>祝日は診療していますか？</v>
      </c>
      <c r="B1233" s="31" t="str">
        <f>IFERROR(__xludf.DUMMYFUNCTION("""COMPUTED_VALUE"""),"祝日も診療を行っています。祝日は午前診療が10:00〜14:00、午後診療が15:30〜19:00です。")</f>
        <v>祝日も診療を行っています。祝日は午前診療が10:00〜14:00、午後診療が15:30〜19:00です。</v>
      </c>
      <c r="C1233" s="31" t="str">
        <f>IFERROR(__xludf.DUMMYFUNCTION("""COMPUTED_VALUE"""),"診療時間")</f>
        <v>診療時間</v>
      </c>
      <c r="D1233" s="31" t="str">
        <f>IFERROR(__xludf.DUMMYFUNCTION("""COMPUTED_VALUE"""),"祝日,祝日診療,休日")</f>
        <v>祝日,祝日診療,休日</v>
      </c>
      <c r="E1233" s="32" t="str">
        <f>IFERROR(__xludf.DUMMYFUNCTION("""COMPUTED_VALUE"""),"https://luna-dr.com/yokohama/consultation-hours/")</f>
        <v>https://luna-dr.com/yokohama/consultation-hours/</v>
      </c>
    </row>
    <row r="1234">
      <c r="A1234" s="31" t="str">
        <f>IFERROR(__xludf.DUMMYFUNCTION("""COMPUTED_VALUE"""),"統括院長の名前を教えてください。")</f>
        <v>統括院長の名前を教えてください。</v>
      </c>
      <c r="B1234" s="31" t="str">
        <f>IFERROR(__xludf.DUMMYFUNCTION("""COMPUTED_VALUE"""),"ルナレディースクリニックの統括院長は川原 正行 院長です。")</f>
        <v>ルナレディースクリニックの統括院長は川原 正行 院長です。</v>
      </c>
      <c r="C1234" s="31" t="str">
        <f>IFERROR(__xludf.DUMMYFUNCTION("""COMPUTED_VALUE"""),"ドクター紹介")</f>
        <v>ドクター紹介</v>
      </c>
      <c r="D1234" s="31" t="str">
        <f>IFERROR(__xludf.DUMMYFUNCTION("""COMPUTED_VALUE"""),"院長,医師名,ドクター")</f>
        <v>院長,医師名,ドクター</v>
      </c>
      <c r="E1234" s="32" t="str">
        <f>IFERROR(__xludf.DUMMYFUNCTION("""COMPUTED_VALUE"""),"https://luna-dr.com/yokohama/doctors/")</f>
        <v>https://luna-dr.com/yokohama/doctors/</v>
      </c>
    </row>
    <row r="1235">
      <c r="A1235" s="31" t="str">
        <f>IFERROR(__xludf.DUMMYFUNCTION("""COMPUTED_VALUE"""),"院長の資格を教えてください。")</f>
        <v>院長の資格を教えてください。</v>
      </c>
      <c r="B1235" s="31" t="str">
        <f>IFERROR(__xludf.DUMMYFUNCTION("""COMPUTED_VALUE"""),"川原正行院長は、日本産婦人科学会専門医および母体保護法指定医の資格を有しています。")</f>
        <v>川原正行院長は、日本産婦人科学会専門医および母体保護法指定医の資格を有しています。</v>
      </c>
      <c r="C1235" s="31" t="str">
        <f>IFERROR(__xludf.DUMMYFUNCTION("""COMPUTED_VALUE"""),"ドクター紹介")</f>
        <v>ドクター紹介</v>
      </c>
      <c r="D1235" s="31" t="str">
        <f>IFERROR(__xludf.DUMMYFUNCTION("""COMPUTED_VALUE"""),"資格,専門医,母体保護法指定医")</f>
        <v>資格,専門医,母体保護法指定医</v>
      </c>
      <c r="E1235" s="32" t="str">
        <f>IFERROR(__xludf.DUMMYFUNCTION("""COMPUTED_VALUE"""),"https://luna-dr.com/yokohama/doctors/")</f>
        <v>https://luna-dr.com/yokohama/doctors/</v>
      </c>
    </row>
    <row r="1236">
      <c r="A1236" s="31" t="str">
        <f>IFERROR(__xludf.DUMMYFUNCTION("""COMPUTED_VALUE"""),"院長はどのような学会に所属していますか？")</f>
        <v>院長はどのような学会に所属していますか？</v>
      </c>
      <c r="B1236" s="31" t="str">
        <f>IFERROR(__xludf.DUMMYFUNCTION("""COMPUTED_VALUE"""),"川原正行院長は、日本産科婦人科学会、日本産婦人科医会、日本医師会に所属しています。")</f>
        <v>川原正行院長は、日本産科婦人科学会、日本産婦人科医会、日本医師会に所属しています。</v>
      </c>
      <c r="C1236" s="31" t="str">
        <f>IFERROR(__xludf.DUMMYFUNCTION("""COMPUTED_VALUE"""),"ドクター紹介")</f>
        <v>ドクター紹介</v>
      </c>
      <c r="D1236" s="31" t="str">
        <f>IFERROR(__xludf.DUMMYFUNCTION("""COMPUTED_VALUE"""),"学会,所属学会,産婦人科")</f>
        <v>学会,所属学会,産婦人科</v>
      </c>
      <c r="E1236" s="32" t="str">
        <f>IFERROR(__xludf.DUMMYFUNCTION("""COMPUTED_VALUE"""),"https://luna-dr.com/yokohama/doctors/")</f>
        <v>https://luna-dr.com/yokohama/doctors/</v>
      </c>
    </row>
    <row r="1237">
      <c r="A1237" s="31" t="str">
        <f>IFERROR(__xludf.DUMMYFUNCTION("""COMPUTED_VALUE"""),"院長の経歴を教えてください。")</f>
        <v>院長の経歴を教えてください。</v>
      </c>
      <c r="B1237" s="31" t="str">
        <f>IFERROR(__xludf.DUMMYFUNCTION("""COMPUTED_VALUE"""),"川原正行院長は1998年に岡山大学医学部を卒業後、大学病院・国立病院・総合病院で産婦人科診療を経験し、北京International SOS Clinicでの家庭医経験を経て、複数のレディースクリニックで診療に携わってきました。2021年には川崎駅前レディースクリニックを開業しています。日本産婦人科学会専門医および母体保護法指定医として、長年にわたり産婦人科診療に携わってきた医師です。")</f>
        <v>川原正行院長は1998年に岡山大学医学部を卒業後、大学病院・国立病院・総合病院で産婦人科診療を経験し、北京International SOS Clinicでの家庭医経験を経て、複数のレディースクリニックで診療に携わってきました。2021年には川崎駅前レディースクリニックを開業しています。日本産婦人科学会専門医および母体保護法指定医として、長年にわたり産婦人科診療に携わってきた医師です。</v>
      </c>
      <c r="C1237" s="31" t="str">
        <f>IFERROR(__xludf.DUMMYFUNCTION("""COMPUTED_VALUE"""),"ドクター紹介")</f>
        <v>ドクター紹介</v>
      </c>
      <c r="D1237" s="31" t="str">
        <f>IFERROR(__xludf.DUMMYFUNCTION("""COMPUTED_VALUE"""),"経歴,医師経歴,院長経歴")</f>
        <v>経歴,医師経歴,院長経歴</v>
      </c>
      <c r="E1237" s="32" t="str">
        <f>IFERROR(__xludf.DUMMYFUNCTION("""COMPUTED_VALUE"""),"https://luna-dr.com/yokohama/doctors/")</f>
        <v>https://luna-dr.com/yokohama/doctors/</v>
      </c>
    </row>
    <row r="1238">
      <c r="A1238" s="31" t="str">
        <f>IFERROR(__xludf.DUMMYFUNCTION("""COMPUTED_VALUE"""),"院長のインタビュー記事はありますか？")</f>
        <v>院長のインタビュー記事はありますか？</v>
      </c>
      <c r="B1238" s="31" t="str">
        <f>IFERROR(__xludf.DUMMYFUNCTION("""COMPUTED_VALUE"""),"川原正行院長のインタビューは「川崎ドクターズ（https://kanagawa-doctors.com/clinicList/66831/interview）」「ドクターズファイル（https://kanagawa-doctors.com/clinicList/66831/interview）」に掲載されています。院長の診療に対する考え方や想いをご覧いただけます。")</f>
        <v>川原正行院長のインタビューは「川崎ドクターズ（https://kanagawa-doctors.com/clinicList/66831/interview）」「ドクターズファイル（https://kanagawa-doctors.com/clinicList/66831/interview）」に掲載されています。院長の診療に対する考え方や想いをご覧いただけます。</v>
      </c>
      <c r="C1238" s="31" t="str">
        <f>IFERROR(__xludf.DUMMYFUNCTION("""COMPUTED_VALUE"""),"ドクター紹介")</f>
        <v>ドクター紹介</v>
      </c>
      <c r="D1238" s="31" t="str">
        <f>IFERROR(__xludf.DUMMYFUNCTION("""COMPUTED_VALUE"""),"インタビュー,医師紹介")</f>
        <v>インタビュー,医師紹介</v>
      </c>
      <c r="E1238" s="32" t="str">
        <f>IFERROR(__xludf.DUMMYFUNCTION("""COMPUTED_VALUE"""),"https://luna-dr.com/yokohama/doctors/")</f>
        <v>https://luna-dr.com/yokohama/doctors/</v>
      </c>
    </row>
    <row r="1239">
      <c r="A1239" s="31" t="str">
        <f>IFERROR(__xludf.DUMMYFUNCTION("""COMPUTED_VALUE"""),"低用量ピルの料金はいくらですか？")</f>
        <v>低用量ピルの料金はいくらですか？</v>
      </c>
      <c r="B1239" s="31" t="str">
        <f>IFERROR(__xludf.DUMMYFUNCTION("""COMPUTED_VALUE"""),"低用量ピルは自費診療となり、1シート3,000円（税込）です。")</f>
        <v>低用量ピルは自費診療となり、1シート3,000円（税込）です。</v>
      </c>
      <c r="C1239" s="31" t="str">
        <f>IFERROR(__xludf.DUMMYFUNCTION("""COMPUTED_VALUE"""),"料金・ピル")</f>
        <v>料金・ピル</v>
      </c>
      <c r="D1239" s="31" t="str">
        <f>IFERROR(__xludf.DUMMYFUNCTION("""COMPUTED_VALUE"""),"低用量ピル,料金,自費,")</f>
        <v>低用量ピル,料金,自費,</v>
      </c>
      <c r="E1239" s="32" t="str">
        <f>IFERROR(__xludf.DUMMYFUNCTION("""COMPUTED_VALUE"""),"https://luna-dr.com/yokohama/price/")</f>
        <v>https://luna-dr.com/yokohama/price/</v>
      </c>
    </row>
    <row r="1240">
      <c r="A1240" s="31" t="str">
        <f>IFERROR(__xludf.DUMMYFUNCTION("""COMPUTED_VALUE"""),"低用量ピルは保険診療ですか？")</f>
        <v>低用量ピルは保険診療ですか？</v>
      </c>
      <c r="B1240" s="31" t="str">
        <f>IFERROR(__xludf.DUMMYFUNCTION("""COMPUTED_VALUE"""),"低用量ピルは避妊目的の場合、保険適用外の自費診療となります。")</f>
        <v>低用量ピルは避妊目的の場合、保険適用外の自費診療となります。</v>
      </c>
      <c r="C1240" s="31" t="str">
        <f>IFERROR(__xludf.DUMMYFUNCTION("""COMPUTED_VALUE"""),"保険適用・ピル")</f>
        <v>保険適用・ピル</v>
      </c>
      <c r="D1240" s="31" t="str">
        <f>IFERROR(__xludf.DUMMYFUNCTION("""COMPUTED_VALUE"""),"低用量ピル,保険,自費,")</f>
        <v>低用量ピル,保険,自費,</v>
      </c>
      <c r="E1240" s="32" t="str">
        <f>IFERROR(__xludf.DUMMYFUNCTION("""COMPUTED_VALUE"""),"https://luna-dr.com/yokohama/price/")</f>
        <v>https://luna-dr.com/yokohama/price/</v>
      </c>
    </row>
    <row r="1241">
      <c r="A1241" s="31" t="str">
        <f>IFERROR(__xludf.DUMMYFUNCTION("""COMPUTED_VALUE"""),"アフターピルの料金はいくらですか？")</f>
        <v>アフターピルの料金はいくらですか？</v>
      </c>
      <c r="B1241" s="31" t="str">
        <f>IFERROR(__xludf.DUMMYFUNCTION("""COMPUTED_VALUE"""),"アフターピルは自費診療となり、15,000円（税込）です。")</f>
        <v>アフターピルは自費診療となり、15,000円（税込）です。</v>
      </c>
      <c r="C1241" s="31" t="str">
        <f>IFERROR(__xludf.DUMMYFUNCTION("""COMPUTED_VALUE"""),"料金・アフターピル")</f>
        <v>料金・アフターピル</v>
      </c>
      <c r="D1241" s="31" t="str">
        <f>IFERROR(__xludf.DUMMYFUNCTION("""COMPUTED_VALUE"""),"アフターピル,料金,")</f>
        <v>アフターピル,料金,</v>
      </c>
      <c r="E1241" s="32" t="str">
        <f>IFERROR(__xludf.DUMMYFUNCTION("""COMPUTED_VALUE"""),"https://luna-dr.com/yokohama/price/")</f>
        <v>https://luna-dr.com/yokohama/price/</v>
      </c>
    </row>
    <row r="1242">
      <c r="A1242" s="31" t="str">
        <f>IFERROR(__xludf.DUMMYFUNCTION("""COMPUTED_VALUE"""),"アフターピルは保険診療ですか？")</f>
        <v>アフターピルは保険診療ですか？</v>
      </c>
      <c r="B1242" s="31" t="str">
        <f>IFERROR(__xludf.DUMMYFUNCTION("""COMPUTED_VALUE"""),"アフターピルは健康保険適用外の自費診療です。")</f>
        <v>アフターピルは健康保険適用外の自費診療です。</v>
      </c>
      <c r="C1242" s="31" t="str">
        <f>IFERROR(__xludf.DUMMYFUNCTION("""COMPUTED_VALUE"""),"保険適用・アフターピル")</f>
        <v>保険適用・アフターピル</v>
      </c>
      <c r="D1242" s="31" t="str">
        <f>IFERROR(__xludf.DUMMYFUNCTION("""COMPUTED_VALUE"""),"アフターピル,保険,")</f>
        <v>アフターピル,保険,</v>
      </c>
      <c r="E1242" s="32" t="str">
        <f>IFERROR(__xludf.DUMMYFUNCTION("""COMPUTED_VALUE"""),"https://luna-dr.com/yokohama/price/")</f>
        <v>https://luna-dr.com/yokohama/price/</v>
      </c>
    </row>
    <row r="1243">
      <c r="A1243" s="31" t="str">
        <f>IFERROR(__xludf.DUMMYFUNCTION("""COMPUTED_VALUE"""),"月経移動の費用はいくらですか？")</f>
        <v>月経移動の費用はいくらですか？</v>
      </c>
      <c r="B1243" s="31" t="str">
        <f>IFERROR(__xludf.DUMMYFUNCTION("""COMPUTED_VALUE"""),"月経移動は自費診療となり、5,000円（税込）です。")</f>
        <v>月経移動は自費診療となり、5,000円（税込）です。</v>
      </c>
      <c r="C1243" s="31" t="str">
        <f>IFERROR(__xludf.DUMMYFUNCTION("""COMPUTED_VALUE"""),"料金・月経移動")</f>
        <v>料金・月経移動</v>
      </c>
      <c r="D1243" s="31" t="str">
        <f>IFERROR(__xludf.DUMMYFUNCTION("""COMPUTED_VALUE"""),"月経移動,料金,")</f>
        <v>月経移動,料金,</v>
      </c>
      <c r="E1243" s="32" t="str">
        <f>IFERROR(__xludf.DUMMYFUNCTION("""COMPUTED_VALUE"""),"https://luna-dr.com/yokohama/price/")</f>
        <v>https://luna-dr.com/yokohama/price/</v>
      </c>
    </row>
    <row r="1244">
      <c r="A1244" s="31" t="str">
        <f>IFERROR(__xludf.DUMMYFUNCTION("""COMPUTED_VALUE"""),"月経移動は保険診療ですか？")</f>
        <v>月経移動は保険診療ですか？</v>
      </c>
      <c r="B1244" s="31" t="str">
        <f>IFERROR(__xludf.DUMMYFUNCTION("""COMPUTED_VALUE"""),"月経移動は健康保険適用外の自費診療です。")</f>
        <v>月経移動は健康保険適用外の自費診療です。</v>
      </c>
      <c r="C1244" s="31" t="str">
        <f>IFERROR(__xludf.DUMMYFUNCTION("""COMPUTED_VALUE"""),"保険適用・月経移動")</f>
        <v>保険適用・月経移動</v>
      </c>
      <c r="D1244" s="31" t="str">
        <f>IFERROR(__xludf.DUMMYFUNCTION("""COMPUTED_VALUE"""),"月経移動,保険,")</f>
        <v>月経移動,保険,</v>
      </c>
      <c r="E1244" s="32" t="str">
        <f>IFERROR(__xludf.DUMMYFUNCTION("""COMPUTED_VALUE"""),"https://luna-dr.com/yokohama/price/")</f>
        <v>https://luna-dr.com/yokohama/price/</v>
      </c>
    </row>
    <row r="1245">
      <c r="A1245" s="31" t="str">
        <f>IFERROR(__xludf.DUMMYFUNCTION("""COMPUTED_VALUE"""),"避妊リングの費用はいくらですか？/ミレーナの費用はいくらですか？")</f>
        <v>避妊リングの費用はいくらですか？/ミレーナの費用はいくらですか？</v>
      </c>
      <c r="B1245" s="31" t="str">
        <f>IFERROR(__xludf.DUMMYFUNCTION("""COMPUTED_VALUE"""),"避妊リング（ミレーナ）は自費診療となり、75,500円（税込）です。")</f>
        <v>避妊リング（ミレーナ）は自費診療となり、75,500円（税込）です。</v>
      </c>
      <c r="C1245" s="31" t="str">
        <f>IFERROR(__xludf.DUMMYFUNCTION("""COMPUTED_VALUE"""),"料金・ミレーナ")</f>
        <v>料金・ミレーナ</v>
      </c>
      <c r="D1245" s="31" t="str">
        <f>IFERROR(__xludf.DUMMYFUNCTION("""COMPUTED_VALUE"""),"ミレーナ,避妊リング,料金,")</f>
        <v>ミレーナ,避妊リング,料金,</v>
      </c>
      <c r="E1245" s="32" t="str">
        <f>IFERROR(__xludf.DUMMYFUNCTION("""COMPUTED_VALUE"""),"https://luna-dr.com/yokohama/price/")</f>
        <v>https://luna-dr.com/yokohama/price/</v>
      </c>
    </row>
    <row r="1246">
      <c r="A1246" s="31" t="str">
        <f>IFERROR(__xludf.DUMMYFUNCTION("""COMPUTED_VALUE"""),"避妊リングは保険診療ですか？/ミレーナは保険診療ですか？")</f>
        <v>避妊リングは保険診療ですか？/ミレーナは保険診療ですか？</v>
      </c>
      <c r="B1246" s="31" t="str">
        <f>IFERROR(__xludf.DUMMYFUNCTION("""COMPUTED_VALUE"""),"避妊リング（ミレーナ）は健康保険適用外の自費診療です。")</f>
        <v>避妊リング（ミレーナ）は健康保険適用外の自費診療です。</v>
      </c>
      <c r="C1246" s="31" t="str">
        <f>IFERROR(__xludf.DUMMYFUNCTION("""COMPUTED_VALUE"""),"保険適用・ミレーナ")</f>
        <v>保険適用・ミレーナ</v>
      </c>
      <c r="D1246" s="31" t="str">
        <f>IFERROR(__xludf.DUMMYFUNCTION("""COMPUTED_VALUE"""),"ミレーナ,保険,")</f>
        <v>ミレーナ,保険,</v>
      </c>
      <c r="E1246" s="32" t="str">
        <f>IFERROR(__xludf.DUMMYFUNCTION("""COMPUTED_VALUE"""),"https://luna-dr.com/yokohama/price/")</f>
        <v>https://luna-dr.com/yokohama/price/</v>
      </c>
    </row>
    <row r="1247">
      <c r="A1247" s="31" t="str">
        <f>IFERROR(__xludf.DUMMYFUNCTION("""COMPUTED_VALUE"""),"人工妊娠中絶手術の費用はいくらですか？")</f>
        <v>人工妊娠中絶手術の費用はいくらですか？</v>
      </c>
      <c r="B1247" s="31" t="str">
        <f>IFERROR(__xludf.DUMMYFUNCTION("""COMPUTED_VALUE"""),"人工妊娠中絶手術は自費診療で、92,400円（税込）〜となります。別途、事前検査費用が発生します")</f>
        <v>人工妊娠中絶手術は自費診療で、92,400円（税込）〜となります。別途、事前検査費用が発生します</v>
      </c>
      <c r="C1247" s="31" t="str">
        <f>IFERROR(__xludf.DUMMYFUNCTION("""COMPUTED_VALUE"""),"料金・中絶")</f>
        <v>料金・中絶</v>
      </c>
      <c r="D1247" s="31" t="str">
        <f>IFERROR(__xludf.DUMMYFUNCTION("""COMPUTED_VALUE"""),"中絶,費用,自費,")</f>
        <v>中絶,費用,自費,</v>
      </c>
      <c r="E1247" s="32" t="str">
        <f>IFERROR(__xludf.DUMMYFUNCTION("""COMPUTED_VALUE"""),"https://luna-dr.com/yokohama/price/")</f>
        <v>https://luna-dr.com/yokohama/price/</v>
      </c>
    </row>
    <row r="1248">
      <c r="A1248" s="31" t="str">
        <f>IFERROR(__xludf.DUMMYFUNCTION("""COMPUTED_VALUE"""),"人工妊娠中絶手術は保険診療ですか？/中絶は保険診療ですか？")</f>
        <v>人工妊娠中絶手術は保険診療ですか？/中絶は保険診療ですか？</v>
      </c>
      <c r="B1248" s="31" t="str">
        <f>IFERROR(__xludf.DUMMYFUNCTION("""COMPUTED_VALUE"""),"人工妊娠中絶手術は健康保険適用外の自費診療です。")</f>
        <v>人工妊娠中絶手術は健康保険適用外の自費診療です。</v>
      </c>
      <c r="C1248" s="31" t="str">
        <f>IFERROR(__xludf.DUMMYFUNCTION("""COMPUTED_VALUE"""),"保険適用・人工妊娠中絶手術")</f>
        <v>保険適用・人工妊娠中絶手術</v>
      </c>
      <c r="D1248" s="31" t="str">
        <f>IFERROR(__xludf.DUMMYFUNCTION("""COMPUTED_VALUE"""),"人工妊娠中絶手術,保険,")</f>
        <v>人工妊娠中絶手術,保険,</v>
      </c>
      <c r="E1248" s="32" t="str">
        <f>IFERROR(__xludf.DUMMYFUNCTION("""COMPUTED_VALUE"""),"https://luna-dr.com/yokohama/price/")</f>
        <v>https://luna-dr.com/yokohama/price/</v>
      </c>
    </row>
    <row r="1249">
      <c r="A1249" s="31" t="str">
        <f>IFERROR(__xludf.DUMMYFUNCTION("""COMPUTED_VALUE"""),"人工妊娠中絶の事前検査費用はいくらですか？")</f>
        <v>人工妊娠中絶の事前検査費用はいくらですか？</v>
      </c>
      <c r="B1249" s="31" t="str">
        <f>IFERROR(__xludf.DUMMYFUNCTION("""COMPUTED_VALUE"""),"人工妊娠中絶の事前検査は16,500円（税込）です。")</f>
        <v>人工妊娠中絶の事前検査は16,500円（税込）です。</v>
      </c>
      <c r="C1249" s="31" t="str">
        <f>IFERROR(__xludf.DUMMYFUNCTION("""COMPUTED_VALUE"""),"料金・中絶検査")</f>
        <v>料金・中絶検査</v>
      </c>
      <c r="D1249" s="31" t="str">
        <f>IFERROR(__xludf.DUMMYFUNCTION("""COMPUTED_VALUE"""),"中絶,事前検査,")</f>
        <v>中絶,事前検査,</v>
      </c>
      <c r="E1249" s="32" t="str">
        <f>IFERROR(__xludf.DUMMYFUNCTION("""COMPUTED_VALUE"""),"https://luna-dr.com/yokohama/price/")</f>
        <v>https://luna-dr.com/yokohama/price/</v>
      </c>
    </row>
    <row r="1250">
      <c r="A1250" s="31" t="str">
        <f>IFERROR(__xludf.DUMMYFUNCTION("""COMPUTED_VALUE"""),"クラミジア検査の費用はいくらですか？")</f>
        <v>クラミジア検査の費用はいくらですか？</v>
      </c>
      <c r="B1250" s="31" t="str">
        <f>IFERROR(__xludf.DUMMYFUNCTION("""COMPUTED_VALUE"""),"クラミジア検査は自費診療となり、5,000円（税込）です。")</f>
        <v>クラミジア検査は自費診療となり、5,000円（税込）です。</v>
      </c>
      <c r="C1250" s="31" t="str">
        <f>IFERROR(__xludf.DUMMYFUNCTION("""COMPUTED_VALUE"""),"料金・性病検査")</f>
        <v>料金・性病検査</v>
      </c>
      <c r="D1250" s="31" t="str">
        <f>IFERROR(__xludf.DUMMYFUNCTION("""COMPUTED_VALUE"""),"クラミジア,検査,料金,")</f>
        <v>クラミジア,検査,料金,</v>
      </c>
      <c r="E1250" s="32" t="str">
        <f>IFERROR(__xludf.DUMMYFUNCTION("""COMPUTED_VALUE"""),"https://luna-dr.com/yokohama/price/")</f>
        <v>https://luna-dr.com/yokohama/price/</v>
      </c>
    </row>
    <row r="1251">
      <c r="A1251" s="31" t="str">
        <f>IFERROR(__xludf.DUMMYFUNCTION("""COMPUTED_VALUE"""),"クラミジア検査は保険診療ですか？")</f>
        <v>クラミジア検査は保険診療ですか？</v>
      </c>
      <c r="B1251" s="31" t="str">
        <f>IFERROR(__xludf.DUMMYFUNCTION("""COMPUTED_VALUE"""),"クラミジア検査は自費診療となり、健康保険は適用されません。")</f>
        <v>クラミジア検査は自費診療となり、健康保険は適用されません。</v>
      </c>
      <c r="C1251" s="31" t="str">
        <f>IFERROR(__xludf.DUMMYFUNCTION("""COMPUTED_VALUE"""),"保険適用・性病検査")</f>
        <v>保険適用・性病検査</v>
      </c>
      <c r="D1251" s="31" t="str">
        <f>IFERROR(__xludf.DUMMYFUNCTION("""COMPUTED_VALUE"""),"クラミジア,保険,自費,")</f>
        <v>クラミジア,保険,自費,</v>
      </c>
      <c r="E1251" s="32" t="str">
        <f>IFERROR(__xludf.DUMMYFUNCTION("""COMPUTED_VALUE"""),"https://luna-dr.com/yokohama/price/")</f>
        <v>https://luna-dr.com/yokohama/price/</v>
      </c>
    </row>
    <row r="1252">
      <c r="A1252" s="31" t="str">
        <f>IFERROR(__xludf.DUMMYFUNCTION("""COMPUTED_VALUE"""),"淋病検査の費用はいくらですか？")</f>
        <v>淋病検査の費用はいくらですか？</v>
      </c>
      <c r="B1252" s="31" t="str">
        <f>IFERROR(__xludf.DUMMYFUNCTION("""COMPUTED_VALUE"""),"淋病検査は自費診療となり、5,000円（税込）です。")</f>
        <v>淋病検査は自費診療となり、5,000円（税込）です。</v>
      </c>
      <c r="C1252" s="31" t="str">
        <f>IFERROR(__xludf.DUMMYFUNCTION("""COMPUTED_VALUE"""),"料金・性病検査")</f>
        <v>料金・性病検査</v>
      </c>
      <c r="D1252" s="31" t="str">
        <f>IFERROR(__xludf.DUMMYFUNCTION("""COMPUTED_VALUE"""),"淋病,検査,料金,")</f>
        <v>淋病,検査,料金,</v>
      </c>
      <c r="E1252" s="32" t="str">
        <f>IFERROR(__xludf.DUMMYFUNCTION("""COMPUTED_VALUE"""),"https://luna-dr.com/yokohama/price/")</f>
        <v>https://luna-dr.com/yokohama/price/</v>
      </c>
    </row>
    <row r="1253">
      <c r="A1253" s="31" t="str">
        <f>IFERROR(__xludf.DUMMYFUNCTION("""COMPUTED_VALUE"""),"淋病検査は保険診療ですか？")</f>
        <v>淋病検査は保険診療ですか？</v>
      </c>
      <c r="B1253" s="31" t="str">
        <f>IFERROR(__xludf.DUMMYFUNCTION("""COMPUTED_VALUE"""),"淋病検査は自費診療となり、健康保険は適用されません。")</f>
        <v>淋病検査は自費診療となり、健康保険は適用されません。</v>
      </c>
      <c r="C1253" s="31" t="str">
        <f>IFERROR(__xludf.DUMMYFUNCTION("""COMPUTED_VALUE"""),"保険適用・性病検査")</f>
        <v>保険適用・性病検査</v>
      </c>
      <c r="D1253" s="31" t="str">
        <f>IFERROR(__xludf.DUMMYFUNCTION("""COMPUTED_VALUE"""),"淋病,保険,自費,")</f>
        <v>淋病,保険,自費,</v>
      </c>
      <c r="E1253" s="32" t="str">
        <f>IFERROR(__xludf.DUMMYFUNCTION("""COMPUTED_VALUE"""),"https://luna-dr.com/yokohama/price/")</f>
        <v>https://luna-dr.com/yokohama/price/</v>
      </c>
    </row>
    <row r="1254">
      <c r="A1254" s="31" t="str">
        <f>IFERROR(__xludf.DUMMYFUNCTION("""COMPUTED_VALUE"""),"カンジダ検査の費用はいくらですか？")</f>
        <v>カンジダ検査の費用はいくらですか？</v>
      </c>
      <c r="B1254" s="31" t="str">
        <f>IFERROR(__xludf.DUMMYFUNCTION("""COMPUTED_VALUE"""),"カンジダ検査は自費診療となり、5,000円（税込）です。")</f>
        <v>カンジダ検査は自費診療となり、5,000円（税込）です。</v>
      </c>
      <c r="C1254" s="31" t="str">
        <f>IFERROR(__xludf.DUMMYFUNCTION("""COMPUTED_VALUE"""),"料金・性病検査")</f>
        <v>料金・性病検査</v>
      </c>
      <c r="D1254" s="31" t="str">
        <f>IFERROR(__xludf.DUMMYFUNCTION("""COMPUTED_VALUE"""),"カンジダ,検査,料金,")</f>
        <v>カンジダ,検査,料金,</v>
      </c>
      <c r="E1254" s="32" t="str">
        <f>IFERROR(__xludf.DUMMYFUNCTION("""COMPUTED_VALUE"""),"https://luna-dr.com/yokohama/price/")</f>
        <v>https://luna-dr.com/yokohama/price/</v>
      </c>
    </row>
    <row r="1255">
      <c r="A1255" s="31" t="str">
        <f>IFERROR(__xludf.DUMMYFUNCTION("""COMPUTED_VALUE"""),"カンジダ検査は保険診療ですか？")</f>
        <v>カンジダ検査は保険診療ですか？</v>
      </c>
      <c r="B1255" s="31" t="str">
        <f>IFERROR(__xludf.DUMMYFUNCTION("""COMPUTED_VALUE"""),"カンジダ検査は自費診療となり、健康保険は適用されません。")</f>
        <v>カンジダ検査は自費診療となり、健康保険は適用されません。</v>
      </c>
      <c r="C1255" s="31" t="str">
        <f>IFERROR(__xludf.DUMMYFUNCTION("""COMPUTED_VALUE"""),"保険適用・性病検査")</f>
        <v>保険適用・性病検査</v>
      </c>
      <c r="D1255" s="31" t="str">
        <f>IFERROR(__xludf.DUMMYFUNCTION("""COMPUTED_VALUE"""),"カンジダ,保険,自費,")</f>
        <v>カンジダ,保険,自費,</v>
      </c>
      <c r="E1255" s="32" t="str">
        <f>IFERROR(__xludf.DUMMYFUNCTION("""COMPUTED_VALUE"""),"https://luna-dr.com/yokohama/price/")</f>
        <v>https://luna-dr.com/yokohama/price/</v>
      </c>
    </row>
    <row r="1256">
      <c r="A1256" s="31" t="str">
        <f>IFERROR(__xludf.DUMMYFUNCTION("""COMPUTED_VALUE"""),"HIV検査の費用はいくらですか？")</f>
        <v>HIV検査の費用はいくらですか？</v>
      </c>
      <c r="B1256" s="31" t="str">
        <f>IFERROR(__xludf.DUMMYFUNCTION("""COMPUTED_VALUE"""),"HIV検査は自費診療となり、5,000円（税込）です。")</f>
        <v>HIV検査は自費診療となり、5,000円（税込）です。</v>
      </c>
      <c r="C1256" s="31" t="str">
        <f>IFERROR(__xludf.DUMMYFUNCTION("""COMPUTED_VALUE"""),"料金・性病検査")</f>
        <v>料金・性病検査</v>
      </c>
      <c r="D1256" s="31" t="str">
        <f>IFERROR(__xludf.DUMMYFUNCTION("""COMPUTED_VALUE"""),"HIV,検査,料金,")</f>
        <v>HIV,検査,料金,</v>
      </c>
      <c r="E1256" s="32" t="str">
        <f>IFERROR(__xludf.DUMMYFUNCTION("""COMPUTED_VALUE"""),"https://luna-dr.com/yokohama/price/")</f>
        <v>https://luna-dr.com/yokohama/price/</v>
      </c>
    </row>
    <row r="1257">
      <c r="A1257" s="31" t="str">
        <f>IFERROR(__xludf.DUMMYFUNCTION("""COMPUTED_VALUE"""),"HIV検査は保険診療ですか？")</f>
        <v>HIV検査は保険診療ですか？</v>
      </c>
      <c r="B1257" s="31" t="str">
        <f>IFERROR(__xludf.DUMMYFUNCTION("""COMPUTED_VALUE"""),"HIV検査は自費診療となり、健康保険は適用されません。")</f>
        <v>HIV検査は自費診療となり、健康保険は適用されません。</v>
      </c>
      <c r="C1257" s="31" t="str">
        <f>IFERROR(__xludf.DUMMYFUNCTION("""COMPUTED_VALUE"""),"保険適用・性病検査")</f>
        <v>保険適用・性病検査</v>
      </c>
      <c r="D1257" s="31" t="str">
        <f>IFERROR(__xludf.DUMMYFUNCTION("""COMPUTED_VALUE"""),"HIV,保険,自費,")</f>
        <v>HIV,保険,自費,</v>
      </c>
      <c r="E1257" s="32" t="str">
        <f>IFERROR(__xludf.DUMMYFUNCTION("""COMPUTED_VALUE"""),"https://luna-dr.com/yokohama/price/")</f>
        <v>https://luna-dr.com/yokohama/price/</v>
      </c>
    </row>
    <row r="1258">
      <c r="A1258" s="31" t="str">
        <f>IFERROR(__xludf.DUMMYFUNCTION("""COMPUTED_VALUE"""),"B型肝炎検査の費用はいくらですか？")</f>
        <v>B型肝炎検査の費用はいくらですか？</v>
      </c>
      <c r="B1258" s="31" t="str">
        <f>IFERROR(__xludf.DUMMYFUNCTION("""COMPUTED_VALUE"""),"B型肝炎検査は自費診療となり、5,000円（税込）です。")</f>
        <v>B型肝炎検査は自費診療となり、5,000円（税込）です。</v>
      </c>
      <c r="C1258" s="31" t="str">
        <f>IFERROR(__xludf.DUMMYFUNCTION("""COMPUTED_VALUE"""),"料金・性病検査")</f>
        <v>料金・性病検査</v>
      </c>
      <c r="D1258" s="31" t="str">
        <f>IFERROR(__xludf.DUMMYFUNCTION("""COMPUTED_VALUE"""),"B型肝炎,検査,料金,")</f>
        <v>B型肝炎,検査,料金,</v>
      </c>
      <c r="E1258" s="32" t="str">
        <f>IFERROR(__xludf.DUMMYFUNCTION("""COMPUTED_VALUE"""),"https://luna-dr.com/yokohama/price/")</f>
        <v>https://luna-dr.com/yokohama/price/</v>
      </c>
    </row>
    <row r="1259">
      <c r="A1259" s="31" t="str">
        <f>IFERROR(__xludf.DUMMYFUNCTION("""COMPUTED_VALUE"""),"B型肝炎検査は保険診療ですか？")</f>
        <v>B型肝炎検査は保険診療ですか？</v>
      </c>
      <c r="B1259" s="31" t="str">
        <f>IFERROR(__xludf.DUMMYFUNCTION("""COMPUTED_VALUE"""),"B型肝炎検査は自費診療となり、健康保険は適用されません。")</f>
        <v>B型肝炎検査は自費診療となり、健康保険は適用されません。</v>
      </c>
      <c r="C1259" s="31" t="str">
        <f>IFERROR(__xludf.DUMMYFUNCTION("""COMPUTED_VALUE"""),"保険適用・性病検査")</f>
        <v>保険適用・性病検査</v>
      </c>
      <c r="D1259" s="31" t="str">
        <f>IFERROR(__xludf.DUMMYFUNCTION("""COMPUTED_VALUE"""),"B型肝炎,保険,自費,")</f>
        <v>B型肝炎,保険,自費,</v>
      </c>
      <c r="E1259" s="32" t="str">
        <f>IFERROR(__xludf.DUMMYFUNCTION("""COMPUTED_VALUE"""),"https://luna-dr.com/yokohama/price/")</f>
        <v>https://luna-dr.com/yokohama/price/</v>
      </c>
    </row>
    <row r="1260">
      <c r="A1260" s="31" t="str">
        <f>IFERROR(__xludf.DUMMYFUNCTION("""COMPUTED_VALUE"""),"C型肝炎検査の費用はいくらですか？")</f>
        <v>C型肝炎検査の費用はいくらですか？</v>
      </c>
      <c r="B1260" s="31" t="str">
        <f>IFERROR(__xludf.DUMMYFUNCTION("""COMPUTED_VALUE"""),"C型肝炎検査は自費診療となり、5,000円（税込）です。")</f>
        <v>C型肝炎検査は自費診療となり、5,000円（税込）です。</v>
      </c>
      <c r="C1260" s="31" t="str">
        <f>IFERROR(__xludf.DUMMYFUNCTION("""COMPUTED_VALUE"""),"料金・性病検査")</f>
        <v>料金・性病検査</v>
      </c>
      <c r="D1260" s="31" t="str">
        <f>IFERROR(__xludf.DUMMYFUNCTION("""COMPUTED_VALUE"""),"C型肝炎,検査,料金,")</f>
        <v>C型肝炎,検査,料金,</v>
      </c>
      <c r="E1260" s="32" t="str">
        <f>IFERROR(__xludf.DUMMYFUNCTION("""COMPUTED_VALUE"""),"https://luna-dr.com/yokohama/price/")</f>
        <v>https://luna-dr.com/yokohama/price/</v>
      </c>
    </row>
    <row r="1261">
      <c r="A1261" s="31" t="str">
        <f>IFERROR(__xludf.DUMMYFUNCTION("""COMPUTED_VALUE"""),"C型肝炎検査は保険診療ですか？")</f>
        <v>C型肝炎検査は保険診療ですか？</v>
      </c>
      <c r="B1261" s="31" t="str">
        <f>IFERROR(__xludf.DUMMYFUNCTION("""COMPUTED_VALUE"""),"C型肝炎検査は自費診療となり、健康保険は適用されません。")</f>
        <v>C型肝炎検査は自費診療となり、健康保険は適用されません。</v>
      </c>
      <c r="C1261" s="31" t="str">
        <f>IFERROR(__xludf.DUMMYFUNCTION("""COMPUTED_VALUE"""),"保険適用・性病検査")</f>
        <v>保険適用・性病検査</v>
      </c>
      <c r="D1261" s="31" t="str">
        <f>IFERROR(__xludf.DUMMYFUNCTION("""COMPUTED_VALUE"""),"C型肝炎,保険,自費,")</f>
        <v>C型肝炎,保険,自費,</v>
      </c>
      <c r="E1261" s="32" t="str">
        <f>IFERROR(__xludf.DUMMYFUNCTION("""COMPUTED_VALUE"""),"https://luna-dr.com/yokohama/price/")</f>
        <v>https://luna-dr.com/yokohama/price/</v>
      </c>
    </row>
    <row r="1262">
      <c r="A1262" s="31" t="str">
        <f>IFERROR(__xludf.DUMMYFUNCTION("""COMPUTED_VALUE"""),"梅毒検査の費用はいくらですか？")</f>
        <v>梅毒検査の費用はいくらですか？</v>
      </c>
      <c r="B1262" s="31" t="str">
        <f>IFERROR(__xludf.DUMMYFUNCTION("""COMPUTED_VALUE"""),"梅毒検査は自費診療となり、5,000円（税込）です。")</f>
        <v>梅毒検査は自費診療となり、5,000円（税込）です。</v>
      </c>
      <c r="C1262" s="31" t="str">
        <f>IFERROR(__xludf.DUMMYFUNCTION("""COMPUTED_VALUE"""),"料金・性病検査")</f>
        <v>料金・性病検査</v>
      </c>
      <c r="D1262" s="31" t="str">
        <f>IFERROR(__xludf.DUMMYFUNCTION("""COMPUTED_VALUE"""),"梅毒,検査,料金,")</f>
        <v>梅毒,検査,料金,</v>
      </c>
      <c r="E1262" s="32" t="str">
        <f>IFERROR(__xludf.DUMMYFUNCTION("""COMPUTED_VALUE"""),"https://luna-dr.com/yokohama/price/")</f>
        <v>https://luna-dr.com/yokohama/price/</v>
      </c>
    </row>
    <row r="1263">
      <c r="A1263" s="31" t="str">
        <f>IFERROR(__xludf.DUMMYFUNCTION("""COMPUTED_VALUE"""),"梅毒検査は保険診療ですか？")</f>
        <v>梅毒検査は保険診療ですか？</v>
      </c>
      <c r="B1263" s="31" t="str">
        <f>IFERROR(__xludf.DUMMYFUNCTION("""COMPUTED_VALUE"""),"梅毒検査は自費診療となり、健康保険は適用されません。")</f>
        <v>梅毒検査は自費診療となり、健康保険は適用されません。</v>
      </c>
      <c r="C1263" s="31" t="str">
        <f>IFERROR(__xludf.DUMMYFUNCTION("""COMPUTED_VALUE"""),"保険適用・性病検査")</f>
        <v>保険適用・性病検査</v>
      </c>
      <c r="D1263" s="31" t="str">
        <f>IFERROR(__xludf.DUMMYFUNCTION("""COMPUTED_VALUE"""),"梅毒,保険,自費,")</f>
        <v>梅毒,保険,自費,</v>
      </c>
      <c r="E1263" s="32" t="str">
        <f>IFERROR(__xludf.DUMMYFUNCTION("""COMPUTED_VALUE"""),"https://luna-dr.com/yokohama/price/")</f>
        <v>https://luna-dr.com/yokohama/price/</v>
      </c>
    </row>
    <row r="1264">
      <c r="A1264" s="31" t="str">
        <f>IFERROR(__xludf.DUMMYFUNCTION("""COMPUTED_VALUE"""),"トリコモナス検査の費用はいくらですか？")</f>
        <v>トリコモナス検査の費用はいくらですか？</v>
      </c>
      <c r="B1264" s="31" t="str">
        <f>IFERROR(__xludf.DUMMYFUNCTION("""COMPUTED_VALUE"""),"トリコモナス検査は自費診療となり、5,000円（税込）です。")</f>
        <v>トリコモナス検査は自費診療となり、5,000円（税込）です。</v>
      </c>
      <c r="C1264" s="31" t="str">
        <f>IFERROR(__xludf.DUMMYFUNCTION("""COMPUTED_VALUE"""),"料金・性病検査")</f>
        <v>料金・性病検査</v>
      </c>
      <c r="D1264" s="31" t="str">
        <f>IFERROR(__xludf.DUMMYFUNCTION("""COMPUTED_VALUE"""),"トリコモナス,検査,料金,")</f>
        <v>トリコモナス,検査,料金,</v>
      </c>
      <c r="E1264" s="32" t="str">
        <f>IFERROR(__xludf.DUMMYFUNCTION("""COMPUTED_VALUE"""),"https://luna-dr.com/yokohama/price/")</f>
        <v>https://luna-dr.com/yokohama/price/</v>
      </c>
    </row>
    <row r="1265">
      <c r="A1265" s="31" t="str">
        <f>IFERROR(__xludf.DUMMYFUNCTION("""COMPUTED_VALUE"""),"トリコモナス検査は保険診療ですか？")</f>
        <v>トリコモナス検査は保険診療ですか？</v>
      </c>
      <c r="B1265" s="31" t="str">
        <f>IFERROR(__xludf.DUMMYFUNCTION("""COMPUTED_VALUE"""),"トリコモナス検査は自費診療となり、健康保険は適用されません。")</f>
        <v>トリコモナス検査は自費診療となり、健康保険は適用されません。</v>
      </c>
      <c r="C1265" s="31" t="str">
        <f>IFERROR(__xludf.DUMMYFUNCTION("""COMPUTED_VALUE"""),"保険適用・性病検査")</f>
        <v>保険適用・性病検査</v>
      </c>
      <c r="D1265" s="31" t="str">
        <f>IFERROR(__xludf.DUMMYFUNCTION("""COMPUTED_VALUE"""),"トリコモナス,保険,自費,")</f>
        <v>トリコモナス,保険,自費,</v>
      </c>
      <c r="E1265" s="32" t="str">
        <f>IFERROR(__xludf.DUMMYFUNCTION("""COMPUTED_VALUE"""),"https://luna-dr.com/yokohama/price/")</f>
        <v>https://luna-dr.com/yokohama/price/</v>
      </c>
    </row>
    <row r="1266">
      <c r="A1266" s="31" t="str">
        <f>IFERROR(__xludf.DUMMYFUNCTION("""COMPUTED_VALUE"""),"子宮頸がん検診の料金はいくらですか？")</f>
        <v>子宮頸がん検診の料金はいくらですか？</v>
      </c>
      <c r="B1266" s="31" t="str">
        <f>IFERROR(__xludf.DUMMYFUNCTION("""COMPUTED_VALUE"""),"子宮頸がん検診（自費）は5,000円（税込）です。妊娠中の方は妊娠10週まで当院で経過を診ている場合に限ります。
横浜市子宮頸がん検診を受診される場合の料金は1,360円（税込）となります。")</f>
        <v>子宮頸がん検診（自費）は5,000円（税込）です。妊娠中の方は妊娠10週まで当院で経過を診ている場合に限ります。
横浜市子宮頸がん検診を受診される場合の料金は1,360円（税込）となります。</v>
      </c>
      <c r="C1266" s="31" t="str">
        <f>IFERROR(__xludf.DUMMYFUNCTION("""COMPUTED_VALUE"""),"料金・検診")</f>
        <v>料金・検診</v>
      </c>
      <c r="D1266" s="31" t="str">
        <f>IFERROR(__xludf.DUMMYFUNCTION("""COMPUTED_VALUE"""),"子宮頸がん検診,料金,")</f>
        <v>子宮頸がん検診,料金,</v>
      </c>
      <c r="E1266" s="32" t="str">
        <f>IFERROR(__xludf.DUMMYFUNCTION("""COMPUTED_VALUE"""),"https://luna-dr.com/yokohama/price/")</f>
        <v>https://luna-dr.com/yokohama/price/</v>
      </c>
    </row>
    <row r="1267">
      <c r="A1267" s="31" t="str">
        <f>IFERROR(__xludf.DUMMYFUNCTION("""COMPUTED_VALUE"""),"子宮頸がん検診は保険診療ですか？")</f>
        <v>子宮頸がん検診は保険診療ですか？</v>
      </c>
      <c r="B1267" s="31" t="str">
        <f>IFERROR(__xludf.DUMMYFUNCTION("""COMPUTED_VALUE"""),"子宮頸がん検診は、原則として健康保険が使えない自費診療です。ただし、お住まいの市区町村が実施している「子宮頸がん検診の公費助成（クーポン）」の対象となる場合は、自己負担が軽減される場合もございます。公費の対象かどうかは、お住まいの地域・年齢・年度ごとの制度によって異なります。横浜市・川崎市・町田市などでは条件を満たす方に公費検診が用意されていますので、対象かどうかはお手数ですが自治体の案内をご確認いただくか、ご来院予定の院へお問い合わせください。")</f>
        <v>子宮頸がん検診は、原則として健康保険が使えない自費診療です。ただし、お住まいの市区町村が実施している「子宮頸がん検診の公費助成（クーポン）」の対象となる場合は、自己負担が軽減される場合もございます。公費の対象かどうかは、お住まいの地域・年齢・年度ごとの制度によって異なります。横浜市・川崎市・町田市などでは条件を満たす方に公費検診が用意されていますので、対象かどうかはお手数ですが自治体の案内をご確認いただくか、ご来院予定の院へお問い合わせください。</v>
      </c>
      <c r="C1267" s="31" t="str">
        <f>IFERROR(__xludf.DUMMYFUNCTION("""COMPUTED_VALUE"""),"料金・保険")</f>
        <v>料金・保険</v>
      </c>
      <c r="D1267" s="31" t="str">
        <f>IFERROR(__xludf.DUMMYFUNCTION("""COMPUTED_VALUE"""),"子宮頸がん検診,保険診療,自費診療,公費,クーポン,横浜市,川崎市,町田市")</f>
        <v>子宮頸がん検診,保険診療,自費診療,公費,クーポン,横浜市,川崎市,町田市</v>
      </c>
      <c r="E1267" s="32" t="str">
        <f>IFERROR(__xludf.DUMMYFUNCTION("""COMPUTED_VALUE"""),"https://luna-dr.com/yokohama/price/")</f>
        <v>https://luna-dr.com/yokohama/price/</v>
      </c>
    </row>
    <row r="1268">
      <c r="A1268" s="31" t="str">
        <f>IFERROR(__xludf.DUMMYFUNCTION("""COMPUTED_VALUE"""),"横浜市の子宮頸がん検診の料金はいくらですか？")</f>
        <v>横浜市の子宮頸がん検診の料金はいくらですか？</v>
      </c>
      <c r="B1268" s="31" t="str">
        <f>IFERROR(__xludf.DUMMYFUNCTION("""COMPUTED_VALUE"""),"子宮頸がん検診（自費）は1,360円（税込）です。妊娠中の方は妊娠10週まで当院で経過を診ている場合に限ります。")</f>
        <v>子宮頸がん検診（自費）は1,360円（税込）です。妊娠中の方は妊娠10週まで当院で経過を診ている場合に限ります。</v>
      </c>
      <c r="C1268" s="31" t="str">
        <f>IFERROR(__xludf.DUMMYFUNCTION("""COMPUTED_VALUE"""),"料金・検診")</f>
        <v>料金・検診</v>
      </c>
      <c r="D1268" s="31" t="str">
        <f>IFERROR(__xludf.DUMMYFUNCTION("""COMPUTED_VALUE"""),"子宮頸がん検診,料金,")</f>
        <v>子宮頸がん検診,料金,</v>
      </c>
      <c r="E1268" s="32" t="str">
        <f>IFERROR(__xludf.DUMMYFUNCTION("""COMPUTED_VALUE"""),"https://luna-dr.com/yokohama/price/")</f>
        <v>https://luna-dr.com/yokohama/price/</v>
      </c>
    </row>
    <row r="1269">
      <c r="A1269" s="31" t="str">
        <f>IFERROR(__xludf.DUMMYFUNCTION("""COMPUTED_VALUE"""),"子宮体がん検診の料金はいくらですか？")</f>
        <v>子宮体がん検診の料金はいくらですか？</v>
      </c>
      <c r="B1269" s="31" t="str">
        <f>IFERROR(__xludf.DUMMYFUNCTION("""COMPUTED_VALUE"""),"子宮体がん検診は6,000円（税込）です。妊娠中の方は妊娠10週まで当院で経過を診ている場合に限ります。")</f>
        <v>子宮体がん検診は6,000円（税込）です。妊娠中の方は妊娠10週まで当院で経過を診ている場合に限ります。</v>
      </c>
      <c r="C1269" s="31" t="str">
        <f>IFERROR(__xludf.DUMMYFUNCTION("""COMPUTED_VALUE"""),"料金・検診")</f>
        <v>料金・検診</v>
      </c>
      <c r="D1269" s="31" t="str">
        <f>IFERROR(__xludf.DUMMYFUNCTION("""COMPUTED_VALUE"""),"子宮体がん検診,料金,")</f>
        <v>子宮体がん検診,料金,</v>
      </c>
      <c r="E1269" s="32" t="str">
        <f>IFERROR(__xludf.DUMMYFUNCTION("""COMPUTED_VALUE"""),"https://luna-dr.com/yokohama/price/")</f>
        <v>https://luna-dr.com/yokohama/price/</v>
      </c>
    </row>
    <row r="1270">
      <c r="A1270" s="31" t="str">
        <f>IFERROR(__xludf.DUMMYFUNCTION("""COMPUTED_VALUE"""),"子宮体がん検査は保険診療ですか？")</f>
        <v>子宮体がん検査は保険診療ですか？</v>
      </c>
      <c r="B1270" s="31" t="str">
        <f>IFERROR(__xludf.DUMMYFUNCTION("""COMPUTED_VALUE"""),"子宮体がん検査は、原則として自費診療です。実際に保険適用や公費対象となるかは、症状やお住まいの自治体、診察時の医師判断によって異なります。対象かどうかはお手数ですが自治体の案内をご確認いただくか、ご来院予定の院へお問い合わせください。")</f>
        <v>子宮体がん検査は、原則として自費診療です。実際に保険適用や公費対象となるかは、症状やお住まいの自治体、診察時の医師判断によって異なります。対象かどうかはお手数ですが自治体の案内をご確認いただくか、ご来院予定の院へお問い合わせください。</v>
      </c>
      <c r="C1270" s="31" t="str">
        <f>IFERROR(__xludf.DUMMYFUNCTION("""COMPUTED_VALUE"""),"料金・保険")</f>
        <v>料金・保険</v>
      </c>
      <c r="D1270" s="31" t="str">
        <f>IFERROR(__xludf.DUMMYFUNCTION("""COMPUTED_VALUE"""),"子宮体がん検査,保険診療,自費診療,公費,川崎院,不正出血")</f>
        <v>子宮体がん検査,保険診療,自費診療,公費,川崎院,不正出血</v>
      </c>
      <c r="E1270" s="32" t="str">
        <f>IFERROR(__xludf.DUMMYFUNCTION("""COMPUTED_VALUE"""),"https://luna-dr.com/yokohama/price/")</f>
        <v>https://luna-dr.com/yokohama/price/</v>
      </c>
    </row>
    <row r="1271">
      <c r="A1271" s="31" t="str">
        <f>IFERROR(__xludf.DUMMYFUNCTION("""COMPUTED_VALUE"""),"ホルモン検査の費用はいくらですか？")</f>
        <v>ホルモン検査の費用はいくらですか？</v>
      </c>
      <c r="B1271" s="31" t="str">
        <f>IFERROR(__xludf.DUMMYFUNCTION("""COMPUTED_VALUE"""),"ホルモン検査（自費）は8,000円（税込）です。")</f>
        <v>ホルモン検査（自費）は8,000円（税込）です。</v>
      </c>
      <c r="C1271" s="31" t="str">
        <f>IFERROR(__xludf.DUMMYFUNCTION("""COMPUTED_VALUE"""),"料金・検査")</f>
        <v>料金・検査</v>
      </c>
      <c r="D1271" s="31" t="str">
        <f>IFERROR(__xludf.DUMMYFUNCTION("""COMPUTED_VALUE"""),"ホルモン検査,料金,")</f>
        <v>ホルモン検査,料金,</v>
      </c>
      <c r="E1271" s="32" t="str">
        <f>IFERROR(__xludf.DUMMYFUNCTION("""COMPUTED_VALUE"""),"https://luna-dr.com/yokohama/price/")</f>
        <v>https://luna-dr.com/yokohama/price/</v>
      </c>
    </row>
    <row r="1272">
      <c r="A1272" s="31" t="str">
        <f>IFERROR(__xludf.DUMMYFUNCTION("""COMPUTED_VALUE"""),"ホルモン検査は保険診療ですか？")</f>
        <v>ホルモン検査は保険診療ですか？</v>
      </c>
      <c r="B1272" s="31" t="str">
        <f>IFERROR(__xludf.DUMMYFUNCTION("""COMPUTED_VALUE"""),"ホルモン検査は自費診療となり、健康保険は適用されません。")</f>
        <v>ホルモン検査は自費診療となり、健康保険は適用されません。</v>
      </c>
      <c r="C1272" s="31" t="str">
        <f>IFERROR(__xludf.DUMMYFUNCTION("""COMPUTED_VALUE"""),"保険適用・ホルモン検査")</f>
        <v>保険適用・ホルモン検査</v>
      </c>
      <c r="D1272" s="31" t="str">
        <f>IFERROR(__xludf.DUMMYFUNCTION("""COMPUTED_VALUE"""),"ホルモン検査,保険,自費,")</f>
        <v>ホルモン検査,保険,自費,</v>
      </c>
      <c r="E1272" s="32" t="str">
        <f>IFERROR(__xludf.DUMMYFUNCTION("""COMPUTED_VALUE"""),"https://luna-dr.com/yokohama/price/")</f>
        <v>https://luna-dr.com/yokohama/price/</v>
      </c>
    </row>
    <row r="1273">
      <c r="A1273" s="31" t="str">
        <f>IFERROR(__xludf.DUMMYFUNCTION("""COMPUTED_VALUE"""),"AMH検査の料金はいくらですか？")</f>
        <v>AMH検査の料金はいくらですか？</v>
      </c>
      <c r="B1273" s="31" t="str">
        <f>IFERROR(__xludf.DUMMYFUNCTION("""COMPUTED_VALUE"""),"AMH検査は10,000円（税込）です。")</f>
        <v>AMH検査は10,000円（税込）です。</v>
      </c>
      <c r="C1273" s="31" t="str">
        <f>IFERROR(__xludf.DUMMYFUNCTION("""COMPUTED_VALUE"""),"料金・検査")</f>
        <v>料金・検査</v>
      </c>
      <c r="D1273" s="31" t="str">
        <f>IFERROR(__xludf.DUMMYFUNCTION("""COMPUTED_VALUE"""),"AMH,卵巣年齢,")</f>
        <v>AMH,卵巣年齢,</v>
      </c>
      <c r="E1273" s="32" t="str">
        <f>IFERROR(__xludf.DUMMYFUNCTION("""COMPUTED_VALUE"""),"https://luna-dr.com/yokohama/price/")</f>
        <v>https://luna-dr.com/yokohama/price/</v>
      </c>
    </row>
    <row r="1274">
      <c r="A1274" s="31" t="str">
        <f>IFERROR(__xludf.DUMMYFUNCTION("""COMPUTED_VALUE"""),"AMH検査は保険診療ですか？")</f>
        <v>AMH検査は保険診療ですか？</v>
      </c>
      <c r="B1274" s="31" t="str">
        <f>IFERROR(__xludf.DUMMYFUNCTION("""COMPUTED_VALUE"""),"AMH検査は自費診療となり、健康保険は適用されません。")</f>
        <v>AMH検査は自費診療となり、健康保険は適用されません。</v>
      </c>
      <c r="C1274" s="31" t="str">
        <f>IFERROR(__xludf.DUMMYFUNCTION("""COMPUTED_VALUE"""),"保険適用・AMH")</f>
        <v>保険適用・AMH</v>
      </c>
      <c r="D1274" s="31" t="str">
        <f>IFERROR(__xludf.DUMMYFUNCTION("""COMPUTED_VALUE"""),"AMH検査,保険,自費,")</f>
        <v>AMH検査,保険,自費,</v>
      </c>
      <c r="E1274" s="32" t="str">
        <f>IFERROR(__xludf.DUMMYFUNCTION("""COMPUTED_VALUE"""),"https://luna-dr.com/yokohama/price/")</f>
        <v>https://luna-dr.com/yokohama/price/</v>
      </c>
    </row>
    <row r="1275">
      <c r="A1275" s="31" t="str">
        <f>IFERROR(__xludf.DUMMYFUNCTION("""COMPUTED_VALUE"""),"風疹の抗体検査の料金はいくらですか？")</f>
        <v>風疹の抗体検査の料金はいくらですか？</v>
      </c>
      <c r="B1275" s="31" t="str">
        <f>IFERROR(__xludf.DUMMYFUNCTION("""COMPUTED_VALUE"""),"風疹の抗体検査は4,000円（税込）です。")</f>
        <v>風疹の抗体検査は4,000円（税込）です。</v>
      </c>
      <c r="C1275" s="31" t="str">
        <f>IFERROR(__xludf.DUMMYFUNCTION("""COMPUTED_VALUE"""),"料金・検査")</f>
        <v>料金・検査</v>
      </c>
      <c r="D1275" s="31" t="str">
        <f>IFERROR(__xludf.DUMMYFUNCTION("""COMPUTED_VALUE"""),"風疹,抗体検査,")</f>
        <v>風疹,抗体検査,</v>
      </c>
      <c r="E1275" s="32" t="str">
        <f>IFERROR(__xludf.DUMMYFUNCTION("""COMPUTED_VALUE"""),"https://luna-dr.com/yokohama/price/")</f>
        <v>https://luna-dr.com/yokohama/price/</v>
      </c>
    </row>
    <row r="1276">
      <c r="A1276" s="31" t="str">
        <f>IFERROR(__xludf.DUMMYFUNCTION("""COMPUTED_VALUE"""),"風疹の抗体検査は保険診療ですか？")</f>
        <v>風疹の抗体検査は保険診療ですか？</v>
      </c>
      <c r="B1276" s="31" t="str">
        <f>IFERROR(__xludf.DUMMYFUNCTION("""COMPUTED_VALUE"""),"風疹の抗体検査は自費診療となり、健康保険は適用されません。")</f>
        <v>風疹の抗体検査は自費診療となり、健康保険は適用されません。</v>
      </c>
      <c r="C1276" s="31" t="str">
        <f>IFERROR(__xludf.DUMMYFUNCTION("""COMPUTED_VALUE"""),"保険適用・風疹の抗体")</f>
        <v>保険適用・風疹の抗体</v>
      </c>
      <c r="D1276" s="31" t="str">
        <f>IFERROR(__xludf.DUMMYFUNCTION("""COMPUTED_VALUE"""),"風疹の抗体検査,保険,自費,")</f>
        <v>風疹の抗体検査,保険,自費,</v>
      </c>
      <c r="E1276" s="32" t="str">
        <f>IFERROR(__xludf.DUMMYFUNCTION("""COMPUTED_VALUE"""),"https://luna-dr.com/yokohama/price/")</f>
        <v>https://luna-dr.com/yokohama/price/</v>
      </c>
    </row>
    <row r="1277">
      <c r="A1277" s="31" t="str">
        <f>IFERROR(__xludf.DUMMYFUNCTION("""COMPUTED_VALUE"""),"ブライダルチェックの料金はいくらですか？")</f>
        <v>ブライダルチェックの料金はいくらですか？</v>
      </c>
      <c r="B1277" s="31" t="str">
        <f>IFERROR(__xludf.DUMMYFUNCTION("""COMPUTED_VALUE"""),"ブライダルチェックは15,500円（税込）です。")</f>
        <v>ブライダルチェックは15,500円（税込）です。</v>
      </c>
      <c r="C1277" s="31" t="str">
        <f>IFERROR(__xludf.DUMMYFUNCTION("""COMPUTED_VALUE"""),"料金・ブライダルチェック")</f>
        <v>料金・ブライダルチェック</v>
      </c>
      <c r="D1277" s="31" t="str">
        <f>IFERROR(__xludf.DUMMYFUNCTION("""COMPUTED_VALUE"""),"ブライダルチェック,料金,")</f>
        <v>ブライダルチェック,料金,</v>
      </c>
      <c r="E1277" s="32" t="str">
        <f>IFERROR(__xludf.DUMMYFUNCTION("""COMPUTED_VALUE"""),"https://luna-dr.com/yokohama/price/")</f>
        <v>https://luna-dr.com/yokohama/price/</v>
      </c>
    </row>
    <row r="1278">
      <c r="A1278" s="31" t="str">
        <f>IFERROR(__xludf.DUMMYFUNCTION("""COMPUTED_VALUE"""),"ブライダルチェックは保険診療ですか？")</f>
        <v>ブライダルチェックは保険診療ですか？</v>
      </c>
      <c r="B1278" s="31" t="str">
        <f>IFERROR(__xludf.DUMMYFUNCTION("""COMPUTED_VALUE"""),"ブライダルチェックは自費診療となり、健康保険は適用されません。")</f>
        <v>ブライダルチェックは自費診療となり、健康保険は適用されません。</v>
      </c>
      <c r="C1278" s="31" t="str">
        <f>IFERROR(__xludf.DUMMYFUNCTION("""COMPUTED_VALUE"""),"保険適用・ブライダルチェック")</f>
        <v>保険適用・ブライダルチェック</v>
      </c>
      <c r="D1278" s="31" t="str">
        <f>IFERROR(__xludf.DUMMYFUNCTION("""COMPUTED_VALUE"""),"ブライダルチェック,保険,自費,")</f>
        <v>ブライダルチェック,保険,自費,</v>
      </c>
      <c r="E1278" s="32" t="str">
        <f>IFERROR(__xludf.DUMMYFUNCTION("""COMPUTED_VALUE"""),"https://luna-dr.com/yokohama/price/")</f>
        <v>https://luna-dr.com/yokohama/price/</v>
      </c>
    </row>
    <row r="1279">
      <c r="A1279" s="31" t="str">
        <f>IFERROR(__xludf.DUMMYFUNCTION("""COMPUTED_VALUE"""),"かゆみやおりものの異常がある場合、いくらくらいかかりますか？")</f>
        <v>かゆみやおりものの異常がある場合、いくらくらいかかりますか？</v>
      </c>
      <c r="B1279" s="31" t="str">
        <f>IFERROR(__xludf.DUMMYFUNCTION("""COMPUTED_VALUE"""),"かゆみ・おりもの異常の診察は保険診療となり、内容により費用が異なります。目安として、雑菌・真菌の検査は約1,200円、雑菌・真菌の治療は約400円、性病検査は約1,500円です。保険診療は医師の診察内容により変更となるため、ご来院前にお電話やチャットで正確な料金のご案内はできませんのでご了承ください。また、別途初診料・再診料がかかります。")</f>
        <v>かゆみ・おりもの異常の診察は保険診療となり、内容により費用が異なります。目安として、雑菌・真菌の検査は約1,200円、雑菌・真菌の治療は約400円、性病検査は約1,500円です。保険診療は医師の診察内容により変更となるため、ご来院前にお電話やチャットで正確な料金のご案内はできませんのでご了承ください。また、別途初診料・再診料がかかります。</v>
      </c>
      <c r="C1279" s="31" t="str">
        <f>IFERROR(__xludf.DUMMYFUNCTION("""COMPUTED_VALUE"""),"保険診療・かゆみおりもの")</f>
        <v>保険診療・かゆみおりもの</v>
      </c>
      <c r="D1279" s="31" t="str">
        <f>IFERROR(__xludf.DUMMYFUNCTION("""COMPUTED_VALUE"""),"かゆみ,おりもの,保険診療,料金,")</f>
        <v>かゆみ,おりもの,保険診療,料金,</v>
      </c>
      <c r="E1279" s="32" t="str">
        <f>IFERROR(__xludf.DUMMYFUNCTION("""COMPUTED_VALUE"""),"https://luna-dr.com/yokohama/price/")</f>
        <v>https://luna-dr.com/yokohama/price/</v>
      </c>
    </row>
    <row r="1280">
      <c r="A1280" s="31" t="str">
        <f>IFERROR(__xludf.DUMMYFUNCTION("""COMPUTED_VALUE"""),"生理不順の相談では、どのくらいの費用がかかりますか？")</f>
        <v>生理不順の相談では、どのくらいの費用がかかりますか？</v>
      </c>
      <c r="B1280" s="31" t="str">
        <f>IFERROR(__xludf.DUMMYFUNCTION("""COMPUTED_VALUE"""),"生理不順の診察は保険診療となり、診察内容に応じて費用が決まります。目安として、生理を起こす薬の処方は約400円、ホルモン検査は約3,000円、卵巣の超音波検査は約1,600円です。保険診療は医師判断により内容が変わるため、ご来院前にお電話やチャットで正確な料金のご案内はできませんのでご了承ください。別途、初診料・再診料がかかります。")</f>
        <v>生理不順の診察は保険診療となり、診察内容に応じて費用が決まります。目安として、生理を起こす薬の処方は約400円、ホルモン検査は約3,000円、卵巣の超音波検査は約1,600円です。保険診療は医師判断により内容が変わるため、ご来院前にお電話やチャットで正確な料金のご案内はできませんのでご了承ください。別途、初診料・再診料がかかります。</v>
      </c>
      <c r="C1280" s="31" t="str">
        <f>IFERROR(__xludf.DUMMYFUNCTION("""COMPUTED_VALUE"""),"保険診療・生理不順")</f>
        <v>保険診療・生理不順</v>
      </c>
      <c r="D1280" s="31" t="str">
        <f>IFERROR(__xludf.DUMMYFUNCTION("""COMPUTED_VALUE"""),"生理不順,保険,料金,検査,")</f>
        <v>生理不順,保険,料金,検査,</v>
      </c>
      <c r="E1280" s="32" t="str">
        <f>IFERROR(__xludf.DUMMYFUNCTION("""COMPUTED_VALUE"""),"https://luna-dr.com/yokohama/price/")</f>
        <v>https://luna-dr.com/yokohama/price/</v>
      </c>
    </row>
    <row r="1281">
      <c r="A1281" s="31" t="str">
        <f>IFERROR(__xludf.DUMMYFUNCTION("""COMPUTED_VALUE"""),"生理痛で受診した場合、費用の目安はどれくらいですか？")</f>
        <v>生理痛で受診した場合、費用の目安はどれくらいですか？</v>
      </c>
      <c r="B1281" s="31" t="str">
        <f>IFERROR(__xludf.DUMMYFUNCTION("""COMPUTED_VALUE"""),"生理痛の診察は保険診療となります。目安として、子宮の超音波検査は約1,600円、痛み止めの処方は約400円、保険適用のピル処方は約2,700円です。診察内容により費用は変動するため、ご来院前にお電話やチャットで正確な料金のご案内はできませんのでご了承ください。別途、初診料・再診料がかかります。")</f>
        <v>生理痛の診察は保険診療となります。目安として、子宮の超音波検査は約1,600円、痛み止めの処方は約400円、保険適用のピル処方は約2,700円です。診察内容により費用は変動するため、ご来院前にお電話やチャットで正確な料金のご案内はできませんのでご了承ください。別途、初診料・再診料がかかります。</v>
      </c>
      <c r="C1281" s="31" t="str">
        <f>IFERROR(__xludf.DUMMYFUNCTION("""COMPUTED_VALUE"""),"保険診療・生理痛")</f>
        <v>保険診療・生理痛</v>
      </c>
      <c r="D1281" s="31" t="str">
        <f>IFERROR(__xludf.DUMMYFUNCTION("""COMPUTED_VALUE"""),"生理痛,保険診療,料金,ピル,")</f>
        <v>生理痛,保険診療,料金,ピル,</v>
      </c>
      <c r="E1281" s="32" t="str">
        <f>IFERROR(__xludf.DUMMYFUNCTION("""COMPUTED_VALUE"""),"https://luna-dr.com/yokohama/price/")</f>
        <v>https://luna-dr.com/yokohama/price/</v>
      </c>
    </row>
    <row r="1282">
      <c r="A1282" s="31" t="str">
        <f>IFERROR(__xludf.DUMMYFUNCTION("""COMPUTED_VALUE"""),"生理以外の出血がある場合、検査費用はいくらですか？/不正出血検査費用はいくらですか？")</f>
        <v>生理以外の出血がある場合、検査費用はいくらですか？/不正出血検査費用はいくらですか？</v>
      </c>
      <c r="B1282" s="31" t="str">
        <f>IFERROR(__xludf.DUMMYFUNCTION("""COMPUTED_VALUE"""),"生理以外の出血がある場合は保険診療での対応となります。目安として、子宮頸がん検査は約1,100円、子宮体がん検査は約2,100円、子宮の超音波検査は約1,600円、ホルモン検査は約3,000円です。診察内容により費用は変動しますので、ご来院前にお電話やチャットで正確な料金のご案内はできませんのでご了承ください。別途初診料・再診料がかかります。")</f>
        <v>生理以外の出血がある場合は保険診療での対応となります。目安として、子宮頸がん検査は約1,100円、子宮体がん検査は約2,100円、子宮の超音波検査は約1,600円、ホルモン検査は約3,000円です。診察内容により費用は変動しますので、ご来院前にお電話やチャットで正確な料金のご案内はできませんのでご了承ください。別途初診料・再診料がかかります。</v>
      </c>
      <c r="C1282" s="31" t="str">
        <f>IFERROR(__xludf.DUMMYFUNCTION("""COMPUTED_VALUE"""),"保険診療・不正出血")</f>
        <v>保険診療・不正出血</v>
      </c>
      <c r="D1282" s="31" t="str">
        <f>IFERROR(__xludf.DUMMYFUNCTION("""COMPUTED_VALUE"""),"不正出血,保険,子宮体がん,検査,")</f>
        <v>不正出血,保険,子宮体がん,検査,</v>
      </c>
      <c r="E1282" s="32" t="str">
        <f>IFERROR(__xludf.DUMMYFUNCTION("""COMPUTED_VALUE"""),"https://luna-dr.com/yokohama/price/")</f>
        <v>https://luna-dr.com/yokohama/price/</v>
      </c>
    </row>
    <row r="1283">
      <c r="A1283" s="31" t="str">
        <f>IFERROR(__xludf.DUMMYFUNCTION("""COMPUTED_VALUE"""),"腹痛で受診した場合の費用目安を教えてください。")</f>
        <v>腹痛で受診した場合の費用目安を教えてください。</v>
      </c>
      <c r="B1283" s="31" t="str">
        <f>IFERROR(__xludf.DUMMYFUNCTION("""COMPUTED_VALUE"""),"腹痛の診察は保険診療となります。目安として、超音波検査は約1,600円、性病検査は約1,500円です。医師の診察内容により検査項目が変わるため、料金も変動します。ご来院前にお電話やチャットで正確な料金のご案内はできませんのでご了承ください。別途初診料・再診料がかかります。")</f>
        <v>腹痛の診察は保険診療となります。目安として、超音波検査は約1,600円、性病検査は約1,500円です。医師の診察内容により検査項目が変わるため、料金も変動します。ご来院前にお電話やチャットで正確な料金のご案内はできませんのでご了承ください。別途初診料・再診料がかかります。</v>
      </c>
      <c r="C1283" s="31" t="str">
        <f>IFERROR(__xludf.DUMMYFUNCTION("""COMPUTED_VALUE"""),"保険診療・腹痛")</f>
        <v>保険診療・腹痛</v>
      </c>
      <c r="D1283" s="31" t="str">
        <f>IFERROR(__xludf.DUMMYFUNCTION("""COMPUTED_VALUE"""),"腹痛,保険診療,超音波,料金,")</f>
        <v>腹痛,保険診療,超音波,料金,</v>
      </c>
      <c r="E1283" s="32" t="str">
        <f>IFERROR(__xludf.DUMMYFUNCTION("""COMPUTED_VALUE"""),"https://luna-dr.com/yokohama/price/")</f>
        <v>https://luna-dr.com/yokohama/price/</v>
      </c>
    </row>
    <row r="1284">
      <c r="A1284" s="31" t="str">
        <f>IFERROR(__xludf.DUMMYFUNCTION("""COMPUTED_VALUE"""),"性病検査を保険で受けた場合、いくらくらいですか？/性病検査はいくらくらいですか？")</f>
        <v>性病検査を保険で受けた場合、いくらくらいですか？/性病検査はいくらくらいですか？</v>
      </c>
      <c r="B1284" s="31" t="str">
        <f>IFERROR(__xludf.DUMMYFUNCTION("""COMPUTED_VALUE"""),"症状があり医師が必要と判断した場合、性病検査は保険診療で行われます。目安の料金は約1,500円です。診察内容によって検査項目が変わるため、費用は前後する可能性があります。ご来院前にお電話やチャットで正確な料金のご案内はできませんのでご了承ください。別途、初診料・再診料がかかります。")</f>
        <v>症状があり医師が必要と判断した場合、性病検査は保険診療で行われます。目安の料金は約1,500円です。診察内容によって検査項目が変わるため、費用は前後する可能性があります。ご来院前にお電話やチャットで正確な料金のご案内はできませんのでご了承ください。別途、初診料・再診料がかかります。</v>
      </c>
      <c r="C1284" s="31" t="str">
        <f>IFERROR(__xludf.DUMMYFUNCTION("""COMPUTED_VALUE"""),"保険診療・性病検査")</f>
        <v>保険診療・性病検査</v>
      </c>
      <c r="D1284" s="31" t="str">
        <f>IFERROR(__xludf.DUMMYFUNCTION("""COMPUTED_VALUE"""),"性病検査,保険,料金,")</f>
        <v>性病検査,保険,料金,</v>
      </c>
      <c r="E1284" s="32" t="str">
        <f>IFERROR(__xludf.DUMMYFUNCTION("""COMPUTED_VALUE"""),"https://luna-dr.com/yokohama/price/")</f>
        <v>https://luna-dr.com/yokohama/price/</v>
      </c>
    </row>
    <row r="1285">
      <c r="A1285" s="31" t="str">
        <f>IFERROR(__xludf.DUMMYFUNCTION("""COMPUTED_VALUE"""),"ポリープ切除は保険診療ですか？/ポリープ切除の費用はいくらですか？/ポリープの費用はいくらですか？")</f>
        <v>ポリープ切除は保険診療ですか？/ポリープ切除の費用はいくらですか？/ポリープの費用はいくらですか？</v>
      </c>
      <c r="B1285" s="31" t="str">
        <f>IFERROR(__xludf.DUMMYFUNCTION("""COMPUTED_VALUE"""),"ポリープ切除は保険診療で行われます。目安の費用は約6,700円です。ただし、診察内容や処置内容により費用が変動する場合があります。保険診療のため、ご来院前にお電話やチャットで正確な料金のご案内はできませんのでご了承ください。別途、初診料・再診料がかかります。")</f>
        <v>ポリープ切除は保険診療で行われます。目安の費用は約6,700円です。ただし、診察内容や処置内容により費用が変動する場合があります。保険診療のため、ご来院前にお電話やチャットで正確な料金のご案内はできませんのでご了承ください。別途、初診料・再診料がかかります。</v>
      </c>
      <c r="C1285" s="31" t="str">
        <f>IFERROR(__xludf.DUMMYFUNCTION("""COMPUTED_VALUE"""),"保険診療・処置")</f>
        <v>保険診療・処置</v>
      </c>
      <c r="D1285" s="31" t="str">
        <f>IFERROR(__xludf.DUMMYFUNCTION("""COMPUTED_VALUE"""),"ポリープ切除,保険診療,料金,")</f>
        <v>ポリープ切除,保険診療,料金,</v>
      </c>
      <c r="E1285" s="32" t="str">
        <f>IFERROR(__xludf.DUMMYFUNCTION("""COMPUTED_VALUE"""),"https://luna-dr.com/yokohama/price/")</f>
        <v>https://luna-dr.com/yokohama/price/</v>
      </c>
    </row>
    <row r="1286">
      <c r="A1286" s="31" t="str">
        <f>IFERROR(__xludf.DUMMYFUNCTION("""COMPUTED_VALUE"""),"膀胱炎の診察費用はどのくらいですか？")</f>
        <v>膀胱炎の診察費用はどのくらいですか？</v>
      </c>
      <c r="B1286" s="31" t="str">
        <f>IFERROR(__xludf.DUMMYFUNCTION("""COMPUTED_VALUE"""),"膀胱炎の診察は保険診療となり、尿検査と抗生剤処方を行った場合の目安料金は約600円です。診察内容によって費用が変わることがありますので、ご来院前にお電話やチャットで正確な料金のご案内はできませんのでご了承ください。別途、初診料・再診料がかかります。")</f>
        <v>膀胱炎の診察は保険診療となり、尿検査と抗生剤処方を行った場合の目安料金は約600円です。診察内容によって費用が変わることがありますので、ご来院前にお電話やチャットで正確な料金のご案内はできませんのでご了承ください。別途、初診料・再診料がかかります。</v>
      </c>
      <c r="C1286" s="31" t="str">
        <f>IFERROR(__xludf.DUMMYFUNCTION("""COMPUTED_VALUE"""),"保険診療・膀胱炎")</f>
        <v>保険診療・膀胱炎</v>
      </c>
      <c r="D1286" s="31" t="str">
        <f>IFERROR(__xludf.DUMMYFUNCTION("""COMPUTED_VALUE"""),"膀胱炎,保険,尿検査,料金,")</f>
        <v>膀胱炎,保険,尿検査,料金,</v>
      </c>
      <c r="E1286" s="32" t="str">
        <f>IFERROR(__xludf.DUMMYFUNCTION("""COMPUTED_VALUE"""),"https://luna-dr.com/yokohama/price/")</f>
        <v>https://luna-dr.com/yokohama/price/</v>
      </c>
    </row>
    <row r="1287">
      <c r="A1287" s="31" t="str">
        <f>IFERROR(__xludf.DUMMYFUNCTION("""COMPUTED_VALUE"""),"雑菌・真菌の検査はいくらですか？")</f>
        <v>雑菌・真菌の検査はいくらですか？</v>
      </c>
      <c r="B1287" s="31" t="str">
        <f>IFERROR(__xludf.DUMMYFUNCTION("""COMPUTED_VALUE"""),"雑菌・真菌の検査は、保険診療の場合の目安料金は約1,200円（税込）です。診察内容により検査内容が変わるため、料金は前後することがあります。別途、初診料・再診料がかかります。")</f>
        <v>雑菌・真菌の検査は、保険診療の場合の目安料金は約1,200円（税込）です。診察内容により検査内容が変わるため、料金は前後することがあります。別途、初診料・再診料がかかります。</v>
      </c>
      <c r="C1287" s="31" t="str">
        <f>IFERROR(__xludf.DUMMYFUNCTION("""COMPUTED_VALUE"""),"検査・料金")</f>
        <v>検査・料金</v>
      </c>
      <c r="D1287" s="31" t="str">
        <f>IFERROR(__xludf.DUMMYFUNCTION("""COMPUTED_VALUE"""),"雑菌検査,真菌検査,おりもの,かゆみ,料金,")</f>
        <v>雑菌検査,真菌検査,おりもの,かゆみ,料金,</v>
      </c>
      <c r="E1287" s="32" t="str">
        <f>IFERROR(__xludf.DUMMYFUNCTION("""COMPUTED_VALUE"""),"https://luna-dr.com/yokohama/price/")</f>
        <v>https://luna-dr.com/yokohama/price/</v>
      </c>
    </row>
    <row r="1288">
      <c r="A1288" s="31" t="str">
        <f>IFERROR(__xludf.DUMMYFUNCTION("""COMPUTED_VALUE"""),"雑菌・真菌の治療はいくらですか？")</f>
        <v>雑菌・真菌の治療はいくらですか？</v>
      </c>
      <c r="B1288" s="31" t="str">
        <f>IFERROR(__xludf.DUMMYFUNCTION("""COMPUTED_VALUE"""),"雑菌・真菌の治療は、保険診療の場合の目安料金は約400円（税込）です。処方内容や症状により費用が変動することがあります。別途、初診料・再診料がかかります。")</f>
        <v>雑菌・真菌の治療は、保険診療の場合の目安料金は約400円（税込）です。処方内容や症状により費用が変動することがあります。別途、初診料・再診料がかかります。</v>
      </c>
      <c r="C1288" s="31" t="str">
        <f>IFERROR(__xludf.DUMMYFUNCTION("""COMPUTED_VALUE"""),"治療・料金")</f>
        <v>治療・料金</v>
      </c>
      <c r="D1288" s="31" t="str">
        <f>IFERROR(__xludf.DUMMYFUNCTION("""COMPUTED_VALUE"""),"真菌治療,雑菌治療,膣炎,料金,")</f>
        <v>真菌治療,雑菌治療,膣炎,料金,</v>
      </c>
      <c r="E1288" s="32" t="str">
        <f>IFERROR(__xludf.DUMMYFUNCTION("""COMPUTED_VALUE"""),"https://luna-dr.com/yokohama/price/")</f>
        <v>https://luna-dr.com/yokohama/price/</v>
      </c>
    </row>
    <row r="1289">
      <c r="A1289" s="31" t="str">
        <f>IFERROR(__xludf.DUMMYFUNCTION("""COMPUTED_VALUE"""),"性病検査はいくらですか？")</f>
        <v>性病検査はいくらですか？</v>
      </c>
      <c r="B1289" s="31" t="str">
        <f>IFERROR(__xludf.DUMMYFUNCTION("""COMPUTED_VALUE"""),"性病検査は、保険診療の場合の目安料金は約1,500円（税込）です。検査項目や症状によって内容が異なるため、料金は診察後に確定します。別途、初診料・再診料がかかります。")</f>
        <v>性病検査は、保険診療の場合の目安料金は約1,500円（税込）です。検査項目や症状によって内容が異なるため、料金は診察後に確定します。別途、初診料・再診料がかかります。</v>
      </c>
      <c r="C1289" s="31" t="str">
        <f>IFERROR(__xludf.DUMMYFUNCTION("""COMPUTED_VALUE"""),"検査・料金")</f>
        <v>検査・料金</v>
      </c>
      <c r="D1289" s="31" t="str">
        <f>IFERROR(__xludf.DUMMYFUNCTION("""COMPUTED_VALUE"""),"性病検査,STD,保険診療,料金,")</f>
        <v>性病検査,STD,保険診療,料金,</v>
      </c>
      <c r="E1289" s="32" t="str">
        <f>IFERROR(__xludf.DUMMYFUNCTION("""COMPUTED_VALUE"""),"https://luna-dr.com/yokohama/price/")</f>
        <v>https://luna-dr.com/yokohama/price/</v>
      </c>
    </row>
    <row r="1290">
      <c r="A1290" s="31" t="str">
        <f>IFERROR(__xludf.DUMMYFUNCTION("""COMPUTED_VALUE"""),"生理を起こす薬の処方はいくらですか？")</f>
        <v>生理を起こす薬の処方はいくらですか？</v>
      </c>
      <c r="B1290" s="31" t="str">
        <f>IFERROR(__xludf.DUMMYFUNCTION("""COMPUTED_VALUE"""),"生理を起こす薬の処方は、保険診療の場合の目安料金は約400円（税込）です。診察内容により処方が変更となる場合があります。別途、初診料・再診料がかかります。")</f>
        <v>生理を起こす薬の処方は、保険診療の場合の目安料金は約400円（税込）です。診察内容により処方が変更となる場合があります。別途、初診料・再診料がかかります。</v>
      </c>
      <c r="C1290" s="31" t="str">
        <f>IFERROR(__xludf.DUMMYFUNCTION("""COMPUTED_VALUE"""),"治療・料金")</f>
        <v>治療・料金</v>
      </c>
      <c r="D1290" s="31" t="str">
        <f>IFERROR(__xludf.DUMMYFUNCTION("""COMPUTED_VALUE"""),"生理不順,薬,ホルモン,料金,")</f>
        <v>生理不順,薬,ホルモン,料金,</v>
      </c>
      <c r="E1290" s="32" t="str">
        <f>IFERROR(__xludf.DUMMYFUNCTION("""COMPUTED_VALUE"""),"https://luna-dr.com/yokohama/price/")</f>
        <v>https://luna-dr.com/yokohama/price/</v>
      </c>
    </row>
    <row r="1291">
      <c r="A1291" s="31" t="str">
        <f>IFERROR(__xludf.DUMMYFUNCTION("""COMPUTED_VALUE"""),"ホルモン検査はいくらですか？")</f>
        <v>ホルモン検査はいくらですか？</v>
      </c>
      <c r="B1291" s="31" t="str">
        <f>IFERROR(__xludf.DUMMYFUNCTION("""COMPUTED_VALUE"""),"ホルモン検査は、保険診療の場合の目安料金は約3,000円（税込）です。検査項目は診察内容により決まるため、事前に正確な金額のご案内はできません。別途、初診料・再診料がかかります。")</f>
        <v>ホルモン検査は、保険診療の場合の目安料金は約3,000円（税込）です。検査項目は診察内容により決まるため、事前に正確な金額のご案内はできません。別途、初診料・再診料がかかります。</v>
      </c>
      <c r="C1291" s="31" t="str">
        <f>IFERROR(__xludf.DUMMYFUNCTION("""COMPUTED_VALUE"""),"検査・料金")</f>
        <v>検査・料金</v>
      </c>
      <c r="D1291" s="31" t="str">
        <f>IFERROR(__xludf.DUMMYFUNCTION("""COMPUTED_VALUE"""),"ホルモン検査,血液検査,生理不順,料金,")</f>
        <v>ホルモン検査,血液検査,生理不順,料金,</v>
      </c>
      <c r="E1291" s="32" t="str">
        <f>IFERROR(__xludf.DUMMYFUNCTION("""COMPUTED_VALUE"""),"https://luna-dr.com/yokohama/price/")</f>
        <v>https://luna-dr.com/yokohama/price/</v>
      </c>
    </row>
    <row r="1292">
      <c r="A1292" s="31" t="str">
        <f>IFERROR(__xludf.DUMMYFUNCTION("""COMPUTED_VALUE"""),"卵巣の超音波検査はいくらですか？")</f>
        <v>卵巣の超音波検査はいくらですか？</v>
      </c>
      <c r="B1292" s="31" t="str">
        <f>IFERROR(__xludf.DUMMYFUNCTION("""COMPUTED_VALUE"""),"卵巣の超音波検査は、保険診療の場合の目安料金は約1,600円（税込）です。症状や診察内容によって検査範囲が変わることがあります。別途、初診料・再診料がかかります。")</f>
        <v>卵巣の超音波検査は、保険診療の場合の目安料金は約1,600円（税込）です。症状や診察内容によって検査範囲が変わることがあります。別途、初診料・再診料がかかります。</v>
      </c>
      <c r="C1292" s="31" t="str">
        <f>IFERROR(__xludf.DUMMYFUNCTION("""COMPUTED_VALUE"""),"検査・料金")</f>
        <v>検査・料金</v>
      </c>
      <c r="D1292" s="31" t="str">
        <f>IFERROR(__xludf.DUMMYFUNCTION("""COMPUTED_VALUE"""),"卵巣,超音波検査,エコー,料金,")</f>
        <v>卵巣,超音波検査,エコー,料金,</v>
      </c>
      <c r="E1292" s="32" t="str">
        <f>IFERROR(__xludf.DUMMYFUNCTION("""COMPUTED_VALUE"""),"https://luna-dr.com/yokohama/price/")</f>
        <v>https://luna-dr.com/yokohama/price/</v>
      </c>
    </row>
    <row r="1293">
      <c r="A1293" s="31" t="str">
        <f>IFERROR(__xludf.DUMMYFUNCTION("""COMPUTED_VALUE"""),"子宮の超音波検査はいくらですか？")</f>
        <v>子宮の超音波検査はいくらですか？</v>
      </c>
      <c r="B1293" s="31" t="str">
        <f>IFERROR(__xludf.DUMMYFUNCTION("""COMPUTED_VALUE"""),"子宮の超音波検査は、保険診療の場合の目安料金は約1,600円（税込）です。診察内容により検査方法が変わる場合があります。別途、初診料・再診料がかかります。")</f>
        <v>子宮の超音波検査は、保険診療の場合の目安料金は約1,600円（税込）です。診察内容により検査方法が変わる場合があります。別途、初診料・再診料がかかります。</v>
      </c>
      <c r="C1293" s="31" t="str">
        <f>IFERROR(__xludf.DUMMYFUNCTION("""COMPUTED_VALUE"""),"検査・料金")</f>
        <v>検査・料金</v>
      </c>
      <c r="D1293" s="31" t="str">
        <f>IFERROR(__xludf.DUMMYFUNCTION("""COMPUTED_VALUE"""),"子宮,超音波検査,エコー,料金,")</f>
        <v>子宮,超音波検査,エコー,料金,</v>
      </c>
      <c r="E1293" s="32" t="str">
        <f>IFERROR(__xludf.DUMMYFUNCTION("""COMPUTED_VALUE"""),"https://luna-dr.com/yokohama/price/")</f>
        <v>https://luna-dr.com/yokohama/price/</v>
      </c>
    </row>
    <row r="1294">
      <c r="A1294" s="31" t="str">
        <f>IFERROR(__xludf.DUMMYFUNCTION("""COMPUTED_VALUE"""),"痛み止めの処方はいくらですか？")</f>
        <v>痛み止めの処方はいくらですか？</v>
      </c>
      <c r="B1294" s="31" t="str">
        <f>IFERROR(__xludf.DUMMYFUNCTION("""COMPUTED_VALUE"""),"痛み止めの処方は、保険診療の場合の目安料金は約400円（税込）です。処方内容により金額が前後する場合があります。別途、初診料・再診料がかかります。")</f>
        <v>痛み止めの処方は、保険診療の場合の目安料金は約400円（税込）です。処方内容により金額が前後する場合があります。別途、初診料・再診料がかかります。</v>
      </c>
      <c r="C1294" s="31" t="str">
        <f>IFERROR(__xludf.DUMMYFUNCTION("""COMPUTED_VALUE"""),"治療・料金")</f>
        <v>治療・料金</v>
      </c>
      <c r="D1294" s="31" t="str">
        <f>IFERROR(__xludf.DUMMYFUNCTION("""COMPUTED_VALUE"""),"生理痛,鎮痛剤,処方,料金,")</f>
        <v>生理痛,鎮痛剤,処方,料金,</v>
      </c>
      <c r="E1294" s="32" t="str">
        <f>IFERROR(__xludf.DUMMYFUNCTION("""COMPUTED_VALUE"""),"https://luna-dr.com/yokohama/price/")</f>
        <v>https://luna-dr.com/yokohama/price/</v>
      </c>
    </row>
    <row r="1295">
      <c r="A1295" s="31" t="str">
        <f>IFERROR(__xludf.DUMMYFUNCTION("""COMPUTED_VALUE"""),"保険適用ピルはいくらですか？")</f>
        <v>保険適用ピルはいくらですか？</v>
      </c>
      <c r="B1295" s="31" t="str">
        <f>IFERROR(__xludf.DUMMYFUNCTION("""COMPUTED_VALUE"""),"保険適用のピル処方は、保険診療の場合の目安料金は約2,700円（税込）です。適応可否は医師の診察により判断されます。別途、初診料・再診料がかかります。")</f>
        <v>保険適用のピル処方は、保険診療の場合の目安料金は約2,700円（税込）です。適応可否は医師の診察により判断されます。別途、初診料・再診料がかかります。</v>
      </c>
      <c r="C1295" s="31" t="str">
        <f>IFERROR(__xludf.DUMMYFUNCTION("""COMPUTED_VALUE"""),"治療・料金")</f>
        <v>治療・料金</v>
      </c>
      <c r="D1295" s="31" t="str">
        <f>IFERROR(__xludf.DUMMYFUNCTION("""COMPUTED_VALUE"""),"ピル,保険診療,生理痛,料金,")</f>
        <v>ピル,保険診療,生理痛,料金,</v>
      </c>
      <c r="E1295" s="32" t="str">
        <f>IFERROR(__xludf.DUMMYFUNCTION("""COMPUTED_VALUE"""),"https://luna-dr.com/yokohama/price/")</f>
        <v>https://luna-dr.com/yokohama/price/</v>
      </c>
    </row>
    <row r="1296">
      <c r="A1296" s="31" t="str">
        <f>IFERROR(__xludf.DUMMYFUNCTION("""COMPUTED_VALUE"""),"子宮頸がん検査はいくらですか？")</f>
        <v>子宮頸がん検査はいくらですか？</v>
      </c>
      <c r="B1296" s="31" t="str">
        <f>IFERROR(__xludf.DUMMYFUNCTION("""COMPUTED_VALUE"""),"子宮頸がん検査は、保険診療の場合の目安料金は約1,100円（税込）です。症状や検診目的により内容が異なる場合があります。別途、初診料・再診料がかかります。")</f>
        <v>子宮頸がん検査は、保険診療の場合の目安料金は約1,100円（税込）です。症状や検診目的により内容が異なる場合があります。別途、初診料・再診料がかかります。</v>
      </c>
      <c r="C1296" s="31" t="str">
        <f>IFERROR(__xludf.DUMMYFUNCTION("""COMPUTED_VALUE"""),"検査・料金")</f>
        <v>検査・料金</v>
      </c>
      <c r="D1296" s="31" t="str">
        <f>IFERROR(__xludf.DUMMYFUNCTION("""COMPUTED_VALUE"""),"子宮頸がん検査,がん検診,料金,")</f>
        <v>子宮頸がん検査,がん検診,料金,</v>
      </c>
      <c r="E1296" s="32" t="str">
        <f>IFERROR(__xludf.DUMMYFUNCTION("""COMPUTED_VALUE"""),"https://luna-dr.com/yokohama/price/")</f>
        <v>https://luna-dr.com/yokohama/price/</v>
      </c>
    </row>
    <row r="1297">
      <c r="A1297" s="31" t="str">
        <f>IFERROR(__xludf.DUMMYFUNCTION("""COMPUTED_VALUE"""),"子宮体がん検査はいくらですか？")</f>
        <v>子宮体がん検査はいくらですか？</v>
      </c>
      <c r="B1297" s="31" t="str">
        <f>IFERROR(__xludf.DUMMYFUNCTION("""COMPUTED_VALUE"""),"子宮体がん検査は、保険診療の場合の目安料金は約2,100円（税込）です。症状がある場合に実施される検査です。別途、初診料・再診料がかかります。")</f>
        <v>子宮体がん検査は、保険診療の場合の目安料金は約2,100円（税込）です。症状がある場合に実施される検査です。別途、初診料・再診料がかかります。</v>
      </c>
      <c r="C1297" s="31" t="str">
        <f>IFERROR(__xludf.DUMMYFUNCTION("""COMPUTED_VALUE"""),"検査・料金")</f>
        <v>検査・料金</v>
      </c>
      <c r="D1297" s="31" t="str">
        <f>IFERROR(__xludf.DUMMYFUNCTION("""COMPUTED_VALUE"""),"子宮体がん検査,不正出血,料金,")</f>
        <v>子宮体がん検査,不正出血,料金,</v>
      </c>
      <c r="E1297" s="32" t="str">
        <f>IFERROR(__xludf.DUMMYFUNCTION("""COMPUTED_VALUE"""),"https://luna-dr.com/yokohama/price/")</f>
        <v>https://luna-dr.com/yokohama/price/</v>
      </c>
    </row>
    <row r="1298">
      <c r="A1298" s="31" t="str">
        <f>IFERROR(__xludf.DUMMYFUNCTION("""COMPUTED_VALUE"""),"子宮の超音波検査はいくらですか？")</f>
        <v>子宮の超音波検査はいくらですか？</v>
      </c>
      <c r="B1298" s="31" t="str">
        <f>IFERROR(__xludf.DUMMYFUNCTION("""COMPUTED_VALUE"""),"子宮の超音波検査は、保険診療の場合、目安として約1,600円（税込）です。診察内容や検査内容により金額が前後することがあり、別途、初診料・再診料がかかります。")</f>
        <v>子宮の超音波検査は、保険診療の場合、目安として約1,600円（税込）です。診察内容や検査内容により金額が前後することがあり、別途、初診料・再診料がかかります。</v>
      </c>
      <c r="C1298" s="31" t="str">
        <f>IFERROR(__xludf.DUMMYFUNCTION("""COMPUTED_VALUE"""),"料金・検査")</f>
        <v>料金・検査</v>
      </c>
      <c r="D1298" s="31" t="str">
        <f>IFERROR(__xludf.DUMMYFUNCTION("""COMPUTED_VALUE"""),"子宮超音波検査,エコー,料金,保険診療,")</f>
        <v>子宮超音波検査,エコー,料金,保険診療,</v>
      </c>
      <c r="E1298" s="32" t="str">
        <f>IFERROR(__xludf.DUMMYFUNCTION("""COMPUTED_VALUE"""),"https://luna-dr.com/yokohama/price/")</f>
        <v>https://luna-dr.com/yokohama/price/</v>
      </c>
    </row>
    <row r="1299">
      <c r="A1299" s="31" t="str">
        <f>IFERROR(__xludf.DUMMYFUNCTION("""COMPUTED_VALUE"""),"ホルモン検査はいくらですか？")</f>
        <v>ホルモン検査はいくらですか？</v>
      </c>
      <c r="B1299" s="31" t="str">
        <f>IFERROR(__xludf.DUMMYFUNCTION("""COMPUTED_VALUE"""),"ホルモン検査は、保険診療の場合、目安として約3,000円（税込）です。診察内容や検査項目によって金額が変わることがあり、別途、初診料・再診料がかかります。")</f>
        <v>ホルモン検査は、保険診療の場合、目安として約3,000円（税込）です。診察内容や検査項目によって金額が変わることがあり、別途、初診料・再診料がかかります。</v>
      </c>
      <c r="C1299" s="31" t="str">
        <f>IFERROR(__xludf.DUMMYFUNCTION("""COMPUTED_VALUE"""),"料金・検査")</f>
        <v>料金・検査</v>
      </c>
      <c r="D1299" s="31" t="str">
        <f>IFERROR(__xludf.DUMMYFUNCTION("""COMPUTED_VALUE"""),"ホルモン検査,血液検査,料金,保険診療,")</f>
        <v>ホルモン検査,血液検査,料金,保険診療,</v>
      </c>
      <c r="E1299" s="32" t="str">
        <f>IFERROR(__xludf.DUMMYFUNCTION("""COMPUTED_VALUE"""),"https://luna-dr.com/yokohama/price/")</f>
        <v>https://luna-dr.com/yokohama/price/</v>
      </c>
    </row>
    <row r="1300">
      <c r="A1300" s="31" t="str">
        <f>IFERROR(__xludf.DUMMYFUNCTION("""COMPUTED_VALUE"""),"腹痛の際の超音波検査はいくらですか？")</f>
        <v>腹痛の際の超音波検査はいくらですか？</v>
      </c>
      <c r="B1300" s="31" t="str">
        <f>IFERROR(__xludf.DUMMYFUNCTION("""COMPUTED_VALUE"""),"腹痛の症状で行う超音波検査は、保険診療の場合、目安として約1,600円（税込）です。診察内容により検査が追加される場合があり、別途、初診料・再診料がかかります。")</f>
        <v>腹痛の症状で行う超音波検査は、保険診療の場合、目安として約1,600円（税込）です。診察内容により検査が追加される場合があり、別途、初診料・再診料がかかります。</v>
      </c>
      <c r="C1300" s="31" t="str">
        <f>IFERROR(__xludf.DUMMYFUNCTION("""COMPUTED_VALUE"""),"料金・症状別")</f>
        <v>料金・症状別</v>
      </c>
      <c r="D1300" s="31" t="str">
        <f>IFERROR(__xludf.DUMMYFUNCTION("""COMPUTED_VALUE"""),"腹痛,超音波検査,エコー,料金,保険診療,")</f>
        <v>腹痛,超音波検査,エコー,料金,保険診療,</v>
      </c>
      <c r="E1300" s="32" t="str">
        <f>IFERROR(__xludf.DUMMYFUNCTION("""COMPUTED_VALUE"""),"https://luna-dr.com/yokohama/price/")</f>
        <v>https://luna-dr.com/yokohama/price/</v>
      </c>
    </row>
    <row r="1301">
      <c r="A1301" s="31" t="str">
        <f>IFERROR(__xludf.DUMMYFUNCTION("""COMPUTED_VALUE"""),"腹痛で行う性病検査はいくらですか？")</f>
        <v>腹痛で行う性病検査はいくらですか？</v>
      </c>
      <c r="B1301" s="31" t="str">
        <f>IFERROR(__xludf.DUMMYFUNCTION("""COMPUTED_VALUE"""),"腹痛の症状により行う性病検査は、保険診療の場合、目安として約1,500円（税込）です。診察内容によって検査内容や金額が変わることがあり、別途、初診料・再診料がかかります。")</f>
        <v>腹痛の症状により行う性病検査は、保険診療の場合、目安として約1,500円（税込）です。診察内容によって検査内容や金額が変わることがあり、別途、初診料・再診料がかかります。</v>
      </c>
      <c r="C1301" s="31" t="str">
        <f>IFERROR(__xludf.DUMMYFUNCTION("""COMPUTED_VALUE"""),"料金・症状別")</f>
        <v>料金・症状別</v>
      </c>
      <c r="D1301" s="31" t="str">
        <f>IFERROR(__xludf.DUMMYFUNCTION("""COMPUTED_VALUE"""),"腹痛,性病検査,STD,料金,保険診療,")</f>
        <v>腹痛,性病検査,STD,料金,保険診療,</v>
      </c>
      <c r="E1301" s="32" t="str">
        <f>IFERROR(__xludf.DUMMYFUNCTION("""COMPUTED_VALUE"""),"https://luna-dr.com/yokohama/price/")</f>
        <v>https://luna-dr.com/yokohama/price/</v>
      </c>
    </row>
    <row r="1302">
      <c r="A1302" s="31" t="str">
        <f>IFERROR(__xludf.DUMMYFUNCTION("""COMPUTED_VALUE"""),"保険の性病検査はいくらですか？")</f>
        <v>保険の性病検査はいくらですか？</v>
      </c>
      <c r="B1302" s="31" t="str">
        <f>IFERROR(__xludf.DUMMYFUNCTION("""COMPUTED_VALUE"""),"性病検査は、症状があり医師が必要と判断した場合、保険診療で目安として約1,500円（税込）です。診察内容により検査項目が変更となる場合があります。別途、初診料・再診料がかかります。")</f>
        <v>性病検査は、症状があり医師が必要と判断した場合、保険診療で目安として約1,500円（税込）です。診察内容により検査項目が変更となる場合があります。別途、初診料・再診料がかかります。</v>
      </c>
      <c r="C1302" s="31" t="str">
        <f>IFERROR(__xludf.DUMMYFUNCTION("""COMPUTED_VALUE"""),"料金・検査")</f>
        <v>料金・検査</v>
      </c>
      <c r="D1302" s="31" t="str">
        <f>IFERROR(__xludf.DUMMYFUNCTION("""COMPUTED_VALUE"""),"性病検査,STD,料金,保険診療,")</f>
        <v>性病検査,STD,料金,保険診療,</v>
      </c>
      <c r="E1302" s="32" t="str">
        <f>IFERROR(__xludf.DUMMYFUNCTION("""COMPUTED_VALUE"""),"https://luna-dr.com/yokohama/price/")</f>
        <v>https://luna-dr.com/yokohama/price/</v>
      </c>
    </row>
    <row r="1303">
      <c r="A1303" s="31" t="str">
        <f>IFERROR(__xludf.DUMMYFUNCTION("""COMPUTED_VALUE"""),"ポリープ切除はいくらですか？")</f>
        <v>ポリープ切除はいくらですか？</v>
      </c>
      <c r="B1303" s="31" t="str">
        <f>IFERROR(__xludf.DUMMYFUNCTION("""COMPUTED_VALUE"""),"ポリープ切除は、保険診療の場合の目安料金は約6,700円（税込）です。ポリープの大きさや部位により費用が変動する場合があります。別途、初診料・再診料がかかります。")</f>
        <v>ポリープ切除は、保険診療の場合の目安料金は約6,700円（税込）です。ポリープの大きさや部位により費用が変動する場合があります。別途、初診料・再診料がかかります。</v>
      </c>
      <c r="C1303" s="31" t="str">
        <f>IFERROR(__xludf.DUMMYFUNCTION("""COMPUTED_VALUE"""),"処置・料金")</f>
        <v>処置・料金</v>
      </c>
      <c r="D1303" s="31" t="str">
        <f>IFERROR(__xludf.DUMMYFUNCTION("""COMPUTED_VALUE"""),"ポリープ切除,子宮ポリープ,料金,")</f>
        <v>ポリープ切除,子宮ポリープ,料金,</v>
      </c>
      <c r="E1303" s="32" t="str">
        <f>IFERROR(__xludf.DUMMYFUNCTION("""COMPUTED_VALUE"""),"https://luna-dr.com/yokohama/price/")</f>
        <v>https://luna-dr.com/yokohama/price/</v>
      </c>
    </row>
    <row r="1304">
      <c r="A1304" s="31" t="str">
        <f>IFERROR(__xludf.DUMMYFUNCTION("""COMPUTED_VALUE"""),"膀胱炎の検査と治療はいくらですか？")</f>
        <v>膀胱炎の検査と治療はいくらですか？</v>
      </c>
      <c r="B1304" s="31" t="str">
        <f>IFERROR(__xludf.DUMMYFUNCTION("""COMPUTED_VALUE"""),"膀胱炎の尿検査と抗生剤処方は、保険診療の場合の目安料金は約600円（税込）です。症状や治療内容により変動することがあります。別途、初診料・再診料がかかります。")</f>
        <v>膀胱炎の尿検査と抗生剤処方は、保険診療の場合の目安料金は約600円（税込）です。症状や治療内容により変動することがあります。別途、初診料・再診料がかかります。</v>
      </c>
      <c r="C1304" s="31" t="str">
        <f>IFERROR(__xludf.DUMMYFUNCTION("""COMPUTED_VALUE"""),"検査・治療・料金")</f>
        <v>検査・治療・料金</v>
      </c>
      <c r="D1304" s="31" t="str">
        <f>IFERROR(__xludf.DUMMYFUNCTION("""COMPUTED_VALUE"""),"膀胱炎,尿検査,抗生剤,料金,")</f>
        <v>膀胱炎,尿検査,抗生剤,料金,</v>
      </c>
      <c r="E1304" s="32" t="str">
        <f>IFERROR(__xludf.DUMMYFUNCTION("""COMPUTED_VALUE"""),"https://luna-dr.com/yokohama/price/")</f>
        <v>https://luna-dr.com/yokohama/price/</v>
      </c>
    </row>
    <row r="1305">
      <c r="A1305" s="31" t="str">
        <f>IFERROR(__xludf.DUMMYFUNCTION("""COMPUTED_VALUE"""),"検査結果はどこで確認できますか？")</f>
        <v>検査結果はどこで確認できますか？</v>
      </c>
      <c r="B1305" s="31" t="str">
        <f>IFERROR(__xludf.DUMMYFUNCTION("""COMPUTED_VALUE"""),"検査結果は、当院の検査結果確認サイトからご確認いただけます。こちらのURLにアクセスしてください。https://result.luna-dr.com/clinic_login 患者番号は、会計時にお渡ししている領収書に記載のある10桁の番号となります。")</f>
        <v>検査結果は、当院の検査結果確認サイトからご確認いただけます。こちらのURLにアクセスしてください。https://result.luna-dr.com/clinic_login 患者番号は、会計時にお渡ししている領収書に記載のある10桁の番号となります。</v>
      </c>
      <c r="C1305" s="31" t="str">
        <f>IFERROR(__xludf.DUMMYFUNCTION("""COMPUTED_VALUE"""),"検査結果・確認方法")</f>
        <v>検査結果・確認方法</v>
      </c>
      <c r="D1305" s="31" t="str">
        <f>IFERROR(__xludf.DUMMYFUNCTION("""COMPUTED_VALUE"""),"検査結果,結果確認,確認方法,")</f>
        <v>検査結果,結果確認,確認方法,</v>
      </c>
      <c r="E1305" s="32" t="str">
        <f>IFERROR(__xludf.DUMMYFUNCTION("""COMPUTED_VALUE"""),"https://luna-dr.com/yokohama/about_result/")</f>
        <v>https://luna-dr.com/yokohama/about_result/</v>
      </c>
    </row>
    <row r="1306">
      <c r="A1306" s="31" t="str">
        <f>IFERROR(__xludf.DUMMYFUNCTION("""COMPUTED_VALUE"""),"検査結果の確認方法を教えてください/検査結果をWebで確認したい/検査結果のWeb確認方法")</f>
        <v>検査結果の確認方法を教えてください/検査結果をWebで確認したい/検査結果のWeb確認方法</v>
      </c>
      <c r="B1306" s="31" t="str">
        <f>IFERROR(__xludf.DUMMYFUNCTION("""COMPUTED_VALUE"""),"検査結果確認サイト（https://result.luna-dr.com/clinic_login）にアクセスし、患者番号と生年月日を入力して「結果を見る」ボタンをクリックしてください。患者番号は、会計時にお渡ししている領収書に記載のある10桁の番号となります。")</f>
        <v>検査結果確認サイト（https://result.luna-dr.com/clinic_login）にアクセスし、患者番号と生年月日を入力して「結果を見る」ボタンをクリックしてください。患者番号は、会計時にお渡ししている領収書に記載のある10桁の番号となります。</v>
      </c>
      <c r="C1306" s="31" t="str">
        <f>IFERROR(__xludf.DUMMYFUNCTION("""COMPUTED_VALUE"""),"検査結果・確認方法")</f>
        <v>検査結果・確認方法</v>
      </c>
      <c r="D1306" s="31" t="str">
        <f>IFERROR(__xludf.DUMMYFUNCTION("""COMPUTED_VALUE"""),"検査結果,診察券番号,生年月日,Web,確認方法,サイト")</f>
        <v>検査結果,診察券番号,生年月日,Web,確認方法,サイト</v>
      </c>
      <c r="E1306" s="32" t="str">
        <f>IFERROR(__xludf.DUMMYFUNCTION("""COMPUTED_VALUE"""),"https://luna-dr.com/yokohama/about_result/")</f>
        <v>https://luna-dr.com/yokohama/about_result/</v>
      </c>
    </row>
    <row r="1307">
      <c r="A1307" s="31" t="str">
        <f>IFERROR(__xludf.DUMMYFUNCTION("""COMPUTED_VALUE"""),"検査結果はいつ頃わかりますか？")</f>
        <v>検査結果はいつ頃わかりますか？</v>
      </c>
      <c r="B1307" s="31" t="str">
        <f>IFERROR(__xludf.DUMMYFUNCTION("""COMPUTED_VALUE"""),"検査項目によって結果が判明するまでの時間は異なります。結果が出た検査項目から順次システムに登録され、ご確認いただけるようになります。")</f>
        <v>検査項目によって結果が判明するまでの時間は異なります。結果が出た検査項目から順次システムに登録され、ご確認いただけるようになります。</v>
      </c>
      <c r="C1307" s="31" t="str">
        <f>IFERROR(__xludf.DUMMYFUNCTION("""COMPUTED_VALUE"""),"検査結果・確認方法")</f>
        <v>検査結果・確認方法</v>
      </c>
      <c r="D1307" s="31" t="str">
        <f>IFERROR(__xludf.DUMMYFUNCTION("""COMPUTED_VALUE"""),"検査結果,結果判明,検査項目,")</f>
        <v>検査結果,結果判明,検査項目,</v>
      </c>
      <c r="E1307" s="32" t="str">
        <f>IFERROR(__xludf.DUMMYFUNCTION("""COMPUTED_VALUE"""),"https://luna-dr.com/yokohama/about_result/")</f>
        <v>https://luna-dr.com/yokohama/about_result/</v>
      </c>
    </row>
    <row r="1308">
      <c r="A1308" s="31" t="str">
        <f>IFERROR(__xludf.DUMMYFUNCTION("""COMPUTED_VALUE"""),"検査結果が表示されません。どうすればいいですか？")</f>
        <v>検査結果が表示されません。どうすればいいですか？</v>
      </c>
      <c r="B1308" s="31" t="str">
        <f>IFERROR(__xludf.DUMMYFUNCTION("""COMPUTED_VALUE"""),"結果が表示されない場合は、まだ結果が確定していない可能性があります。しばらく時間をおいて再度ご確認ください。それでも確認できない場合は、お手数ですがクリニックまでお電話（050-1730-2768）またはメールにてお問い合わせください。")</f>
        <v>結果が表示されない場合は、まだ結果が確定していない可能性があります。しばらく時間をおいて再度ご確認ください。それでも確認できない場合は、お手数ですがクリニックまでお電話（050-1730-2768）またはメールにてお問い合わせください。</v>
      </c>
      <c r="C1308" s="31" t="str">
        <f>IFERROR(__xludf.DUMMYFUNCTION("""COMPUTED_VALUE"""),"検査結果・確認方法")</f>
        <v>検査結果・確認方法</v>
      </c>
      <c r="D1308" s="31" t="str">
        <f>IFERROR(__xludf.DUMMYFUNCTION("""COMPUTED_VALUE"""),"検査結果,表示されない,問い合わせ,")</f>
        <v>検査結果,表示されない,問い合わせ,</v>
      </c>
      <c r="E1308" s="32" t="str">
        <f>IFERROR(__xludf.DUMMYFUNCTION("""COMPUTED_VALUE"""),"https://luna-dr.com/yokohama/about_result/")</f>
        <v>https://luna-dr.com/yokohama/about_result/</v>
      </c>
    </row>
    <row r="1309">
      <c r="A1309" s="31" t="str">
        <f>IFERROR(__xludf.DUMMYFUNCTION("""COMPUTED_VALUE"""),"若返り点滴は現在も受けられますか？")</f>
        <v>若返り点滴は現在も受けられますか？</v>
      </c>
      <c r="B1309" s="31" t="str">
        <f>IFERROR(__xludf.DUMMYFUNCTION("""COMPUTED_VALUE"""),"若返り点滴は、2025年7月末をもって提供を終了しております。ご愛顧いただいていた患者様にはご不便をおかけいたしますが、何卒ご理解賜りますようお願い申し上げます。")</f>
        <v>若返り点滴は、2025年7月末をもって提供を終了しております。ご愛顧いただいていた患者様にはご不便をおかけいたしますが、何卒ご理解賜りますようお願い申し上げます。</v>
      </c>
      <c r="C1309" s="31" t="str">
        <f>IFERROR(__xludf.DUMMYFUNCTION("""COMPUTED_VALUE"""),"提供終了メニュー")</f>
        <v>提供終了メニュー</v>
      </c>
      <c r="D1309" s="31" t="str">
        <f>IFERROR(__xludf.DUMMYFUNCTION("""COMPUTED_VALUE"""),"若返り点滴,美容点滴,提供終了")</f>
        <v>若返り点滴,美容点滴,提供終了</v>
      </c>
      <c r="E1309" s="31"/>
    </row>
    <row r="1310">
      <c r="A1310" s="31" t="str">
        <f>IFERROR(__xludf.DUMMYFUNCTION("""COMPUTED_VALUE"""),"美白点滴はいつまで受けられますか？")</f>
        <v>美白点滴はいつまで受けられますか？</v>
      </c>
      <c r="B1310" s="31" t="str">
        <f>IFERROR(__xludf.DUMMYFUNCTION("""COMPUTED_VALUE"""),"美白点滴は、2025年8月15日をもって提供を終了いたします。ご愛顧いただいていた患者様にはご不便をおかけいたしますが、何卒ご理解賜りますようお願い申し上げます。")</f>
        <v>美白点滴は、2025年8月15日をもって提供を終了いたします。ご愛顧いただいていた患者様にはご不便をおかけいたしますが、何卒ご理解賜りますようお願い申し上げます。</v>
      </c>
      <c r="C1310" s="31" t="str">
        <f>IFERROR(__xludf.DUMMYFUNCTION("""COMPUTED_VALUE"""),"提供終了メニュー")</f>
        <v>提供終了メニュー</v>
      </c>
      <c r="D1310" s="31" t="str">
        <f>IFERROR(__xludf.DUMMYFUNCTION("""COMPUTED_VALUE"""),"美白点滴,美容点滴,提供終了")</f>
        <v>美白点滴,美容点滴,提供終了</v>
      </c>
      <c r="E1310" s="31"/>
    </row>
    <row r="1311">
      <c r="A1311" s="31" t="str">
        <f>IFERROR(__xludf.DUMMYFUNCTION("""COMPUTED_VALUE"""),"疲労回復点滴は現在も実施していますか？")</f>
        <v>疲労回復点滴は現在も実施していますか？</v>
      </c>
      <c r="B1311" s="31" t="str">
        <f>IFERROR(__xludf.DUMMYFUNCTION("""COMPUTED_VALUE"""),"疲労回復点滴は、2025年8月末をもって提供を終了しております。ご愛顧いただいていた患者様にはご不便をおかけいたしますが、何卒ご理解賜りますようお願い申し上げます。")</f>
        <v>疲労回復点滴は、2025年8月末をもって提供を終了しております。ご愛顧いただいていた患者様にはご不便をおかけいたしますが、何卒ご理解賜りますようお願い申し上げます。</v>
      </c>
      <c r="C1311" s="31" t="str">
        <f>IFERROR(__xludf.DUMMYFUNCTION("""COMPUTED_VALUE"""),"提供終了メニュー")</f>
        <v>提供終了メニュー</v>
      </c>
      <c r="D1311" s="31" t="str">
        <f>IFERROR(__xludf.DUMMYFUNCTION("""COMPUTED_VALUE"""),"疲労回復点滴,美容点滴,提供終了")</f>
        <v>疲労回復点滴,美容点滴,提供終了</v>
      </c>
      <c r="E1311" s="31"/>
    </row>
    <row r="1312">
      <c r="A1312" s="31" t="str">
        <f>IFERROR(__xludf.DUMMYFUNCTION("""COMPUTED_VALUE"""),"プラセンタ点滴は今後も受けられますか？")</f>
        <v>プラセンタ点滴は今後も受けられますか？</v>
      </c>
      <c r="B1312" s="31" t="str">
        <f>IFERROR(__xludf.DUMMYFUNCTION("""COMPUTED_VALUE"""),"プラセンタ点滴は、2025年8月末をもって提供を終了しております。ご愛顧いただいていた患者様にはご不便をおかけいたしますが、何卒ご理解賜りますようお願い申し上げます。")</f>
        <v>プラセンタ点滴は、2025年8月末をもって提供を終了しております。ご愛顧いただいていた患者様にはご不便をおかけいたしますが、何卒ご理解賜りますようお願い申し上げます。</v>
      </c>
      <c r="C1312" s="31" t="str">
        <f>IFERROR(__xludf.DUMMYFUNCTION("""COMPUTED_VALUE"""),"提供終了メニュー")</f>
        <v>提供終了メニュー</v>
      </c>
      <c r="D1312" s="31" t="str">
        <f>IFERROR(__xludf.DUMMYFUNCTION("""COMPUTED_VALUE"""),"プラセンタ点滴,美容点滴,提供終了")</f>
        <v>プラセンタ点滴,美容点滴,提供終了</v>
      </c>
      <c r="E1312" s="31"/>
    </row>
    <row r="1313">
      <c r="A1313" s="31" t="str">
        <f>IFERROR(__xludf.DUMMYFUNCTION("""COMPUTED_VALUE"""),"美容点滴の提供終了メニューについて教えてください")</f>
        <v>美容点滴の提供終了メニューについて教えてください</v>
      </c>
      <c r="B1313" s="31" t="str">
        <f>IFERROR(__xludf.DUMMYFUNCTION("""COMPUTED_VALUE"""),"若返り点滴（2025年7月末終了）、美白点滴（2025年8月15日終了）、疲労回復点滴（2025年8月末終了）、プラセンタ点滴（2025年8月末終了）の提供は終了しております。ご愛顧いただいていた患者様にはご不便をおかけいたしますが、何卒ご理解賜りますようお願い申し上げます。")</f>
        <v>若返り点滴（2025年7月末終了）、美白点滴（2025年8月15日終了）、疲労回復点滴（2025年8月末終了）、プラセンタ点滴（2025年8月末終了）の提供は終了しております。ご愛顧いただいていた患者様にはご不便をおかけいたしますが、何卒ご理解賜りますようお願い申し上げます。</v>
      </c>
      <c r="C1313" s="31" t="str">
        <f>IFERROR(__xludf.DUMMYFUNCTION("""COMPUTED_VALUE"""),"提供終了メニュー")</f>
        <v>提供終了メニュー</v>
      </c>
      <c r="D1313" s="31" t="str">
        <f>IFERROR(__xludf.DUMMYFUNCTION("""COMPUTED_VALUE"""),"美容点滴,点滴終了,提供終了")</f>
        <v>美容点滴,点滴終了,提供終了</v>
      </c>
      <c r="E1313" s="31"/>
    </row>
    <row r="1314">
      <c r="A1314" s="31" t="str">
        <f>IFERROR(__xludf.DUMMYFUNCTION("""COMPUTED_VALUE"""),"他の院でも受診できますか？")</f>
        <v>他の院でも受診できますか？</v>
      </c>
      <c r="B1314" s="31" t="str">
        <f>IFERROR(__xludf.DUMMYFUNCTION("""COMPUTED_VALUE"""),"ルナレディースクリニックでは、当院の別の院（横浜駅前院・川崎駅前院・町田駅前院）でのご受診も可能です。ただし、保険診療の場合は別途初診料が発生する可能性がございます。
また、当院より紹介状を発行しMRI検査を受けられた方につきましては、検査結果のご説明は紹介元のクリニックのみで行っております。あらかじめご了承くださいますようお願い申し上げます。")</f>
        <v>ルナレディースクリニックでは、当院の別の院（横浜駅前院・川崎駅前院・町田駅前院）でのご受診も可能です。ただし、保険診療の場合は別途初診料が発生する可能性がございます。
また、当院より紹介状を発行しMRI検査を受けられた方につきましては、検査結果のご説明は紹介元のクリニックのみで行っております。あらかじめご了承くださいますようお願い申し上げます。</v>
      </c>
      <c r="C1314" s="31" t="str">
        <f>IFERROR(__xludf.DUMMYFUNCTION("""COMPUTED_VALUE"""),"受診案内・院変更")</f>
        <v>受診案内・院変更</v>
      </c>
      <c r="D1314" s="31" t="str">
        <f>IFERROR(__xludf.DUMMYFUNCTION("""COMPUTED_VALUE"""),"院変更,横浜駅前院,川崎駅前院,町田駅前院,初診料,保険診療,MRI,紹介状,検査結果")</f>
        <v>院変更,横浜駅前院,川崎駅前院,町田駅前院,初診料,保険診療,MRI,紹介状,検査結果</v>
      </c>
      <c r="E1314" s="31"/>
    </row>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 r:id="rId25" ref="E26"/>
    <hyperlink r:id="rId26" ref="E27"/>
    <hyperlink r:id="rId27" ref="E28"/>
    <hyperlink r:id="rId28" ref="E29"/>
    <hyperlink r:id="rId29" ref="E30"/>
    <hyperlink r:id="rId30" ref="E31"/>
    <hyperlink r:id="rId31" ref="E32"/>
    <hyperlink r:id="rId32" ref="E33"/>
    <hyperlink r:id="rId33" ref="E34"/>
    <hyperlink r:id="rId34" ref="E37"/>
    <hyperlink r:id="rId35" ref="E38"/>
    <hyperlink r:id="rId36" ref="E39"/>
    <hyperlink r:id="rId37" ref="E40"/>
    <hyperlink r:id="rId38" ref="E41"/>
    <hyperlink r:id="rId39" ref="E42"/>
    <hyperlink r:id="rId40" ref="E43"/>
    <hyperlink r:id="rId41" ref="E44"/>
    <hyperlink r:id="rId42" ref="E45"/>
    <hyperlink r:id="rId43" ref="E46"/>
    <hyperlink r:id="rId44" ref="E47"/>
    <hyperlink r:id="rId45" ref="E49"/>
    <hyperlink r:id="rId46" ref="E50"/>
    <hyperlink r:id="rId47" ref="E51"/>
    <hyperlink r:id="rId48" ref="E53"/>
    <hyperlink r:id="rId49" ref="E54"/>
    <hyperlink r:id="rId50" ref="E55"/>
    <hyperlink r:id="rId51" ref="E56"/>
    <hyperlink r:id="rId52" ref="E57"/>
    <hyperlink r:id="rId53" ref="E58"/>
    <hyperlink r:id="rId54" ref="E59"/>
    <hyperlink r:id="rId55" ref="E60"/>
    <hyperlink r:id="rId56" ref="E61"/>
    <hyperlink r:id="rId57" ref="E62"/>
    <hyperlink r:id="rId58" ref="E63"/>
    <hyperlink r:id="rId59" ref="E64"/>
    <hyperlink r:id="rId60" ref="E65"/>
    <hyperlink r:id="rId61" ref="E66"/>
    <hyperlink r:id="rId62" ref="E67"/>
    <hyperlink r:id="rId63" ref="E68"/>
    <hyperlink r:id="rId64" ref="E69"/>
    <hyperlink r:id="rId65" ref="E70"/>
    <hyperlink r:id="rId66" ref="E71"/>
    <hyperlink r:id="rId67" ref="E72"/>
    <hyperlink r:id="rId68" ref="E73"/>
    <hyperlink r:id="rId69" ref="E74"/>
    <hyperlink r:id="rId70" ref="E75"/>
    <hyperlink r:id="rId71" ref="E76"/>
    <hyperlink r:id="rId72" ref="E77"/>
    <hyperlink r:id="rId73" ref="E78"/>
    <hyperlink r:id="rId74" ref="E79"/>
    <hyperlink r:id="rId75" ref="E80"/>
    <hyperlink r:id="rId76" ref="E81"/>
    <hyperlink r:id="rId77" ref="E82"/>
    <hyperlink r:id="rId78" ref="E83"/>
    <hyperlink r:id="rId79" ref="E84"/>
    <hyperlink r:id="rId80" ref="E85"/>
    <hyperlink r:id="rId81" ref="E86"/>
    <hyperlink r:id="rId82" ref="E87"/>
    <hyperlink r:id="rId83" ref="E88"/>
    <hyperlink r:id="rId84" ref="E89"/>
    <hyperlink r:id="rId85" ref="E90"/>
    <hyperlink r:id="rId86" ref="E91"/>
    <hyperlink r:id="rId87" ref="E92"/>
    <hyperlink r:id="rId88" ref="E93"/>
    <hyperlink r:id="rId89" ref="E94"/>
    <hyperlink r:id="rId90" ref="E95"/>
    <hyperlink r:id="rId91" ref="E96"/>
    <hyperlink r:id="rId92" ref="E97"/>
    <hyperlink r:id="rId93" ref="E98"/>
    <hyperlink r:id="rId94" ref="E99"/>
    <hyperlink r:id="rId95" ref="E100"/>
    <hyperlink r:id="rId96" ref="E101"/>
    <hyperlink r:id="rId97" ref="E102"/>
    <hyperlink r:id="rId98" ref="E103"/>
    <hyperlink r:id="rId99" ref="E104"/>
    <hyperlink r:id="rId100" ref="E105"/>
    <hyperlink r:id="rId101" ref="E106"/>
    <hyperlink r:id="rId102" ref="E107"/>
    <hyperlink r:id="rId103" ref="E108"/>
    <hyperlink r:id="rId104" ref="E109"/>
    <hyperlink r:id="rId105" ref="E110"/>
    <hyperlink r:id="rId106" ref="E111"/>
    <hyperlink r:id="rId107" ref="E112"/>
    <hyperlink r:id="rId108" ref="E113"/>
    <hyperlink r:id="rId109" ref="E114"/>
    <hyperlink r:id="rId110" ref="E115"/>
    <hyperlink r:id="rId111" ref="E116"/>
    <hyperlink r:id="rId112" ref="E117"/>
    <hyperlink r:id="rId113" ref="E118"/>
    <hyperlink r:id="rId114" ref="E119"/>
    <hyperlink r:id="rId115" ref="E120"/>
    <hyperlink r:id="rId116" ref="E121"/>
    <hyperlink r:id="rId117" ref="E122"/>
    <hyperlink r:id="rId118" ref="E123"/>
    <hyperlink r:id="rId119" ref="E124"/>
    <hyperlink r:id="rId120" ref="E125"/>
    <hyperlink r:id="rId121" ref="E126"/>
    <hyperlink r:id="rId122" ref="E127"/>
    <hyperlink r:id="rId123" ref="E128"/>
    <hyperlink r:id="rId124" ref="E129"/>
    <hyperlink r:id="rId125" ref="E130"/>
    <hyperlink r:id="rId126" ref="E131"/>
    <hyperlink r:id="rId127" ref="E132"/>
    <hyperlink r:id="rId128" ref="E133"/>
    <hyperlink r:id="rId129" ref="E134"/>
    <hyperlink r:id="rId130" ref="E135"/>
    <hyperlink r:id="rId131" ref="E136"/>
    <hyperlink r:id="rId132" ref="E137"/>
    <hyperlink r:id="rId133" ref="E138"/>
    <hyperlink r:id="rId134" ref="E139"/>
    <hyperlink r:id="rId135" ref="E140"/>
    <hyperlink r:id="rId136" ref="E141"/>
    <hyperlink r:id="rId137" ref="E142"/>
    <hyperlink r:id="rId138" ref="E143"/>
    <hyperlink r:id="rId139" ref="E144"/>
    <hyperlink r:id="rId140" ref="E145"/>
    <hyperlink r:id="rId141" ref="E146"/>
    <hyperlink r:id="rId142" ref="E147"/>
    <hyperlink r:id="rId143" ref="E148"/>
    <hyperlink r:id="rId144" ref="E149"/>
    <hyperlink r:id="rId145" ref="E150"/>
    <hyperlink r:id="rId146" ref="E151"/>
    <hyperlink r:id="rId147" ref="E152"/>
    <hyperlink r:id="rId148" ref="E153"/>
    <hyperlink r:id="rId149" ref="E154"/>
    <hyperlink r:id="rId150" ref="E155"/>
    <hyperlink r:id="rId151" ref="E156"/>
    <hyperlink r:id="rId152" ref="E157"/>
    <hyperlink r:id="rId153" ref="E158"/>
    <hyperlink r:id="rId154" ref="E159"/>
    <hyperlink r:id="rId155" ref="E160"/>
    <hyperlink r:id="rId156" ref="E161"/>
    <hyperlink r:id="rId157" ref="E162"/>
    <hyperlink r:id="rId158" ref="E163"/>
    <hyperlink r:id="rId159" ref="E164"/>
    <hyperlink r:id="rId160" ref="E165"/>
    <hyperlink r:id="rId161" ref="E166"/>
    <hyperlink r:id="rId162" ref="E167"/>
    <hyperlink r:id="rId163" ref="E168"/>
    <hyperlink r:id="rId164" ref="E169"/>
    <hyperlink r:id="rId165" ref="E170"/>
    <hyperlink r:id="rId166" ref="E171"/>
    <hyperlink r:id="rId167" ref="E172"/>
    <hyperlink r:id="rId168" ref="E173"/>
    <hyperlink r:id="rId169" ref="E174"/>
    <hyperlink r:id="rId170" ref="E175"/>
    <hyperlink r:id="rId171" ref="E176"/>
    <hyperlink r:id="rId172" ref="E177"/>
    <hyperlink r:id="rId173" ref="E178"/>
    <hyperlink r:id="rId174" ref="E179"/>
    <hyperlink r:id="rId175" ref="E180"/>
    <hyperlink r:id="rId176" ref="E181"/>
    <hyperlink r:id="rId177" ref="E182"/>
    <hyperlink r:id="rId178" ref="E183"/>
    <hyperlink r:id="rId179" ref="E184"/>
    <hyperlink r:id="rId180" ref="E185"/>
    <hyperlink r:id="rId181" ref="E186"/>
    <hyperlink r:id="rId182" ref="E187"/>
    <hyperlink r:id="rId183" ref="E188"/>
    <hyperlink r:id="rId184" ref="E189"/>
    <hyperlink r:id="rId185" ref="E190"/>
    <hyperlink r:id="rId186" ref="E191"/>
    <hyperlink r:id="rId187" ref="E192"/>
    <hyperlink r:id="rId188" ref="E193"/>
    <hyperlink r:id="rId189" ref="E194"/>
    <hyperlink r:id="rId190" ref="E195"/>
    <hyperlink r:id="rId191" ref="E196"/>
    <hyperlink r:id="rId192" ref="E197"/>
    <hyperlink r:id="rId193" ref="E198"/>
    <hyperlink r:id="rId194" ref="E199"/>
    <hyperlink r:id="rId195" ref="E200"/>
    <hyperlink r:id="rId196" ref="E201"/>
    <hyperlink r:id="rId197" ref="E202"/>
    <hyperlink r:id="rId198" ref="E203"/>
    <hyperlink r:id="rId199" ref="E204"/>
    <hyperlink r:id="rId200" ref="E205"/>
    <hyperlink r:id="rId201" ref="E206"/>
    <hyperlink r:id="rId202" ref="E207"/>
    <hyperlink r:id="rId203" ref="E208"/>
    <hyperlink r:id="rId204" ref="E209"/>
    <hyperlink r:id="rId205" ref="E210"/>
    <hyperlink r:id="rId206" ref="E211"/>
    <hyperlink r:id="rId207" ref="E212"/>
    <hyperlink r:id="rId208" ref="E213"/>
    <hyperlink r:id="rId209" ref="E214"/>
    <hyperlink r:id="rId210" ref="E215"/>
    <hyperlink r:id="rId211" ref="E216"/>
    <hyperlink r:id="rId212" ref="E217"/>
    <hyperlink r:id="rId213" ref="E218"/>
    <hyperlink r:id="rId214" ref="E219"/>
    <hyperlink r:id="rId215" ref="E220"/>
    <hyperlink r:id="rId216" ref="E221"/>
    <hyperlink r:id="rId217" ref="E222"/>
    <hyperlink r:id="rId218" ref="E223"/>
    <hyperlink r:id="rId219" ref="E224"/>
    <hyperlink r:id="rId220" ref="E225"/>
    <hyperlink r:id="rId221" ref="E226"/>
    <hyperlink r:id="rId222" ref="E227"/>
    <hyperlink r:id="rId223" ref="E228"/>
    <hyperlink r:id="rId224" ref="E229"/>
    <hyperlink r:id="rId225" ref="E230"/>
    <hyperlink r:id="rId226" ref="E231"/>
    <hyperlink r:id="rId227" ref="E232"/>
    <hyperlink r:id="rId228" ref="E233"/>
    <hyperlink r:id="rId229" ref="E234"/>
    <hyperlink r:id="rId230" ref="E235"/>
    <hyperlink r:id="rId231" ref="E236"/>
    <hyperlink r:id="rId232" ref="E237"/>
    <hyperlink r:id="rId233" ref="E238"/>
    <hyperlink r:id="rId234" ref="E239"/>
    <hyperlink r:id="rId235" ref="E240"/>
    <hyperlink r:id="rId236" ref="E241"/>
    <hyperlink r:id="rId237" ref="E242"/>
    <hyperlink r:id="rId238" ref="E243"/>
    <hyperlink r:id="rId239" ref="E244"/>
    <hyperlink r:id="rId240" ref="E245"/>
    <hyperlink r:id="rId241" ref="E246"/>
    <hyperlink r:id="rId242" ref="E247"/>
    <hyperlink r:id="rId243" ref="E248"/>
    <hyperlink r:id="rId244" ref="E249"/>
    <hyperlink r:id="rId245" ref="E250"/>
    <hyperlink r:id="rId246" ref="E251"/>
    <hyperlink r:id="rId247" ref="E252"/>
    <hyperlink r:id="rId248" ref="E253"/>
    <hyperlink r:id="rId249" ref="E254"/>
    <hyperlink r:id="rId250" ref="E255"/>
    <hyperlink r:id="rId251" ref="E256"/>
    <hyperlink r:id="rId252" ref="E257"/>
    <hyperlink r:id="rId253" ref="E258"/>
    <hyperlink r:id="rId254" ref="E259"/>
    <hyperlink r:id="rId255" ref="E260"/>
    <hyperlink r:id="rId256" ref="E261"/>
    <hyperlink r:id="rId257" ref="E262"/>
    <hyperlink r:id="rId258" ref="E263"/>
    <hyperlink r:id="rId259" ref="E264"/>
    <hyperlink r:id="rId260" ref="E265"/>
    <hyperlink r:id="rId261" ref="E266"/>
    <hyperlink r:id="rId262" ref="E267"/>
    <hyperlink r:id="rId263" ref="E268"/>
    <hyperlink r:id="rId264" ref="E269"/>
    <hyperlink r:id="rId265" ref="E270"/>
    <hyperlink r:id="rId266" ref="E271"/>
    <hyperlink r:id="rId267" ref="E272"/>
    <hyperlink r:id="rId268" ref="E273"/>
    <hyperlink r:id="rId269" ref="E274"/>
    <hyperlink r:id="rId270" ref="E275"/>
    <hyperlink r:id="rId271" ref="E276"/>
    <hyperlink r:id="rId272" ref="E277"/>
    <hyperlink r:id="rId273" ref="E278"/>
    <hyperlink r:id="rId274" ref="E279"/>
    <hyperlink r:id="rId275" ref="E280"/>
    <hyperlink r:id="rId276" ref="E281"/>
    <hyperlink r:id="rId277" ref="E282"/>
    <hyperlink r:id="rId278" ref="E283"/>
    <hyperlink r:id="rId279" ref="E284"/>
    <hyperlink r:id="rId280" ref="E285"/>
    <hyperlink r:id="rId281" ref="E286"/>
    <hyperlink r:id="rId282" ref="E287"/>
    <hyperlink r:id="rId283" ref="E288"/>
    <hyperlink r:id="rId284" ref="E289"/>
    <hyperlink r:id="rId285" ref="E290"/>
    <hyperlink r:id="rId286" ref="E291"/>
    <hyperlink r:id="rId287" ref="E292"/>
    <hyperlink r:id="rId288" ref="E293"/>
    <hyperlink r:id="rId289" ref="E294"/>
    <hyperlink r:id="rId290" ref="E295"/>
    <hyperlink r:id="rId291" ref="E296"/>
    <hyperlink r:id="rId292" ref="E297"/>
    <hyperlink r:id="rId293" ref="E298"/>
    <hyperlink r:id="rId294" ref="E299"/>
    <hyperlink r:id="rId295" ref="E300"/>
    <hyperlink r:id="rId296" ref="E301"/>
    <hyperlink r:id="rId297" ref="E302"/>
    <hyperlink r:id="rId298" ref="E303"/>
    <hyperlink r:id="rId299" ref="E304"/>
    <hyperlink r:id="rId300" ref="E305"/>
    <hyperlink r:id="rId301" ref="E306"/>
    <hyperlink r:id="rId302" ref="E307"/>
    <hyperlink r:id="rId303" ref="E308"/>
    <hyperlink r:id="rId304" ref="E309"/>
    <hyperlink r:id="rId305" ref="E310"/>
    <hyperlink r:id="rId306" ref="E311"/>
    <hyperlink r:id="rId307" ref="E312"/>
    <hyperlink r:id="rId308" ref="E313"/>
    <hyperlink r:id="rId309" ref="E314"/>
    <hyperlink r:id="rId310" ref="E315"/>
    <hyperlink r:id="rId311" ref="E316"/>
    <hyperlink r:id="rId312" ref="E317"/>
    <hyperlink r:id="rId313" ref="E318"/>
    <hyperlink r:id="rId314" ref="E319"/>
    <hyperlink r:id="rId315" ref="E320"/>
    <hyperlink r:id="rId316" ref="E321"/>
    <hyperlink r:id="rId317" ref="E322"/>
    <hyperlink r:id="rId318" ref="E323"/>
    <hyperlink r:id="rId319" ref="E324"/>
    <hyperlink r:id="rId320" ref="E325"/>
    <hyperlink r:id="rId321" ref="E326"/>
    <hyperlink r:id="rId322" ref="E327"/>
    <hyperlink r:id="rId323" ref="E328"/>
    <hyperlink r:id="rId324" ref="E329"/>
    <hyperlink r:id="rId325" ref="E330"/>
    <hyperlink r:id="rId326" ref="E331"/>
    <hyperlink r:id="rId327" ref="E332"/>
    <hyperlink r:id="rId328" ref="E333"/>
    <hyperlink r:id="rId329" ref="E334"/>
    <hyperlink r:id="rId330" ref="E335"/>
    <hyperlink r:id="rId331" ref="E336"/>
    <hyperlink r:id="rId332" ref="E337"/>
    <hyperlink r:id="rId333" ref="E338"/>
    <hyperlink r:id="rId334" ref="E339"/>
    <hyperlink r:id="rId335" ref="E340"/>
    <hyperlink r:id="rId336" ref="E341"/>
    <hyperlink r:id="rId337" ref="E342"/>
    <hyperlink r:id="rId338" ref="E343"/>
    <hyperlink r:id="rId339" ref="E344"/>
    <hyperlink r:id="rId340" ref="E345"/>
    <hyperlink r:id="rId341" ref="E346"/>
    <hyperlink r:id="rId342" ref="E347"/>
    <hyperlink r:id="rId343" ref="E348"/>
    <hyperlink r:id="rId344" ref="E349"/>
    <hyperlink r:id="rId345" ref="E350"/>
    <hyperlink r:id="rId346" ref="E351"/>
    <hyperlink r:id="rId347" ref="E352"/>
    <hyperlink r:id="rId348" ref="E353"/>
    <hyperlink r:id="rId349" ref="E354"/>
    <hyperlink r:id="rId350" ref="E355"/>
    <hyperlink r:id="rId351" ref="E356"/>
    <hyperlink r:id="rId352" ref="E357"/>
    <hyperlink r:id="rId353" ref="E358"/>
    <hyperlink r:id="rId354" ref="E359"/>
    <hyperlink r:id="rId355" ref="E360"/>
    <hyperlink r:id="rId356" ref="E361"/>
    <hyperlink r:id="rId357" ref="E362"/>
    <hyperlink r:id="rId358" ref="E363"/>
    <hyperlink r:id="rId359" ref="E364"/>
    <hyperlink r:id="rId360" ref="E365"/>
    <hyperlink r:id="rId361" ref="E366"/>
    <hyperlink r:id="rId362" ref="E367"/>
    <hyperlink r:id="rId363" ref="E368"/>
    <hyperlink r:id="rId364" ref="E369"/>
    <hyperlink r:id="rId365" ref="E370"/>
    <hyperlink r:id="rId366" ref="E371"/>
    <hyperlink r:id="rId367" ref="E372"/>
    <hyperlink r:id="rId368" ref="E373"/>
    <hyperlink r:id="rId369" ref="E374"/>
    <hyperlink r:id="rId370" ref="E375"/>
    <hyperlink r:id="rId371" ref="E376"/>
    <hyperlink r:id="rId372" ref="E377"/>
    <hyperlink r:id="rId373" ref="E378"/>
    <hyperlink r:id="rId374" ref="E379"/>
    <hyperlink r:id="rId375" ref="E380"/>
    <hyperlink r:id="rId376" ref="E381"/>
    <hyperlink r:id="rId377" ref="E382"/>
    <hyperlink r:id="rId378" ref="E383"/>
    <hyperlink r:id="rId379" ref="E384"/>
    <hyperlink r:id="rId380" ref="E385"/>
    <hyperlink r:id="rId381" ref="E386"/>
    <hyperlink r:id="rId382" ref="E387"/>
    <hyperlink r:id="rId383" ref="E388"/>
    <hyperlink r:id="rId384" ref="E389"/>
    <hyperlink r:id="rId385" ref="E390"/>
    <hyperlink r:id="rId386" ref="E391"/>
    <hyperlink r:id="rId387" ref="E392"/>
    <hyperlink r:id="rId388" ref="E393"/>
    <hyperlink r:id="rId389" ref="E394"/>
    <hyperlink r:id="rId390" ref="E395"/>
    <hyperlink r:id="rId391" ref="E396"/>
    <hyperlink r:id="rId392" ref="E397"/>
    <hyperlink r:id="rId393" ref="E398"/>
    <hyperlink r:id="rId394" ref="E399"/>
    <hyperlink r:id="rId395" ref="E400"/>
    <hyperlink r:id="rId396" ref="E401"/>
    <hyperlink r:id="rId397" ref="E402"/>
    <hyperlink r:id="rId398" ref="E403"/>
    <hyperlink r:id="rId399" ref="E404"/>
    <hyperlink r:id="rId400" ref="E405"/>
    <hyperlink r:id="rId401" ref="E406"/>
    <hyperlink r:id="rId402" ref="E407"/>
    <hyperlink r:id="rId403" ref="E408"/>
    <hyperlink r:id="rId404" ref="E409"/>
    <hyperlink r:id="rId405" ref="E410"/>
    <hyperlink r:id="rId406" ref="E411"/>
    <hyperlink r:id="rId407" ref="E412"/>
    <hyperlink r:id="rId408" ref="E413"/>
    <hyperlink r:id="rId409" ref="E414"/>
    <hyperlink r:id="rId410" ref="E415"/>
    <hyperlink r:id="rId411" ref="E416"/>
    <hyperlink r:id="rId412" ref="E417"/>
    <hyperlink r:id="rId413" ref="E418"/>
    <hyperlink r:id="rId414" ref="E419"/>
    <hyperlink r:id="rId415" ref="E420"/>
    <hyperlink r:id="rId416" ref="E421"/>
    <hyperlink r:id="rId417" ref="E422"/>
    <hyperlink r:id="rId418" ref="E423"/>
    <hyperlink r:id="rId419" ref="E424"/>
    <hyperlink r:id="rId420" ref="E425"/>
    <hyperlink r:id="rId421" ref="E426"/>
    <hyperlink r:id="rId422" ref="E427"/>
    <hyperlink r:id="rId423" ref="E428"/>
    <hyperlink r:id="rId424" ref="E429"/>
    <hyperlink r:id="rId425" ref="E430"/>
    <hyperlink r:id="rId426" ref="E431"/>
    <hyperlink r:id="rId427" ref="E432"/>
    <hyperlink r:id="rId428" ref="E433"/>
    <hyperlink r:id="rId429" ref="E434"/>
    <hyperlink r:id="rId430" ref="E435"/>
    <hyperlink r:id="rId431" ref="E436"/>
    <hyperlink r:id="rId432" ref="E437"/>
    <hyperlink r:id="rId433" ref="E438"/>
    <hyperlink r:id="rId434" ref="E439"/>
    <hyperlink r:id="rId435" ref="E440"/>
    <hyperlink r:id="rId436" ref="E441"/>
    <hyperlink r:id="rId437" ref="E442"/>
    <hyperlink r:id="rId438" ref="E443"/>
    <hyperlink r:id="rId439" ref="E444"/>
    <hyperlink r:id="rId440" ref="E445"/>
    <hyperlink r:id="rId441" ref="E446"/>
    <hyperlink r:id="rId442" ref="E447"/>
    <hyperlink r:id="rId443" ref="E448"/>
    <hyperlink r:id="rId444" ref="E449"/>
    <hyperlink r:id="rId445" ref="E450"/>
    <hyperlink r:id="rId446" ref="E451"/>
    <hyperlink r:id="rId447" ref="E452"/>
    <hyperlink r:id="rId448" ref="E453"/>
    <hyperlink r:id="rId449" ref="E454"/>
    <hyperlink r:id="rId450" ref="E455"/>
    <hyperlink r:id="rId451" ref="E456"/>
    <hyperlink r:id="rId452" ref="E457"/>
    <hyperlink r:id="rId453" ref="E458"/>
    <hyperlink r:id="rId454" ref="E459"/>
    <hyperlink r:id="rId455" ref="E460"/>
    <hyperlink r:id="rId456" ref="E461"/>
    <hyperlink r:id="rId457" ref="E462"/>
    <hyperlink r:id="rId458" ref="E463"/>
    <hyperlink r:id="rId459" ref="E464"/>
    <hyperlink r:id="rId460" ref="E465"/>
    <hyperlink r:id="rId461" ref="E466"/>
    <hyperlink r:id="rId462" ref="E467"/>
    <hyperlink r:id="rId463" ref="E468"/>
    <hyperlink r:id="rId464" ref="E469"/>
    <hyperlink r:id="rId465" ref="E470"/>
    <hyperlink r:id="rId466" ref="E471"/>
    <hyperlink r:id="rId467" ref="E472"/>
    <hyperlink r:id="rId468" ref="E473"/>
    <hyperlink r:id="rId469" ref="E474"/>
    <hyperlink r:id="rId470" ref="E475"/>
    <hyperlink r:id="rId471" ref="E476"/>
    <hyperlink r:id="rId472" ref="E477"/>
    <hyperlink r:id="rId473" ref="E478"/>
    <hyperlink r:id="rId474" ref="E479"/>
    <hyperlink r:id="rId475" ref="E480"/>
    <hyperlink r:id="rId476" ref="E481"/>
    <hyperlink r:id="rId477" ref="E482"/>
    <hyperlink r:id="rId478" ref="E483"/>
    <hyperlink r:id="rId479" ref="E484"/>
    <hyperlink r:id="rId480" ref="E485"/>
    <hyperlink r:id="rId481" ref="E486"/>
    <hyperlink r:id="rId482" ref="E487"/>
    <hyperlink r:id="rId483" ref="E488"/>
    <hyperlink r:id="rId484" ref="E489"/>
    <hyperlink r:id="rId485" ref="E490"/>
    <hyperlink r:id="rId486" ref="E491"/>
    <hyperlink r:id="rId487" ref="E492"/>
    <hyperlink r:id="rId488" ref="E493"/>
    <hyperlink r:id="rId489" ref="E494"/>
    <hyperlink r:id="rId490" ref="E495"/>
    <hyperlink r:id="rId491" ref="E496"/>
    <hyperlink r:id="rId492" ref="E497"/>
    <hyperlink r:id="rId493" ref="E498"/>
    <hyperlink r:id="rId494" ref="E499"/>
    <hyperlink r:id="rId495" ref="E500"/>
    <hyperlink r:id="rId496" ref="E501"/>
    <hyperlink r:id="rId497" ref="E502"/>
    <hyperlink r:id="rId498" ref="E503"/>
    <hyperlink r:id="rId499" ref="E504"/>
    <hyperlink r:id="rId500" ref="E505"/>
    <hyperlink r:id="rId501" ref="E506"/>
    <hyperlink r:id="rId502" ref="E507"/>
    <hyperlink r:id="rId503" ref="E508"/>
    <hyperlink r:id="rId504" ref="E509"/>
    <hyperlink r:id="rId505" ref="E510"/>
    <hyperlink r:id="rId506" ref="E511"/>
    <hyperlink r:id="rId507" ref="E512"/>
    <hyperlink r:id="rId508" ref="E513"/>
    <hyperlink r:id="rId509" ref="E514"/>
    <hyperlink r:id="rId510" ref="E515"/>
    <hyperlink r:id="rId511" ref="E516"/>
    <hyperlink r:id="rId512" ref="E517"/>
    <hyperlink r:id="rId513" ref="E518"/>
    <hyperlink r:id="rId514" ref="E519"/>
    <hyperlink r:id="rId515" ref="E520"/>
    <hyperlink r:id="rId516" ref="E521"/>
    <hyperlink r:id="rId517" ref="E522"/>
    <hyperlink r:id="rId518" ref="E523"/>
    <hyperlink r:id="rId519" ref="E524"/>
    <hyperlink r:id="rId520" ref="E525"/>
    <hyperlink r:id="rId521" ref="E526"/>
    <hyperlink r:id="rId522" ref="E527"/>
    <hyperlink r:id="rId523" ref="E528"/>
    <hyperlink r:id="rId524" ref="E529"/>
    <hyperlink r:id="rId525" ref="E530"/>
    <hyperlink r:id="rId526" ref="E531"/>
    <hyperlink r:id="rId527" ref="E532"/>
    <hyperlink r:id="rId528" ref="E533"/>
    <hyperlink r:id="rId529" ref="E534"/>
    <hyperlink r:id="rId530" ref="E535"/>
    <hyperlink r:id="rId531" ref="E536"/>
    <hyperlink r:id="rId532" ref="E537"/>
    <hyperlink r:id="rId533" ref="E538"/>
    <hyperlink r:id="rId534" ref="E539"/>
    <hyperlink r:id="rId535" ref="E540"/>
    <hyperlink r:id="rId536" ref="E541"/>
    <hyperlink r:id="rId537" ref="E542"/>
    <hyperlink r:id="rId538" ref="E543"/>
    <hyperlink r:id="rId539" ref="E544"/>
    <hyperlink r:id="rId540" ref="E545"/>
    <hyperlink r:id="rId541" ref="E546"/>
    <hyperlink r:id="rId542" ref="E547"/>
    <hyperlink r:id="rId543" ref="E548"/>
    <hyperlink r:id="rId544" ref="E549"/>
    <hyperlink r:id="rId545" ref="E550"/>
    <hyperlink r:id="rId546" ref="E551"/>
    <hyperlink r:id="rId547" ref="E552"/>
    <hyperlink r:id="rId548" ref="E553"/>
    <hyperlink r:id="rId549" ref="E554"/>
    <hyperlink r:id="rId550" ref="E555"/>
    <hyperlink r:id="rId551" ref="E556"/>
    <hyperlink r:id="rId552" ref="E557"/>
    <hyperlink r:id="rId553" ref="E558"/>
    <hyperlink r:id="rId554" ref="E559"/>
    <hyperlink r:id="rId555" ref="E560"/>
    <hyperlink r:id="rId556" ref="E561"/>
    <hyperlink r:id="rId557" ref="E562"/>
    <hyperlink r:id="rId558" ref="E563"/>
    <hyperlink r:id="rId559" ref="E564"/>
    <hyperlink r:id="rId560" ref="E565"/>
    <hyperlink r:id="rId561" ref="E566"/>
    <hyperlink r:id="rId562" ref="E567"/>
    <hyperlink r:id="rId563" ref="E568"/>
    <hyperlink r:id="rId564" ref="E569"/>
    <hyperlink r:id="rId565" ref="E570"/>
    <hyperlink r:id="rId566" ref="E571"/>
    <hyperlink r:id="rId567" ref="E572"/>
    <hyperlink r:id="rId568" ref="E573"/>
    <hyperlink r:id="rId569" ref="E574"/>
    <hyperlink r:id="rId570" ref="E575"/>
    <hyperlink r:id="rId571" ref="E576"/>
    <hyperlink r:id="rId572" ref="E577"/>
    <hyperlink r:id="rId573" ref="E578"/>
    <hyperlink r:id="rId574" ref="E579"/>
    <hyperlink r:id="rId575" ref="E580"/>
    <hyperlink r:id="rId576" ref="E581"/>
    <hyperlink r:id="rId577" ref="E582"/>
    <hyperlink r:id="rId578" ref="E583"/>
    <hyperlink r:id="rId579" ref="E584"/>
    <hyperlink r:id="rId580" ref="E585"/>
    <hyperlink r:id="rId581" ref="E586"/>
    <hyperlink r:id="rId582" ref="E587"/>
    <hyperlink r:id="rId583" ref="E588"/>
    <hyperlink r:id="rId584" ref="E589"/>
    <hyperlink r:id="rId585" ref="E590"/>
    <hyperlink r:id="rId586" ref="E591"/>
    <hyperlink r:id="rId587" ref="E592"/>
    <hyperlink r:id="rId588" ref="E593"/>
    <hyperlink r:id="rId589" ref="E594"/>
    <hyperlink r:id="rId590" ref="E595"/>
    <hyperlink r:id="rId591" ref="E596"/>
    <hyperlink r:id="rId592" ref="E597"/>
    <hyperlink r:id="rId593" ref="E598"/>
    <hyperlink r:id="rId594" ref="E599"/>
    <hyperlink r:id="rId595" ref="E600"/>
    <hyperlink r:id="rId596" ref="E601"/>
    <hyperlink r:id="rId597" ref="E602"/>
    <hyperlink r:id="rId598" ref="E603"/>
    <hyperlink r:id="rId599" ref="E604"/>
    <hyperlink r:id="rId600" ref="E605"/>
    <hyperlink r:id="rId601" ref="E606"/>
    <hyperlink r:id="rId602" ref="E607"/>
    <hyperlink r:id="rId603" ref="E608"/>
    <hyperlink r:id="rId604" ref="E609"/>
    <hyperlink r:id="rId605" ref="E610"/>
    <hyperlink r:id="rId606" ref="E611"/>
    <hyperlink r:id="rId607" ref="E612"/>
    <hyperlink r:id="rId608" ref="E613"/>
    <hyperlink r:id="rId609" ref="E614"/>
    <hyperlink r:id="rId610" ref="E615"/>
    <hyperlink r:id="rId611" ref="E616"/>
    <hyperlink r:id="rId612" ref="E617"/>
    <hyperlink r:id="rId613" ref="E618"/>
    <hyperlink r:id="rId614" ref="E619"/>
    <hyperlink r:id="rId615" ref="E620"/>
    <hyperlink r:id="rId616" ref="E621"/>
    <hyperlink r:id="rId617" ref="E622"/>
    <hyperlink r:id="rId618" ref="E623"/>
    <hyperlink r:id="rId619" ref="E624"/>
    <hyperlink r:id="rId620" ref="E625"/>
    <hyperlink r:id="rId621" ref="E626"/>
    <hyperlink r:id="rId622" ref="E627"/>
    <hyperlink r:id="rId623" ref="E628"/>
    <hyperlink r:id="rId624" ref="E629"/>
    <hyperlink r:id="rId625" ref="E630"/>
    <hyperlink r:id="rId626" ref="E631"/>
    <hyperlink r:id="rId627" ref="E632"/>
    <hyperlink r:id="rId628" ref="E633"/>
    <hyperlink r:id="rId629" ref="E634"/>
    <hyperlink r:id="rId630" ref="E635"/>
    <hyperlink r:id="rId631" ref="E636"/>
    <hyperlink r:id="rId632" ref="E637"/>
    <hyperlink r:id="rId633" ref="E638"/>
    <hyperlink r:id="rId634" ref="E639"/>
    <hyperlink r:id="rId635" ref="E640"/>
    <hyperlink r:id="rId636" ref="E641"/>
    <hyperlink r:id="rId637" ref="E642"/>
    <hyperlink r:id="rId638" ref="E643"/>
    <hyperlink r:id="rId639" ref="E644"/>
    <hyperlink r:id="rId640" ref="E645"/>
    <hyperlink r:id="rId641" ref="E646"/>
    <hyperlink r:id="rId642" ref="E647"/>
    <hyperlink r:id="rId643" ref="E648"/>
    <hyperlink r:id="rId644" ref="E649"/>
    <hyperlink r:id="rId645" ref="E650"/>
    <hyperlink r:id="rId646" ref="E651"/>
    <hyperlink r:id="rId647" ref="E652"/>
    <hyperlink r:id="rId648" ref="E653"/>
    <hyperlink r:id="rId649" ref="E654"/>
    <hyperlink r:id="rId650" ref="E655"/>
    <hyperlink r:id="rId651" ref="E656"/>
    <hyperlink r:id="rId652" ref="E657"/>
    <hyperlink r:id="rId653" ref="E658"/>
    <hyperlink r:id="rId654" ref="E659"/>
    <hyperlink r:id="rId655" ref="E660"/>
    <hyperlink r:id="rId656" ref="E661"/>
    <hyperlink r:id="rId657" ref="E662"/>
    <hyperlink r:id="rId658" ref="E663"/>
    <hyperlink r:id="rId659" ref="E664"/>
    <hyperlink r:id="rId660" ref="E665"/>
    <hyperlink r:id="rId661" ref="E666"/>
    <hyperlink r:id="rId662" ref="E667"/>
    <hyperlink r:id="rId663" ref="E668"/>
    <hyperlink r:id="rId664" ref="E669"/>
    <hyperlink r:id="rId665" ref="E670"/>
    <hyperlink r:id="rId666" ref="E671"/>
    <hyperlink r:id="rId667" ref="E672"/>
    <hyperlink r:id="rId668" ref="E673"/>
    <hyperlink r:id="rId669" ref="E674"/>
    <hyperlink r:id="rId670" ref="E675"/>
    <hyperlink r:id="rId671" ref="E676"/>
    <hyperlink r:id="rId672" ref="E677"/>
    <hyperlink r:id="rId673" ref="E678"/>
    <hyperlink r:id="rId674" ref="E679"/>
    <hyperlink r:id="rId675" ref="E680"/>
    <hyperlink r:id="rId676" ref="E681"/>
    <hyperlink r:id="rId677" ref="E682"/>
    <hyperlink r:id="rId678" ref="E683"/>
    <hyperlink r:id="rId679" ref="E684"/>
    <hyperlink r:id="rId680" ref="E685"/>
    <hyperlink r:id="rId681" ref="E686"/>
    <hyperlink r:id="rId682" ref="E688"/>
    <hyperlink r:id="rId683" ref="E689"/>
    <hyperlink r:id="rId684" ref="E690"/>
    <hyperlink r:id="rId685" ref="E691"/>
    <hyperlink r:id="rId686" ref="E692"/>
    <hyperlink r:id="rId687" ref="E693"/>
    <hyperlink r:id="rId688" ref="E694"/>
    <hyperlink r:id="rId689" ref="E695"/>
    <hyperlink r:id="rId690" ref="E696"/>
    <hyperlink r:id="rId691" ref="E697"/>
    <hyperlink r:id="rId692" ref="E698"/>
    <hyperlink r:id="rId693" ref="E699"/>
    <hyperlink r:id="rId694" ref="E700"/>
    <hyperlink r:id="rId695" ref="E701"/>
    <hyperlink r:id="rId696" ref="E702"/>
    <hyperlink r:id="rId697" ref="E703"/>
    <hyperlink r:id="rId698" ref="E704"/>
    <hyperlink r:id="rId699" ref="E705"/>
    <hyperlink r:id="rId700" ref="E706"/>
    <hyperlink r:id="rId701" ref="E707"/>
    <hyperlink r:id="rId702" ref="E708"/>
    <hyperlink r:id="rId703" ref="E709"/>
    <hyperlink r:id="rId704" ref="E710"/>
    <hyperlink r:id="rId705" ref="E711"/>
    <hyperlink r:id="rId706" ref="E712"/>
    <hyperlink r:id="rId707" ref="E713"/>
    <hyperlink r:id="rId708" ref="E714"/>
    <hyperlink r:id="rId709" ref="E715"/>
    <hyperlink r:id="rId710" ref="E716"/>
    <hyperlink r:id="rId711" ref="E717"/>
    <hyperlink r:id="rId712" ref="E718"/>
    <hyperlink r:id="rId713" ref="E719"/>
    <hyperlink r:id="rId714" ref="E720"/>
    <hyperlink r:id="rId715" ref="E721"/>
    <hyperlink r:id="rId716" ref="E722"/>
    <hyperlink r:id="rId717" ref="E723"/>
    <hyperlink r:id="rId718" ref="E724"/>
    <hyperlink r:id="rId719" ref="E725"/>
    <hyperlink r:id="rId720" ref="E726"/>
    <hyperlink r:id="rId721" ref="E727"/>
    <hyperlink r:id="rId722" ref="E728"/>
    <hyperlink r:id="rId723" ref="E729"/>
    <hyperlink r:id="rId724" ref="E730"/>
    <hyperlink r:id="rId725" ref="E731"/>
    <hyperlink r:id="rId726" ref="E732"/>
    <hyperlink r:id="rId727" ref="E733"/>
    <hyperlink r:id="rId728" ref="E734"/>
    <hyperlink r:id="rId729" ref="E735"/>
    <hyperlink r:id="rId730" ref="E736"/>
    <hyperlink r:id="rId731" ref="E737"/>
    <hyperlink r:id="rId732" ref="E738"/>
    <hyperlink r:id="rId733" ref="E739"/>
    <hyperlink r:id="rId734" ref="E740"/>
    <hyperlink r:id="rId735" ref="E741"/>
    <hyperlink r:id="rId736" ref="E742"/>
    <hyperlink r:id="rId737" ref="E743"/>
    <hyperlink r:id="rId738" ref="E744"/>
    <hyperlink r:id="rId739" ref="E745"/>
    <hyperlink r:id="rId740" ref="E746"/>
    <hyperlink r:id="rId741" ref="E747"/>
    <hyperlink r:id="rId742" ref="E748"/>
    <hyperlink r:id="rId743" ref="E749"/>
    <hyperlink r:id="rId744" ref="E750"/>
    <hyperlink r:id="rId745" ref="E751"/>
    <hyperlink r:id="rId746" ref="E752"/>
    <hyperlink r:id="rId747" ref="E753"/>
    <hyperlink r:id="rId748" ref="E754"/>
    <hyperlink r:id="rId749" ref="E755"/>
    <hyperlink r:id="rId750" ref="E756"/>
    <hyperlink r:id="rId751" ref="E757"/>
    <hyperlink r:id="rId752" ref="E758"/>
    <hyperlink r:id="rId753" ref="E759"/>
    <hyperlink r:id="rId754" ref="E760"/>
    <hyperlink r:id="rId755" ref="E761"/>
    <hyperlink r:id="rId756" ref="E762"/>
    <hyperlink r:id="rId757" ref="E763"/>
    <hyperlink r:id="rId758" ref="E764"/>
    <hyperlink r:id="rId759" ref="E765"/>
    <hyperlink r:id="rId760" ref="E766"/>
    <hyperlink r:id="rId761" ref="E767"/>
    <hyperlink r:id="rId762" ref="E768"/>
    <hyperlink r:id="rId763" ref="E769"/>
    <hyperlink r:id="rId764" ref="E770"/>
    <hyperlink r:id="rId765" ref="E771"/>
    <hyperlink r:id="rId766" ref="E772"/>
    <hyperlink r:id="rId767" ref="E773"/>
    <hyperlink r:id="rId768" ref="E774"/>
    <hyperlink r:id="rId769" ref="E775"/>
    <hyperlink r:id="rId770" ref="E776"/>
    <hyperlink r:id="rId771" ref="E777"/>
    <hyperlink r:id="rId772" ref="E778"/>
    <hyperlink r:id="rId773" ref="E779"/>
    <hyperlink r:id="rId774" ref="E780"/>
    <hyperlink r:id="rId775" ref="E781"/>
    <hyperlink r:id="rId776" ref="E822"/>
    <hyperlink r:id="rId777" ref="E959"/>
    <hyperlink r:id="rId778" ref="E960"/>
    <hyperlink r:id="rId779" ref="E961"/>
    <hyperlink r:id="rId780" ref="E962"/>
    <hyperlink r:id="rId781" ref="E963"/>
    <hyperlink r:id="rId782" ref="E964"/>
    <hyperlink r:id="rId783" ref="E965"/>
    <hyperlink r:id="rId784" ref="E966"/>
    <hyperlink r:id="rId785" ref="E970"/>
    <hyperlink r:id="rId786" ref="E971"/>
    <hyperlink r:id="rId787" ref="E972"/>
    <hyperlink r:id="rId788" ref="E973"/>
    <hyperlink r:id="rId789" ref="E1006"/>
    <hyperlink r:id="rId790" ref="E1011"/>
    <hyperlink r:id="rId791" ref="E1012"/>
    <hyperlink r:id="rId792" ref="E1017"/>
    <hyperlink r:id="rId793" ref="E1049"/>
    <hyperlink r:id="rId794" ref="E1069"/>
    <hyperlink r:id="rId795" ref="E1070"/>
    <hyperlink r:id="rId796" ref="E1071"/>
    <hyperlink r:id="rId797" ref="E1072"/>
    <hyperlink r:id="rId798" ref="E1073"/>
    <hyperlink r:id="rId799" ref="E1074"/>
    <hyperlink r:id="rId800" ref="E1100"/>
    <hyperlink r:id="rId801" ref="E1110"/>
    <hyperlink r:id="rId802" ref="E1163"/>
    <hyperlink r:id="rId803" ref="E1164"/>
    <hyperlink r:id="rId804" ref="E1213"/>
    <hyperlink r:id="rId805" ref="E1216"/>
    <hyperlink r:id="rId806" ref="E1217"/>
    <hyperlink r:id="rId807" ref="E1218"/>
    <hyperlink r:id="rId808" ref="E1219"/>
    <hyperlink r:id="rId809" ref="E1220"/>
    <hyperlink r:id="rId810" ref="E1221"/>
    <hyperlink r:id="rId811" ref="E1222"/>
    <hyperlink r:id="rId812" ref="E1223"/>
    <hyperlink r:id="rId813" ref="E1224"/>
    <hyperlink r:id="rId814" ref="E1225"/>
    <hyperlink r:id="rId815" ref="E1226"/>
    <hyperlink r:id="rId816" ref="E1227"/>
    <hyperlink r:id="rId817" ref="E1228"/>
    <hyperlink r:id="rId818" ref="E1229"/>
    <hyperlink r:id="rId819" ref="E1230"/>
    <hyperlink r:id="rId820" ref="E1231"/>
    <hyperlink r:id="rId821" ref="E1232"/>
    <hyperlink r:id="rId822" ref="E1233"/>
    <hyperlink r:id="rId823" ref="E1234"/>
    <hyperlink r:id="rId824" ref="E1235"/>
    <hyperlink r:id="rId825" ref="E1236"/>
    <hyperlink r:id="rId826" ref="E1237"/>
    <hyperlink r:id="rId827" ref="E1238"/>
    <hyperlink r:id="rId828" ref="E1239"/>
    <hyperlink r:id="rId829" ref="E1240"/>
    <hyperlink r:id="rId830" ref="E1241"/>
    <hyperlink r:id="rId831" ref="E1242"/>
    <hyperlink r:id="rId832" ref="E1243"/>
    <hyperlink r:id="rId833" ref="E1244"/>
    <hyperlink r:id="rId834" ref="E1245"/>
    <hyperlink r:id="rId835" ref="E1246"/>
    <hyperlink r:id="rId836" ref="E1247"/>
    <hyperlink r:id="rId837" ref="E1248"/>
    <hyperlink r:id="rId838" ref="E1249"/>
    <hyperlink r:id="rId839" ref="E1250"/>
    <hyperlink r:id="rId840" ref="E1251"/>
    <hyperlink r:id="rId841" ref="E1252"/>
    <hyperlink r:id="rId842" ref="E1253"/>
    <hyperlink r:id="rId843" ref="E1254"/>
    <hyperlink r:id="rId844" ref="E1255"/>
    <hyperlink r:id="rId845" ref="E1256"/>
    <hyperlink r:id="rId846" ref="E1257"/>
    <hyperlink r:id="rId847" ref="E1258"/>
    <hyperlink r:id="rId848" ref="E1259"/>
    <hyperlink r:id="rId849" ref="E1260"/>
    <hyperlink r:id="rId850" ref="E1261"/>
    <hyperlink r:id="rId851" ref="E1262"/>
    <hyperlink r:id="rId852" ref="E1263"/>
    <hyperlink r:id="rId853" ref="E1264"/>
    <hyperlink r:id="rId854" ref="E1265"/>
    <hyperlink r:id="rId855" ref="E1266"/>
    <hyperlink r:id="rId856" ref="E1267"/>
    <hyperlink r:id="rId857" ref="E1268"/>
    <hyperlink r:id="rId858" ref="E1269"/>
    <hyperlink r:id="rId859" ref="E1270"/>
    <hyperlink r:id="rId860" ref="E1271"/>
    <hyperlink r:id="rId861" ref="E1272"/>
    <hyperlink r:id="rId862" ref="E1273"/>
    <hyperlink r:id="rId863" ref="E1274"/>
    <hyperlink r:id="rId864" ref="E1275"/>
    <hyperlink r:id="rId865" ref="E1276"/>
    <hyperlink r:id="rId866" ref="E1277"/>
    <hyperlink r:id="rId867" ref="E1278"/>
    <hyperlink r:id="rId868" ref="E1279"/>
    <hyperlink r:id="rId869" ref="E1280"/>
    <hyperlink r:id="rId870" ref="E1281"/>
    <hyperlink r:id="rId871" ref="E1282"/>
    <hyperlink r:id="rId872" ref="E1283"/>
    <hyperlink r:id="rId873" ref="E1284"/>
    <hyperlink r:id="rId874" ref="E1285"/>
    <hyperlink r:id="rId875" ref="E1286"/>
    <hyperlink r:id="rId876" ref="E1287"/>
    <hyperlink r:id="rId877" ref="E1288"/>
    <hyperlink r:id="rId878" ref="E1289"/>
    <hyperlink r:id="rId879" ref="E1290"/>
    <hyperlink r:id="rId880" ref="E1291"/>
    <hyperlink r:id="rId881" ref="E1292"/>
    <hyperlink r:id="rId882" ref="E1293"/>
    <hyperlink r:id="rId883" ref="E1294"/>
    <hyperlink r:id="rId884" ref="E1295"/>
    <hyperlink r:id="rId885" ref="E1296"/>
    <hyperlink r:id="rId886" ref="E1297"/>
    <hyperlink r:id="rId887" ref="E1298"/>
    <hyperlink r:id="rId888" ref="E1299"/>
    <hyperlink r:id="rId889" ref="E1300"/>
    <hyperlink r:id="rId890" ref="E1301"/>
    <hyperlink r:id="rId891" ref="E1302"/>
    <hyperlink r:id="rId892" ref="E1303"/>
    <hyperlink r:id="rId893" ref="E1304"/>
    <hyperlink r:id="rId894" ref="E1305"/>
    <hyperlink r:id="rId895" ref="E1306"/>
    <hyperlink r:id="rId896" ref="E1307"/>
    <hyperlink r:id="rId897" ref="E1308"/>
  </hyperlinks>
  <drawing r:id="rId898"/>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88"/>
    <col customWidth="1" min="2" max="2" width="91.63"/>
    <col customWidth="1" min="3" max="3" width="84.75"/>
  </cols>
  <sheetData>
    <row r="1">
      <c r="A1" s="33" t="s">
        <v>4783</v>
      </c>
      <c r="B1" s="34" t="s">
        <v>4784</v>
      </c>
      <c r="C1" s="35" t="s">
        <v>4785</v>
      </c>
      <c r="D1" s="2"/>
      <c r="E1" s="2"/>
      <c r="F1" s="2"/>
      <c r="G1" s="2"/>
      <c r="H1" s="2"/>
      <c r="I1" s="2"/>
      <c r="J1" s="2"/>
      <c r="K1" s="2"/>
      <c r="L1" s="2"/>
      <c r="M1" s="2"/>
      <c r="N1" s="2"/>
      <c r="O1" s="2"/>
      <c r="P1" s="2"/>
      <c r="Q1" s="2"/>
      <c r="R1" s="2"/>
      <c r="S1" s="2"/>
      <c r="T1" s="2"/>
      <c r="U1" s="2"/>
      <c r="V1" s="2"/>
      <c r="W1" s="2"/>
      <c r="X1" s="2"/>
      <c r="Y1" s="2"/>
      <c r="Z1" s="2"/>
    </row>
    <row r="2">
      <c r="A2" s="36">
        <v>1.0</v>
      </c>
      <c r="B2" s="37" t="s">
        <v>4786</v>
      </c>
      <c r="C2" s="38" t="s">
        <v>4787</v>
      </c>
      <c r="D2" s="2"/>
      <c r="E2" s="2"/>
      <c r="F2" s="2"/>
      <c r="G2" s="2"/>
      <c r="H2" s="2"/>
      <c r="I2" s="2"/>
      <c r="J2" s="2"/>
      <c r="K2" s="2"/>
      <c r="L2" s="2"/>
      <c r="M2" s="2"/>
      <c r="N2" s="2"/>
      <c r="O2" s="2"/>
      <c r="P2" s="2"/>
      <c r="Q2" s="2"/>
      <c r="R2" s="2"/>
      <c r="S2" s="2"/>
      <c r="T2" s="2"/>
      <c r="U2" s="2"/>
      <c r="V2" s="2"/>
      <c r="W2" s="2"/>
      <c r="X2" s="2"/>
      <c r="Y2" s="2"/>
      <c r="Z2" s="2"/>
    </row>
    <row r="3">
      <c r="A3" s="36">
        <v>2.0</v>
      </c>
      <c r="B3" s="37" t="s">
        <v>4788</v>
      </c>
      <c r="C3" s="38" t="s">
        <v>4789</v>
      </c>
      <c r="D3" s="2"/>
      <c r="E3" s="2"/>
      <c r="F3" s="2"/>
      <c r="G3" s="2"/>
      <c r="H3" s="2"/>
      <c r="I3" s="2"/>
      <c r="J3" s="2"/>
      <c r="K3" s="2"/>
      <c r="L3" s="2"/>
      <c r="M3" s="2"/>
      <c r="N3" s="2"/>
      <c r="O3" s="2"/>
      <c r="P3" s="2"/>
      <c r="Q3" s="2"/>
      <c r="R3" s="2"/>
      <c r="S3" s="2"/>
      <c r="T3" s="2"/>
      <c r="U3" s="2"/>
      <c r="V3" s="2"/>
      <c r="W3" s="2"/>
      <c r="X3" s="2"/>
      <c r="Y3" s="2"/>
      <c r="Z3" s="2"/>
    </row>
    <row r="4">
      <c r="A4" s="36">
        <v>3.0</v>
      </c>
      <c r="B4" s="37" t="s">
        <v>4790</v>
      </c>
      <c r="C4" s="39" t="s">
        <v>4791</v>
      </c>
      <c r="D4" s="2"/>
      <c r="E4" s="2"/>
      <c r="F4" s="2"/>
      <c r="G4" s="2"/>
      <c r="H4" s="2"/>
      <c r="I4" s="2"/>
      <c r="J4" s="2"/>
      <c r="K4" s="2"/>
      <c r="L4" s="2"/>
      <c r="M4" s="2"/>
      <c r="N4" s="2"/>
      <c r="O4" s="2"/>
      <c r="P4" s="2"/>
      <c r="Q4" s="2"/>
      <c r="R4" s="2"/>
      <c r="S4" s="2"/>
      <c r="T4" s="2"/>
      <c r="U4" s="2"/>
      <c r="V4" s="2"/>
      <c r="W4" s="2"/>
      <c r="X4" s="2"/>
      <c r="Y4" s="2"/>
      <c r="Z4" s="2"/>
    </row>
    <row r="5">
      <c r="A5" s="36">
        <v>4.0</v>
      </c>
      <c r="B5" s="37" t="s">
        <v>4792</v>
      </c>
      <c r="C5" s="39" t="s">
        <v>4793</v>
      </c>
      <c r="D5" s="2"/>
      <c r="E5" s="2"/>
      <c r="F5" s="2"/>
      <c r="G5" s="2"/>
      <c r="H5" s="2"/>
      <c r="I5" s="2"/>
      <c r="J5" s="2"/>
      <c r="K5" s="2"/>
      <c r="L5" s="2"/>
      <c r="M5" s="2"/>
      <c r="N5" s="2"/>
      <c r="O5" s="2"/>
      <c r="P5" s="2"/>
      <c r="Q5" s="2"/>
      <c r="R5" s="2"/>
      <c r="S5" s="2"/>
      <c r="T5" s="2"/>
      <c r="U5" s="2"/>
      <c r="V5" s="2"/>
      <c r="W5" s="2"/>
      <c r="X5" s="2"/>
      <c r="Y5" s="2"/>
      <c r="Z5" s="2"/>
    </row>
    <row r="6">
      <c r="A6" s="36">
        <v>5.0</v>
      </c>
      <c r="B6" s="37" t="s">
        <v>4794</v>
      </c>
      <c r="C6" s="39" t="s">
        <v>4795</v>
      </c>
      <c r="D6" s="2"/>
      <c r="E6" s="2"/>
      <c r="F6" s="2"/>
      <c r="G6" s="2"/>
      <c r="H6" s="2"/>
      <c r="I6" s="2"/>
      <c r="J6" s="2"/>
      <c r="K6" s="2"/>
      <c r="L6" s="2"/>
      <c r="M6" s="2"/>
      <c r="N6" s="2"/>
      <c r="O6" s="2"/>
      <c r="P6" s="2"/>
      <c r="Q6" s="2"/>
      <c r="R6" s="2"/>
      <c r="S6" s="2"/>
      <c r="T6" s="2"/>
      <c r="U6" s="2"/>
      <c r="V6" s="2"/>
      <c r="W6" s="2"/>
      <c r="X6" s="2"/>
      <c r="Y6" s="2"/>
      <c r="Z6" s="2"/>
    </row>
    <row r="7">
      <c r="A7" s="36">
        <v>6.0</v>
      </c>
      <c r="B7" s="37" t="s">
        <v>4796</v>
      </c>
      <c r="C7" s="39" t="s">
        <v>4797</v>
      </c>
      <c r="D7" s="2"/>
      <c r="E7" s="2"/>
      <c r="F7" s="2"/>
      <c r="G7" s="2"/>
      <c r="H7" s="2"/>
      <c r="I7" s="2"/>
      <c r="J7" s="2"/>
      <c r="K7" s="2"/>
      <c r="L7" s="2"/>
      <c r="M7" s="2"/>
      <c r="N7" s="2"/>
      <c r="O7" s="2"/>
      <c r="P7" s="2"/>
      <c r="Q7" s="2"/>
      <c r="R7" s="2"/>
      <c r="S7" s="2"/>
      <c r="T7" s="2"/>
      <c r="U7" s="2"/>
      <c r="V7" s="2"/>
      <c r="W7" s="2"/>
      <c r="X7" s="2"/>
      <c r="Y7" s="2"/>
      <c r="Z7" s="2"/>
    </row>
    <row r="8">
      <c r="A8" s="36">
        <v>7.0</v>
      </c>
      <c r="B8" s="37" t="s">
        <v>4798</v>
      </c>
      <c r="C8" s="39" t="s">
        <v>4799</v>
      </c>
      <c r="D8" s="2"/>
      <c r="E8" s="2"/>
      <c r="F8" s="2"/>
      <c r="G8" s="2"/>
      <c r="H8" s="2"/>
      <c r="I8" s="2"/>
      <c r="J8" s="2"/>
      <c r="K8" s="2"/>
      <c r="L8" s="2"/>
      <c r="M8" s="2"/>
      <c r="N8" s="2"/>
      <c r="O8" s="2"/>
      <c r="P8" s="2"/>
      <c r="Q8" s="2"/>
      <c r="R8" s="2"/>
      <c r="S8" s="2"/>
      <c r="T8" s="2"/>
      <c r="U8" s="2"/>
      <c r="V8" s="2"/>
      <c r="W8" s="2"/>
      <c r="X8" s="2"/>
      <c r="Y8" s="2"/>
      <c r="Z8" s="2"/>
    </row>
    <row r="9">
      <c r="A9" s="36">
        <v>8.0</v>
      </c>
      <c r="B9" s="37" t="s">
        <v>4800</v>
      </c>
      <c r="C9" s="39" t="s">
        <v>4801</v>
      </c>
      <c r="D9" s="2"/>
      <c r="E9" s="2"/>
      <c r="F9" s="2"/>
      <c r="G9" s="2"/>
      <c r="H9" s="2"/>
      <c r="I9" s="2"/>
      <c r="J9" s="2"/>
      <c r="K9" s="2"/>
      <c r="L9" s="2"/>
      <c r="M9" s="2"/>
      <c r="N9" s="2"/>
      <c r="O9" s="2"/>
      <c r="P9" s="2"/>
      <c r="Q9" s="2"/>
      <c r="R9" s="2"/>
      <c r="S9" s="2"/>
      <c r="T9" s="2"/>
      <c r="U9" s="2"/>
      <c r="V9" s="2"/>
      <c r="W9" s="2"/>
      <c r="X9" s="2"/>
      <c r="Y9" s="2"/>
      <c r="Z9" s="2"/>
    </row>
    <row r="10">
      <c r="A10" s="36">
        <v>9.0</v>
      </c>
      <c r="B10" s="37" t="s">
        <v>4802</v>
      </c>
      <c r="C10" s="39" t="s">
        <v>4803</v>
      </c>
      <c r="D10" s="2"/>
      <c r="E10" s="2"/>
      <c r="F10" s="2"/>
      <c r="G10" s="2"/>
      <c r="H10" s="2"/>
      <c r="I10" s="2"/>
      <c r="J10" s="2"/>
      <c r="K10" s="2"/>
      <c r="L10" s="2"/>
      <c r="M10" s="2"/>
      <c r="N10" s="2"/>
      <c r="O10" s="2"/>
      <c r="P10" s="2"/>
      <c r="Q10" s="2"/>
      <c r="R10" s="2"/>
      <c r="S10" s="2"/>
      <c r="T10" s="2"/>
      <c r="U10" s="2"/>
      <c r="V10" s="2"/>
      <c r="W10" s="2"/>
      <c r="X10" s="2"/>
      <c r="Y10" s="2"/>
      <c r="Z10" s="2"/>
    </row>
    <row r="11">
      <c r="A11" s="36">
        <v>10.0</v>
      </c>
      <c r="B11" s="37" t="s">
        <v>4804</v>
      </c>
      <c r="C11" s="40"/>
      <c r="D11" s="2"/>
      <c r="E11" s="2"/>
      <c r="F11" s="2"/>
      <c r="G11" s="2"/>
      <c r="H11" s="2"/>
      <c r="I11" s="2"/>
      <c r="J11" s="2"/>
      <c r="K11" s="2"/>
      <c r="L11" s="2"/>
      <c r="M11" s="2"/>
      <c r="N11" s="2"/>
      <c r="O11" s="2"/>
      <c r="P11" s="2"/>
      <c r="Q11" s="2"/>
      <c r="R11" s="2"/>
      <c r="S11" s="2"/>
      <c r="T11" s="2"/>
      <c r="U11" s="2"/>
      <c r="V11" s="2"/>
      <c r="W11" s="2"/>
      <c r="X11" s="2"/>
      <c r="Y11" s="2"/>
      <c r="Z11" s="2"/>
    </row>
    <row r="12">
      <c r="A12" s="36">
        <v>11.0</v>
      </c>
      <c r="B12" s="41" t="s">
        <v>4805</v>
      </c>
      <c r="C12" s="40"/>
      <c r="D12" s="2"/>
      <c r="E12" s="2"/>
      <c r="F12" s="2"/>
      <c r="G12" s="2"/>
      <c r="H12" s="2"/>
      <c r="I12" s="2"/>
      <c r="J12" s="2"/>
      <c r="K12" s="2"/>
      <c r="L12" s="2"/>
      <c r="M12" s="2"/>
      <c r="N12" s="2"/>
      <c r="O12" s="2"/>
      <c r="P12" s="2"/>
      <c r="Q12" s="2"/>
      <c r="R12" s="2"/>
      <c r="S12" s="2"/>
      <c r="T12" s="2"/>
      <c r="U12" s="2"/>
      <c r="V12" s="2"/>
      <c r="W12" s="2"/>
      <c r="X12" s="2"/>
      <c r="Y12" s="2"/>
      <c r="Z12" s="2"/>
    </row>
    <row r="13">
      <c r="A13" s="36">
        <v>12.0</v>
      </c>
      <c r="B13" s="42" t="s">
        <v>4806</v>
      </c>
      <c r="C13" s="40"/>
      <c r="D13" s="2"/>
      <c r="E13" s="2"/>
      <c r="F13" s="2"/>
      <c r="G13" s="2"/>
      <c r="H13" s="2"/>
      <c r="I13" s="2"/>
      <c r="J13" s="2"/>
      <c r="K13" s="2"/>
      <c r="L13" s="2"/>
      <c r="M13" s="2"/>
      <c r="N13" s="2"/>
      <c r="O13" s="2"/>
      <c r="P13" s="2"/>
      <c r="Q13" s="2"/>
      <c r="R13" s="2"/>
      <c r="S13" s="2"/>
      <c r="T13" s="2"/>
      <c r="U13" s="2"/>
      <c r="V13" s="2"/>
      <c r="W13" s="2"/>
      <c r="X13" s="2"/>
      <c r="Y13" s="2"/>
      <c r="Z13" s="2"/>
    </row>
    <row r="14">
      <c r="A14" s="36">
        <v>13.0</v>
      </c>
      <c r="B14" s="43"/>
      <c r="C14" s="40"/>
      <c r="D14" s="2"/>
      <c r="E14" s="2"/>
      <c r="F14" s="2"/>
      <c r="G14" s="2"/>
      <c r="H14" s="2"/>
      <c r="I14" s="2"/>
      <c r="J14" s="2"/>
      <c r="K14" s="2"/>
      <c r="L14" s="2"/>
      <c r="M14" s="2"/>
      <c r="N14" s="2"/>
      <c r="O14" s="2"/>
      <c r="P14" s="2"/>
      <c r="Q14" s="2"/>
      <c r="R14" s="2"/>
      <c r="S14" s="2"/>
      <c r="T14" s="2"/>
      <c r="U14" s="2"/>
      <c r="V14" s="2"/>
      <c r="W14" s="2"/>
      <c r="X14" s="2"/>
      <c r="Y14" s="2"/>
      <c r="Z14" s="2"/>
    </row>
    <row r="15">
      <c r="A15" s="36">
        <v>14.0</v>
      </c>
      <c r="B15" s="43"/>
      <c r="C15" s="40"/>
      <c r="D15" s="2"/>
      <c r="E15" s="2"/>
      <c r="F15" s="2"/>
      <c r="G15" s="2"/>
      <c r="H15" s="2"/>
      <c r="I15" s="2"/>
      <c r="J15" s="2"/>
      <c r="K15" s="2"/>
      <c r="L15" s="2"/>
      <c r="M15" s="2"/>
      <c r="N15" s="2"/>
      <c r="O15" s="2"/>
      <c r="P15" s="2"/>
      <c r="Q15" s="2"/>
      <c r="R15" s="2"/>
      <c r="S15" s="2"/>
      <c r="T15" s="2"/>
      <c r="U15" s="2"/>
      <c r="V15" s="2"/>
      <c r="W15" s="2"/>
      <c r="X15" s="2"/>
      <c r="Y15" s="2"/>
      <c r="Z15" s="2"/>
    </row>
    <row r="16">
      <c r="A16" s="36">
        <v>15.0</v>
      </c>
      <c r="B16" s="43"/>
      <c r="C16" s="40"/>
      <c r="D16" s="2"/>
      <c r="E16" s="2"/>
      <c r="F16" s="2"/>
      <c r="G16" s="2"/>
      <c r="H16" s="2"/>
      <c r="I16" s="2"/>
      <c r="J16" s="2"/>
      <c r="K16" s="2"/>
      <c r="L16" s="2"/>
      <c r="M16" s="2"/>
      <c r="N16" s="2"/>
      <c r="O16" s="2"/>
      <c r="P16" s="2"/>
      <c r="Q16" s="2"/>
      <c r="R16" s="2"/>
      <c r="S16" s="2"/>
      <c r="T16" s="2"/>
      <c r="U16" s="2"/>
      <c r="V16" s="2"/>
      <c r="W16" s="2"/>
      <c r="X16" s="2"/>
      <c r="Y16" s="2"/>
      <c r="Z16" s="2"/>
    </row>
    <row r="17">
      <c r="A17" s="44">
        <v>16.0</v>
      </c>
      <c r="B17" s="45"/>
      <c r="C17" s="46"/>
      <c r="D17" s="2"/>
      <c r="E17" s="2"/>
      <c r="F17" s="2"/>
      <c r="G17" s="2"/>
      <c r="H17" s="2"/>
      <c r="I17" s="2"/>
      <c r="J17" s="2"/>
      <c r="K17" s="2"/>
      <c r="L17" s="2"/>
      <c r="M17" s="2"/>
      <c r="N17" s="2"/>
      <c r="O17" s="2"/>
      <c r="P17" s="2"/>
      <c r="Q17" s="2"/>
      <c r="R17" s="2"/>
      <c r="S17" s="2"/>
      <c r="T17" s="2"/>
      <c r="U17" s="2"/>
      <c r="V17" s="2"/>
      <c r="W17" s="2"/>
      <c r="X17" s="2"/>
      <c r="Y17" s="2"/>
      <c r="Z17" s="2"/>
    </row>
    <row r="18">
      <c r="A18" s="29"/>
      <c r="B18" s="29"/>
      <c r="C18" s="29"/>
      <c r="D18" s="2"/>
      <c r="E18" s="2"/>
      <c r="F18" s="2"/>
      <c r="G18" s="2"/>
      <c r="H18" s="2"/>
      <c r="I18" s="2"/>
      <c r="J18" s="2"/>
      <c r="K18" s="2"/>
      <c r="L18" s="2"/>
      <c r="M18" s="2"/>
      <c r="N18" s="2"/>
      <c r="O18" s="2"/>
      <c r="P18" s="2"/>
      <c r="Q18" s="2"/>
      <c r="R18" s="2"/>
      <c r="S18" s="2"/>
      <c r="T18" s="2"/>
      <c r="U18" s="2"/>
      <c r="V18" s="2"/>
      <c r="W18" s="2"/>
      <c r="X18" s="2"/>
      <c r="Y18" s="2"/>
      <c r="Z18" s="2"/>
    </row>
    <row r="19">
      <c r="A19" s="47" t="s">
        <v>3626</v>
      </c>
      <c r="B19" s="48"/>
      <c r="C19" s="49"/>
      <c r="D19" s="2"/>
      <c r="E19" s="2"/>
      <c r="F19" s="2"/>
      <c r="G19" s="2"/>
      <c r="H19" s="2"/>
      <c r="I19" s="2"/>
      <c r="J19" s="2"/>
      <c r="K19" s="2"/>
      <c r="L19" s="2"/>
      <c r="M19" s="2"/>
      <c r="N19" s="2"/>
      <c r="O19" s="2"/>
      <c r="P19" s="2"/>
      <c r="Q19" s="2"/>
      <c r="R19" s="2"/>
      <c r="S19" s="2"/>
      <c r="T19" s="2"/>
      <c r="U19" s="2"/>
      <c r="V19" s="2"/>
      <c r="W19" s="2"/>
      <c r="X19" s="2"/>
      <c r="Y19" s="2"/>
      <c r="Z19" s="2"/>
    </row>
    <row r="20">
      <c r="A20" s="50"/>
      <c r="B20" s="51" t="s">
        <v>4807</v>
      </c>
      <c r="C20" s="52" t="s">
        <v>4808</v>
      </c>
      <c r="D20" s="2"/>
      <c r="E20" s="2"/>
      <c r="F20" s="2"/>
      <c r="G20" s="2"/>
      <c r="H20" s="2"/>
      <c r="I20" s="2"/>
      <c r="J20" s="2"/>
      <c r="K20" s="2"/>
      <c r="L20" s="2"/>
      <c r="M20" s="2"/>
      <c r="N20" s="2"/>
      <c r="O20" s="2"/>
      <c r="P20" s="2"/>
      <c r="Q20" s="2"/>
      <c r="R20" s="2"/>
      <c r="S20" s="2"/>
      <c r="T20" s="2"/>
      <c r="U20" s="2"/>
      <c r="V20" s="2"/>
      <c r="W20" s="2"/>
      <c r="X20" s="2"/>
      <c r="Y20" s="2"/>
      <c r="Z20" s="2"/>
    </row>
    <row r="21">
      <c r="A21" s="53"/>
      <c r="B21" s="51" t="s">
        <v>4809</v>
      </c>
      <c r="C21" s="54" t="s">
        <v>4810</v>
      </c>
      <c r="D21" s="2"/>
      <c r="E21" s="2"/>
      <c r="F21" s="2"/>
      <c r="G21" s="2"/>
      <c r="H21" s="2"/>
      <c r="I21" s="2"/>
      <c r="J21" s="2"/>
      <c r="K21" s="2"/>
      <c r="L21" s="2"/>
      <c r="M21" s="2"/>
      <c r="N21" s="2"/>
      <c r="O21" s="2"/>
      <c r="P21" s="2"/>
      <c r="Q21" s="2"/>
      <c r="R21" s="2"/>
      <c r="S21" s="2"/>
      <c r="T21" s="2"/>
      <c r="U21" s="2"/>
      <c r="V21" s="2"/>
      <c r="W21" s="2"/>
      <c r="X21" s="2"/>
      <c r="Y21" s="2"/>
      <c r="Z21" s="2"/>
    </row>
    <row r="22">
      <c r="A22" s="55"/>
      <c r="B22" s="56" t="s">
        <v>4811</v>
      </c>
      <c r="C22" s="57" t="s">
        <v>4812</v>
      </c>
      <c r="D22" s="2"/>
      <c r="E22" s="2"/>
      <c r="F22" s="2"/>
      <c r="G22" s="2"/>
      <c r="H22" s="2"/>
      <c r="I22" s="2"/>
      <c r="J22" s="2"/>
      <c r="K22" s="2"/>
      <c r="L22" s="2"/>
      <c r="M22" s="2"/>
      <c r="N22" s="2"/>
      <c r="O22" s="2"/>
      <c r="P22" s="2"/>
      <c r="Q22" s="2"/>
      <c r="R22" s="2"/>
      <c r="S22" s="2"/>
      <c r="T22" s="2"/>
      <c r="U22" s="2"/>
      <c r="V22" s="2"/>
      <c r="W22" s="2"/>
      <c r="X22" s="2"/>
      <c r="Y22" s="2"/>
      <c r="Z22" s="2"/>
    </row>
    <row r="23">
      <c r="A23" s="5"/>
      <c r="B23" s="5"/>
      <c r="C23" s="5"/>
      <c r="D23" s="2"/>
      <c r="E23" s="2"/>
      <c r="F23" s="2"/>
      <c r="G23" s="2"/>
      <c r="H23" s="2"/>
      <c r="I23" s="2"/>
      <c r="J23" s="2"/>
      <c r="K23" s="2"/>
      <c r="L23" s="2"/>
      <c r="M23" s="2"/>
      <c r="N23" s="2"/>
      <c r="O23" s="2"/>
      <c r="P23" s="2"/>
      <c r="Q23" s="2"/>
      <c r="R23" s="2"/>
      <c r="S23" s="2"/>
      <c r="T23" s="2"/>
      <c r="U23" s="2"/>
      <c r="V23" s="2"/>
      <c r="W23" s="2"/>
      <c r="X23" s="2"/>
      <c r="Y23" s="2"/>
      <c r="Z23" s="2"/>
    </row>
    <row r="24">
      <c r="A24" s="5"/>
      <c r="B24" s="5"/>
      <c r="C24" s="5"/>
      <c r="D24" s="2"/>
      <c r="E24" s="2"/>
      <c r="F24" s="2"/>
      <c r="G24" s="2"/>
      <c r="H24" s="2"/>
      <c r="I24" s="2"/>
      <c r="J24" s="2"/>
      <c r="K24" s="2"/>
      <c r="L24" s="2"/>
      <c r="M24" s="2"/>
      <c r="N24" s="2"/>
      <c r="O24" s="2"/>
      <c r="P24" s="2"/>
      <c r="Q24" s="2"/>
      <c r="R24" s="2"/>
      <c r="S24" s="2"/>
      <c r="T24" s="2"/>
      <c r="U24" s="2"/>
      <c r="V24" s="2"/>
      <c r="W24" s="2"/>
      <c r="X24" s="2"/>
      <c r="Y24" s="2"/>
      <c r="Z24" s="2"/>
    </row>
    <row r="25">
      <c r="A25" s="5"/>
      <c r="B25" s="5"/>
      <c r="C25" s="5"/>
      <c r="D25" s="2"/>
      <c r="E25" s="2"/>
      <c r="F25" s="2"/>
      <c r="G25" s="2"/>
      <c r="H25" s="2"/>
      <c r="I25" s="2"/>
      <c r="J25" s="2"/>
      <c r="K25" s="2"/>
      <c r="L25" s="2"/>
      <c r="M25" s="2"/>
      <c r="N25" s="2"/>
      <c r="O25" s="2"/>
      <c r="P25" s="2"/>
      <c r="Q25" s="2"/>
      <c r="R25" s="2"/>
      <c r="S25" s="2"/>
      <c r="T25" s="2"/>
      <c r="U25" s="2"/>
      <c r="V25" s="2"/>
      <c r="W25" s="2"/>
      <c r="X25" s="2"/>
      <c r="Y25" s="2"/>
      <c r="Z25" s="2"/>
    </row>
    <row r="26">
      <c r="A26" s="5"/>
      <c r="B26" s="5"/>
      <c r="C26" s="5"/>
      <c r="D26" s="2"/>
      <c r="E26" s="2"/>
      <c r="F26" s="2"/>
      <c r="G26" s="2"/>
      <c r="H26" s="2"/>
      <c r="I26" s="2"/>
      <c r="J26" s="2"/>
      <c r="K26" s="2"/>
      <c r="L26" s="2"/>
      <c r="M26" s="2"/>
      <c r="N26" s="2"/>
      <c r="O26" s="2"/>
      <c r="P26" s="2"/>
      <c r="Q26" s="2"/>
      <c r="R26" s="2"/>
      <c r="S26" s="2"/>
      <c r="T26" s="2"/>
      <c r="U26" s="2"/>
      <c r="V26" s="2"/>
      <c r="W26" s="2"/>
      <c r="X26" s="2"/>
      <c r="Y26" s="2"/>
      <c r="Z26" s="2"/>
    </row>
    <row r="27">
      <c r="A27" s="5"/>
      <c r="B27" s="5"/>
      <c r="C27" s="5"/>
      <c r="D27" s="2"/>
      <c r="E27" s="2"/>
      <c r="F27" s="2"/>
      <c r="G27" s="2"/>
      <c r="H27" s="2"/>
      <c r="I27" s="2"/>
      <c r="J27" s="2"/>
      <c r="K27" s="2"/>
      <c r="L27" s="2"/>
      <c r="M27" s="2"/>
      <c r="N27" s="2"/>
      <c r="O27" s="2"/>
      <c r="P27" s="2"/>
      <c r="Q27" s="2"/>
      <c r="R27" s="2"/>
      <c r="S27" s="2"/>
      <c r="T27" s="2"/>
      <c r="U27" s="2"/>
      <c r="V27" s="2"/>
      <c r="W27" s="2"/>
      <c r="X27" s="2"/>
      <c r="Y27" s="2"/>
      <c r="Z27" s="2"/>
    </row>
    <row r="28">
      <c r="A28" s="5"/>
      <c r="B28" s="5"/>
      <c r="C28" s="5"/>
      <c r="D28" s="2"/>
      <c r="E28" s="2"/>
      <c r="F28" s="2"/>
      <c r="G28" s="2"/>
      <c r="H28" s="2"/>
      <c r="I28" s="2"/>
      <c r="J28" s="2"/>
      <c r="K28" s="2"/>
      <c r="L28" s="2"/>
      <c r="M28" s="2"/>
      <c r="N28" s="2"/>
      <c r="O28" s="2"/>
      <c r="P28" s="2"/>
      <c r="Q28" s="2"/>
      <c r="R28" s="2"/>
      <c r="S28" s="2"/>
      <c r="T28" s="2"/>
      <c r="U28" s="2"/>
      <c r="V28" s="2"/>
      <c r="W28" s="2"/>
      <c r="X28" s="2"/>
      <c r="Y28" s="2"/>
      <c r="Z28" s="2"/>
    </row>
    <row r="29">
      <c r="A29" s="5"/>
      <c r="B29" s="5"/>
      <c r="C29" s="5"/>
      <c r="D29" s="2"/>
      <c r="E29" s="2"/>
      <c r="F29" s="2"/>
      <c r="G29" s="2"/>
      <c r="H29" s="2"/>
      <c r="I29" s="2"/>
      <c r="J29" s="2"/>
      <c r="K29" s="2"/>
      <c r="L29" s="2"/>
      <c r="M29" s="2"/>
      <c r="N29" s="2"/>
      <c r="O29" s="2"/>
      <c r="P29" s="2"/>
      <c r="Q29" s="2"/>
      <c r="R29" s="2"/>
      <c r="S29" s="2"/>
      <c r="T29" s="2"/>
      <c r="U29" s="2"/>
      <c r="V29" s="2"/>
      <c r="W29" s="2"/>
      <c r="X29" s="2"/>
      <c r="Y29" s="2"/>
      <c r="Z29" s="2"/>
    </row>
    <row r="30">
      <c r="A30" s="5"/>
      <c r="B30" s="5"/>
      <c r="C30" s="5"/>
      <c r="D30" s="2"/>
      <c r="E30" s="2"/>
      <c r="F30" s="2"/>
      <c r="G30" s="2"/>
      <c r="H30" s="2"/>
      <c r="I30" s="2"/>
      <c r="J30" s="2"/>
      <c r="K30" s="2"/>
      <c r="L30" s="2"/>
      <c r="M30" s="2"/>
      <c r="N30" s="2"/>
      <c r="O30" s="2"/>
      <c r="P30" s="2"/>
      <c r="Q30" s="2"/>
      <c r="R30" s="2"/>
      <c r="S30" s="2"/>
      <c r="T30" s="2"/>
      <c r="U30" s="2"/>
      <c r="V30" s="2"/>
      <c r="W30" s="2"/>
      <c r="X30" s="2"/>
      <c r="Y30" s="2"/>
      <c r="Z30" s="2"/>
    </row>
    <row r="31">
      <c r="A31" s="5"/>
      <c r="B31" s="5"/>
      <c r="C31" s="5"/>
      <c r="D31" s="2"/>
      <c r="E31" s="2"/>
      <c r="F31" s="2"/>
      <c r="G31" s="2"/>
      <c r="H31" s="2"/>
      <c r="I31" s="2"/>
      <c r="J31" s="2"/>
      <c r="K31" s="2"/>
      <c r="L31" s="2"/>
      <c r="M31" s="2"/>
      <c r="N31" s="2"/>
      <c r="O31" s="2"/>
      <c r="P31" s="2"/>
      <c r="Q31" s="2"/>
      <c r="R31" s="2"/>
      <c r="S31" s="2"/>
      <c r="T31" s="2"/>
      <c r="U31" s="2"/>
      <c r="V31" s="2"/>
      <c r="W31" s="2"/>
      <c r="X31" s="2"/>
      <c r="Y31" s="2"/>
      <c r="Z31" s="2"/>
    </row>
    <row r="32">
      <c r="A32" s="5"/>
      <c r="B32" s="5"/>
      <c r="C32" s="5"/>
      <c r="D32" s="2"/>
      <c r="E32" s="2"/>
      <c r="F32" s="2"/>
      <c r="G32" s="2"/>
      <c r="H32" s="2"/>
      <c r="I32" s="2"/>
      <c r="J32" s="2"/>
      <c r="K32" s="2"/>
      <c r="L32" s="2"/>
      <c r="M32" s="2"/>
      <c r="N32" s="2"/>
      <c r="O32" s="2"/>
      <c r="P32" s="2"/>
      <c r="Q32" s="2"/>
      <c r="R32" s="2"/>
      <c r="S32" s="2"/>
      <c r="T32" s="2"/>
      <c r="U32" s="2"/>
      <c r="V32" s="2"/>
      <c r="W32" s="2"/>
      <c r="X32" s="2"/>
      <c r="Y32" s="2"/>
      <c r="Z32" s="2"/>
    </row>
    <row r="33">
      <c r="A33" s="5"/>
      <c r="B33" s="5"/>
      <c r="C33" s="5"/>
      <c r="D33" s="2"/>
      <c r="E33" s="2"/>
      <c r="F33" s="2"/>
      <c r="G33" s="2"/>
      <c r="H33" s="2"/>
      <c r="I33" s="2"/>
      <c r="J33" s="2"/>
      <c r="K33" s="2"/>
      <c r="L33" s="2"/>
      <c r="M33" s="2"/>
      <c r="N33" s="2"/>
      <c r="O33" s="2"/>
      <c r="P33" s="2"/>
      <c r="Q33" s="2"/>
      <c r="R33" s="2"/>
      <c r="S33" s="2"/>
      <c r="T33" s="2"/>
      <c r="U33" s="2"/>
      <c r="V33" s="2"/>
      <c r="W33" s="2"/>
      <c r="X33" s="2"/>
      <c r="Y33" s="2"/>
      <c r="Z33" s="2"/>
    </row>
    <row r="34">
      <c r="A34" s="5"/>
      <c r="B34" s="5"/>
      <c r="C34" s="5"/>
      <c r="D34" s="2"/>
      <c r="E34" s="2"/>
      <c r="F34" s="2"/>
      <c r="G34" s="2"/>
      <c r="H34" s="2"/>
      <c r="I34" s="2"/>
      <c r="J34" s="2"/>
      <c r="K34" s="2"/>
      <c r="L34" s="2"/>
      <c r="M34" s="2"/>
      <c r="N34" s="2"/>
      <c r="O34" s="2"/>
      <c r="P34" s="2"/>
      <c r="Q34" s="2"/>
      <c r="R34" s="2"/>
      <c r="S34" s="2"/>
      <c r="T34" s="2"/>
      <c r="U34" s="2"/>
      <c r="V34" s="2"/>
      <c r="W34" s="2"/>
      <c r="X34" s="2"/>
      <c r="Y34" s="2"/>
      <c r="Z34" s="2"/>
    </row>
    <row r="35">
      <c r="A35" s="5"/>
      <c r="B35" s="5"/>
      <c r="C35" s="5"/>
      <c r="D35" s="2"/>
      <c r="E35" s="2"/>
      <c r="F35" s="2"/>
      <c r="G35" s="2"/>
      <c r="H35" s="2"/>
      <c r="I35" s="2"/>
      <c r="J35" s="2"/>
      <c r="K35" s="2"/>
      <c r="L35" s="2"/>
      <c r="M35" s="2"/>
      <c r="N35" s="2"/>
      <c r="O35" s="2"/>
      <c r="P35" s="2"/>
      <c r="Q35" s="2"/>
      <c r="R35" s="2"/>
      <c r="S35" s="2"/>
      <c r="T35" s="2"/>
      <c r="U35" s="2"/>
      <c r="V35" s="2"/>
      <c r="W35" s="2"/>
      <c r="X35" s="2"/>
      <c r="Y35" s="2"/>
      <c r="Z35" s="2"/>
    </row>
    <row r="36">
      <c r="A36" s="5"/>
      <c r="B36" s="5"/>
      <c r="C36" s="5"/>
      <c r="D36" s="2"/>
      <c r="E36" s="2"/>
      <c r="F36" s="2"/>
      <c r="G36" s="2"/>
      <c r="H36" s="2"/>
      <c r="I36" s="2"/>
      <c r="J36" s="2"/>
      <c r="K36" s="2"/>
      <c r="L36" s="2"/>
      <c r="M36" s="2"/>
      <c r="N36" s="2"/>
      <c r="O36" s="2"/>
      <c r="P36" s="2"/>
      <c r="Q36" s="2"/>
      <c r="R36" s="2"/>
      <c r="S36" s="2"/>
      <c r="T36" s="2"/>
      <c r="U36" s="2"/>
      <c r="V36" s="2"/>
      <c r="W36" s="2"/>
      <c r="X36" s="2"/>
      <c r="Y36" s="2"/>
      <c r="Z36" s="2"/>
    </row>
    <row r="37">
      <c r="A37" s="5"/>
      <c r="B37" s="5"/>
      <c r="C37" s="5"/>
      <c r="D37" s="2"/>
      <c r="E37" s="2"/>
      <c r="F37" s="2"/>
      <c r="G37" s="2"/>
      <c r="H37" s="2"/>
      <c r="I37" s="2"/>
      <c r="J37" s="2"/>
      <c r="K37" s="2"/>
      <c r="L37" s="2"/>
      <c r="M37" s="2"/>
      <c r="N37" s="2"/>
      <c r="O37" s="2"/>
      <c r="P37" s="2"/>
      <c r="Q37" s="2"/>
      <c r="R37" s="2"/>
      <c r="S37" s="2"/>
      <c r="T37" s="2"/>
      <c r="U37" s="2"/>
      <c r="V37" s="2"/>
      <c r="W37" s="2"/>
      <c r="X37" s="2"/>
      <c r="Y37" s="2"/>
      <c r="Z37" s="2"/>
    </row>
    <row r="38">
      <c r="A38" s="5"/>
      <c r="B38" s="5"/>
      <c r="C38" s="5"/>
      <c r="D38" s="2"/>
      <c r="E38" s="2"/>
      <c r="F38" s="2"/>
      <c r="G38" s="2"/>
      <c r="H38" s="2"/>
      <c r="I38" s="2"/>
      <c r="J38" s="2"/>
      <c r="K38" s="2"/>
      <c r="L38" s="2"/>
      <c r="M38" s="2"/>
      <c r="N38" s="2"/>
      <c r="O38" s="2"/>
      <c r="P38" s="2"/>
      <c r="Q38" s="2"/>
      <c r="R38" s="2"/>
      <c r="S38" s="2"/>
      <c r="T38" s="2"/>
      <c r="U38" s="2"/>
      <c r="V38" s="2"/>
      <c r="W38" s="2"/>
      <c r="X38" s="2"/>
      <c r="Y38" s="2"/>
      <c r="Z38" s="2"/>
    </row>
    <row r="39">
      <c r="A39" s="5"/>
      <c r="B39" s="5"/>
      <c r="C39" s="5"/>
      <c r="D39" s="2"/>
      <c r="E39" s="2"/>
      <c r="F39" s="2"/>
      <c r="G39" s="2"/>
      <c r="H39" s="2"/>
      <c r="I39" s="2"/>
      <c r="J39" s="2"/>
      <c r="K39" s="2"/>
      <c r="L39" s="2"/>
      <c r="M39" s="2"/>
      <c r="N39" s="2"/>
      <c r="O39" s="2"/>
      <c r="P39" s="2"/>
      <c r="Q39" s="2"/>
      <c r="R39" s="2"/>
      <c r="S39" s="2"/>
      <c r="T39" s="2"/>
      <c r="U39" s="2"/>
      <c r="V39" s="2"/>
      <c r="W39" s="2"/>
      <c r="X39" s="2"/>
      <c r="Y39" s="2"/>
      <c r="Z39" s="2"/>
    </row>
    <row r="40">
      <c r="A40" s="5"/>
      <c r="B40" s="5"/>
      <c r="C40" s="5"/>
      <c r="D40" s="2"/>
      <c r="E40" s="2"/>
      <c r="F40" s="2"/>
      <c r="G40" s="2"/>
      <c r="H40" s="2"/>
      <c r="I40" s="2"/>
      <c r="J40" s="2"/>
      <c r="K40" s="2"/>
      <c r="L40" s="2"/>
      <c r="M40" s="2"/>
      <c r="N40" s="2"/>
      <c r="O40" s="2"/>
      <c r="P40" s="2"/>
      <c r="Q40" s="2"/>
      <c r="R40" s="2"/>
      <c r="S40" s="2"/>
      <c r="T40" s="2"/>
      <c r="U40" s="2"/>
      <c r="V40" s="2"/>
      <c r="W40" s="2"/>
      <c r="X40" s="2"/>
      <c r="Y40" s="2"/>
      <c r="Z40" s="2"/>
    </row>
    <row r="41">
      <c r="A41" s="5"/>
      <c r="B41" s="5"/>
      <c r="C41" s="5"/>
      <c r="D41" s="2"/>
      <c r="E41" s="2"/>
      <c r="F41" s="2"/>
      <c r="G41" s="2"/>
      <c r="H41" s="2"/>
      <c r="I41" s="2"/>
      <c r="J41" s="2"/>
      <c r="K41" s="2"/>
      <c r="L41" s="2"/>
      <c r="M41" s="2"/>
      <c r="N41" s="2"/>
      <c r="O41" s="2"/>
      <c r="P41" s="2"/>
      <c r="Q41" s="2"/>
      <c r="R41" s="2"/>
      <c r="S41" s="2"/>
      <c r="T41" s="2"/>
      <c r="U41" s="2"/>
      <c r="V41" s="2"/>
      <c r="W41" s="2"/>
      <c r="X41" s="2"/>
      <c r="Y41" s="2"/>
      <c r="Z41" s="2"/>
    </row>
    <row r="42">
      <c r="A42" s="5"/>
      <c r="B42" s="5"/>
      <c r="C42" s="5"/>
      <c r="D42" s="2"/>
      <c r="E42" s="2"/>
      <c r="F42" s="2"/>
      <c r="G42" s="2"/>
      <c r="H42" s="2"/>
      <c r="I42" s="2"/>
      <c r="J42" s="2"/>
      <c r="K42" s="2"/>
      <c r="L42" s="2"/>
      <c r="M42" s="2"/>
      <c r="N42" s="2"/>
      <c r="O42" s="2"/>
      <c r="P42" s="2"/>
      <c r="Q42" s="2"/>
      <c r="R42" s="2"/>
      <c r="S42" s="2"/>
      <c r="T42" s="2"/>
      <c r="U42" s="2"/>
      <c r="V42" s="2"/>
      <c r="W42" s="2"/>
      <c r="X42" s="2"/>
      <c r="Y42" s="2"/>
      <c r="Z42" s="2"/>
    </row>
    <row r="43">
      <c r="A43" s="5"/>
      <c r="B43" s="5"/>
      <c r="C43" s="5"/>
      <c r="D43" s="2"/>
      <c r="E43" s="2"/>
      <c r="F43" s="2"/>
      <c r="G43" s="2"/>
      <c r="H43" s="2"/>
      <c r="I43" s="2"/>
      <c r="J43" s="2"/>
      <c r="K43" s="2"/>
      <c r="L43" s="2"/>
      <c r="M43" s="2"/>
      <c r="N43" s="2"/>
      <c r="O43" s="2"/>
      <c r="P43" s="2"/>
      <c r="Q43" s="2"/>
      <c r="R43" s="2"/>
      <c r="S43" s="2"/>
      <c r="T43" s="2"/>
      <c r="U43" s="2"/>
      <c r="V43" s="2"/>
      <c r="W43" s="2"/>
      <c r="X43" s="2"/>
      <c r="Y43" s="2"/>
      <c r="Z43" s="2"/>
    </row>
    <row r="44">
      <c r="A44" s="5"/>
      <c r="B44" s="5"/>
      <c r="C44" s="5"/>
      <c r="D44" s="2"/>
      <c r="E44" s="2"/>
      <c r="F44" s="2"/>
      <c r="G44" s="2"/>
      <c r="H44" s="2"/>
      <c r="I44" s="2"/>
      <c r="J44" s="2"/>
      <c r="K44" s="2"/>
      <c r="L44" s="2"/>
      <c r="M44" s="2"/>
      <c r="N44" s="2"/>
      <c r="O44" s="2"/>
      <c r="P44" s="2"/>
      <c r="Q44" s="2"/>
      <c r="R44" s="2"/>
      <c r="S44" s="2"/>
      <c r="T44" s="2"/>
      <c r="U44" s="2"/>
      <c r="V44" s="2"/>
      <c r="W44" s="2"/>
      <c r="X44" s="2"/>
      <c r="Y44" s="2"/>
      <c r="Z44" s="2"/>
    </row>
    <row r="45">
      <c r="A45" s="5"/>
      <c r="B45" s="5"/>
      <c r="C45" s="5"/>
      <c r="D45" s="2"/>
      <c r="E45" s="2"/>
      <c r="F45" s="2"/>
      <c r="G45" s="2"/>
      <c r="H45" s="2"/>
      <c r="I45" s="2"/>
      <c r="J45" s="2"/>
      <c r="K45" s="2"/>
      <c r="L45" s="2"/>
      <c r="M45" s="2"/>
      <c r="N45" s="2"/>
      <c r="O45" s="2"/>
      <c r="P45" s="2"/>
      <c r="Q45" s="2"/>
      <c r="R45" s="2"/>
      <c r="S45" s="2"/>
      <c r="T45" s="2"/>
      <c r="U45" s="2"/>
      <c r="V45" s="2"/>
      <c r="W45" s="2"/>
      <c r="X45" s="2"/>
      <c r="Y45" s="2"/>
      <c r="Z45" s="2"/>
    </row>
    <row r="46">
      <c r="A46" s="5"/>
      <c r="B46" s="5"/>
      <c r="C46" s="5"/>
      <c r="D46" s="2"/>
      <c r="E46" s="2"/>
      <c r="F46" s="2"/>
      <c r="G46" s="2"/>
      <c r="H46" s="2"/>
      <c r="I46" s="2"/>
      <c r="J46" s="2"/>
      <c r="K46" s="2"/>
      <c r="L46" s="2"/>
      <c r="M46" s="2"/>
      <c r="N46" s="2"/>
      <c r="O46" s="2"/>
      <c r="P46" s="2"/>
      <c r="Q46" s="2"/>
      <c r="R46" s="2"/>
      <c r="S46" s="2"/>
      <c r="T46" s="2"/>
      <c r="U46" s="2"/>
      <c r="V46" s="2"/>
      <c r="W46" s="2"/>
      <c r="X46" s="2"/>
      <c r="Y46" s="2"/>
      <c r="Z46" s="2"/>
    </row>
    <row r="47">
      <c r="A47" s="5"/>
      <c r="B47" s="5"/>
      <c r="C47" s="5"/>
      <c r="D47" s="2"/>
      <c r="E47" s="2"/>
      <c r="F47" s="2"/>
      <c r="G47" s="2"/>
      <c r="H47" s="2"/>
      <c r="I47" s="2"/>
      <c r="J47" s="2"/>
      <c r="K47" s="2"/>
      <c r="L47" s="2"/>
      <c r="M47" s="2"/>
      <c r="N47" s="2"/>
      <c r="O47" s="2"/>
      <c r="P47" s="2"/>
      <c r="Q47" s="2"/>
      <c r="R47" s="2"/>
      <c r="S47" s="2"/>
      <c r="T47" s="2"/>
      <c r="U47" s="2"/>
      <c r="V47" s="2"/>
      <c r="W47" s="2"/>
      <c r="X47" s="2"/>
      <c r="Y47" s="2"/>
      <c r="Z47" s="2"/>
    </row>
    <row r="48">
      <c r="A48" s="5"/>
      <c r="B48" s="5"/>
      <c r="C48" s="5"/>
      <c r="D48" s="2"/>
      <c r="E48" s="2"/>
      <c r="F48" s="2"/>
      <c r="G48" s="2"/>
      <c r="H48" s="2"/>
      <c r="I48" s="2"/>
      <c r="J48" s="2"/>
      <c r="K48" s="2"/>
      <c r="L48" s="2"/>
      <c r="M48" s="2"/>
      <c r="N48" s="2"/>
      <c r="O48" s="2"/>
      <c r="P48" s="2"/>
      <c r="Q48" s="2"/>
      <c r="R48" s="2"/>
      <c r="S48" s="2"/>
      <c r="T48" s="2"/>
      <c r="U48" s="2"/>
      <c r="V48" s="2"/>
      <c r="W48" s="2"/>
      <c r="X48" s="2"/>
      <c r="Y48" s="2"/>
      <c r="Z48" s="2"/>
    </row>
    <row r="49">
      <c r="A49" s="5"/>
      <c r="B49" s="5"/>
      <c r="C49" s="5"/>
      <c r="D49" s="2"/>
      <c r="E49" s="2"/>
      <c r="F49" s="2"/>
      <c r="G49" s="2"/>
      <c r="H49" s="2"/>
      <c r="I49" s="2"/>
      <c r="J49" s="2"/>
      <c r="K49" s="2"/>
      <c r="L49" s="2"/>
      <c r="M49" s="2"/>
      <c r="N49" s="2"/>
      <c r="O49" s="2"/>
      <c r="P49" s="2"/>
      <c r="Q49" s="2"/>
      <c r="R49" s="2"/>
      <c r="S49" s="2"/>
      <c r="T49" s="2"/>
      <c r="U49" s="2"/>
      <c r="V49" s="2"/>
      <c r="W49" s="2"/>
      <c r="X49" s="2"/>
      <c r="Y49" s="2"/>
      <c r="Z49" s="2"/>
    </row>
    <row r="50">
      <c r="A50" s="5"/>
      <c r="B50" s="5"/>
      <c r="C50" s="5"/>
      <c r="D50" s="2"/>
      <c r="E50" s="2"/>
      <c r="F50" s="2"/>
      <c r="G50" s="2"/>
      <c r="H50" s="2"/>
      <c r="I50" s="2"/>
      <c r="J50" s="2"/>
      <c r="K50" s="2"/>
      <c r="L50" s="2"/>
      <c r="M50" s="2"/>
      <c r="N50" s="2"/>
      <c r="O50" s="2"/>
      <c r="P50" s="2"/>
      <c r="Q50" s="2"/>
      <c r="R50" s="2"/>
      <c r="S50" s="2"/>
      <c r="T50" s="2"/>
      <c r="U50" s="2"/>
      <c r="V50" s="2"/>
      <c r="W50" s="2"/>
      <c r="X50" s="2"/>
      <c r="Y50" s="2"/>
      <c r="Z50" s="2"/>
    </row>
    <row r="51">
      <c r="A51" s="5"/>
      <c r="B51" s="5"/>
      <c r="C51" s="5"/>
      <c r="D51" s="2"/>
      <c r="E51" s="2"/>
      <c r="F51" s="2"/>
      <c r="G51" s="2"/>
      <c r="H51" s="2"/>
      <c r="I51" s="2"/>
      <c r="J51" s="2"/>
      <c r="K51" s="2"/>
      <c r="L51" s="2"/>
      <c r="M51" s="2"/>
      <c r="N51" s="2"/>
      <c r="O51" s="2"/>
      <c r="P51" s="2"/>
      <c r="Q51" s="2"/>
      <c r="R51" s="2"/>
      <c r="S51" s="2"/>
      <c r="T51" s="2"/>
      <c r="U51" s="2"/>
      <c r="V51" s="2"/>
      <c r="W51" s="2"/>
      <c r="X51" s="2"/>
      <c r="Y51" s="2"/>
      <c r="Z51" s="2"/>
    </row>
    <row r="52">
      <c r="A52" s="5"/>
      <c r="B52" s="5"/>
      <c r="C52" s="5"/>
      <c r="D52" s="2"/>
      <c r="E52" s="2"/>
      <c r="F52" s="2"/>
      <c r="G52" s="2"/>
      <c r="H52" s="2"/>
      <c r="I52" s="2"/>
      <c r="J52" s="2"/>
      <c r="K52" s="2"/>
      <c r="L52" s="2"/>
      <c r="M52" s="2"/>
      <c r="N52" s="2"/>
      <c r="O52" s="2"/>
      <c r="P52" s="2"/>
      <c r="Q52" s="2"/>
      <c r="R52" s="2"/>
      <c r="S52" s="2"/>
      <c r="T52" s="2"/>
      <c r="U52" s="2"/>
      <c r="V52" s="2"/>
      <c r="W52" s="2"/>
      <c r="X52" s="2"/>
      <c r="Y52" s="2"/>
      <c r="Z52" s="2"/>
    </row>
    <row r="53">
      <c r="A53" s="5"/>
      <c r="B53" s="5"/>
      <c r="C53" s="5"/>
      <c r="D53" s="2"/>
      <c r="E53" s="2"/>
      <c r="F53" s="2"/>
      <c r="G53" s="2"/>
      <c r="H53" s="2"/>
      <c r="I53" s="2"/>
      <c r="J53" s="2"/>
      <c r="K53" s="2"/>
      <c r="L53" s="2"/>
      <c r="M53" s="2"/>
      <c r="N53" s="2"/>
      <c r="O53" s="2"/>
      <c r="P53" s="2"/>
      <c r="Q53" s="2"/>
      <c r="R53" s="2"/>
      <c r="S53" s="2"/>
      <c r="T53" s="2"/>
      <c r="U53" s="2"/>
      <c r="V53" s="2"/>
      <c r="W53" s="2"/>
      <c r="X53" s="2"/>
      <c r="Y53" s="2"/>
      <c r="Z53" s="2"/>
    </row>
    <row r="54">
      <c r="A54" s="5"/>
      <c r="B54" s="5"/>
      <c r="C54" s="5"/>
      <c r="D54" s="2"/>
      <c r="E54" s="2"/>
      <c r="F54" s="2"/>
      <c r="G54" s="2"/>
      <c r="H54" s="2"/>
      <c r="I54" s="2"/>
      <c r="J54" s="2"/>
      <c r="K54" s="2"/>
      <c r="L54" s="2"/>
      <c r="M54" s="2"/>
      <c r="N54" s="2"/>
      <c r="O54" s="2"/>
      <c r="P54" s="2"/>
      <c r="Q54" s="2"/>
      <c r="R54" s="2"/>
      <c r="S54" s="2"/>
      <c r="T54" s="2"/>
      <c r="U54" s="2"/>
      <c r="V54" s="2"/>
      <c r="W54" s="2"/>
      <c r="X54" s="2"/>
      <c r="Y54" s="2"/>
      <c r="Z54" s="2"/>
    </row>
    <row r="55">
      <c r="A55" s="5"/>
      <c r="B55" s="5"/>
      <c r="C55" s="5"/>
      <c r="D55" s="2"/>
      <c r="E55" s="2"/>
      <c r="F55" s="2"/>
      <c r="G55" s="2"/>
      <c r="H55" s="2"/>
      <c r="I55" s="2"/>
      <c r="J55" s="2"/>
      <c r="K55" s="2"/>
      <c r="L55" s="2"/>
      <c r="M55" s="2"/>
      <c r="N55" s="2"/>
      <c r="O55" s="2"/>
      <c r="P55" s="2"/>
      <c r="Q55" s="2"/>
      <c r="R55" s="2"/>
      <c r="S55" s="2"/>
      <c r="T55" s="2"/>
      <c r="U55" s="2"/>
      <c r="V55" s="2"/>
      <c r="W55" s="2"/>
      <c r="X55" s="2"/>
      <c r="Y55" s="2"/>
      <c r="Z55" s="2"/>
    </row>
    <row r="56">
      <c r="A56" s="5"/>
      <c r="B56" s="5"/>
      <c r="C56" s="5"/>
      <c r="D56" s="2"/>
      <c r="E56" s="2"/>
      <c r="F56" s="2"/>
      <c r="G56" s="2"/>
      <c r="H56" s="2"/>
      <c r="I56" s="2"/>
      <c r="J56" s="2"/>
      <c r="K56" s="2"/>
      <c r="L56" s="2"/>
      <c r="M56" s="2"/>
      <c r="N56" s="2"/>
      <c r="O56" s="2"/>
      <c r="P56" s="2"/>
      <c r="Q56" s="2"/>
      <c r="R56" s="2"/>
      <c r="S56" s="2"/>
      <c r="T56" s="2"/>
      <c r="U56" s="2"/>
      <c r="V56" s="2"/>
      <c r="W56" s="2"/>
      <c r="X56" s="2"/>
      <c r="Y56" s="2"/>
      <c r="Z56" s="2"/>
    </row>
    <row r="57">
      <c r="A57" s="5"/>
      <c r="B57" s="5"/>
      <c r="C57" s="5"/>
      <c r="D57" s="2"/>
      <c r="E57" s="2"/>
      <c r="F57" s="2"/>
      <c r="G57" s="2"/>
      <c r="H57" s="2"/>
      <c r="I57" s="2"/>
      <c r="J57" s="2"/>
      <c r="K57" s="2"/>
      <c r="L57" s="2"/>
      <c r="M57" s="2"/>
      <c r="N57" s="2"/>
      <c r="O57" s="2"/>
      <c r="P57" s="2"/>
      <c r="Q57" s="2"/>
      <c r="R57" s="2"/>
      <c r="S57" s="2"/>
      <c r="T57" s="2"/>
      <c r="U57" s="2"/>
      <c r="V57" s="2"/>
      <c r="W57" s="2"/>
      <c r="X57" s="2"/>
      <c r="Y57" s="2"/>
      <c r="Z57" s="2"/>
    </row>
    <row r="58">
      <c r="A58" s="5"/>
      <c r="B58" s="5"/>
      <c r="C58" s="5"/>
      <c r="D58" s="2"/>
      <c r="E58" s="2"/>
      <c r="F58" s="2"/>
      <c r="G58" s="2"/>
      <c r="H58" s="2"/>
      <c r="I58" s="2"/>
      <c r="J58" s="2"/>
      <c r="K58" s="2"/>
      <c r="L58" s="2"/>
      <c r="M58" s="2"/>
      <c r="N58" s="2"/>
      <c r="O58" s="2"/>
      <c r="P58" s="2"/>
      <c r="Q58" s="2"/>
      <c r="R58" s="2"/>
      <c r="S58" s="2"/>
      <c r="T58" s="2"/>
      <c r="U58" s="2"/>
      <c r="V58" s="2"/>
      <c r="W58" s="2"/>
      <c r="X58" s="2"/>
      <c r="Y58" s="2"/>
      <c r="Z58" s="2"/>
    </row>
    <row r="59">
      <c r="A59" s="5"/>
      <c r="B59" s="5"/>
      <c r="C59" s="5"/>
      <c r="D59" s="2"/>
      <c r="E59" s="2"/>
      <c r="F59" s="2"/>
      <c r="G59" s="2"/>
      <c r="H59" s="2"/>
      <c r="I59" s="2"/>
      <c r="J59" s="2"/>
      <c r="K59" s="2"/>
      <c r="L59" s="2"/>
      <c r="M59" s="2"/>
      <c r="N59" s="2"/>
      <c r="O59" s="2"/>
      <c r="P59" s="2"/>
      <c r="Q59" s="2"/>
      <c r="R59" s="2"/>
      <c r="S59" s="2"/>
      <c r="T59" s="2"/>
      <c r="U59" s="2"/>
      <c r="V59" s="2"/>
      <c r="W59" s="2"/>
      <c r="X59" s="2"/>
      <c r="Y59" s="2"/>
      <c r="Z59" s="2"/>
    </row>
    <row r="60">
      <c r="A60" s="5"/>
      <c r="B60" s="5"/>
      <c r="C60" s="5"/>
      <c r="D60" s="2"/>
      <c r="E60" s="2"/>
      <c r="F60" s="2"/>
      <c r="G60" s="2"/>
      <c r="H60" s="2"/>
      <c r="I60" s="2"/>
      <c r="J60" s="2"/>
      <c r="K60" s="2"/>
      <c r="L60" s="2"/>
      <c r="M60" s="2"/>
      <c r="N60" s="2"/>
      <c r="O60" s="2"/>
      <c r="P60" s="2"/>
      <c r="Q60" s="2"/>
      <c r="R60" s="2"/>
      <c r="S60" s="2"/>
      <c r="T60" s="2"/>
      <c r="U60" s="2"/>
      <c r="V60" s="2"/>
      <c r="W60" s="2"/>
      <c r="X60" s="2"/>
      <c r="Y60" s="2"/>
      <c r="Z60" s="2"/>
    </row>
    <row r="61">
      <c r="A61" s="5"/>
      <c r="B61" s="5"/>
      <c r="C61" s="5"/>
      <c r="D61" s="2"/>
      <c r="E61" s="2"/>
      <c r="F61" s="2"/>
      <c r="G61" s="2"/>
      <c r="H61" s="2"/>
      <c r="I61" s="2"/>
      <c r="J61" s="2"/>
      <c r="K61" s="2"/>
      <c r="L61" s="2"/>
      <c r="M61" s="2"/>
      <c r="N61" s="2"/>
      <c r="O61" s="2"/>
      <c r="P61" s="2"/>
      <c r="Q61" s="2"/>
      <c r="R61" s="2"/>
      <c r="S61" s="2"/>
      <c r="T61" s="2"/>
      <c r="U61" s="2"/>
      <c r="V61" s="2"/>
      <c r="W61" s="2"/>
      <c r="X61" s="2"/>
      <c r="Y61" s="2"/>
      <c r="Z61" s="2"/>
    </row>
    <row r="62">
      <c r="A62" s="5"/>
      <c r="B62" s="5"/>
      <c r="C62" s="5"/>
      <c r="D62" s="2"/>
      <c r="E62" s="2"/>
      <c r="F62" s="2"/>
      <c r="G62" s="2"/>
      <c r="H62" s="2"/>
      <c r="I62" s="2"/>
      <c r="J62" s="2"/>
      <c r="K62" s="2"/>
      <c r="L62" s="2"/>
      <c r="M62" s="2"/>
      <c r="N62" s="2"/>
      <c r="O62" s="2"/>
      <c r="P62" s="2"/>
      <c r="Q62" s="2"/>
      <c r="R62" s="2"/>
      <c r="S62" s="2"/>
      <c r="T62" s="2"/>
      <c r="U62" s="2"/>
      <c r="V62" s="2"/>
      <c r="W62" s="2"/>
      <c r="X62" s="2"/>
      <c r="Y62" s="2"/>
      <c r="Z62" s="2"/>
    </row>
    <row r="63">
      <c r="A63" s="5"/>
      <c r="B63" s="5"/>
      <c r="C63" s="5"/>
      <c r="D63" s="2"/>
      <c r="E63" s="2"/>
      <c r="F63" s="2"/>
      <c r="G63" s="2"/>
      <c r="H63" s="2"/>
      <c r="I63" s="2"/>
      <c r="J63" s="2"/>
      <c r="K63" s="2"/>
      <c r="L63" s="2"/>
      <c r="M63" s="2"/>
      <c r="N63" s="2"/>
      <c r="O63" s="2"/>
      <c r="P63" s="2"/>
      <c r="Q63" s="2"/>
      <c r="R63" s="2"/>
      <c r="S63" s="2"/>
      <c r="T63" s="2"/>
      <c r="U63" s="2"/>
      <c r="V63" s="2"/>
      <c r="W63" s="2"/>
      <c r="X63" s="2"/>
      <c r="Y63" s="2"/>
      <c r="Z63" s="2"/>
    </row>
    <row r="64">
      <c r="A64" s="5"/>
      <c r="B64" s="5"/>
      <c r="C64" s="5"/>
      <c r="D64" s="2"/>
      <c r="E64" s="2"/>
      <c r="F64" s="2"/>
      <c r="G64" s="2"/>
      <c r="H64" s="2"/>
      <c r="I64" s="2"/>
      <c r="J64" s="2"/>
      <c r="K64" s="2"/>
      <c r="L64" s="2"/>
      <c r="M64" s="2"/>
      <c r="N64" s="2"/>
      <c r="O64" s="2"/>
      <c r="P64" s="2"/>
      <c r="Q64" s="2"/>
      <c r="R64" s="2"/>
      <c r="S64" s="2"/>
      <c r="T64" s="2"/>
      <c r="U64" s="2"/>
      <c r="V64" s="2"/>
      <c r="W64" s="2"/>
      <c r="X64" s="2"/>
      <c r="Y64" s="2"/>
      <c r="Z64" s="2"/>
    </row>
    <row r="65">
      <c r="A65" s="5"/>
      <c r="B65" s="5"/>
      <c r="C65" s="5"/>
      <c r="D65" s="2"/>
      <c r="E65" s="2"/>
      <c r="F65" s="2"/>
      <c r="G65" s="2"/>
      <c r="H65" s="2"/>
      <c r="I65" s="2"/>
      <c r="J65" s="2"/>
      <c r="K65" s="2"/>
      <c r="L65" s="2"/>
      <c r="M65" s="2"/>
      <c r="N65" s="2"/>
      <c r="O65" s="2"/>
      <c r="P65" s="2"/>
      <c r="Q65" s="2"/>
      <c r="R65" s="2"/>
      <c r="S65" s="2"/>
      <c r="T65" s="2"/>
      <c r="U65" s="2"/>
      <c r="V65" s="2"/>
      <c r="W65" s="2"/>
      <c r="X65" s="2"/>
      <c r="Y65" s="2"/>
      <c r="Z65" s="2"/>
    </row>
    <row r="66">
      <c r="A66" s="5"/>
      <c r="B66" s="5"/>
      <c r="C66" s="5"/>
      <c r="D66" s="2"/>
      <c r="E66" s="2"/>
      <c r="F66" s="2"/>
      <c r="G66" s="2"/>
      <c r="H66" s="2"/>
      <c r="I66" s="2"/>
      <c r="J66" s="2"/>
      <c r="K66" s="2"/>
      <c r="L66" s="2"/>
      <c r="M66" s="2"/>
      <c r="N66" s="2"/>
      <c r="O66" s="2"/>
      <c r="P66" s="2"/>
      <c r="Q66" s="2"/>
      <c r="R66" s="2"/>
      <c r="S66" s="2"/>
      <c r="T66" s="2"/>
      <c r="U66" s="2"/>
      <c r="V66" s="2"/>
      <c r="W66" s="2"/>
      <c r="X66" s="2"/>
      <c r="Y66" s="2"/>
      <c r="Z66" s="2"/>
    </row>
    <row r="67">
      <c r="A67" s="5"/>
      <c r="B67" s="5"/>
      <c r="C67" s="5"/>
      <c r="D67" s="2"/>
      <c r="E67" s="2"/>
      <c r="F67" s="2"/>
      <c r="G67" s="2"/>
      <c r="H67" s="2"/>
      <c r="I67" s="2"/>
      <c r="J67" s="2"/>
      <c r="K67" s="2"/>
      <c r="L67" s="2"/>
      <c r="M67" s="2"/>
      <c r="N67" s="2"/>
      <c r="O67" s="2"/>
      <c r="P67" s="2"/>
      <c r="Q67" s="2"/>
      <c r="R67" s="2"/>
      <c r="S67" s="2"/>
      <c r="T67" s="2"/>
      <c r="U67" s="2"/>
      <c r="V67" s="2"/>
      <c r="W67" s="2"/>
      <c r="X67" s="2"/>
      <c r="Y67" s="2"/>
      <c r="Z67" s="2"/>
    </row>
    <row r="68">
      <c r="A68" s="5"/>
      <c r="B68" s="5"/>
      <c r="C68" s="5"/>
      <c r="D68" s="2"/>
      <c r="E68" s="2"/>
      <c r="F68" s="2"/>
      <c r="G68" s="2"/>
      <c r="H68" s="2"/>
      <c r="I68" s="2"/>
      <c r="J68" s="2"/>
      <c r="K68" s="2"/>
      <c r="L68" s="2"/>
      <c r="M68" s="2"/>
      <c r="N68" s="2"/>
      <c r="O68" s="2"/>
      <c r="P68" s="2"/>
      <c r="Q68" s="2"/>
      <c r="R68" s="2"/>
      <c r="S68" s="2"/>
      <c r="T68" s="2"/>
      <c r="U68" s="2"/>
      <c r="V68" s="2"/>
      <c r="W68" s="2"/>
      <c r="X68" s="2"/>
      <c r="Y68" s="2"/>
      <c r="Z68" s="2"/>
    </row>
    <row r="69">
      <c r="A69" s="5"/>
      <c r="B69" s="5"/>
      <c r="C69" s="5"/>
      <c r="D69" s="2"/>
      <c r="E69" s="2"/>
      <c r="F69" s="2"/>
      <c r="G69" s="2"/>
      <c r="H69" s="2"/>
      <c r="I69" s="2"/>
      <c r="J69" s="2"/>
      <c r="K69" s="2"/>
      <c r="L69" s="2"/>
      <c r="M69" s="2"/>
      <c r="N69" s="2"/>
      <c r="O69" s="2"/>
      <c r="P69" s="2"/>
      <c r="Q69" s="2"/>
      <c r="R69" s="2"/>
      <c r="S69" s="2"/>
      <c r="T69" s="2"/>
      <c r="U69" s="2"/>
      <c r="V69" s="2"/>
      <c r="W69" s="2"/>
      <c r="X69" s="2"/>
      <c r="Y69" s="2"/>
      <c r="Z69" s="2"/>
    </row>
    <row r="70">
      <c r="A70" s="5"/>
      <c r="B70" s="5"/>
      <c r="C70" s="5"/>
      <c r="D70" s="2"/>
      <c r="E70" s="2"/>
      <c r="F70" s="2"/>
      <c r="G70" s="2"/>
      <c r="H70" s="2"/>
      <c r="I70" s="2"/>
      <c r="J70" s="2"/>
      <c r="K70" s="2"/>
      <c r="L70" s="2"/>
      <c r="M70" s="2"/>
      <c r="N70" s="2"/>
      <c r="O70" s="2"/>
      <c r="P70" s="2"/>
      <c r="Q70" s="2"/>
      <c r="R70" s="2"/>
      <c r="S70" s="2"/>
      <c r="T70" s="2"/>
      <c r="U70" s="2"/>
      <c r="V70" s="2"/>
      <c r="W70" s="2"/>
      <c r="X70" s="2"/>
      <c r="Y70" s="2"/>
      <c r="Z70" s="2"/>
    </row>
    <row r="71">
      <c r="A71" s="5"/>
      <c r="B71" s="5"/>
      <c r="C71" s="5"/>
      <c r="D71" s="2"/>
      <c r="E71" s="2"/>
      <c r="F71" s="2"/>
      <c r="G71" s="2"/>
      <c r="H71" s="2"/>
      <c r="I71" s="2"/>
      <c r="J71" s="2"/>
      <c r="K71" s="2"/>
      <c r="L71" s="2"/>
      <c r="M71" s="2"/>
      <c r="N71" s="2"/>
      <c r="O71" s="2"/>
      <c r="P71" s="2"/>
      <c r="Q71" s="2"/>
      <c r="R71" s="2"/>
      <c r="S71" s="2"/>
      <c r="T71" s="2"/>
      <c r="U71" s="2"/>
      <c r="V71" s="2"/>
      <c r="W71" s="2"/>
      <c r="X71" s="2"/>
      <c r="Y71" s="2"/>
      <c r="Z71" s="2"/>
    </row>
    <row r="72">
      <c r="A72" s="5"/>
      <c r="B72" s="5"/>
      <c r="C72" s="5"/>
      <c r="D72" s="2"/>
      <c r="E72" s="2"/>
      <c r="F72" s="2"/>
      <c r="G72" s="2"/>
      <c r="H72" s="2"/>
      <c r="I72" s="2"/>
      <c r="J72" s="2"/>
      <c r="K72" s="2"/>
      <c r="L72" s="2"/>
      <c r="M72" s="2"/>
      <c r="N72" s="2"/>
      <c r="O72" s="2"/>
      <c r="P72" s="2"/>
      <c r="Q72" s="2"/>
      <c r="R72" s="2"/>
      <c r="S72" s="2"/>
      <c r="T72" s="2"/>
      <c r="U72" s="2"/>
      <c r="V72" s="2"/>
      <c r="W72" s="2"/>
      <c r="X72" s="2"/>
      <c r="Y72" s="2"/>
      <c r="Z72" s="2"/>
    </row>
    <row r="73">
      <c r="A73" s="5"/>
      <c r="B73" s="5"/>
      <c r="C73" s="5"/>
      <c r="D73" s="2"/>
      <c r="E73" s="2"/>
      <c r="F73" s="2"/>
      <c r="G73" s="2"/>
      <c r="H73" s="2"/>
      <c r="I73" s="2"/>
      <c r="J73" s="2"/>
      <c r="K73" s="2"/>
      <c r="L73" s="2"/>
      <c r="M73" s="2"/>
      <c r="N73" s="2"/>
      <c r="O73" s="2"/>
      <c r="P73" s="2"/>
      <c r="Q73" s="2"/>
      <c r="R73" s="2"/>
      <c r="S73" s="2"/>
      <c r="T73" s="2"/>
      <c r="U73" s="2"/>
      <c r="V73" s="2"/>
      <c r="W73" s="2"/>
      <c r="X73" s="2"/>
      <c r="Y73" s="2"/>
      <c r="Z73" s="2"/>
    </row>
    <row r="74">
      <c r="A74" s="5"/>
      <c r="B74" s="5"/>
      <c r="C74" s="5"/>
      <c r="D74" s="2"/>
      <c r="E74" s="2"/>
      <c r="F74" s="2"/>
      <c r="G74" s="2"/>
      <c r="H74" s="2"/>
      <c r="I74" s="2"/>
      <c r="J74" s="2"/>
      <c r="K74" s="2"/>
      <c r="L74" s="2"/>
      <c r="M74" s="2"/>
      <c r="N74" s="2"/>
      <c r="O74" s="2"/>
      <c r="P74" s="2"/>
      <c r="Q74" s="2"/>
      <c r="R74" s="2"/>
      <c r="S74" s="2"/>
      <c r="T74" s="2"/>
      <c r="U74" s="2"/>
      <c r="V74" s="2"/>
      <c r="W74" s="2"/>
      <c r="X74" s="2"/>
      <c r="Y74" s="2"/>
      <c r="Z74" s="2"/>
    </row>
    <row r="75">
      <c r="A75" s="5"/>
      <c r="B75" s="5"/>
      <c r="C75" s="5"/>
      <c r="D75" s="2"/>
      <c r="E75" s="2"/>
      <c r="F75" s="2"/>
      <c r="G75" s="2"/>
      <c r="H75" s="2"/>
      <c r="I75" s="2"/>
      <c r="J75" s="2"/>
      <c r="K75" s="2"/>
      <c r="L75" s="2"/>
      <c r="M75" s="2"/>
      <c r="N75" s="2"/>
      <c r="O75" s="2"/>
      <c r="P75" s="2"/>
      <c r="Q75" s="2"/>
      <c r="R75" s="2"/>
      <c r="S75" s="2"/>
      <c r="T75" s="2"/>
      <c r="U75" s="2"/>
      <c r="V75" s="2"/>
      <c r="W75" s="2"/>
      <c r="X75" s="2"/>
      <c r="Y75" s="2"/>
      <c r="Z75" s="2"/>
    </row>
    <row r="76">
      <c r="A76" s="5"/>
      <c r="B76" s="5"/>
      <c r="C76" s="5"/>
      <c r="D76" s="2"/>
      <c r="E76" s="2"/>
      <c r="F76" s="2"/>
      <c r="G76" s="2"/>
      <c r="H76" s="2"/>
      <c r="I76" s="2"/>
      <c r="J76" s="2"/>
      <c r="K76" s="2"/>
      <c r="L76" s="2"/>
      <c r="M76" s="2"/>
      <c r="N76" s="2"/>
      <c r="O76" s="2"/>
      <c r="P76" s="2"/>
      <c r="Q76" s="2"/>
      <c r="R76" s="2"/>
      <c r="S76" s="2"/>
      <c r="T76" s="2"/>
      <c r="U76" s="2"/>
      <c r="V76" s="2"/>
      <c r="W76" s="2"/>
      <c r="X76" s="2"/>
      <c r="Y76" s="2"/>
      <c r="Z76" s="2"/>
    </row>
    <row r="77">
      <c r="A77" s="5"/>
      <c r="B77" s="5"/>
      <c r="C77" s="5"/>
      <c r="D77" s="2"/>
      <c r="E77" s="2"/>
      <c r="F77" s="2"/>
      <c r="G77" s="2"/>
      <c r="H77" s="2"/>
      <c r="I77" s="2"/>
      <c r="J77" s="2"/>
      <c r="K77" s="2"/>
      <c r="L77" s="2"/>
      <c r="M77" s="2"/>
      <c r="N77" s="2"/>
      <c r="O77" s="2"/>
      <c r="P77" s="2"/>
      <c r="Q77" s="2"/>
      <c r="R77" s="2"/>
      <c r="S77" s="2"/>
      <c r="T77" s="2"/>
      <c r="U77" s="2"/>
      <c r="V77" s="2"/>
      <c r="W77" s="2"/>
      <c r="X77" s="2"/>
      <c r="Y77" s="2"/>
      <c r="Z77" s="2"/>
    </row>
    <row r="78">
      <c r="A78" s="5"/>
      <c r="B78" s="5"/>
      <c r="C78" s="5"/>
      <c r="D78" s="2"/>
      <c r="E78" s="2"/>
      <c r="F78" s="2"/>
      <c r="G78" s="2"/>
      <c r="H78" s="2"/>
      <c r="I78" s="2"/>
      <c r="J78" s="2"/>
      <c r="K78" s="2"/>
      <c r="L78" s="2"/>
      <c r="M78" s="2"/>
      <c r="N78" s="2"/>
      <c r="O78" s="2"/>
      <c r="P78" s="2"/>
      <c r="Q78" s="2"/>
      <c r="R78" s="2"/>
      <c r="S78" s="2"/>
      <c r="T78" s="2"/>
      <c r="U78" s="2"/>
      <c r="V78" s="2"/>
      <c r="W78" s="2"/>
      <c r="X78" s="2"/>
      <c r="Y78" s="2"/>
      <c r="Z78" s="2"/>
    </row>
    <row r="79">
      <c r="A79" s="5"/>
      <c r="B79" s="5"/>
      <c r="C79" s="5"/>
      <c r="D79" s="2"/>
      <c r="E79" s="2"/>
      <c r="F79" s="2"/>
      <c r="G79" s="2"/>
      <c r="H79" s="2"/>
      <c r="I79" s="2"/>
      <c r="J79" s="2"/>
      <c r="K79" s="2"/>
      <c r="L79" s="2"/>
      <c r="M79" s="2"/>
      <c r="N79" s="2"/>
      <c r="O79" s="2"/>
      <c r="P79" s="2"/>
      <c r="Q79" s="2"/>
      <c r="R79" s="2"/>
      <c r="S79" s="2"/>
      <c r="T79" s="2"/>
      <c r="U79" s="2"/>
      <c r="V79" s="2"/>
      <c r="W79" s="2"/>
      <c r="X79" s="2"/>
      <c r="Y79" s="2"/>
      <c r="Z79" s="2"/>
    </row>
    <row r="80">
      <c r="A80" s="5"/>
      <c r="B80" s="5"/>
      <c r="C80" s="5"/>
      <c r="D80" s="2"/>
      <c r="E80" s="2"/>
      <c r="F80" s="2"/>
      <c r="G80" s="2"/>
      <c r="H80" s="2"/>
      <c r="I80" s="2"/>
      <c r="J80" s="2"/>
      <c r="K80" s="2"/>
      <c r="L80" s="2"/>
      <c r="M80" s="2"/>
      <c r="N80" s="2"/>
      <c r="O80" s="2"/>
      <c r="P80" s="2"/>
      <c r="Q80" s="2"/>
      <c r="R80" s="2"/>
      <c r="S80" s="2"/>
      <c r="T80" s="2"/>
      <c r="U80" s="2"/>
      <c r="V80" s="2"/>
      <c r="W80" s="2"/>
      <c r="X80" s="2"/>
      <c r="Y80" s="2"/>
      <c r="Z80" s="2"/>
    </row>
    <row r="81">
      <c r="A81" s="5"/>
      <c r="B81" s="5"/>
      <c r="C81" s="5"/>
      <c r="D81" s="2"/>
      <c r="E81" s="2"/>
      <c r="F81" s="2"/>
      <c r="G81" s="2"/>
      <c r="H81" s="2"/>
      <c r="I81" s="2"/>
      <c r="J81" s="2"/>
      <c r="K81" s="2"/>
      <c r="L81" s="2"/>
      <c r="M81" s="2"/>
      <c r="N81" s="2"/>
      <c r="O81" s="2"/>
      <c r="P81" s="2"/>
      <c r="Q81" s="2"/>
      <c r="R81" s="2"/>
      <c r="S81" s="2"/>
      <c r="T81" s="2"/>
      <c r="U81" s="2"/>
      <c r="V81" s="2"/>
      <c r="W81" s="2"/>
      <c r="X81" s="2"/>
      <c r="Y81" s="2"/>
      <c r="Z81" s="2"/>
    </row>
    <row r="82">
      <c r="A82" s="5"/>
      <c r="B82" s="5"/>
      <c r="C82" s="5"/>
      <c r="D82" s="2"/>
      <c r="E82" s="2"/>
      <c r="F82" s="2"/>
      <c r="G82" s="2"/>
      <c r="H82" s="2"/>
      <c r="I82" s="2"/>
      <c r="J82" s="2"/>
      <c r="K82" s="2"/>
      <c r="L82" s="2"/>
      <c r="M82" s="2"/>
      <c r="N82" s="2"/>
      <c r="O82" s="2"/>
      <c r="P82" s="2"/>
      <c r="Q82" s="2"/>
      <c r="R82" s="2"/>
      <c r="S82" s="2"/>
      <c r="T82" s="2"/>
      <c r="U82" s="2"/>
      <c r="V82" s="2"/>
      <c r="W82" s="2"/>
      <c r="X82" s="2"/>
      <c r="Y82" s="2"/>
      <c r="Z82" s="2"/>
    </row>
    <row r="83">
      <c r="A83" s="5"/>
      <c r="B83" s="5"/>
      <c r="C83" s="5"/>
      <c r="D83" s="2"/>
      <c r="E83" s="2"/>
      <c r="F83" s="2"/>
      <c r="G83" s="2"/>
      <c r="H83" s="2"/>
      <c r="I83" s="2"/>
      <c r="J83" s="2"/>
      <c r="K83" s="2"/>
      <c r="L83" s="2"/>
      <c r="M83" s="2"/>
      <c r="N83" s="2"/>
      <c r="O83" s="2"/>
      <c r="P83" s="2"/>
      <c r="Q83" s="2"/>
      <c r="R83" s="2"/>
      <c r="S83" s="2"/>
      <c r="T83" s="2"/>
      <c r="U83" s="2"/>
      <c r="V83" s="2"/>
      <c r="W83" s="2"/>
      <c r="X83" s="2"/>
      <c r="Y83" s="2"/>
      <c r="Z83" s="2"/>
    </row>
    <row r="84">
      <c r="A84" s="5"/>
      <c r="B84" s="5"/>
      <c r="C84" s="5"/>
      <c r="D84" s="2"/>
      <c r="E84" s="2"/>
      <c r="F84" s="2"/>
      <c r="G84" s="2"/>
      <c r="H84" s="2"/>
      <c r="I84" s="2"/>
      <c r="J84" s="2"/>
      <c r="K84" s="2"/>
      <c r="L84" s="2"/>
      <c r="M84" s="2"/>
      <c r="N84" s="2"/>
      <c r="O84" s="2"/>
      <c r="P84" s="2"/>
      <c r="Q84" s="2"/>
      <c r="R84" s="2"/>
      <c r="S84" s="2"/>
      <c r="T84" s="2"/>
      <c r="U84" s="2"/>
      <c r="V84" s="2"/>
      <c r="W84" s="2"/>
      <c r="X84" s="2"/>
      <c r="Y84" s="2"/>
      <c r="Z84" s="2"/>
    </row>
    <row r="85">
      <c r="A85" s="5"/>
      <c r="B85" s="5"/>
      <c r="C85" s="5"/>
      <c r="D85" s="2"/>
      <c r="E85" s="2"/>
      <c r="F85" s="2"/>
      <c r="G85" s="2"/>
      <c r="H85" s="2"/>
      <c r="I85" s="2"/>
      <c r="J85" s="2"/>
      <c r="K85" s="2"/>
      <c r="L85" s="2"/>
      <c r="M85" s="2"/>
      <c r="N85" s="2"/>
      <c r="O85" s="2"/>
      <c r="P85" s="2"/>
      <c r="Q85" s="2"/>
      <c r="R85" s="2"/>
      <c r="S85" s="2"/>
      <c r="T85" s="2"/>
      <c r="U85" s="2"/>
      <c r="V85" s="2"/>
      <c r="W85" s="2"/>
      <c r="X85" s="2"/>
      <c r="Y85" s="2"/>
      <c r="Z85" s="2"/>
    </row>
    <row r="86">
      <c r="A86" s="5"/>
      <c r="B86" s="5"/>
      <c r="C86" s="5"/>
      <c r="D86" s="2"/>
      <c r="E86" s="2"/>
      <c r="F86" s="2"/>
      <c r="G86" s="2"/>
      <c r="H86" s="2"/>
      <c r="I86" s="2"/>
      <c r="J86" s="2"/>
      <c r="K86" s="2"/>
      <c r="L86" s="2"/>
      <c r="M86" s="2"/>
      <c r="N86" s="2"/>
      <c r="O86" s="2"/>
      <c r="P86" s="2"/>
      <c r="Q86" s="2"/>
      <c r="R86" s="2"/>
      <c r="S86" s="2"/>
      <c r="T86" s="2"/>
      <c r="U86" s="2"/>
      <c r="V86" s="2"/>
      <c r="W86" s="2"/>
      <c r="X86" s="2"/>
      <c r="Y86" s="2"/>
      <c r="Z86" s="2"/>
    </row>
    <row r="87">
      <c r="A87" s="5"/>
      <c r="B87" s="5"/>
      <c r="C87" s="5"/>
      <c r="D87" s="2"/>
      <c r="E87" s="2"/>
      <c r="F87" s="2"/>
      <c r="G87" s="2"/>
      <c r="H87" s="2"/>
      <c r="I87" s="2"/>
      <c r="J87" s="2"/>
      <c r="K87" s="2"/>
      <c r="L87" s="2"/>
      <c r="M87" s="2"/>
      <c r="N87" s="2"/>
      <c r="O87" s="2"/>
      <c r="P87" s="2"/>
      <c r="Q87" s="2"/>
      <c r="R87" s="2"/>
      <c r="S87" s="2"/>
      <c r="T87" s="2"/>
      <c r="U87" s="2"/>
      <c r="V87" s="2"/>
      <c r="W87" s="2"/>
      <c r="X87" s="2"/>
      <c r="Y87" s="2"/>
      <c r="Z87" s="2"/>
    </row>
    <row r="88">
      <c r="A88" s="5"/>
      <c r="B88" s="5"/>
      <c r="C88" s="5"/>
      <c r="D88" s="2"/>
      <c r="E88" s="2"/>
      <c r="F88" s="2"/>
      <c r="G88" s="2"/>
      <c r="H88" s="2"/>
      <c r="I88" s="2"/>
      <c r="J88" s="2"/>
      <c r="K88" s="2"/>
      <c r="L88" s="2"/>
      <c r="M88" s="2"/>
      <c r="N88" s="2"/>
      <c r="O88" s="2"/>
      <c r="P88" s="2"/>
      <c r="Q88" s="2"/>
      <c r="R88" s="2"/>
      <c r="S88" s="2"/>
      <c r="T88" s="2"/>
      <c r="U88" s="2"/>
      <c r="V88" s="2"/>
      <c r="W88" s="2"/>
      <c r="X88" s="2"/>
      <c r="Y88" s="2"/>
      <c r="Z88" s="2"/>
    </row>
    <row r="89">
      <c r="A89" s="5"/>
      <c r="B89" s="5"/>
      <c r="C89" s="5"/>
      <c r="D89" s="2"/>
      <c r="E89" s="2"/>
      <c r="F89" s="2"/>
      <c r="G89" s="2"/>
      <c r="H89" s="2"/>
      <c r="I89" s="2"/>
      <c r="J89" s="2"/>
      <c r="K89" s="2"/>
      <c r="L89" s="2"/>
      <c r="M89" s="2"/>
      <c r="N89" s="2"/>
      <c r="O89" s="2"/>
      <c r="P89" s="2"/>
      <c r="Q89" s="2"/>
      <c r="R89" s="2"/>
      <c r="S89" s="2"/>
      <c r="T89" s="2"/>
      <c r="U89" s="2"/>
      <c r="V89" s="2"/>
      <c r="W89" s="2"/>
      <c r="X89" s="2"/>
      <c r="Y89" s="2"/>
      <c r="Z89" s="2"/>
    </row>
    <row r="90">
      <c r="A90" s="5"/>
      <c r="B90" s="5"/>
      <c r="C90" s="5"/>
      <c r="D90" s="2"/>
      <c r="E90" s="2"/>
      <c r="F90" s="2"/>
      <c r="G90" s="2"/>
      <c r="H90" s="2"/>
      <c r="I90" s="2"/>
      <c r="J90" s="2"/>
      <c r="K90" s="2"/>
      <c r="L90" s="2"/>
      <c r="M90" s="2"/>
      <c r="N90" s="2"/>
      <c r="O90" s="2"/>
      <c r="P90" s="2"/>
      <c r="Q90" s="2"/>
      <c r="R90" s="2"/>
      <c r="S90" s="2"/>
      <c r="T90" s="2"/>
      <c r="U90" s="2"/>
      <c r="V90" s="2"/>
      <c r="W90" s="2"/>
      <c r="X90" s="2"/>
      <c r="Y90" s="2"/>
      <c r="Z90" s="2"/>
    </row>
    <row r="91">
      <c r="A91" s="5"/>
      <c r="B91" s="5"/>
      <c r="C91" s="5"/>
      <c r="D91" s="2"/>
      <c r="E91" s="2"/>
      <c r="F91" s="2"/>
      <c r="G91" s="2"/>
      <c r="H91" s="2"/>
      <c r="I91" s="2"/>
      <c r="J91" s="2"/>
      <c r="K91" s="2"/>
      <c r="L91" s="2"/>
      <c r="M91" s="2"/>
      <c r="N91" s="2"/>
      <c r="O91" s="2"/>
      <c r="P91" s="2"/>
      <c r="Q91" s="2"/>
      <c r="R91" s="2"/>
      <c r="S91" s="2"/>
      <c r="T91" s="2"/>
      <c r="U91" s="2"/>
      <c r="V91" s="2"/>
      <c r="W91" s="2"/>
      <c r="X91" s="2"/>
      <c r="Y91" s="2"/>
      <c r="Z91" s="2"/>
    </row>
    <row r="92">
      <c r="A92" s="5"/>
      <c r="B92" s="5"/>
      <c r="C92" s="5"/>
      <c r="D92" s="2"/>
      <c r="E92" s="2"/>
      <c r="F92" s="2"/>
      <c r="G92" s="2"/>
      <c r="H92" s="2"/>
      <c r="I92" s="2"/>
      <c r="J92" s="2"/>
      <c r="K92" s="2"/>
      <c r="L92" s="2"/>
      <c r="M92" s="2"/>
      <c r="N92" s="2"/>
      <c r="O92" s="2"/>
      <c r="P92" s="2"/>
      <c r="Q92" s="2"/>
      <c r="R92" s="2"/>
      <c r="S92" s="2"/>
      <c r="T92" s="2"/>
      <c r="U92" s="2"/>
      <c r="V92" s="2"/>
      <c r="W92" s="2"/>
      <c r="X92" s="2"/>
      <c r="Y92" s="2"/>
      <c r="Z92" s="2"/>
    </row>
    <row r="93">
      <c r="A93" s="5"/>
      <c r="B93" s="5"/>
      <c r="C93" s="5"/>
      <c r="D93" s="2"/>
      <c r="E93" s="2"/>
      <c r="F93" s="2"/>
      <c r="G93" s="2"/>
      <c r="H93" s="2"/>
      <c r="I93" s="2"/>
      <c r="J93" s="2"/>
      <c r="K93" s="2"/>
      <c r="L93" s="2"/>
      <c r="M93" s="2"/>
      <c r="N93" s="2"/>
      <c r="O93" s="2"/>
      <c r="P93" s="2"/>
      <c r="Q93" s="2"/>
      <c r="R93" s="2"/>
      <c r="S93" s="2"/>
      <c r="T93" s="2"/>
      <c r="U93" s="2"/>
      <c r="V93" s="2"/>
      <c r="W93" s="2"/>
      <c r="X93" s="2"/>
      <c r="Y93" s="2"/>
      <c r="Z93" s="2"/>
    </row>
    <row r="94">
      <c r="A94" s="5"/>
      <c r="B94" s="5"/>
      <c r="C94" s="5"/>
      <c r="D94" s="2"/>
      <c r="E94" s="2"/>
      <c r="F94" s="2"/>
      <c r="G94" s="2"/>
      <c r="H94" s="2"/>
      <c r="I94" s="2"/>
      <c r="J94" s="2"/>
      <c r="K94" s="2"/>
      <c r="L94" s="2"/>
      <c r="M94" s="2"/>
      <c r="N94" s="2"/>
      <c r="O94" s="2"/>
      <c r="P94" s="2"/>
      <c r="Q94" s="2"/>
      <c r="R94" s="2"/>
      <c r="S94" s="2"/>
      <c r="T94" s="2"/>
      <c r="U94" s="2"/>
      <c r="V94" s="2"/>
      <c r="W94" s="2"/>
      <c r="X94" s="2"/>
      <c r="Y94" s="2"/>
      <c r="Z94" s="2"/>
    </row>
    <row r="95">
      <c r="A95" s="5"/>
      <c r="B95" s="5"/>
      <c r="C95" s="5"/>
      <c r="D95" s="2"/>
      <c r="E95" s="2"/>
      <c r="F95" s="2"/>
      <c r="G95" s="2"/>
      <c r="H95" s="2"/>
      <c r="I95" s="2"/>
      <c r="J95" s="2"/>
      <c r="K95" s="2"/>
      <c r="L95" s="2"/>
      <c r="M95" s="2"/>
      <c r="N95" s="2"/>
      <c r="O95" s="2"/>
      <c r="P95" s="2"/>
      <c r="Q95" s="2"/>
      <c r="R95" s="2"/>
      <c r="S95" s="2"/>
      <c r="T95" s="2"/>
      <c r="U95" s="2"/>
      <c r="V95" s="2"/>
      <c r="W95" s="2"/>
      <c r="X95" s="2"/>
      <c r="Y95" s="2"/>
      <c r="Z95" s="2"/>
    </row>
    <row r="96">
      <c r="A96" s="5"/>
      <c r="B96" s="5"/>
      <c r="C96" s="5"/>
      <c r="D96" s="2"/>
      <c r="E96" s="2"/>
      <c r="F96" s="2"/>
      <c r="G96" s="2"/>
      <c r="H96" s="2"/>
      <c r="I96" s="2"/>
      <c r="J96" s="2"/>
      <c r="K96" s="2"/>
      <c r="L96" s="2"/>
      <c r="M96" s="2"/>
      <c r="N96" s="2"/>
      <c r="O96" s="2"/>
      <c r="P96" s="2"/>
      <c r="Q96" s="2"/>
      <c r="R96" s="2"/>
      <c r="S96" s="2"/>
      <c r="T96" s="2"/>
      <c r="U96" s="2"/>
      <c r="V96" s="2"/>
      <c r="W96" s="2"/>
      <c r="X96" s="2"/>
      <c r="Y96" s="2"/>
      <c r="Z96" s="2"/>
    </row>
    <row r="97">
      <c r="A97" s="5"/>
      <c r="B97" s="5"/>
      <c r="C97" s="5"/>
      <c r="D97" s="2"/>
      <c r="E97" s="2"/>
      <c r="F97" s="2"/>
      <c r="G97" s="2"/>
      <c r="H97" s="2"/>
      <c r="I97" s="2"/>
      <c r="J97" s="2"/>
      <c r="K97" s="2"/>
      <c r="L97" s="2"/>
      <c r="M97" s="2"/>
      <c r="N97" s="2"/>
      <c r="O97" s="2"/>
      <c r="P97" s="2"/>
      <c r="Q97" s="2"/>
      <c r="R97" s="2"/>
      <c r="S97" s="2"/>
      <c r="T97" s="2"/>
      <c r="U97" s="2"/>
      <c r="V97" s="2"/>
      <c r="W97" s="2"/>
      <c r="X97" s="2"/>
      <c r="Y97" s="2"/>
      <c r="Z97" s="2"/>
    </row>
    <row r="98">
      <c r="A98" s="5"/>
      <c r="B98" s="5"/>
      <c r="C98" s="5"/>
      <c r="D98" s="2"/>
      <c r="E98" s="2"/>
      <c r="F98" s="2"/>
      <c r="G98" s="2"/>
      <c r="H98" s="2"/>
      <c r="I98" s="2"/>
      <c r="J98" s="2"/>
      <c r="K98" s="2"/>
      <c r="L98" s="2"/>
      <c r="M98" s="2"/>
      <c r="N98" s="2"/>
      <c r="O98" s="2"/>
      <c r="P98" s="2"/>
      <c r="Q98" s="2"/>
      <c r="R98" s="2"/>
      <c r="S98" s="2"/>
      <c r="T98" s="2"/>
      <c r="U98" s="2"/>
      <c r="V98" s="2"/>
      <c r="W98" s="2"/>
      <c r="X98" s="2"/>
      <c r="Y98" s="2"/>
      <c r="Z98" s="2"/>
    </row>
    <row r="99">
      <c r="A99" s="5"/>
      <c r="B99" s="5"/>
      <c r="C99" s="5"/>
      <c r="D99" s="2"/>
      <c r="E99" s="2"/>
      <c r="F99" s="2"/>
      <c r="G99" s="2"/>
      <c r="H99" s="2"/>
      <c r="I99" s="2"/>
      <c r="J99" s="2"/>
      <c r="K99" s="2"/>
      <c r="L99" s="2"/>
      <c r="M99" s="2"/>
      <c r="N99" s="2"/>
      <c r="O99" s="2"/>
      <c r="P99" s="2"/>
      <c r="Q99" s="2"/>
      <c r="R99" s="2"/>
      <c r="S99" s="2"/>
      <c r="T99" s="2"/>
      <c r="U99" s="2"/>
      <c r="V99" s="2"/>
      <c r="W99" s="2"/>
      <c r="X99" s="2"/>
      <c r="Y99" s="2"/>
      <c r="Z99" s="2"/>
    </row>
    <row r="100">
      <c r="A100" s="5"/>
      <c r="B100" s="5"/>
      <c r="C100" s="5"/>
      <c r="D100" s="2"/>
      <c r="E100" s="2"/>
      <c r="F100" s="2"/>
      <c r="G100" s="2"/>
      <c r="H100" s="2"/>
      <c r="I100" s="2"/>
      <c r="J100" s="2"/>
      <c r="K100" s="2"/>
      <c r="L100" s="2"/>
      <c r="M100" s="2"/>
      <c r="N100" s="2"/>
      <c r="O100" s="2"/>
      <c r="P100" s="2"/>
      <c r="Q100" s="2"/>
      <c r="R100" s="2"/>
      <c r="S100" s="2"/>
      <c r="T100" s="2"/>
      <c r="U100" s="2"/>
      <c r="V100" s="2"/>
      <c r="W100" s="2"/>
      <c r="X100" s="2"/>
      <c r="Y100" s="2"/>
      <c r="Z100" s="2"/>
    </row>
    <row r="101">
      <c r="A101" s="5"/>
      <c r="B101" s="5"/>
      <c r="C101" s="5"/>
      <c r="D101" s="2"/>
      <c r="E101" s="2"/>
      <c r="F101" s="2"/>
      <c r="G101" s="2"/>
      <c r="H101" s="2"/>
      <c r="I101" s="2"/>
      <c r="J101" s="2"/>
      <c r="K101" s="2"/>
      <c r="L101" s="2"/>
      <c r="M101" s="2"/>
      <c r="N101" s="2"/>
      <c r="O101" s="2"/>
      <c r="P101" s="2"/>
      <c r="Q101" s="2"/>
      <c r="R101" s="2"/>
      <c r="S101" s="2"/>
      <c r="T101" s="2"/>
      <c r="U101" s="2"/>
      <c r="V101" s="2"/>
      <c r="W101" s="2"/>
      <c r="X101" s="2"/>
      <c r="Y101" s="2"/>
      <c r="Z101" s="2"/>
    </row>
    <row r="102">
      <c r="A102" s="5"/>
      <c r="B102" s="5"/>
      <c r="C102" s="5"/>
      <c r="D102" s="2"/>
      <c r="E102" s="2"/>
      <c r="F102" s="2"/>
      <c r="G102" s="2"/>
      <c r="H102" s="2"/>
      <c r="I102" s="2"/>
      <c r="J102" s="2"/>
      <c r="K102" s="2"/>
      <c r="L102" s="2"/>
      <c r="M102" s="2"/>
      <c r="N102" s="2"/>
      <c r="O102" s="2"/>
      <c r="P102" s="2"/>
      <c r="Q102" s="2"/>
      <c r="R102" s="2"/>
      <c r="S102" s="2"/>
      <c r="T102" s="2"/>
      <c r="U102" s="2"/>
      <c r="V102" s="2"/>
      <c r="W102" s="2"/>
      <c r="X102" s="2"/>
      <c r="Y102" s="2"/>
      <c r="Z102" s="2"/>
    </row>
    <row r="103">
      <c r="A103" s="5"/>
      <c r="B103" s="5"/>
      <c r="C103" s="5"/>
      <c r="D103" s="2"/>
      <c r="E103" s="2"/>
      <c r="F103" s="2"/>
      <c r="G103" s="2"/>
      <c r="H103" s="2"/>
      <c r="I103" s="2"/>
      <c r="J103" s="2"/>
      <c r="K103" s="2"/>
      <c r="L103" s="2"/>
      <c r="M103" s="2"/>
      <c r="N103" s="2"/>
      <c r="O103" s="2"/>
      <c r="P103" s="2"/>
      <c r="Q103" s="2"/>
      <c r="R103" s="2"/>
      <c r="S103" s="2"/>
      <c r="T103" s="2"/>
      <c r="U103" s="2"/>
      <c r="V103" s="2"/>
      <c r="W103" s="2"/>
      <c r="X103" s="2"/>
      <c r="Y103" s="2"/>
      <c r="Z103" s="2"/>
    </row>
    <row r="104">
      <c r="A104" s="5"/>
      <c r="B104" s="5"/>
      <c r="C104" s="5"/>
      <c r="D104" s="2"/>
      <c r="E104" s="2"/>
      <c r="F104" s="2"/>
      <c r="G104" s="2"/>
      <c r="H104" s="2"/>
      <c r="I104" s="2"/>
      <c r="J104" s="2"/>
      <c r="K104" s="2"/>
      <c r="L104" s="2"/>
      <c r="M104" s="2"/>
      <c r="N104" s="2"/>
      <c r="O104" s="2"/>
      <c r="P104" s="2"/>
      <c r="Q104" s="2"/>
      <c r="R104" s="2"/>
      <c r="S104" s="2"/>
      <c r="T104" s="2"/>
      <c r="U104" s="2"/>
      <c r="V104" s="2"/>
      <c r="W104" s="2"/>
      <c r="X104" s="2"/>
      <c r="Y104" s="2"/>
      <c r="Z104" s="2"/>
    </row>
    <row r="105">
      <c r="A105" s="5"/>
      <c r="B105" s="5"/>
      <c r="C105" s="5"/>
      <c r="D105" s="2"/>
      <c r="E105" s="2"/>
      <c r="F105" s="2"/>
      <c r="G105" s="2"/>
      <c r="H105" s="2"/>
      <c r="I105" s="2"/>
      <c r="J105" s="2"/>
      <c r="K105" s="2"/>
      <c r="L105" s="2"/>
      <c r="M105" s="2"/>
      <c r="N105" s="2"/>
      <c r="O105" s="2"/>
      <c r="P105" s="2"/>
      <c r="Q105" s="2"/>
      <c r="R105" s="2"/>
      <c r="S105" s="2"/>
      <c r="T105" s="2"/>
      <c r="U105" s="2"/>
      <c r="V105" s="2"/>
      <c r="W105" s="2"/>
      <c r="X105" s="2"/>
      <c r="Y105" s="2"/>
      <c r="Z105" s="2"/>
    </row>
    <row r="106">
      <c r="A106" s="5"/>
      <c r="B106" s="5"/>
      <c r="C106" s="5"/>
      <c r="D106" s="2"/>
      <c r="E106" s="2"/>
      <c r="F106" s="2"/>
      <c r="G106" s="2"/>
      <c r="H106" s="2"/>
      <c r="I106" s="2"/>
      <c r="J106" s="2"/>
      <c r="K106" s="2"/>
      <c r="L106" s="2"/>
      <c r="M106" s="2"/>
      <c r="N106" s="2"/>
      <c r="O106" s="2"/>
      <c r="P106" s="2"/>
      <c r="Q106" s="2"/>
      <c r="R106" s="2"/>
      <c r="S106" s="2"/>
      <c r="T106" s="2"/>
      <c r="U106" s="2"/>
      <c r="V106" s="2"/>
      <c r="W106" s="2"/>
      <c r="X106" s="2"/>
      <c r="Y106" s="2"/>
      <c r="Z106" s="2"/>
    </row>
    <row r="107">
      <c r="A107" s="5"/>
      <c r="B107" s="5"/>
      <c r="C107" s="5"/>
      <c r="D107" s="2"/>
      <c r="E107" s="2"/>
      <c r="F107" s="2"/>
      <c r="G107" s="2"/>
      <c r="H107" s="2"/>
      <c r="I107" s="2"/>
      <c r="J107" s="2"/>
      <c r="K107" s="2"/>
      <c r="L107" s="2"/>
      <c r="M107" s="2"/>
      <c r="N107" s="2"/>
      <c r="O107" s="2"/>
      <c r="P107" s="2"/>
      <c r="Q107" s="2"/>
      <c r="R107" s="2"/>
      <c r="S107" s="2"/>
      <c r="T107" s="2"/>
      <c r="U107" s="2"/>
      <c r="V107" s="2"/>
      <c r="W107" s="2"/>
      <c r="X107" s="2"/>
      <c r="Y107" s="2"/>
      <c r="Z107" s="2"/>
    </row>
    <row r="108">
      <c r="A108" s="5"/>
      <c r="B108" s="5"/>
      <c r="C108" s="5"/>
      <c r="D108" s="2"/>
      <c r="E108" s="2"/>
      <c r="F108" s="2"/>
      <c r="G108" s="2"/>
      <c r="H108" s="2"/>
      <c r="I108" s="2"/>
      <c r="J108" s="2"/>
      <c r="K108" s="2"/>
      <c r="L108" s="2"/>
      <c r="M108" s="2"/>
      <c r="N108" s="2"/>
      <c r="O108" s="2"/>
      <c r="P108" s="2"/>
      <c r="Q108" s="2"/>
      <c r="R108" s="2"/>
      <c r="S108" s="2"/>
      <c r="T108" s="2"/>
      <c r="U108" s="2"/>
      <c r="V108" s="2"/>
      <c r="W108" s="2"/>
      <c r="X108" s="2"/>
      <c r="Y108" s="2"/>
      <c r="Z108" s="2"/>
    </row>
    <row r="109">
      <c r="A109" s="5"/>
      <c r="B109" s="5"/>
      <c r="C109" s="5"/>
      <c r="D109" s="2"/>
      <c r="E109" s="2"/>
      <c r="F109" s="2"/>
      <c r="G109" s="2"/>
      <c r="H109" s="2"/>
      <c r="I109" s="2"/>
      <c r="J109" s="2"/>
      <c r="K109" s="2"/>
      <c r="L109" s="2"/>
      <c r="M109" s="2"/>
      <c r="N109" s="2"/>
      <c r="O109" s="2"/>
      <c r="P109" s="2"/>
      <c r="Q109" s="2"/>
      <c r="R109" s="2"/>
      <c r="S109" s="2"/>
      <c r="T109" s="2"/>
      <c r="U109" s="2"/>
      <c r="V109" s="2"/>
      <c r="W109" s="2"/>
      <c r="X109" s="2"/>
      <c r="Y109" s="2"/>
      <c r="Z109" s="2"/>
    </row>
    <row r="110">
      <c r="A110" s="5"/>
      <c r="B110" s="5"/>
      <c r="C110" s="5"/>
      <c r="D110" s="2"/>
      <c r="E110" s="2"/>
      <c r="F110" s="2"/>
      <c r="G110" s="2"/>
      <c r="H110" s="2"/>
      <c r="I110" s="2"/>
      <c r="J110" s="2"/>
      <c r="K110" s="2"/>
      <c r="L110" s="2"/>
      <c r="M110" s="2"/>
      <c r="N110" s="2"/>
      <c r="O110" s="2"/>
      <c r="P110" s="2"/>
      <c r="Q110" s="2"/>
      <c r="R110" s="2"/>
      <c r="S110" s="2"/>
      <c r="T110" s="2"/>
      <c r="U110" s="2"/>
      <c r="V110" s="2"/>
      <c r="W110" s="2"/>
      <c r="X110" s="2"/>
      <c r="Y110" s="2"/>
      <c r="Z110" s="2"/>
    </row>
    <row r="111">
      <c r="A111" s="5"/>
      <c r="B111" s="5"/>
      <c r="C111" s="5"/>
      <c r="D111" s="2"/>
      <c r="E111" s="2"/>
      <c r="F111" s="2"/>
      <c r="G111" s="2"/>
      <c r="H111" s="2"/>
      <c r="I111" s="2"/>
      <c r="J111" s="2"/>
      <c r="K111" s="2"/>
      <c r="L111" s="2"/>
      <c r="M111" s="2"/>
      <c r="N111" s="2"/>
      <c r="O111" s="2"/>
      <c r="P111" s="2"/>
      <c r="Q111" s="2"/>
      <c r="R111" s="2"/>
      <c r="S111" s="2"/>
      <c r="T111" s="2"/>
      <c r="U111" s="2"/>
      <c r="V111" s="2"/>
      <c r="W111" s="2"/>
      <c r="X111" s="2"/>
      <c r="Y111" s="2"/>
      <c r="Z111" s="2"/>
    </row>
    <row r="112">
      <c r="A112" s="5"/>
      <c r="B112" s="5"/>
      <c r="C112" s="5"/>
      <c r="D112" s="2"/>
      <c r="E112" s="2"/>
      <c r="F112" s="2"/>
      <c r="G112" s="2"/>
      <c r="H112" s="2"/>
      <c r="I112" s="2"/>
      <c r="J112" s="2"/>
      <c r="K112" s="2"/>
      <c r="L112" s="2"/>
      <c r="M112" s="2"/>
      <c r="N112" s="2"/>
      <c r="O112" s="2"/>
      <c r="P112" s="2"/>
      <c r="Q112" s="2"/>
      <c r="R112" s="2"/>
      <c r="S112" s="2"/>
      <c r="T112" s="2"/>
      <c r="U112" s="2"/>
      <c r="V112" s="2"/>
      <c r="W112" s="2"/>
      <c r="X112" s="2"/>
      <c r="Y112" s="2"/>
      <c r="Z112" s="2"/>
    </row>
    <row r="113">
      <c r="A113" s="5"/>
      <c r="B113" s="5"/>
      <c r="C113" s="5"/>
      <c r="D113" s="2"/>
      <c r="E113" s="2"/>
      <c r="F113" s="2"/>
      <c r="G113" s="2"/>
      <c r="H113" s="2"/>
      <c r="I113" s="2"/>
      <c r="J113" s="2"/>
      <c r="K113" s="2"/>
      <c r="L113" s="2"/>
      <c r="M113" s="2"/>
      <c r="N113" s="2"/>
      <c r="O113" s="2"/>
      <c r="P113" s="2"/>
      <c r="Q113" s="2"/>
      <c r="R113" s="2"/>
      <c r="S113" s="2"/>
      <c r="T113" s="2"/>
      <c r="U113" s="2"/>
      <c r="V113" s="2"/>
      <c r="W113" s="2"/>
      <c r="X113" s="2"/>
      <c r="Y113" s="2"/>
      <c r="Z113" s="2"/>
    </row>
    <row r="114">
      <c r="A114" s="5"/>
      <c r="B114" s="5"/>
      <c r="C114" s="5"/>
      <c r="D114" s="2"/>
      <c r="E114" s="2"/>
      <c r="F114" s="2"/>
      <c r="G114" s="2"/>
      <c r="H114" s="2"/>
      <c r="I114" s="2"/>
      <c r="J114" s="2"/>
      <c r="K114" s="2"/>
      <c r="L114" s="2"/>
      <c r="M114" s="2"/>
      <c r="N114" s="2"/>
      <c r="O114" s="2"/>
      <c r="P114" s="2"/>
      <c r="Q114" s="2"/>
      <c r="R114" s="2"/>
      <c r="S114" s="2"/>
      <c r="T114" s="2"/>
      <c r="U114" s="2"/>
      <c r="V114" s="2"/>
      <c r="W114" s="2"/>
      <c r="X114" s="2"/>
      <c r="Y114" s="2"/>
      <c r="Z114" s="2"/>
    </row>
    <row r="115">
      <c r="A115" s="5"/>
      <c r="B115" s="5"/>
      <c r="C115" s="5"/>
      <c r="D115" s="2"/>
      <c r="E115" s="2"/>
      <c r="F115" s="2"/>
      <c r="G115" s="2"/>
      <c r="H115" s="2"/>
      <c r="I115" s="2"/>
      <c r="J115" s="2"/>
      <c r="K115" s="2"/>
      <c r="L115" s="2"/>
      <c r="M115" s="2"/>
      <c r="N115" s="2"/>
      <c r="O115" s="2"/>
      <c r="P115" s="2"/>
      <c r="Q115" s="2"/>
      <c r="R115" s="2"/>
      <c r="S115" s="2"/>
      <c r="T115" s="2"/>
      <c r="U115" s="2"/>
      <c r="V115" s="2"/>
      <c r="W115" s="2"/>
      <c r="X115" s="2"/>
      <c r="Y115" s="2"/>
      <c r="Z115" s="2"/>
    </row>
    <row r="116">
      <c r="A116" s="5"/>
      <c r="B116" s="5"/>
      <c r="C116" s="5"/>
      <c r="D116" s="2"/>
      <c r="E116" s="2"/>
      <c r="F116" s="2"/>
      <c r="G116" s="2"/>
      <c r="H116" s="2"/>
      <c r="I116" s="2"/>
      <c r="J116" s="2"/>
      <c r="K116" s="2"/>
      <c r="L116" s="2"/>
      <c r="M116" s="2"/>
      <c r="N116" s="2"/>
      <c r="O116" s="2"/>
      <c r="P116" s="2"/>
      <c r="Q116" s="2"/>
      <c r="R116" s="2"/>
      <c r="S116" s="2"/>
      <c r="T116" s="2"/>
      <c r="U116" s="2"/>
      <c r="V116" s="2"/>
      <c r="W116" s="2"/>
      <c r="X116" s="2"/>
      <c r="Y116" s="2"/>
      <c r="Z116" s="2"/>
    </row>
    <row r="117">
      <c r="A117" s="5"/>
      <c r="B117" s="5"/>
      <c r="C117" s="5"/>
      <c r="D117" s="2"/>
      <c r="E117" s="2"/>
      <c r="F117" s="2"/>
      <c r="G117" s="2"/>
      <c r="H117" s="2"/>
      <c r="I117" s="2"/>
      <c r="J117" s="2"/>
      <c r="K117" s="2"/>
      <c r="L117" s="2"/>
      <c r="M117" s="2"/>
      <c r="N117" s="2"/>
      <c r="O117" s="2"/>
      <c r="P117" s="2"/>
      <c r="Q117" s="2"/>
      <c r="R117" s="2"/>
      <c r="S117" s="2"/>
      <c r="T117" s="2"/>
      <c r="U117" s="2"/>
      <c r="V117" s="2"/>
      <c r="W117" s="2"/>
      <c r="X117" s="2"/>
      <c r="Y117" s="2"/>
      <c r="Z117" s="2"/>
    </row>
    <row r="118">
      <c r="A118" s="5"/>
      <c r="B118" s="5"/>
      <c r="C118" s="5"/>
      <c r="D118" s="2"/>
      <c r="E118" s="2"/>
      <c r="F118" s="2"/>
      <c r="G118" s="2"/>
      <c r="H118" s="2"/>
      <c r="I118" s="2"/>
      <c r="J118" s="2"/>
      <c r="K118" s="2"/>
      <c r="L118" s="2"/>
      <c r="M118" s="2"/>
      <c r="N118" s="2"/>
      <c r="O118" s="2"/>
      <c r="P118" s="2"/>
      <c r="Q118" s="2"/>
      <c r="R118" s="2"/>
      <c r="S118" s="2"/>
      <c r="T118" s="2"/>
      <c r="U118" s="2"/>
      <c r="V118" s="2"/>
      <c r="W118" s="2"/>
      <c r="X118" s="2"/>
      <c r="Y118" s="2"/>
      <c r="Z118" s="2"/>
    </row>
    <row r="119">
      <c r="A119" s="5"/>
      <c r="B119" s="5"/>
      <c r="C119" s="5"/>
      <c r="D119" s="2"/>
      <c r="E119" s="2"/>
      <c r="F119" s="2"/>
      <c r="G119" s="2"/>
      <c r="H119" s="2"/>
      <c r="I119" s="2"/>
      <c r="J119" s="2"/>
      <c r="K119" s="2"/>
      <c r="L119" s="2"/>
      <c r="M119" s="2"/>
      <c r="N119" s="2"/>
      <c r="O119" s="2"/>
      <c r="P119" s="2"/>
      <c r="Q119" s="2"/>
      <c r="R119" s="2"/>
      <c r="S119" s="2"/>
      <c r="T119" s="2"/>
      <c r="U119" s="2"/>
      <c r="V119" s="2"/>
      <c r="W119" s="2"/>
      <c r="X119" s="2"/>
      <c r="Y119" s="2"/>
      <c r="Z119" s="2"/>
    </row>
    <row r="120">
      <c r="A120" s="5"/>
      <c r="B120" s="5"/>
      <c r="C120" s="5"/>
      <c r="D120" s="2"/>
      <c r="E120" s="2"/>
      <c r="F120" s="2"/>
      <c r="G120" s="2"/>
      <c r="H120" s="2"/>
      <c r="I120" s="2"/>
      <c r="J120" s="2"/>
      <c r="K120" s="2"/>
      <c r="L120" s="2"/>
      <c r="M120" s="2"/>
      <c r="N120" s="2"/>
      <c r="O120" s="2"/>
      <c r="P120" s="2"/>
      <c r="Q120" s="2"/>
      <c r="R120" s="2"/>
      <c r="S120" s="2"/>
      <c r="T120" s="2"/>
      <c r="U120" s="2"/>
      <c r="V120" s="2"/>
      <c r="W120" s="2"/>
      <c r="X120" s="2"/>
      <c r="Y120" s="2"/>
      <c r="Z120" s="2"/>
    </row>
    <row r="121">
      <c r="A121" s="5"/>
      <c r="B121" s="5"/>
      <c r="C121" s="5"/>
      <c r="D121" s="2"/>
      <c r="E121" s="2"/>
      <c r="F121" s="2"/>
      <c r="G121" s="2"/>
      <c r="H121" s="2"/>
      <c r="I121" s="2"/>
      <c r="J121" s="2"/>
      <c r="K121" s="2"/>
      <c r="L121" s="2"/>
      <c r="M121" s="2"/>
      <c r="N121" s="2"/>
      <c r="O121" s="2"/>
      <c r="P121" s="2"/>
      <c r="Q121" s="2"/>
      <c r="R121" s="2"/>
      <c r="S121" s="2"/>
      <c r="T121" s="2"/>
      <c r="U121" s="2"/>
      <c r="V121" s="2"/>
      <c r="W121" s="2"/>
      <c r="X121" s="2"/>
      <c r="Y121" s="2"/>
      <c r="Z121" s="2"/>
    </row>
    <row r="122">
      <c r="A122" s="5"/>
      <c r="B122" s="5"/>
      <c r="C122" s="5"/>
      <c r="D122" s="2"/>
      <c r="E122" s="2"/>
      <c r="F122" s="2"/>
      <c r="G122" s="2"/>
      <c r="H122" s="2"/>
      <c r="I122" s="2"/>
      <c r="J122" s="2"/>
      <c r="K122" s="2"/>
      <c r="L122" s="2"/>
      <c r="M122" s="2"/>
      <c r="N122" s="2"/>
      <c r="O122" s="2"/>
      <c r="P122" s="2"/>
      <c r="Q122" s="2"/>
      <c r="R122" s="2"/>
      <c r="S122" s="2"/>
      <c r="T122" s="2"/>
      <c r="U122" s="2"/>
      <c r="V122" s="2"/>
      <c r="W122" s="2"/>
      <c r="X122" s="2"/>
      <c r="Y122" s="2"/>
      <c r="Z122" s="2"/>
    </row>
    <row r="123">
      <c r="A123" s="5"/>
      <c r="B123" s="5"/>
      <c r="C123" s="5"/>
      <c r="D123" s="2"/>
      <c r="E123" s="2"/>
      <c r="F123" s="2"/>
      <c r="G123" s="2"/>
      <c r="H123" s="2"/>
      <c r="I123" s="2"/>
      <c r="J123" s="2"/>
      <c r="K123" s="2"/>
      <c r="L123" s="2"/>
      <c r="M123" s="2"/>
      <c r="N123" s="2"/>
      <c r="O123" s="2"/>
      <c r="P123" s="2"/>
      <c r="Q123" s="2"/>
      <c r="R123" s="2"/>
      <c r="S123" s="2"/>
      <c r="T123" s="2"/>
      <c r="U123" s="2"/>
      <c r="V123" s="2"/>
      <c r="W123" s="2"/>
      <c r="X123" s="2"/>
      <c r="Y123" s="2"/>
      <c r="Z123" s="2"/>
    </row>
    <row r="124">
      <c r="A124" s="5"/>
      <c r="B124" s="5"/>
      <c r="C124" s="5"/>
      <c r="D124" s="2"/>
      <c r="E124" s="2"/>
      <c r="F124" s="2"/>
      <c r="G124" s="2"/>
      <c r="H124" s="2"/>
      <c r="I124" s="2"/>
      <c r="J124" s="2"/>
      <c r="K124" s="2"/>
      <c r="L124" s="2"/>
      <c r="M124" s="2"/>
      <c r="N124" s="2"/>
      <c r="O124" s="2"/>
      <c r="P124" s="2"/>
      <c r="Q124" s="2"/>
      <c r="R124" s="2"/>
      <c r="S124" s="2"/>
      <c r="T124" s="2"/>
      <c r="U124" s="2"/>
      <c r="V124" s="2"/>
      <c r="W124" s="2"/>
      <c r="X124" s="2"/>
      <c r="Y124" s="2"/>
      <c r="Z124" s="2"/>
    </row>
    <row r="125">
      <c r="A125" s="5"/>
      <c r="B125" s="5"/>
      <c r="C125" s="5"/>
      <c r="D125" s="2"/>
      <c r="E125" s="2"/>
      <c r="F125" s="2"/>
      <c r="G125" s="2"/>
      <c r="H125" s="2"/>
      <c r="I125" s="2"/>
      <c r="J125" s="2"/>
      <c r="K125" s="2"/>
      <c r="L125" s="2"/>
      <c r="M125" s="2"/>
      <c r="N125" s="2"/>
      <c r="O125" s="2"/>
      <c r="P125" s="2"/>
      <c r="Q125" s="2"/>
      <c r="R125" s="2"/>
      <c r="S125" s="2"/>
      <c r="T125" s="2"/>
      <c r="U125" s="2"/>
      <c r="V125" s="2"/>
      <c r="W125" s="2"/>
      <c r="X125" s="2"/>
      <c r="Y125" s="2"/>
      <c r="Z125" s="2"/>
    </row>
    <row r="126">
      <c r="A126" s="5"/>
      <c r="B126" s="5"/>
      <c r="C126" s="5"/>
      <c r="D126" s="2"/>
      <c r="E126" s="2"/>
      <c r="F126" s="2"/>
      <c r="G126" s="2"/>
      <c r="H126" s="2"/>
      <c r="I126" s="2"/>
      <c r="J126" s="2"/>
      <c r="K126" s="2"/>
      <c r="L126" s="2"/>
      <c r="M126" s="2"/>
      <c r="N126" s="2"/>
      <c r="O126" s="2"/>
      <c r="P126" s="2"/>
      <c r="Q126" s="2"/>
      <c r="R126" s="2"/>
      <c r="S126" s="2"/>
      <c r="T126" s="2"/>
      <c r="U126" s="2"/>
      <c r="V126" s="2"/>
      <c r="W126" s="2"/>
      <c r="X126" s="2"/>
      <c r="Y126" s="2"/>
      <c r="Z126" s="2"/>
    </row>
    <row r="127">
      <c r="A127" s="5"/>
      <c r="B127" s="5"/>
      <c r="C127" s="5"/>
      <c r="D127" s="2"/>
      <c r="E127" s="2"/>
      <c r="F127" s="2"/>
      <c r="G127" s="2"/>
      <c r="H127" s="2"/>
      <c r="I127" s="2"/>
      <c r="J127" s="2"/>
      <c r="K127" s="2"/>
      <c r="L127" s="2"/>
      <c r="M127" s="2"/>
      <c r="N127" s="2"/>
      <c r="O127" s="2"/>
      <c r="P127" s="2"/>
      <c r="Q127" s="2"/>
      <c r="R127" s="2"/>
      <c r="S127" s="2"/>
      <c r="T127" s="2"/>
      <c r="U127" s="2"/>
      <c r="V127" s="2"/>
      <c r="W127" s="2"/>
      <c r="X127" s="2"/>
      <c r="Y127" s="2"/>
      <c r="Z127" s="2"/>
    </row>
    <row r="128">
      <c r="A128" s="5"/>
      <c r="B128" s="5"/>
      <c r="C128" s="5"/>
      <c r="D128" s="2"/>
      <c r="E128" s="2"/>
      <c r="F128" s="2"/>
      <c r="G128" s="2"/>
      <c r="H128" s="2"/>
      <c r="I128" s="2"/>
      <c r="J128" s="2"/>
      <c r="K128" s="2"/>
      <c r="L128" s="2"/>
      <c r="M128" s="2"/>
      <c r="N128" s="2"/>
      <c r="O128" s="2"/>
      <c r="P128" s="2"/>
      <c r="Q128" s="2"/>
      <c r="R128" s="2"/>
      <c r="S128" s="2"/>
      <c r="T128" s="2"/>
      <c r="U128" s="2"/>
      <c r="V128" s="2"/>
      <c r="W128" s="2"/>
      <c r="X128" s="2"/>
      <c r="Y128" s="2"/>
      <c r="Z128" s="2"/>
    </row>
    <row r="129">
      <c r="A129" s="5"/>
      <c r="B129" s="5"/>
      <c r="C129" s="5"/>
      <c r="D129" s="2"/>
      <c r="E129" s="2"/>
      <c r="F129" s="2"/>
      <c r="G129" s="2"/>
      <c r="H129" s="2"/>
      <c r="I129" s="2"/>
      <c r="J129" s="2"/>
      <c r="K129" s="2"/>
      <c r="L129" s="2"/>
      <c r="M129" s="2"/>
      <c r="N129" s="2"/>
      <c r="O129" s="2"/>
      <c r="P129" s="2"/>
      <c r="Q129" s="2"/>
      <c r="R129" s="2"/>
      <c r="S129" s="2"/>
      <c r="T129" s="2"/>
      <c r="U129" s="2"/>
      <c r="V129" s="2"/>
      <c r="W129" s="2"/>
      <c r="X129" s="2"/>
      <c r="Y129" s="2"/>
      <c r="Z129" s="2"/>
    </row>
    <row r="130">
      <c r="A130" s="5"/>
      <c r="B130" s="5"/>
      <c r="C130" s="5"/>
      <c r="D130" s="2"/>
      <c r="E130" s="2"/>
      <c r="F130" s="2"/>
      <c r="G130" s="2"/>
      <c r="H130" s="2"/>
      <c r="I130" s="2"/>
      <c r="J130" s="2"/>
      <c r="K130" s="2"/>
      <c r="L130" s="2"/>
      <c r="M130" s="2"/>
      <c r="N130" s="2"/>
      <c r="O130" s="2"/>
      <c r="P130" s="2"/>
      <c r="Q130" s="2"/>
      <c r="R130" s="2"/>
      <c r="S130" s="2"/>
      <c r="T130" s="2"/>
      <c r="U130" s="2"/>
      <c r="V130" s="2"/>
      <c r="W130" s="2"/>
      <c r="X130" s="2"/>
      <c r="Y130" s="2"/>
      <c r="Z130" s="2"/>
    </row>
    <row r="131">
      <c r="A131" s="5"/>
      <c r="B131" s="5"/>
      <c r="C131" s="5"/>
      <c r="D131" s="2"/>
      <c r="E131" s="2"/>
      <c r="F131" s="2"/>
      <c r="G131" s="2"/>
      <c r="H131" s="2"/>
      <c r="I131" s="2"/>
      <c r="J131" s="2"/>
      <c r="K131" s="2"/>
      <c r="L131" s="2"/>
      <c r="M131" s="2"/>
      <c r="N131" s="2"/>
      <c r="O131" s="2"/>
      <c r="P131" s="2"/>
      <c r="Q131" s="2"/>
      <c r="R131" s="2"/>
      <c r="S131" s="2"/>
      <c r="T131" s="2"/>
      <c r="U131" s="2"/>
      <c r="V131" s="2"/>
      <c r="W131" s="2"/>
      <c r="X131" s="2"/>
      <c r="Y131" s="2"/>
      <c r="Z131" s="2"/>
    </row>
    <row r="132">
      <c r="A132" s="5"/>
      <c r="B132" s="5"/>
      <c r="C132" s="5"/>
      <c r="D132" s="2"/>
      <c r="E132" s="2"/>
      <c r="F132" s="2"/>
      <c r="G132" s="2"/>
      <c r="H132" s="2"/>
      <c r="I132" s="2"/>
      <c r="J132" s="2"/>
      <c r="K132" s="2"/>
      <c r="L132" s="2"/>
      <c r="M132" s="2"/>
      <c r="N132" s="2"/>
      <c r="O132" s="2"/>
      <c r="P132" s="2"/>
      <c r="Q132" s="2"/>
      <c r="R132" s="2"/>
      <c r="S132" s="2"/>
      <c r="T132" s="2"/>
      <c r="U132" s="2"/>
      <c r="V132" s="2"/>
      <c r="W132" s="2"/>
      <c r="X132" s="2"/>
      <c r="Y132" s="2"/>
      <c r="Z132" s="2"/>
    </row>
    <row r="133">
      <c r="A133" s="5"/>
      <c r="B133" s="5"/>
      <c r="C133" s="5"/>
      <c r="D133" s="2"/>
      <c r="E133" s="2"/>
      <c r="F133" s="2"/>
      <c r="G133" s="2"/>
      <c r="H133" s="2"/>
      <c r="I133" s="2"/>
      <c r="J133" s="2"/>
      <c r="K133" s="2"/>
      <c r="L133" s="2"/>
      <c r="M133" s="2"/>
      <c r="N133" s="2"/>
      <c r="O133" s="2"/>
      <c r="P133" s="2"/>
      <c r="Q133" s="2"/>
      <c r="R133" s="2"/>
      <c r="S133" s="2"/>
      <c r="T133" s="2"/>
      <c r="U133" s="2"/>
      <c r="V133" s="2"/>
      <c r="W133" s="2"/>
      <c r="X133" s="2"/>
      <c r="Y133" s="2"/>
      <c r="Z133" s="2"/>
    </row>
    <row r="134">
      <c r="A134" s="5"/>
      <c r="B134" s="5"/>
      <c r="C134" s="5"/>
      <c r="D134" s="2"/>
      <c r="E134" s="2"/>
      <c r="F134" s="2"/>
      <c r="G134" s="2"/>
      <c r="H134" s="2"/>
      <c r="I134" s="2"/>
      <c r="J134" s="2"/>
      <c r="K134" s="2"/>
      <c r="L134" s="2"/>
      <c r="M134" s="2"/>
      <c r="N134" s="2"/>
      <c r="O134" s="2"/>
      <c r="P134" s="2"/>
      <c r="Q134" s="2"/>
      <c r="R134" s="2"/>
      <c r="S134" s="2"/>
      <c r="T134" s="2"/>
      <c r="U134" s="2"/>
      <c r="V134" s="2"/>
      <c r="W134" s="2"/>
      <c r="X134" s="2"/>
      <c r="Y134" s="2"/>
      <c r="Z134" s="2"/>
    </row>
    <row r="135">
      <c r="A135" s="5"/>
      <c r="B135" s="5"/>
      <c r="C135" s="5"/>
      <c r="D135" s="2"/>
      <c r="E135" s="2"/>
      <c r="F135" s="2"/>
      <c r="G135" s="2"/>
      <c r="H135" s="2"/>
      <c r="I135" s="2"/>
      <c r="J135" s="2"/>
      <c r="K135" s="2"/>
      <c r="L135" s="2"/>
      <c r="M135" s="2"/>
      <c r="N135" s="2"/>
      <c r="O135" s="2"/>
      <c r="P135" s="2"/>
      <c r="Q135" s="2"/>
      <c r="R135" s="2"/>
      <c r="S135" s="2"/>
      <c r="T135" s="2"/>
      <c r="U135" s="2"/>
      <c r="V135" s="2"/>
      <c r="W135" s="2"/>
      <c r="X135" s="2"/>
      <c r="Y135" s="2"/>
      <c r="Z135" s="2"/>
    </row>
    <row r="136">
      <c r="A136" s="5"/>
      <c r="B136" s="5"/>
      <c r="C136" s="5"/>
      <c r="D136" s="2"/>
      <c r="E136" s="2"/>
      <c r="F136" s="2"/>
      <c r="G136" s="2"/>
      <c r="H136" s="2"/>
      <c r="I136" s="2"/>
      <c r="J136" s="2"/>
      <c r="K136" s="2"/>
      <c r="L136" s="2"/>
      <c r="M136" s="2"/>
      <c r="N136" s="2"/>
      <c r="O136" s="2"/>
      <c r="P136" s="2"/>
      <c r="Q136" s="2"/>
      <c r="R136" s="2"/>
      <c r="S136" s="2"/>
      <c r="T136" s="2"/>
      <c r="U136" s="2"/>
      <c r="V136" s="2"/>
      <c r="W136" s="2"/>
      <c r="X136" s="2"/>
      <c r="Y136" s="2"/>
      <c r="Z136" s="2"/>
    </row>
    <row r="137">
      <c r="A137" s="5"/>
      <c r="B137" s="5"/>
      <c r="C137" s="5"/>
      <c r="D137" s="2"/>
      <c r="E137" s="2"/>
      <c r="F137" s="2"/>
      <c r="G137" s="2"/>
      <c r="H137" s="2"/>
      <c r="I137" s="2"/>
      <c r="J137" s="2"/>
      <c r="K137" s="2"/>
      <c r="L137" s="2"/>
      <c r="M137" s="2"/>
      <c r="N137" s="2"/>
      <c r="O137" s="2"/>
      <c r="P137" s="2"/>
      <c r="Q137" s="2"/>
      <c r="R137" s="2"/>
      <c r="S137" s="2"/>
      <c r="T137" s="2"/>
      <c r="U137" s="2"/>
      <c r="V137" s="2"/>
      <c r="W137" s="2"/>
      <c r="X137" s="2"/>
      <c r="Y137" s="2"/>
      <c r="Z137" s="2"/>
    </row>
    <row r="138">
      <c r="A138" s="5"/>
      <c r="B138" s="5"/>
      <c r="C138" s="5"/>
      <c r="D138" s="2"/>
      <c r="E138" s="2"/>
      <c r="F138" s="2"/>
      <c r="G138" s="2"/>
      <c r="H138" s="2"/>
      <c r="I138" s="2"/>
      <c r="J138" s="2"/>
      <c r="K138" s="2"/>
      <c r="L138" s="2"/>
      <c r="M138" s="2"/>
      <c r="N138" s="2"/>
      <c r="O138" s="2"/>
      <c r="P138" s="2"/>
      <c r="Q138" s="2"/>
      <c r="R138" s="2"/>
      <c r="S138" s="2"/>
      <c r="T138" s="2"/>
      <c r="U138" s="2"/>
      <c r="V138" s="2"/>
      <c r="W138" s="2"/>
      <c r="X138" s="2"/>
      <c r="Y138" s="2"/>
      <c r="Z138" s="2"/>
    </row>
    <row r="139">
      <c r="A139" s="5"/>
      <c r="B139" s="5"/>
      <c r="C139" s="5"/>
      <c r="D139" s="2"/>
      <c r="E139" s="2"/>
      <c r="F139" s="2"/>
      <c r="G139" s="2"/>
      <c r="H139" s="2"/>
      <c r="I139" s="2"/>
      <c r="J139" s="2"/>
      <c r="K139" s="2"/>
      <c r="L139" s="2"/>
      <c r="M139" s="2"/>
      <c r="N139" s="2"/>
      <c r="O139" s="2"/>
      <c r="P139" s="2"/>
      <c r="Q139" s="2"/>
      <c r="R139" s="2"/>
      <c r="S139" s="2"/>
      <c r="T139" s="2"/>
      <c r="U139" s="2"/>
      <c r="V139" s="2"/>
      <c r="W139" s="2"/>
      <c r="X139" s="2"/>
      <c r="Y139" s="2"/>
      <c r="Z139" s="2"/>
    </row>
    <row r="140">
      <c r="A140" s="5"/>
      <c r="B140" s="5"/>
      <c r="C140" s="5"/>
      <c r="D140" s="2"/>
      <c r="E140" s="2"/>
      <c r="F140" s="2"/>
      <c r="G140" s="2"/>
      <c r="H140" s="2"/>
      <c r="I140" s="2"/>
      <c r="J140" s="2"/>
      <c r="K140" s="2"/>
      <c r="L140" s="2"/>
      <c r="M140" s="2"/>
      <c r="N140" s="2"/>
      <c r="O140" s="2"/>
      <c r="P140" s="2"/>
      <c r="Q140" s="2"/>
      <c r="R140" s="2"/>
      <c r="S140" s="2"/>
      <c r="T140" s="2"/>
      <c r="U140" s="2"/>
      <c r="V140" s="2"/>
      <c r="W140" s="2"/>
      <c r="X140" s="2"/>
      <c r="Y140" s="2"/>
      <c r="Z140" s="2"/>
    </row>
    <row r="141">
      <c r="A141" s="5"/>
      <c r="B141" s="5"/>
      <c r="C141" s="5"/>
      <c r="D141" s="2"/>
      <c r="E141" s="2"/>
      <c r="F141" s="2"/>
      <c r="G141" s="2"/>
      <c r="H141" s="2"/>
      <c r="I141" s="2"/>
      <c r="J141" s="2"/>
      <c r="K141" s="2"/>
      <c r="L141" s="2"/>
      <c r="M141" s="2"/>
      <c r="N141" s="2"/>
      <c r="O141" s="2"/>
      <c r="P141" s="2"/>
      <c r="Q141" s="2"/>
      <c r="R141" s="2"/>
      <c r="S141" s="2"/>
      <c r="T141" s="2"/>
      <c r="U141" s="2"/>
      <c r="V141" s="2"/>
      <c r="W141" s="2"/>
      <c r="X141" s="2"/>
      <c r="Y141" s="2"/>
      <c r="Z141" s="2"/>
    </row>
    <row r="142">
      <c r="A142" s="5"/>
      <c r="B142" s="5"/>
      <c r="C142" s="5"/>
      <c r="D142" s="2"/>
      <c r="E142" s="2"/>
      <c r="F142" s="2"/>
      <c r="G142" s="2"/>
      <c r="H142" s="2"/>
      <c r="I142" s="2"/>
      <c r="J142" s="2"/>
      <c r="K142" s="2"/>
      <c r="L142" s="2"/>
      <c r="M142" s="2"/>
      <c r="N142" s="2"/>
      <c r="O142" s="2"/>
      <c r="P142" s="2"/>
      <c r="Q142" s="2"/>
      <c r="R142" s="2"/>
      <c r="S142" s="2"/>
      <c r="T142" s="2"/>
      <c r="U142" s="2"/>
      <c r="V142" s="2"/>
      <c r="W142" s="2"/>
      <c r="X142" s="2"/>
      <c r="Y142" s="2"/>
      <c r="Z142" s="2"/>
    </row>
    <row r="143">
      <c r="A143" s="5"/>
      <c r="B143" s="5"/>
      <c r="C143" s="5"/>
      <c r="D143" s="2"/>
      <c r="E143" s="2"/>
      <c r="F143" s="2"/>
      <c r="G143" s="2"/>
      <c r="H143" s="2"/>
      <c r="I143" s="2"/>
      <c r="J143" s="2"/>
      <c r="K143" s="2"/>
      <c r="L143" s="2"/>
      <c r="M143" s="2"/>
      <c r="N143" s="2"/>
      <c r="O143" s="2"/>
      <c r="P143" s="2"/>
      <c r="Q143" s="2"/>
      <c r="R143" s="2"/>
      <c r="S143" s="2"/>
      <c r="T143" s="2"/>
      <c r="U143" s="2"/>
      <c r="V143" s="2"/>
      <c r="W143" s="2"/>
      <c r="X143" s="2"/>
      <c r="Y143" s="2"/>
      <c r="Z143" s="2"/>
    </row>
    <row r="144">
      <c r="A144" s="5"/>
      <c r="B144" s="5"/>
      <c r="C144" s="5"/>
      <c r="D144" s="2"/>
      <c r="E144" s="2"/>
      <c r="F144" s="2"/>
      <c r="G144" s="2"/>
      <c r="H144" s="2"/>
      <c r="I144" s="2"/>
      <c r="J144" s="2"/>
      <c r="K144" s="2"/>
      <c r="L144" s="2"/>
      <c r="M144" s="2"/>
      <c r="N144" s="2"/>
      <c r="O144" s="2"/>
      <c r="P144" s="2"/>
      <c r="Q144" s="2"/>
      <c r="R144" s="2"/>
      <c r="S144" s="2"/>
      <c r="T144" s="2"/>
      <c r="U144" s="2"/>
      <c r="V144" s="2"/>
      <c r="W144" s="2"/>
      <c r="X144" s="2"/>
      <c r="Y144" s="2"/>
      <c r="Z144" s="2"/>
    </row>
    <row r="145">
      <c r="A145" s="5"/>
      <c r="B145" s="5"/>
      <c r="C145" s="5"/>
      <c r="D145" s="2"/>
      <c r="E145" s="2"/>
      <c r="F145" s="2"/>
      <c r="G145" s="2"/>
      <c r="H145" s="2"/>
      <c r="I145" s="2"/>
      <c r="J145" s="2"/>
      <c r="K145" s="2"/>
      <c r="L145" s="2"/>
      <c r="M145" s="2"/>
      <c r="N145" s="2"/>
      <c r="O145" s="2"/>
      <c r="P145" s="2"/>
      <c r="Q145" s="2"/>
      <c r="R145" s="2"/>
      <c r="S145" s="2"/>
      <c r="T145" s="2"/>
      <c r="U145" s="2"/>
      <c r="V145" s="2"/>
      <c r="W145" s="2"/>
      <c r="X145" s="2"/>
      <c r="Y145" s="2"/>
      <c r="Z145" s="2"/>
    </row>
    <row r="146">
      <c r="A146" s="5"/>
      <c r="B146" s="5"/>
      <c r="C146" s="5"/>
      <c r="D146" s="2"/>
      <c r="E146" s="2"/>
      <c r="F146" s="2"/>
      <c r="G146" s="2"/>
      <c r="H146" s="2"/>
      <c r="I146" s="2"/>
      <c r="J146" s="2"/>
      <c r="K146" s="2"/>
      <c r="L146" s="2"/>
      <c r="M146" s="2"/>
      <c r="N146" s="2"/>
      <c r="O146" s="2"/>
      <c r="P146" s="2"/>
      <c r="Q146" s="2"/>
      <c r="R146" s="2"/>
      <c r="S146" s="2"/>
      <c r="T146" s="2"/>
      <c r="U146" s="2"/>
      <c r="V146" s="2"/>
      <c r="W146" s="2"/>
      <c r="X146" s="2"/>
      <c r="Y146" s="2"/>
      <c r="Z146" s="2"/>
    </row>
    <row r="147">
      <c r="A147" s="5"/>
      <c r="B147" s="5"/>
      <c r="C147" s="5"/>
      <c r="D147" s="2"/>
      <c r="E147" s="2"/>
      <c r="F147" s="2"/>
      <c r="G147" s="2"/>
      <c r="H147" s="2"/>
      <c r="I147" s="2"/>
      <c r="J147" s="2"/>
      <c r="K147" s="2"/>
      <c r="L147" s="2"/>
      <c r="M147" s="2"/>
      <c r="N147" s="2"/>
      <c r="O147" s="2"/>
      <c r="P147" s="2"/>
      <c r="Q147" s="2"/>
      <c r="R147" s="2"/>
      <c r="S147" s="2"/>
      <c r="T147" s="2"/>
      <c r="U147" s="2"/>
      <c r="V147" s="2"/>
      <c r="W147" s="2"/>
      <c r="X147" s="2"/>
      <c r="Y147" s="2"/>
      <c r="Z147" s="2"/>
    </row>
    <row r="148">
      <c r="A148" s="5"/>
      <c r="B148" s="5"/>
      <c r="C148" s="5"/>
      <c r="D148" s="2"/>
      <c r="E148" s="2"/>
      <c r="F148" s="2"/>
      <c r="G148" s="2"/>
      <c r="H148" s="2"/>
      <c r="I148" s="2"/>
      <c r="J148" s="2"/>
      <c r="K148" s="2"/>
      <c r="L148" s="2"/>
      <c r="M148" s="2"/>
      <c r="N148" s="2"/>
      <c r="O148" s="2"/>
      <c r="P148" s="2"/>
      <c r="Q148" s="2"/>
      <c r="R148" s="2"/>
      <c r="S148" s="2"/>
      <c r="T148" s="2"/>
      <c r="U148" s="2"/>
      <c r="V148" s="2"/>
      <c r="W148" s="2"/>
      <c r="X148" s="2"/>
      <c r="Y148" s="2"/>
      <c r="Z148" s="2"/>
    </row>
    <row r="149">
      <c r="A149" s="5"/>
      <c r="B149" s="5"/>
      <c r="C149" s="5"/>
      <c r="D149" s="2"/>
      <c r="E149" s="2"/>
      <c r="F149" s="2"/>
      <c r="G149" s="2"/>
      <c r="H149" s="2"/>
      <c r="I149" s="2"/>
      <c r="J149" s="2"/>
      <c r="K149" s="2"/>
      <c r="L149" s="2"/>
      <c r="M149" s="2"/>
      <c r="N149" s="2"/>
      <c r="O149" s="2"/>
      <c r="P149" s="2"/>
      <c r="Q149" s="2"/>
      <c r="R149" s="2"/>
      <c r="S149" s="2"/>
      <c r="T149" s="2"/>
      <c r="U149" s="2"/>
      <c r="V149" s="2"/>
      <c r="W149" s="2"/>
      <c r="X149" s="2"/>
      <c r="Y149" s="2"/>
      <c r="Z149" s="2"/>
    </row>
    <row r="150">
      <c r="A150" s="5"/>
      <c r="B150" s="5"/>
      <c r="C150" s="5"/>
      <c r="D150" s="2"/>
      <c r="E150" s="2"/>
      <c r="F150" s="2"/>
      <c r="G150" s="2"/>
      <c r="H150" s="2"/>
      <c r="I150" s="2"/>
      <c r="J150" s="2"/>
      <c r="K150" s="2"/>
      <c r="L150" s="2"/>
      <c r="M150" s="2"/>
      <c r="N150" s="2"/>
      <c r="O150" s="2"/>
      <c r="P150" s="2"/>
      <c r="Q150" s="2"/>
      <c r="R150" s="2"/>
      <c r="S150" s="2"/>
      <c r="T150" s="2"/>
      <c r="U150" s="2"/>
      <c r="V150" s="2"/>
      <c r="W150" s="2"/>
      <c r="X150" s="2"/>
      <c r="Y150" s="2"/>
      <c r="Z150" s="2"/>
    </row>
    <row r="151">
      <c r="A151" s="5"/>
      <c r="B151" s="5"/>
      <c r="C151" s="5"/>
      <c r="D151" s="2"/>
      <c r="E151" s="2"/>
      <c r="F151" s="2"/>
      <c r="G151" s="2"/>
      <c r="H151" s="2"/>
      <c r="I151" s="2"/>
      <c r="J151" s="2"/>
      <c r="K151" s="2"/>
      <c r="L151" s="2"/>
      <c r="M151" s="2"/>
      <c r="N151" s="2"/>
      <c r="O151" s="2"/>
      <c r="P151" s="2"/>
      <c r="Q151" s="2"/>
      <c r="R151" s="2"/>
      <c r="S151" s="2"/>
      <c r="T151" s="2"/>
      <c r="U151" s="2"/>
      <c r="V151" s="2"/>
      <c r="W151" s="2"/>
      <c r="X151" s="2"/>
      <c r="Y151" s="2"/>
      <c r="Z151" s="2"/>
    </row>
    <row r="152">
      <c r="A152" s="5"/>
      <c r="B152" s="5"/>
      <c r="C152" s="5"/>
      <c r="D152" s="2"/>
      <c r="E152" s="2"/>
      <c r="F152" s="2"/>
      <c r="G152" s="2"/>
      <c r="H152" s="2"/>
      <c r="I152" s="2"/>
      <c r="J152" s="2"/>
      <c r="K152" s="2"/>
      <c r="L152" s="2"/>
      <c r="M152" s="2"/>
      <c r="N152" s="2"/>
      <c r="O152" s="2"/>
      <c r="P152" s="2"/>
      <c r="Q152" s="2"/>
      <c r="R152" s="2"/>
      <c r="S152" s="2"/>
      <c r="T152" s="2"/>
      <c r="U152" s="2"/>
      <c r="V152" s="2"/>
      <c r="W152" s="2"/>
      <c r="X152" s="2"/>
      <c r="Y152" s="2"/>
      <c r="Z152" s="2"/>
    </row>
    <row r="153">
      <c r="A153" s="5"/>
      <c r="B153" s="5"/>
      <c r="C153" s="5"/>
      <c r="D153" s="2"/>
      <c r="E153" s="2"/>
      <c r="F153" s="2"/>
      <c r="G153" s="2"/>
      <c r="H153" s="2"/>
      <c r="I153" s="2"/>
      <c r="J153" s="2"/>
      <c r="K153" s="2"/>
      <c r="L153" s="2"/>
      <c r="M153" s="2"/>
      <c r="N153" s="2"/>
      <c r="O153" s="2"/>
      <c r="P153" s="2"/>
      <c r="Q153" s="2"/>
      <c r="R153" s="2"/>
      <c r="S153" s="2"/>
      <c r="T153" s="2"/>
      <c r="U153" s="2"/>
      <c r="V153" s="2"/>
      <c r="W153" s="2"/>
      <c r="X153" s="2"/>
      <c r="Y153" s="2"/>
      <c r="Z153" s="2"/>
    </row>
    <row r="154">
      <c r="A154" s="5"/>
      <c r="B154" s="5"/>
      <c r="C154" s="5"/>
      <c r="D154" s="2"/>
      <c r="E154" s="2"/>
      <c r="F154" s="2"/>
      <c r="G154" s="2"/>
      <c r="H154" s="2"/>
      <c r="I154" s="2"/>
      <c r="J154" s="2"/>
      <c r="K154" s="2"/>
      <c r="L154" s="2"/>
      <c r="M154" s="2"/>
      <c r="N154" s="2"/>
      <c r="O154" s="2"/>
      <c r="P154" s="2"/>
      <c r="Q154" s="2"/>
      <c r="R154" s="2"/>
      <c r="S154" s="2"/>
      <c r="T154" s="2"/>
      <c r="U154" s="2"/>
      <c r="V154" s="2"/>
      <c r="W154" s="2"/>
      <c r="X154" s="2"/>
      <c r="Y154" s="2"/>
      <c r="Z154" s="2"/>
    </row>
    <row r="155">
      <c r="A155" s="5"/>
      <c r="B155" s="5"/>
      <c r="C155" s="5"/>
      <c r="D155" s="2"/>
      <c r="E155" s="2"/>
      <c r="F155" s="2"/>
      <c r="G155" s="2"/>
      <c r="H155" s="2"/>
      <c r="I155" s="2"/>
      <c r="J155" s="2"/>
      <c r="K155" s="2"/>
      <c r="L155" s="2"/>
      <c r="M155" s="2"/>
      <c r="N155" s="2"/>
      <c r="O155" s="2"/>
      <c r="P155" s="2"/>
      <c r="Q155" s="2"/>
      <c r="R155" s="2"/>
      <c r="S155" s="2"/>
      <c r="T155" s="2"/>
      <c r="U155" s="2"/>
      <c r="V155" s="2"/>
      <c r="W155" s="2"/>
      <c r="X155" s="2"/>
      <c r="Y155" s="2"/>
      <c r="Z155" s="2"/>
    </row>
    <row r="156">
      <c r="A156" s="5"/>
      <c r="B156" s="5"/>
      <c r="C156" s="5"/>
      <c r="D156" s="2"/>
      <c r="E156" s="2"/>
      <c r="F156" s="2"/>
      <c r="G156" s="2"/>
      <c r="H156" s="2"/>
      <c r="I156" s="2"/>
      <c r="J156" s="2"/>
      <c r="K156" s="2"/>
      <c r="L156" s="2"/>
      <c r="M156" s="2"/>
      <c r="N156" s="2"/>
      <c r="O156" s="2"/>
      <c r="P156" s="2"/>
      <c r="Q156" s="2"/>
      <c r="R156" s="2"/>
      <c r="S156" s="2"/>
      <c r="T156" s="2"/>
      <c r="U156" s="2"/>
      <c r="V156" s="2"/>
      <c r="W156" s="2"/>
      <c r="X156" s="2"/>
      <c r="Y156" s="2"/>
      <c r="Z156" s="2"/>
    </row>
    <row r="157">
      <c r="A157" s="5"/>
      <c r="B157" s="5"/>
      <c r="C157" s="5"/>
      <c r="D157" s="2"/>
      <c r="E157" s="2"/>
      <c r="F157" s="2"/>
      <c r="G157" s="2"/>
      <c r="H157" s="2"/>
      <c r="I157" s="2"/>
      <c r="J157" s="2"/>
      <c r="K157" s="2"/>
      <c r="L157" s="2"/>
      <c r="M157" s="2"/>
      <c r="N157" s="2"/>
      <c r="O157" s="2"/>
      <c r="P157" s="2"/>
      <c r="Q157" s="2"/>
      <c r="R157" s="2"/>
      <c r="S157" s="2"/>
      <c r="T157" s="2"/>
      <c r="U157" s="2"/>
      <c r="V157" s="2"/>
      <c r="W157" s="2"/>
      <c r="X157" s="2"/>
      <c r="Y157" s="2"/>
      <c r="Z157" s="2"/>
    </row>
    <row r="158">
      <c r="A158" s="5"/>
      <c r="B158" s="5"/>
      <c r="C158" s="5"/>
      <c r="D158" s="2"/>
      <c r="E158" s="2"/>
      <c r="F158" s="2"/>
      <c r="G158" s="2"/>
      <c r="H158" s="2"/>
      <c r="I158" s="2"/>
      <c r="J158" s="2"/>
      <c r="K158" s="2"/>
      <c r="L158" s="2"/>
      <c r="M158" s="2"/>
      <c r="N158" s="2"/>
      <c r="O158" s="2"/>
      <c r="P158" s="2"/>
      <c r="Q158" s="2"/>
      <c r="R158" s="2"/>
      <c r="S158" s="2"/>
      <c r="T158" s="2"/>
      <c r="U158" s="2"/>
      <c r="V158" s="2"/>
      <c r="W158" s="2"/>
      <c r="X158" s="2"/>
      <c r="Y158" s="2"/>
      <c r="Z158" s="2"/>
    </row>
    <row r="159">
      <c r="A159" s="5"/>
      <c r="B159" s="5"/>
      <c r="C159" s="5"/>
      <c r="D159" s="2"/>
      <c r="E159" s="2"/>
      <c r="F159" s="2"/>
      <c r="G159" s="2"/>
      <c r="H159" s="2"/>
      <c r="I159" s="2"/>
      <c r="J159" s="2"/>
      <c r="K159" s="2"/>
      <c r="L159" s="2"/>
      <c r="M159" s="2"/>
      <c r="N159" s="2"/>
      <c r="O159" s="2"/>
      <c r="P159" s="2"/>
      <c r="Q159" s="2"/>
      <c r="R159" s="2"/>
      <c r="S159" s="2"/>
      <c r="T159" s="2"/>
      <c r="U159" s="2"/>
      <c r="V159" s="2"/>
      <c r="W159" s="2"/>
      <c r="X159" s="2"/>
      <c r="Y159" s="2"/>
      <c r="Z159" s="2"/>
    </row>
    <row r="160">
      <c r="A160" s="5"/>
      <c r="B160" s="5"/>
      <c r="C160" s="5"/>
      <c r="D160" s="2"/>
      <c r="E160" s="2"/>
      <c r="F160" s="2"/>
      <c r="G160" s="2"/>
      <c r="H160" s="2"/>
      <c r="I160" s="2"/>
      <c r="J160" s="2"/>
      <c r="K160" s="2"/>
      <c r="L160" s="2"/>
      <c r="M160" s="2"/>
      <c r="N160" s="2"/>
      <c r="O160" s="2"/>
      <c r="P160" s="2"/>
      <c r="Q160" s="2"/>
      <c r="R160" s="2"/>
      <c r="S160" s="2"/>
      <c r="T160" s="2"/>
      <c r="U160" s="2"/>
      <c r="V160" s="2"/>
      <c r="W160" s="2"/>
      <c r="X160" s="2"/>
      <c r="Y160" s="2"/>
      <c r="Z160" s="2"/>
    </row>
    <row r="161">
      <c r="A161" s="5"/>
      <c r="B161" s="5"/>
      <c r="C161" s="5"/>
      <c r="D161" s="2"/>
      <c r="E161" s="2"/>
      <c r="F161" s="2"/>
      <c r="G161" s="2"/>
      <c r="H161" s="2"/>
      <c r="I161" s="2"/>
      <c r="J161" s="2"/>
      <c r="K161" s="2"/>
      <c r="L161" s="2"/>
      <c r="M161" s="2"/>
      <c r="N161" s="2"/>
      <c r="O161" s="2"/>
      <c r="P161" s="2"/>
      <c r="Q161" s="2"/>
      <c r="R161" s="2"/>
      <c r="S161" s="2"/>
      <c r="T161" s="2"/>
      <c r="U161" s="2"/>
      <c r="V161" s="2"/>
      <c r="W161" s="2"/>
      <c r="X161" s="2"/>
      <c r="Y161" s="2"/>
      <c r="Z161" s="2"/>
    </row>
    <row r="162">
      <c r="A162" s="5"/>
      <c r="B162" s="5"/>
      <c r="C162" s="5"/>
      <c r="D162" s="2"/>
      <c r="E162" s="2"/>
      <c r="F162" s="2"/>
      <c r="G162" s="2"/>
      <c r="H162" s="2"/>
      <c r="I162" s="2"/>
      <c r="J162" s="2"/>
      <c r="K162" s="2"/>
      <c r="L162" s="2"/>
      <c r="M162" s="2"/>
      <c r="N162" s="2"/>
      <c r="O162" s="2"/>
      <c r="P162" s="2"/>
      <c r="Q162" s="2"/>
      <c r="R162" s="2"/>
      <c r="S162" s="2"/>
      <c r="T162" s="2"/>
      <c r="U162" s="2"/>
      <c r="V162" s="2"/>
      <c r="W162" s="2"/>
      <c r="X162" s="2"/>
      <c r="Y162" s="2"/>
      <c r="Z162" s="2"/>
    </row>
    <row r="163">
      <c r="A163" s="5"/>
      <c r="B163" s="5"/>
      <c r="C163" s="5"/>
      <c r="D163" s="2"/>
      <c r="E163" s="2"/>
      <c r="F163" s="2"/>
      <c r="G163" s="2"/>
      <c r="H163" s="2"/>
      <c r="I163" s="2"/>
      <c r="J163" s="2"/>
      <c r="K163" s="2"/>
      <c r="L163" s="2"/>
      <c r="M163" s="2"/>
      <c r="N163" s="2"/>
      <c r="O163" s="2"/>
      <c r="P163" s="2"/>
      <c r="Q163" s="2"/>
      <c r="R163" s="2"/>
      <c r="S163" s="2"/>
      <c r="T163" s="2"/>
      <c r="U163" s="2"/>
      <c r="V163" s="2"/>
      <c r="W163" s="2"/>
      <c r="X163" s="2"/>
      <c r="Y163" s="2"/>
      <c r="Z163" s="2"/>
    </row>
    <row r="164">
      <c r="A164" s="5"/>
      <c r="B164" s="5"/>
      <c r="C164" s="5"/>
      <c r="D164" s="2"/>
      <c r="E164" s="2"/>
      <c r="F164" s="2"/>
      <c r="G164" s="2"/>
      <c r="H164" s="2"/>
      <c r="I164" s="2"/>
      <c r="J164" s="2"/>
      <c r="K164" s="2"/>
      <c r="L164" s="2"/>
      <c r="M164" s="2"/>
      <c r="N164" s="2"/>
      <c r="O164" s="2"/>
      <c r="P164" s="2"/>
      <c r="Q164" s="2"/>
      <c r="R164" s="2"/>
      <c r="S164" s="2"/>
      <c r="T164" s="2"/>
      <c r="U164" s="2"/>
      <c r="V164" s="2"/>
      <c r="W164" s="2"/>
      <c r="X164" s="2"/>
      <c r="Y164" s="2"/>
      <c r="Z164" s="2"/>
    </row>
    <row r="165">
      <c r="A165" s="5"/>
      <c r="B165" s="5"/>
      <c r="C165" s="5"/>
      <c r="D165" s="2"/>
      <c r="E165" s="2"/>
      <c r="F165" s="2"/>
      <c r="G165" s="2"/>
      <c r="H165" s="2"/>
      <c r="I165" s="2"/>
      <c r="J165" s="2"/>
      <c r="K165" s="2"/>
      <c r="L165" s="2"/>
      <c r="M165" s="2"/>
      <c r="N165" s="2"/>
      <c r="O165" s="2"/>
      <c r="P165" s="2"/>
      <c r="Q165" s="2"/>
      <c r="R165" s="2"/>
      <c r="S165" s="2"/>
      <c r="T165" s="2"/>
      <c r="U165" s="2"/>
      <c r="V165" s="2"/>
      <c r="W165" s="2"/>
      <c r="X165" s="2"/>
      <c r="Y165" s="2"/>
      <c r="Z165" s="2"/>
    </row>
    <row r="166">
      <c r="A166" s="5"/>
      <c r="B166" s="5"/>
      <c r="C166" s="5"/>
      <c r="D166" s="2"/>
      <c r="E166" s="2"/>
      <c r="F166" s="2"/>
      <c r="G166" s="2"/>
      <c r="H166" s="2"/>
      <c r="I166" s="2"/>
      <c r="J166" s="2"/>
      <c r="K166" s="2"/>
      <c r="L166" s="2"/>
      <c r="M166" s="2"/>
      <c r="N166" s="2"/>
      <c r="O166" s="2"/>
      <c r="P166" s="2"/>
      <c r="Q166" s="2"/>
      <c r="R166" s="2"/>
      <c r="S166" s="2"/>
      <c r="T166" s="2"/>
      <c r="U166" s="2"/>
      <c r="V166" s="2"/>
      <c r="W166" s="2"/>
      <c r="X166" s="2"/>
      <c r="Y166" s="2"/>
      <c r="Z166" s="2"/>
    </row>
    <row r="167">
      <c r="A167" s="5"/>
      <c r="B167" s="5"/>
      <c r="C167" s="5"/>
      <c r="D167" s="2"/>
      <c r="E167" s="2"/>
      <c r="F167" s="2"/>
      <c r="G167" s="2"/>
      <c r="H167" s="2"/>
      <c r="I167" s="2"/>
      <c r="J167" s="2"/>
      <c r="K167" s="2"/>
      <c r="L167" s="2"/>
      <c r="M167" s="2"/>
      <c r="N167" s="2"/>
      <c r="O167" s="2"/>
      <c r="P167" s="2"/>
      <c r="Q167" s="2"/>
      <c r="R167" s="2"/>
      <c r="S167" s="2"/>
      <c r="T167" s="2"/>
      <c r="U167" s="2"/>
      <c r="V167" s="2"/>
      <c r="W167" s="2"/>
      <c r="X167" s="2"/>
      <c r="Y167" s="2"/>
      <c r="Z167" s="2"/>
    </row>
    <row r="168">
      <c r="A168" s="5"/>
      <c r="B168" s="5"/>
      <c r="C168" s="5"/>
      <c r="D168" s="2"/>
      <c r="E168" s="2"/>
      <c r="F168" s="2"/>
      <c r="G168" s="2"/>
      <c r="H168" s="2"/>
      <c r="I168" s="2"/>
      <c r="J168" s="2"/>
      <c r="K168" s="2"/>
      <c r="L168" s="2"/>
      <c r="M168" s="2"/>
      <c r="N168" s="2"/>
      <c r="O168" s="2"/>
      <c r="P168" s="2"/>
      <c r="Q168" s="2"/>
      <c r="R168" s="2"/>
      <c r="S168" s="2"/>
      <c r="T168" s="2"/>
      <c r="U168" s="2"/>
      <c r="V168" s="2"/>
      <c r="W168" s="2"/>
      <c r="X168" s="2"/>
      <c r="Y168" s="2"/>
      <c r="Z168" s="2"/>
    </row>
    <row r="169">
      <c r="A169" s="5"/>
      <c r="B169" s="5"/>
      <c r="C169" s="5"/>
      <c r="D169" s="2"/>
      <c r="E169" s="2"/>
      <c r="F169" s="2"/>
      <c r="G169" s="2"/>
      <c r="H169" s="2"/>
      <c r="I169" s="2"/>
      <c r="J169" s="2"/>
      <c r="K169" s="2"/>
      <c r="L169" s="2"/>
      <c r="M169" s="2"/>
      <c r="N169" s="2"/>
      <c r="O169" s="2"/>
      <c r="P169" s="2"/>
      <c r="Q169" s="2"/>
      <c r="R169" s="2"/>
      <c r="S169" s="2"/>
      <c r="T169" s="2"/>
      <c r="U169" s="2"/>
      <c r="V169" s="2"/>
      <c r="W169" s="2"/>
      <c r="X169" s="2"/>
      <c r="Y169" s="2"/>
      <c r="Z169" s="2"/>
    </row>
    <row r="170">
      <c r="A170" s="5"/>
      <c r="B170" s="5"/>
      <c r="C170" s="5"/>
      <c r="D170" s="2"/>
      <c r="E170" s="2"/>
      <c r="F170" s="2"/>
      <c r="G170" s="2"/>
      <c r="H170" s="2"/>
      <c r="I170" s="2"/>
      <c r="J170" s="2"/>
      <c r="K170" s="2"/>
      <c r="L170" s="2"/>
      <c r="M170" s="2"/>
      <c r="N170" s="2"/>
      <c r="O170" s="2"/>
      <c r="P170" s="2"/>
      <c r="Q170" s="2"/>
      <c r="R170" s="2"/>
      <c r="S170" s="2"/>
      <c r="T170" s="2"/>
      <c r="U170" s="2"/>
      <c r="V170" s="2"/>
      <c r="W170" s="2"/>
      <c r="X170" s="2"/>
      <c r="Y170" s="2"/>
      <c r="Z170" s="2"/>
    </row>
    <row r="171">
      <c r="A171" s="5"/>
      <c r="B171" s="5"/>
      <c r="C171" s="5"/>
      <c r="D171" s="2"/>
      <c r="E171" s="2"/>
      <c r="F171" s="2"/>
      <c r="G171" s="2"/>
      <c r="H171" s="2"/>
      <c r="I171" s="2"/>
      <c r="J171" s="2"/>
      <c r="K171" s="2"/>
      <c r="L171" s="2"/>
      <c r="M171" s="2"/>
      <c r="N171" s="2"/>
      <c r="O171" s="2"/>
      <c r="P171" s="2"/>
      <c r="Q171" s="2"/>
      <c r="R171" s="2"/>
      <c r="S171" s="2"/>
      <c r="T171" s="2"/>
      <c r="U171" s="2"/>
      <c r="V171" s="2"/>
      <c r="W171" s="2"/>
      <c r="X171" s="2"/>
      <c r="Y171" s="2"/>
      <c r="Z171" s="2"/>
    </row>
    <row r="172">
      <c r="A172" s="5"/>
      <c r="B172" s="5"/>
      <c r="C172" s="5"/>
      <c r="D172" s="2"/>
      <c r="E172" s="2"/>
      <c r="F172" s="2"/>
      <c r="G172" s="2"/>
      <c r="H172" s="2"/>
      <c r="I172" s="2"/>
      <c r="J172" s="2"/>
      <c r="K172" s="2"/>
      <c r="L172" s="2"/>
      <c r="M172" s="2"/>
      <c r="N172" s="2"/>
      <c r="O172" s="2"/>
      <c r="P172" s="2"/>
      <c r="Q172" s="2"/>
      <c r="R172" s="2"/>
      <c r="S172" s="2"/>
      <c r="T172" s="2"/>
      <c r="U172" s="2"/>
      <c r="V172" s="2"/>
      <c r="W172" s="2"/>
      <c r="X172" s="2"/>
      <c r="Y172" s="2"/>
      <c r="Z172" s="2"/>
    </row>
    <row r="173">
      <c r="A173" s="5"/>
      <c r="B173" s="5"/>
      <c r="C173" s="5"/>
      <c r="D173" s="2"/>
      <c r="E173" s="2"/>
      <c r="F173" s="2"/>
      <c r="G173" s="2"/>
      <c r="H173" s="2"/>
      <c r="I173" s="2"/>
      <c r="J173" s="2"/>
      <c r="K173" s="2"/>
      <c r="L173" s="2"/>
      <c r="M173" s="2"/>
      <c r="N173" s="2"/>
      <c r="O173" s="2"/>
      <c r="P173" s="2"/>
      <c r="Q173" s="2"/>
      <c r="R173" s="2"/>
      <c r="S173" s="2"/>
      <c r="T173" s="2"/>
      <c r="U173" s="2"/>
      <c r="V173" s="2"/>
      <c r="W173" s="2"/>
      <c r="X173" s="2"/>
      <c r="Y173" s="2"/>
      <c r="Z173" s="2"/>
    </row>
    <row r="174">
      <c r="A174" s="5"/>
      <c r="B174" s="5"/>
      <c r="C174" s="5"/>
      <c r="D174" s="2"/>
      <c r="E174" s="2"/>
      <c r="F174" s="2"/>
      <c r="G174" s="2"/>
      <c r="H174" s="2"/>
      <c r="I174" s="2"/>
      <c r="J174" s="2"/>
      <c r="K174" s="2"/>
      <c r="L174" s="2"/>
      <c r="M174" s="2"/>
      <c r="N174" s="2"/>
      <c r="O174" s="2"/>
      <c r="P174" s="2"/>
      <c r="Q174" s="2"/>
      <c r="R174" s="2"/>
      <c r="S174" s="2"/>
      <c r="T174" s="2"/>
      <c r="U174" s="2"/>
      <c r="V174" s="2"/>
      <c r="W174" s="2"/>
      <c r="X174" s="2"/>
      <c r="Y174" s="2"/>
      <c r="Z174" s="2"/>
    </row>
    <row r="175">
      <c r="A175" s="5"/>
      <c r="B175" s="5"/>
      <c r="C175" s="5"/>
      <c r="D175" s="2"/>
      <c r="E175" s="2"/>
      <c r="F175" s="2"/>
      <c r="G175" s="2"/>
      <c r="H175" s="2"/>
      <c r="I175" s="2"/>
      <c r="J175" s="2"/>
      <c r="K175" s="2"/>
      <c r="L175" s="2"/>
      <c r="M175" s="2"/>
      <c r="N175" s="2"/>
      <c r="O175" s="2"/>
      <c r="P175" s="2"/>
      <c r="Q175" s="2"/>
      <c r="R175" s="2"/>
      <c r="S175" s="2"/>
      <c r="T175" s="2"/>
      <c r="U175" s="2"/>
      <c r="V175" s="2"/>
      <c r="W175" s="2"/>
      <c r="X175" s="2"/>
      <c r="Y175" s="2"/>
      <c r="Z175" s="2"/>
    </row>
    <row r="176">
      <c r="A176" s="5"/>
      <c r="B176" s="5"/>
      <c r="C176" s="5"/>
      <c r="D176" s="2"/>
      <c r="E176" s="2"/>
      <c r="F176" s="2"/>
      <c r="G176" s="2"/>
      <c r="H176" s="2"/>
      <c r="I176" s="2"/>
      <c r="J176" s="2"/>
      <c r="K176" s="2"/>
      <c r="L176" s="2"/>
      <c r="M176" s="2"/>
      <c r="N176" s="2"/>
      <c r="O176" s="2"/>
      <c r="P176" s="2"/>
      <c r="Q176" s="2"/>
      <c r="R176" s="2"/>
      <c r="S176" s="2"/>
      <c r="T176" s="2"/>
      <c r="U176" s="2"/>
      <c r="V176" s="2"/>
      <c r="W176" s="2"/>
      <c r="X176" s="2"/>
      <c r="Y176" s="2"/>
      <c r="Z176" s="2"/>
    </row>
    <row r="177">
      <c r="A177" s="5"/>
      <c r="B177" s="5"/>
      <c r="C177" s="5"/>
      <c r="D177" s="2"/>
      <c r="E177" s="2"/>
      <c r="F177" s="2"/>
      <c r="G177" s="2"/>
      <c r="H177" s="2"/>
      <c r="I177" s="2"/>
      <c r="J177" s="2"/>
      <c r="K177" s="2"/>
      <c r="L177" s="2"/>
      <c r="M177" s="2"/>
      <c r="N177" s="2"/>
      <c r="O177" s="2"/>
      <c r="P177" s="2"/>
      <c r="Q177" s="2"/>
      <c r="R177" s="2"/>
      <c r="S177" s="2"/>
      <c r="T177" s="2"/>
      <c r="U177" s="2"/>
      <c r="V177" s="2"/>
      <c r="W177" s="2"/>
      <c r="X177" s="2"/>
      <c r="Y177" s="2"/>
      <c r="Z177" s="2"/>
    </row>
    <row r="178">
      <c r="A178" s="5"/>
      <c r="B178" s="5"/>
      <c r="C178" s="5"/>
      <c r="D178" s="2"/>
      <c r="E178" s="2"/>
      <c r="F178" s="2"/>
      <c r="G178" s="2"/>
      <c r="H178" s="2"/>
      <c r="I178" s="2"/>
      <c r="J178" s="2"/>
      <c r="K178" s="2"/>
      <c r="L178" s="2"/>
      <c r="M178" s="2"/>
      <c r="N178" s="2"/>
      <c r="O178" s="2"/>
      <c r="P178" s="2"/>
      <c r="Q178" s="2"/>
      <c r="R178" s="2"/>
      <c r="S178" s="2"/>
      <c r="T178" s="2"/>
      <c r="U178" s="2"/>
      <c r="V178" s="2"/>
      <c r="W178" s="2"/>
      <c r="X178" s="2"/>
      <c r="Y178" s="2"/>
      <c r="Z178" s="2"/>
    </row>
    <row r="179">
      <c r="A179" s="5"/>
      <c r="B179" s="5"/>
      <c r="C179" s="5"/>
      <c r="D179" s="2"/>
      <c r="E179" s="2"/>
      <c r="F179" s="2"/>
      <c r="G179" s="2"/>
      <c r="H179" s="2"/>
      <c r="I179" s="2"/>
      <c r="J179" s="2"/>
      <c r="K179" s="2"/>
      <c r="L179" s="2"/>
      <c r="M179" s="2"/>
      <c r="N179" s="2"/>
      <c r="O179" s="2"/>
      <c r="P179" s="2"/>
      <c r="Q179" s="2"/>
      <c r="R179" s="2"/>
      <c r="S179" s="2"/>
      <c r="T179" s="2"/>
      <c r="U179" s="2"/>
      <c r="V179" s="2"/>
      <c r="W179" s="2"/>
      <c r="X179" s="2"/>
      <c r="Y179" s="2"/>
      <c r="Z179" s="2"/>
    </row>
    <row r="180">
      <c r="A180" s="5"/>
      <c r="B180" s="5"/>
      <c r="C180" s="5"/>
      <c r="D180" s="2"/>
      <c r="E180" s="2"/>
      <c r="F180" s="2"/>
      <c r="G180" s="2"/>
      <c r="H180" s="2"/>
      <c r="I180" s="2"/>
      <c r="J180" s="2"/>
      <c r="K180" s="2"/>
      <c r="L180" s="2"/>
      <c r="M180" s="2"/>
      <c r="N180" s="2"/>
      <c r="O180" s="2"/>
      <c r="P180" s="2"/>
      <c r="Q180" s="2"/>
      <c r="R180" s="2"/>
      <c r="S180" s="2"/>
      <c r="T180" s="2"/>
      <c r="U180" s="2"/>
      <c r="V180" s="2"/>
      <c r="W180" s="2"/>
      <c r="X180" s="2"/>
      <c r="Y180" s="2"/>
      <c r="Z180" s="2"/>
    </row>
    <row r="181">
      <c r="A181" s="5"/>
      <c r="B181" s="5"/>
      <c r="C181" s="5"/>
      <c r="D181" s="2"/>
      <c r="E181" s="2"/>
      <c r="F181" s="2"/>
      <c r="G181" s="2"/>
      <c r="H181" s="2"/>
      <c r="I181" s="2"/>
      <c r="J181" s="2"/>
      <c r="K181" s="2"/>
      <c r="L181" s="2"/>
      <c r="M181" s="2"/>
      <c r="N181" s="2"/>
      <c r="O181" s="2"/>
      <c r="P181" s="2"/>
      <c r="Q181" s="2"/>
      <c r="R181" s="2"/>
      <c r="S181" s="2"/>
      <c r="T181" s="2"/>
      <c r="U181" s="2"/>
      <c r="V181" s="2"/>
      <c r="W181" s="2"/>
      <c r="X181" s="2"/>
      <c r="Y181" s="2"/>
      <c r="Z181" s="2"/>
    </row>
    <row r="182">
      <c r="A182" s="5"/>
      <c r="B182" s="5"/>
      <c r="C182" s="5"/>
      <c r="D182" s="2"/>
      <c r="E182" s="2"/>
      <c r="F182" s="2"/>
      <c r="G182" s="2"/>
      <c r="H182" s="2"/>
      <c r="I182" s="2"/>
      <c r="J182" s="2"/>
      <c r="K182" s="2"/>
      <c r="L182" s="2"/>
      <c r="M182" s="2"/>
      <c r="N182" s="2"/>
      <c r="O182" s="2"/>
      <c r="P182" s="2"/>
      <c r="Q182" s="2"/>
      <c r="R182" s="2"/>
      <c r="S182" s="2"/>
      <c r="T182" s="2"/>
      <c r="U182" s="2"/>
      <c r="V182" s="2"/>
      <c r="W182" s="2"/>
      <c r="X182" s="2"/>
      <c r="Y182" s="2"/>
      <c r="Z182" s="2"/>
    </row>
    <row r="183">
      <c r="A183" s="5"/>
      <c r="B183" s="5"/>
      <c r="C183" s="5"/>
      <c r="D183" s="2"/>
      <c r="E183" s="2"/>
      <c r="F183" s="2"/>
      <c r="G183" s="2"/>
      <c r="H183" s="2"/>
      <c r="I183" s="2"/>
      <c r="J183" s="2"/>
      <c r="K183" s="2"/>
      <c r="L183" s="2"/>
      <c r="M183" s="2"/>
      <c r="N183" s="2"/>
      <c r="O183" s="2"/>
      <c r="P183" s="2"/>
      <c r="Q183" s="2"/>
      <c r="R183" s="2"/>
      <c r="S183" s="2"/>
      <c r="T183" s="2"/>
      <c r="U183" s="2"/>
      <c r="V183" s="2"/>
      <c r="W183" s="2"/>
      <c r="X183" s="2"/>
      <c r="Y183" s="2"/>
      <c r="Z183" s="2"/>
    </row>
    <row r="184">
      <c r="A184" s="5"/>
      <c r="B184" s="5"/>
      <c r="C184" s="5"/>
      <c r="D184" s="2"/>
      <c r="E184" s="2"/>
      <c r="F184" s="2"/>
      <c r="G184" s="2"/>
      <c r="H184" s="2"/>
      <c r="I184" s="2"/>
      <c r="J184" s="2"/>
      <c r="K184" s="2"/>
      <c r="L184" s="2"/>
      <c r="M184" s="2"/>
      <c r="N184" s="2"/>
      <c r="O184" s="2"/>
      <c r="P184" s="2"/>
      <c r="Q184" s="2"/>
      <c r="R184" s="2"/>
      <c r="S184" s="2"/>
      <c r="T184" s="2"/>
      <c r="U184" s="2"/>
      <c r="V184" s="2"/>
      <c r="W184" s="2"/>
      <c r="X184" s="2"/>
      <c r="Y184" s="2"/>
      <c r="Z184" s="2"/>
    </row>
    <row r="185">
      <c r="A185" s="5"/>
      <c r="B185" s="5"/>
      <c r="C185" s="5"/>
      <c r="D185" s="2"/>
      <c r="E185" s="2"/>
      <c r="F185" s="2"/>
      <c r="G185" s="2"/>
      <c r="H185" s="2"/>
      <c r="I185" s="2"/>
      <c r="J185" s="2"/>
      <c r="K185" s="2"/>
      <c r="L185" s="2"/>
      <c r="M185" s="2"/>
      <c r="N185" s="2"/>
      <c r="O185" s="2"/>
      <c r="P185" s="2"/>
      <c r="Q185" s="2"/>
      <c r="R185" s="2"/>
      <c r="S185" s="2"/>
      <c r="T185" s="2"/>
      <c r="U185" s="2"/>
      <c r="V185" s="2"/>
      <c r="W185" s="2"/>
      <c r="X185" s="2"/>
      <c r="Y185" s="2"/>
      <c r="Z185" s="2"/>
    </row>
    <row r="186">
      <c r="A186" s="5"/>
      <c r="B186" s="5"/>
      <c r="C186" s="5"/>
      <c r="D186" s="2"/>
      <c r="E186" s="2"/>
      <c r="F186" s="2"/>
      <c r="G186" s="2"/>
      <c r="H186" s="2"/>
      <c r="I186" s="2"/>
      <c r="J186" s="2"/>
      <c r="K186" s="2"/>
      <c r="L186" s="2"/>
      <c r="M186" s="2"/>
      <c r="N186" s="2"/>
      <c r="O186" s="2"/>
      <c r="P186" s="2"/>
      <c r="Q186" s="2"/>
      <c r="R186" s="2"/>
      <c r="S186" s="2"/>
      <c r="T186" s="2"/>
      <c r="U186" s="2"/>
      <c r="V186" s="2"/>
      <c r="W186" s="2"/>
      <c r="X186" s="2"/>
      <c r="Y186" s="2"/>
      <c r="Z186" s="2"/>
    </row>
    <row r="187">
      <c r="A187" s="5"/>
      <c r="B187" s="5"/>
      <c r="C187" s="5"/>
      <c r="D187" s="2"/>
      <c r="E187" s="2"/>
      <c r="F187" s="2"/>
      <c r="G187" s="2"/>
      <c r="H187" s="2"/>
      <c r="I187" s="2"/>
      <c r="J187" s="2"/>
      <c r="K187" s="2"/>
      <c r="L187" s="2"/>
      <c r="M187" s="2"/>
      <c r="N187" s="2"/>
      <c r="O187" s="2"/>
      <c r="P187" s="2"/>
      <c r="Q187" s="2"/>
      <c r="R187" s="2"/>
      <c r="S187" s="2"/>
      <c r="T187" s="2"/>
      <c r="U187" s="2"/>
      <c r="V187" s="2"/>
      <c r="W187" s="2"/>
      <c r="X187" s="2"/>
      <c r="Y187" s="2"/>
      <c r="Z187" s="2"/>
    </row>
    <row r="188">
      <c r="A188" s="5"/>
      <c r="B188" s="5"/>
      <c r="C188" s="5"/>
      <c r="D188" s="2"/>
      <c r="E188" s="2"/>
      <c r="F188" s="2"/>
      <c r="G188" s="2"/>
      <c r="H188" s="2"/>
      <c r="I188" s="2"/>
      <c r="J188" s="2"/>
      <c r="K188" s="2"/>
      <c r="L188" s="2"/>
      <c r="M188" s="2"/>
      <c r="N188" s="2"/>
      <c r="O188" s="2"/>
      <c r="P188" s="2"/>
      <c r="Q188" s="2"/>
      <c r="R188" s="2"/>
      <c r="S188" s="2"/>
      <c r="T188" s="2"/>
      <c r="U188" s="2"/>
      <c r="V188" s="2"/>
      <c r="W188" s="2"/>
      <c r="X188" s="2"/>
      <c r="Y188" s="2"/>
      <c r="Z188" s="2"/>
    </row>
    <row r="189">
      <c r="A189" s="5"/>
      <c r="B189" s="5"/>
      <c r="C189" s="5"/>
      <c r="D189" s="2"/>
      <c r="E189" s="2"/>
      <c r="F189" s="2"/>
      <c r="G189" s="2"/>
      <c r="H189" s="2"/>
      <c r="I189" s="2"/>
      <c r="J189" s="2"/>
      <c r="K189" s="2"/>
      <c r="L189" s="2"/>
      <c r="M189" s="2"/>
      <c r="N189" s="2"/>
      <c r="O189" s="2"/>
      <c r="P189" s="2"/>
      <c r="Q189" s="2"/>
      <c r="R189" s="2"/>
      <c r="S189" s="2"/>
      <c r="T189" s="2"/>
      <c r="U189" s="2"/>
      <c r="V189" s="2"/>
      <c r="W189" s="2"/>
      <c r="X189" s="2"/>
      <c r="Y189" s="2"/>
      <c r="Z189" s="2"/>
    </row>
    <row r="190">
      <c r="A190" s="5"/>
      <c r="B190" s="5"/>
      <c r="C190" s="5"/>
      <c r="D190" s="2"/>
      <c r="E190" s="2"/>
      <c r="F190" s="2"/>
      <c r="G190" s="2"/>
      <c r="H190" s="2"/>
      <c r="I190" s="2"/>
      <c r="J190" s="2"/>
      <c r="K190" s="2"/>
      <c r="L190" s="2"/>
      <c r="M190" s="2"/>
      <c r="N190" s="2"/>
      <c r="O190" s="2"/>
      <c r="P190" s="2"/>
      <c r="Q190" s="2"/>
      <c r="R190" s="2"/>
      <c r="S190" s="2"/>
      <c r="T190" s="2"/>
      <c r="U190" s="2"/>
      <c r="V190" s="2"/>
      <c r="W190" s="2"/>
      <c r="X190" s="2"/>
      <c r="Y190" s="2"/>
      <c r="Z190" s="2"/>
    </row>
    <row r="191">
      <c r="A191" s="5"/>
      <c r="B191" s="5"/>
      <c r="C191" s="5"/>
      <c r="D191" s="2"/>
      <c r="E191" s="2"/>
      <c r="F191" s="2"/>
      <c r="G191" s="2"/>
      <c r="H191" s="2"/>
      <c r="I191" s="2"/>
      <c r="J191" s="2"/>
      <c r="K191" s="2"/>
      <c r="L191" s="2"/>
      <c r="M191" s="2"/>
      <c r="N191" s="2"/>
      <c r="O191" s="2"/>
      <c r="P191" s="2"/>
      <c r="Q191" s="2"/>
      <c r="R191" s="2"/>
      <c r="S191" s="2"/>
      <c r="T191" s="2"/>
      <c r="U191" s="2"/>
      <c r="V191" s="2"/>
      <c r="W191" s="2"/>
      <c r="X191" s="2"/>
      <c r="Y191" s="2"/>
      <c r="Z191" s="2"/>
    </row>
    <row r="192">
      <c r="A192" s="5"/>
      <c r="B192" s="5"/>
      <c r="C192" s="5"/>
      <c r="D192" s="2"/>
      <c r="E192" s="2"/>
      <c r="F192" s="2"/>
      <c r="G192" s="2"/>
      <c r="H192" s="2"/>
      <c r="I192" s="2"/>
      <c r="J192" s="2"/>
      <c r="K192" s="2"/>
      <c r="L192" s="2"/>
      <c r="M192" s="2"/>
      <c r="N192" s="2"/>
      <c r="O192" s="2"/>
      <c r="P192" s="2"/>
      <c r="Q192" s="2"/>
      <c r="R192" s="2"/>
      <c r="S192" s="2"/>
      <c r="T192" s="2"/>
      <c r="U192" s="2"/>
      <c r="V192" s="2"/>
      <c r="W192" s="2"/>
      <c r="X192" s="2"/>
      <c r="Y192" s="2"/>
      <c r="Z192" s="2"/>
    </row>
    <row r="193">
      <c r="A193" s="5"/>
      <c r="B193" s="5"/>
      <c r="C193" s="5"/>
      <c r="D193" s="2"/>
      <c r="E193" s="2"/>
      <c r="F193" s="2"/>
      <c r="G193" s="2"/>
      <c r="H193" s="2"/>
      <c r="I193" s="2"/>
      <c r="J193" s="2"/>
      <c r="K193" s="2"/>
      <c r="L193" s="2"/>
      <c r="M193" s="2"/>
      <c r="N193" s="2"/>
      <c r="O193" s="2"/>
      <c r="P193" s="2"/>
      <c r="Q193" s="2"/>
      <c r="R193" s="2"/>
      <c r="S193" s="2"/>
      <c r="T193" s="2"/>
      <c r="U193" s="2"/>
      <c r="V193" s="2"/>
      <c r="W193" s="2"/>
      <c r="X193" s="2"/>
      <c r="Y193" s="2"/>
      <c r="Z193" s="2"/>
    </row>
    <row r="194">
      <c r="A194" s="5"/>
      <c r="B194" s="5"/>
      <c r="C194" s="5"/>
      <c r="D194" s="2"/>
      <c r="E194" s="2"/>
      <c r="F194" s="2"/>
      <c r="G194" s="2"/>
      <c r="H194" s="2"/>
      <c r="I194" s="2"/>
      <c r="J194" s="2"/>
      <c r="K194" s="2"/>
      <c r="L194" s="2"/>
      <c r="M194" s="2"/>
      <c r="N194" s="2"/>
      <c r="O194" s="2"/>
      <c r="P194" s="2"/>
      <c r="Q194" s="2"/>
      <c r="R194" s="2"/>
      <c r="S194" s="2"/>
      <c r="T194" s="2"/>
      <c r="U194" s="2"/>
      <c r="V194" s="2"/>
      <c r="W194" s="2"/>
      <c r="X194" s="2"/>
      <c r="Y194" s="2"/>
      <c r="Z194" s="2"/>
    </row>
    <row r="195">
      <c r="A195" s="5"/>
      <c r="B195" s="5"/>
      <c r="C195" s="5"/>
      <c r="D195" s="2"/>
      <c r="E195" s="2"/>
      <c r="F195" s="2"/>
      <c r="G195" s="2"/>
      <c r="H195" s="2"/>
      <c r="I195" s="2"/>
      <c r="J195" s="2"/>
      <c r="K195" s="2"/>
      <c r="L195" s="2"/>
      <c r="M195" s="2"/>
      <c r="N195" s="2"/>
      <c r="O195" s="2"/>
      <c r="P195" s="2"/>
      <c r="Q195" s="2"/>
      <c r="R195" s="2"/>
      <c r="S195" s="2"/>
      <c r="T195" s="2"/>
      <c r="U195" s="2"/>
      <c r="V195" s="2"/>
      <c r="W195" s="2"/>
      <c r="X195" s="2"/>
      <c r="Y195" s="2"/>
      <c r="Z195" s="2"/>
    </row>
    <row r="196">
      <c r="A196" s="5"/>
      <c r="B196" s="5"/>
      <c r="C196" s="5"/>
      <c r="D196" s="2"/>
      <c r="E196" s="2"/>
      <c r="F196" s="2"/>
      <c r="G196" s="2"/>
      <c r="H196" s="2"/>
      <c r="I196" s="2"/>
      <c r="J196" s="2"/>
      <c r="K196" s="2"/>
      <c r="L196" s="2"/>
      <c r="M196" s="2"/>
      <c r="N196" s="2"/>
      <c r="O196" s="2"/>
      <c r="P196" s="2"/>
      <c r="Q196" s="2"/>
      <c r="R196" s="2"/>
      <c r="S196" s="2"/>
      <c r="T196" s="2"/>
      <c r="U196" s="2"/>
      <c r="V196" s="2"/>
      <c r="W196" s="2"/>
      <c r="X196" s="2"/>
      <c r="Y196" s="2"/>
      <c r="Z196" s="2"/>
    </row>
    <row r="197">
      <c r="A197" s="5"/>
      <c r="B197" s="5"/>
      <c r="C197" s="5"/>
      <c r="D197" s="2"/>
      <c r="E197" s="2"/>
      <c r="F197" s="2"/>
      <c r="G197" s="2"/>
      <c r="H197" s="2"/>
      <c r="I197" s="2"/>
      <c r="J197" s="2"/>
      <c r="K197" s="2"/>
      <c r="L197" s="2"/>
      <c r="M197" s="2"/>
      <c r="N197" s="2"/>
      <c r="O197" s="2"/>
      <c r="P197" s="2"/>
      <c r="Q197" s="2"/>
      <c r="R197" s="2"/>
      <c r="S197" s="2"/>
      <c r="T197" s="2"/>
      <c r="U197" s="2"/>
      <c r="V197" s="2"/>
      <c r="W197" s="2"/>
      <c r="X197" s="2"/>
      <c r="Y197" s="2"/>
      <c r="Z197" s="2"/>
    </row>
    <row r="198">
      <c r="A198" s="5"/>
      <c r="B198" s="5"/>
      <c r="C198" s="5"/>
      <c r="D198" s="2"/>
      <c r="E198" s="2"/>
      <c r="F198" s="2"/>
      <c r="G198" s="2"/>
      <c r="H198" s="2"/>
      <c r="I198" s="2"/>
      <c r="J198" s="2"/>
      <c r="K198" s="2"/>
      <c r="L198" s="2"/>
      <c r="M198" s="2"/>
      <c r="N198" s="2"/>
      <c r="O198" s="2"/>
      <c r="P198" s="2"/>
      <c r="Q198" s="2"/>
      <c r="R198" s="2"/>
      <c r="S198" s="2"/>
      <c r="T198" s="2"/>
      <c r="U198" s="2"/>
      <c r="V198" s="2"/>
      <c r="W198" s="2"/>
      <c r="X198" s="2"/>
      <c r="Y198" s="2"/>
      <c r="Z198" s="2"/>
    </row>
    <row r="199">
      <c r="A199" s="5"/>
      <c r="B199" s="5"/>
      <c r="C199" s="5"/>
      <c r="D199" s="2"/>
      <c r="E199" s="2"/>
      <c r="F199" s="2"/>
      <c r="G199" s="2"/>
      <c r="H199" s="2"/>
      <c r="I199" s="2"/>
      <c r="J199" s="2"/>
      <c r="K199" s="2"/>
      <c r="L199" s="2"/>
      <c r="M199" s="2"/>
      <c r="N199" s="2"/>
      <c r="O199" s="2"/>
      <c r="P199" s="2"/>
      <c r="Q199" s="2"/>
      <c r="R199" s="2"/>
      <c r="S199" s="2"/>
      <c r="T199" s="2"/>
      <c r="U199" s="2"/>
      <c r="V199" s="2"/>
      <c r="W199" s="2"/>
      <c r="X199" s="2"/>
      <c r="Y199" s="2"/>
      <c r="Z199" s="2"/>
    </row>
    <row r="200">
      <c r="A200" s="5"/>
      <c r="B200" s="5"/>
      <c r="C200" s="5"/>
      <c r="D200" s="2"/>
      <c r="E200" s="2"/>
      <c r="F200" s="2"/>
      <c r="G200" s="2"/>
      <c r="H200" s="2"/>
      <c r="I200" s="2"/>
      <c r="J200" s="2"/>
      <c r="K200" s="2"/>
      <c r="L200" s="2"/>
      <c r="M200" s="2"/>
      <c r="N200" s="2"/>
      <c r="O200" s="2"/>
      <c r="P200" s="2"/>
      <c r="Q200" s="2"/>
      <c r="R200" s="2"/>
      <c r="S200" s="2"/>
      <c r="T200" s="2"/>
      <c r="U200" s="2"/>
      <c r="V200" s="2"/>
      <c r="W200" s="2"/>
      <c r="X200" s="2"/>
      <c r="Y200" s="2"/>
      <c r="Z200" s="2"/>
    </row>
    <row r="201">
      <c r="A201" s="5"/>
      <c r="B201" s="5"/>
      <c r="C201" s="5"/>
      <c r="D201" s="2"/>
      <c r="E201" s="2"/>
      <c r="F201" s="2"/>
      <c r="G201" s="2"/>
      <c r="H201" s="2"/>
      <c r="I201" s="2"/>
      <c r="J201" s="2"/>
      <c r="K201" s="2"/>
      <c r="L201" s="2"/>
      <c r="M201" s="2"/>
      <c r="N201" s="2"/>
      <c r="O201" s="2"/>
      <c r="P201" s="2"/>
      <c r="Q201" s="2"/>
      <c r="R201" s="2"/>
      <c r="S201" s="2"/>
      <c r="T201" s="2"/>
      <c r="U201" s="2"/>
      <c r="V201" s="2"/>
      <c r="W201" s="2"/>
      <c r="X201" s="2"/>
      <c r="Y201" s="2"/>
      <c r="Z201" s="2"/>
    </row>
    <row r="202">
      <c r="A202" s="5"/>
      <c r="B202" s="5"/>
      <c r="C202" s="5"/>
      <c r="D202" s="2"/>
      <c r="E202" s="2"/>
      <c r="F202" s="2"/>
      <c r="G202" s="2"/>
      <c r="H202" s="2"/>
      <c r="I202" s="2"/>
      <c r="J202" s="2"/>
      <c r="K202" s="2"/>
      <c r="L202" s="2"/>
      <c r="M202" s="2"/>
      <c r="N202" s="2"/>
      <c r="O202" s="2"/>
      <c r="P202" s="2"/>
      <c r="Q202" s="2"/>
      <c r="R202" s="2"/>
      <c r="S202" s="2"/>
      <c r="T202" s="2"/>
      <c r="U202" s="2"/>
      <c r="V202" s="2"/>
      <c r="W202" s="2"/>
      <c r="X202" s="2"/>
      <c r="Y202" s="2"/>
      <c r="Z202" s="2"/>
    </row>
    <row r="203">
      <c r="A203" s="5"/>
      <c r="B203" s="5"/>
      <c r="C203" s="5"/>
      <c r="D203" s="2"/>
      <c r="E203" s="2"/>
      <c r="F203" s="2"/>
      <c r="G203" s="2"/>
      <c r="H203" s="2"/>
      <c r="I203" s="2"/>
      <c r="J203" s="2"/>
      <c r="K203" s="2"/>
      <c r="L203" s="2"/>
      <c r="M203" s="2"/>
      <c r="N203" s="2"/>
      <c r="O203" s="2"/>
      <c r="P203" s="2"/>
      <c r="Q203" s="2"/>
      <c r="R203" s="2"/>
      <c r="S203" s="2"/>
      <c r="T203" s="2"/>
      <c r="U203" s="2"/>
      <c r="V203" s="2"/>
      <c r="W203" s="2"/>
      <c r="X203" s="2"/>
      <c r="Y203" s="2"/>
      <c r="Z203" s="2"/>
    </row>
    <row r="204">
      <c r="A204" s="5"/>
      <c r="B204" s="5"/>
      <c r="C204" s="5"/>
      <c r="D204" s="2"/>
      <c r="E204" s="2"/>
      <c r="F204" s="2"/>
      <c r="G204" s="2"/>
      <c r="H204" s="2"/>
      <c r="I204" s="2"/>
      <c r="J204" s="2"/>
      <c r="K204" s="2"/>
      <c r="L204" s="2"/>
      <c r="M204" s="2"/>
      <c r="N204" s="2"/>
      <c r="O204" s="2"/>
      <c r="P204" s="2"/>
      <c r="Q204" s="2"/>
      <c r="R204" s="2"/>
      <c r="S204" s="2"/>
      <c r="T204" s="2"/>
      <c r="U204" s="2"/>
      <c r="V204" s="2"/>
      <c r="W204" s="2"/>
      <c r="X204" s="2"/>
      <c r="Y204" s="2"/>
      <c r="Z204" s="2"/>
    </row>
    <row r="205">
      <c r="A205" s="5"/>
      <c r="B205" s="5"/>
      <c r="C205" s="5"/>
      <c r="D205" s="2"/>
      <c r="E205" s="2"/>
      <c r="F205" s="2"/>
      <c r="G205" s="2"/>
      <c r="H205" s="2"/>
      <c r="I205" s="2"/>
      <c r="J205" s="2"/>
      <c r="K205" s="2"/>
      <c r="L205" s="2"/>
      <c r="M205" s="2"/>
      <c r="N205" s="2"/>
      <c r="O205" s="2"/>
      <c r="P205" s="2"/>
      <c r="Q205" s="2"/>
      <c r="R205" s="2"/>
      <c r="S205" s="2"/>
      <c r="T205" s="2"/>
      <c r="U205" s="2"/>
      <c r="V205" s="2"/>
      <c r="W205" s="2"/>
      <c r="X205" s="2"/>
      <c r="Y205" s="2"/>
      <c r="Z205" s="2"/>
    </row>
    <row r="206">
      <c r="A206" s="5"/>
      <c r="B206" s="5"/>
      <c r="C206" s="5"/>
      <c r="D206" s="2"/>
      <c r="E206" s="2"/>
      <c r="F206" s="2"/>
      <c r="G206" s="2"/>
      <c r="H206" s="2"/>
      <c r="I206" s="2"/>
      <c r="J206" s="2"/>
      <c r="K206" s="2"/>
      <c r="L206" s="2"/>
      <c r="M206" s="2"/>
      <c r="N206" s="2"/>
      <c r="O206" s="2"/>
      <c r="P206" s="2"/>
      <c r="Q206" s="2"/>
      <c r="R206" s="2"/>
      <c r="S206" s="2"/>
      <c r="T206" s="2"/>
      <c r="U206" s="2"/>
      <c r="V206" s="2"/>
      <c r="W206" s="2"/>
      <c r="X206" s="2"/>
      <c r="Y206" s="2"/>
      <c r="Z206" s="2"/>
    </row>
    <row r="207">
      <c r="A207" s="5"/>
      <c r="B207" s="5"/>
      <c r="C207" s="5"/>
      <c r="D207" s="2"/>
      <c r="E207" s="2"/>
      <c r="F207" s="2"/>
      <c r="G207" s="2"/>
      <c r="H207" s="2"/>
      <c r="I207" s="2"/>
      <c r="J207" s="2"/>
      <c r="K207" s="2"/>
      <c r="L207" s="2"/>
      <c r="M207" s="2"/>
      <c r="N207" s="2"/>
      <c r="O207" s="2"/>
      <c r="P207" s="2"/>
      <c r="Q207" s="2"/>
      <c r="R207" s="2"/>
      <c r="S207" s="2"/>
      <c r="T207" s="2"/>
      <c r="U207" s="2"/>
      <c r="V207" s="2"/>
      <c r="W207" s="2"/>
      <c r="X207" s="2"/>
      <c r="Y207" s="2"/>
      <c r="Z207" s="2"/>
    </row>
    <row r="208">
      <c r="A208" s="5"/>
      <c r="B208" s="5"/>
      <c r="C208" s="5"/>
      <c r="D208" s="2"/>
      <c r="E208" s="2"/>
      <c r="F208" s="2"/>
      <c r="G208" s="2"/>
      <c r="H208" s="2"/>
      <c r="I208" s="2"/>
      <c r="J208" s="2"/>
      <c r="K208" s="2"/>
      <c r="L208" s="2"/>
      <c r="M208" s="2"/>
      <c r="N208" s="2"/>
      <c r="O208" s="2"/>
      <c r="P208" s="2"/>
      <c r="Q208" s="2"/>
      <c r="R208" s="2"/>
      <c r="S208" s="2"/>
      <c r="T208" s="2"/>
      <c r="U208" s="2"/>
      <c r="V208" s="2"/>
      <c r="W208" s="2"/>
      <c r="X208" s="2"/>
      <c r="Y208" s="2"/>
      <c r="Z208" s="2"/>
    </row>
    <row r="209">
      <c r="A209" s="5"/>
      <c r="B209" s="5"/>
      <c r="C209" s="5"/>
      <c r="D209" s="2"/>
      <c r="E209" s="2"/>
      <c r="F209" s="2"/>
      <c r="G209" s="2"/>
      <c r="H209" s="2"/>
      <c r="I209" s="2"/>
      <c r="J209" s="2"/>
      <c r="K209" s="2"/>
      <c r="L209" s="2"/>
      <c r="M209" s="2"/>
      <c r="N209" s="2"/>
      <c r="O209" s="2"/>
      <c r="P209" s="2"/>
      <c r="Q209" s="2"/>
      <c r="R209" s="2"/>
      <c r="S209" s="2"/>
      <c r="T209" s="2"/>
      <c r="U209" s="2"/>
      <c r="V209" s="2"/>
      <c r="W209" s="2"/>
      <c r="X209" s="2"/>
      <c r="Y209" s="2"/>
      <c r="Z209" s="2"/>
    </row>
    <row r="210">
      <c r="A210" s="5"/>
      <c r="B210" s="5"/>
      <c r="C210" s="5"/>
      <c r="D210" s="2"/>
      <c r="E210" s="2"/>
      <c r="F210" s="2"/>
      <c r="G210" s="2"/>
      <c r="H210" s="2"/>
      <c r="I210" s="2"/>
      <c r="J210" s="2"/>
      <c r="K210" s="2"/>
      <c r="L210" s="2"/>
      <c r="M210" s="2"/>
      <c r="N210" s="2"/>
      <c r="O210" s="2"/>
      <c r="P210" s="2"/>
      <c r="Q210" s="2"/>
      <c r="R210" s="2"/>
      <c r="S210" s="2"/>
      <c r="T210" s="2"/>
      <c r="U210" s="2"/>
      <c r="V210" s="2"/>
      <c r="W210" s="2"/>
      <c r="X210" s="2"/>
      <c r="Y210" s="2"/>
      <c r="Z210" s="2"/>
    </row>
    <row r="211">
      <c r="A211" s="5"/>
      <c r="B211" s="5"/>
      <c r="C211" s="5"/>
      <c r="D211" s="2"/>
      <c r="E211" s="2"/>
      <c r="F211" s="2"/>
      <c r="G211" s="2"/>
      <c r="H211" s="2"/>
      <c r="I211" s="2"/>
      <c r="J211" s="2"/>
      <c r="K211" s="2"/>
      <c r="L211" s="2"/>
      <c r="M211" s="2"/>
      <c r="N211" s="2"/>
      <c r="O211" s="2"/>
      <c r="P211" s="2"/>
      <c r="Q211" s="2"/>
      <c r="R211" s="2"/>
      <c r="S211" s="2"/>
      <c r="T211" s="2"/>
      <c r="U211" s="2"/>
      <c r="V211" s="2"/>
      <c r="W211" s="2"/>
      <c r="X211" s="2"/>
      <c r="Y211" s="2"/>
      <c r="Z211" s="2"/>
    </row>
    <row r="212">
      <c r="A212" s="5"/>
      <c r="B212" s="5"/>
      <c r="C212" s="5"/>
      <c r="D212" s="2"/>
      <c r="E212" s="2"/>
      <c r="F212" s="2"/>
      <c r="G212" s="2"/>
      <c r="H212" s="2"/>
      <c r="I212" s="2"/>
      <c r="J212" s="2"/>
      <c r="K212" s="2"/>
      <c r="L212" s="2"/>
      <c r="M212" s="2"/>
      <c r="N212" s="2"/>
      <c r="O212" s="2"/>
      <c r="P212" s="2"/>
      <c r="Q212" s="2"/>
      <c r="R212" s="2"/>
      <c r="S212" s="2"/>
      <c r="T212" s="2"/>
      <c r="U212" s="2"/>
      <c r="V212" s="2"/>
      <c r="W212" s="2"/>
      <c r="X212" s="2"/>
      <c r="Y212" s="2"/>
      <c r="Z212" s="2"/>
    </row>
    <row r="213">
      <c r="A213" s="5"/>
      <c r="B213" s="5"/>
      <c r="C213" s="5"/>
      <c r="D213" s="2"/>
      <c r="E213" s="2"/>
      <c r="F213" s="2"/>
      <c r="G213" s="2"/>
      <c r="H213" s="2"/>
      <c r="I213" s="2"/>
      <c r="J213" s="2"/>
      <c r="K213" s="2"/>
      <c r="L213" s="2"/>
      <c r="M213" s="2"/>
      <c r="N213" s="2"/>
      <c r="O213" s="2"/>
      <c r="P213" s="2"/>
      <c r="Q213" s="2"/>
      <c r="R213" s="2"/>
      <c r="S213" s="2"/>
      <c r="T213" s="2"/>
      <c r="U213" s="2"/>
      <c r="V213" s="2"/>
      <c r="W213" s="2"/>
      <c r="X213" s="2"/>
      <c r="Y213" s="2"/>
      <c r="Z213" s="2"/>
    </row>
    <row r="214">
      <c r="A214" s="5"/>
      <c r="B214" s="5"/>
      <c r="C214" s="5"/>
      <c r="D214" s="2"/>
      <c r="E214" s="2"/>
      <c r="F214" s="2"/>
      <c r="G214" s="2"/>
      <c r="H214" s="2"/>
      <c r="I214" s="2"/>
      <c r="J214" s="2"/>
      <c r="K214" s="2"/>
      <c r="L214" s="2"/>
      <c r="M214" s="2"/>
      <c r="N214" s="2"/>
      <c r="O214" s="2"/>
      <c r="P214" s="2"/>
      <c r="Q214" s="2"/>
      <c r="R214" s="2"/>
      <c r="S214" s="2"/>
      <c r="T214" s="2"/>
      <c r="U214" s="2"/>
      <c r="V214" s="2"/>
      <c r="W214" s="2"/>
      <c r="X214" s="2"/>
      <c r="Y214" s="2"/>
      <c r="Z214" s="2"/>
    </row>
    <row r="215">
      <c r="A215" s="5"/>
      <c r="B215" s="5"/>
      <c r="C215" s="5"/>
      <c r="D215" s="2"/>
      <c r="E215" s="2"/>
      <c r="F215" s="2"/>
      <c r="G215" s="2"/>
      <c r="H215" s="2"/>
      <c r="I215" s="2"/>
      <c r="J215" s="2"/>
      <c r="K215" s="2"/>
      <c r="L215" s="2"/>
      <c r="M215" s="2"/>
      <c r="N215" s="2"/>
      <c r="O215" s="2"/>
      <c r="P215" s="2"/>
      <c r="Q215" s="2"/>
      <c r="R215" s="2"/>
      <c r="S215" s="2"/>
      <c r="T215" s="2"/>
      <c r="U215" s="2"/>
      <c r="V215" s="2"/>
      <c r="W215" s="2"/>
      <c r="X215" s="2"/>
      <c r="Y215" s="2"/>
      <c r="Z215" s="2"/>
    </row>
    <row r="216">
      <c r="A216" s="5"/>
      <c r="B216" s="5"/>
      <c r="C216" s="5"/>
      <c r="D216" s="2"/>
      <c r="E216" s="2"/>
      <c r="F216" s="2"/>
      <c r="G216" s="2"/>
      <c r="H216" s="2"/>
      <c r="I216" s="2"/>
      <c r="J216" s="2"/>
      <c r="K216" s="2"/>
      <c r="L216" s="2"/>
      <c r="M216" s="2"/>
      <c r="N216" s="2"/>
      <c r="O216" s="2"/>
      <c r="P216" s="2"/>
      <c r="Q216" s="2"/>
      <c r="R216" s="2"/>
      <c r="S216" s="2"/>
      <c r="T216" s="2"/>
      <c r="U216" s="2"/>
      <c r="V216" s="2"/>
      <c r="W216" s="2"/>
      <c r="X216" s="2"/>
      <c r="Y216" s="2"/>
      <c r="Z216" s="2"/>
    </row>
    <row r="217">
      <c r="A217" s="5"/>
      <c r="B217" s="5"/>
      <c r="C217" s="5"/>
      <c r="D217" s="2"/>
      <c r="E217" s="2"/>
      <c r="F217" s="2"/>
      <c r="G217" s="2"/>
      <c r="H217" s="2"/>
      <c r="I217" s="2"/>
      <c r="J217" s="2"/>
      <c r="K217" s="2"/>
      <c r="L217" s="2"/>
      <c r="M217" s="2"/>
      <c r="N217" s="2"/>
      <c r="O217" s="2"/>
      <c r="P217" s="2"/>
      <c r="Q217" s="2"/>
      <c r="R217" s="2"/>
      <c r="S217" s="2"/>
      <c r="T217" s="2"/>
      <c r="U217" s="2"/>
      <c r="V217" s="2"/>
      <c r="W217" s="2"/>
      <c r="X217" s="2"/>
      <c r="Y217" s="2"/>
      <c r="Z217" s="2"/>
    </row>
    <row r="218">
      <c r="A218" s="5"/>
      <c r="B218" s="5"/>
      <c r="C218" s="5"/>
      <c r="D218" s="2"/>
      <c r="E218" s="2"/>
      <c r="F218" s="2"/>
      <c r="G218" s="2"/>
      <c r="H218" s="2"/>
      <c r="I218" s="2"/>
      <c r="J218" s="2"/>
      <c r="K218" s="2"/>
      <c r="L218" s="2"/>
      <c r="M218" s="2"/>
      <c r="N218" s="2"/>
      <c r="O218" s="2"/>
      <c r="P218" s="2"/>
      <c r="Q218" s="2"/>
      <c r="R218" s="2"/>
      <c r="S218" s="2"/>
      <c r="T218" s="2"/>
      <c r="U218" s="2"/>
      <c r="V218" s="2"/>
      <c r="W218" s="2"/>
      <c r="X218" s="2"/>
      <c r="Y218" s="2"/>
      <c r="Z218" s="2"/>
    </row>
    <row r="219">
      <c r="A219" s="5"/>
      <c r="B219" s="5"/>
      <c r="C219" s="5"/>
      <c r="D219" s="2"/>
      <c r="E219" s="2"/>
      <c r="F219" s="2"/>
      <c r="G219" s="2"/>
      <c r="H219" s="2"/>
      <c r="I219" s="2"/>
      <c r="J219" s="2"/>
      <c r="K219" s="2"/>
      <c r="L219" s="2"/>
      <c r="M219" s="2"/>
      <c r="N219" s="2"/>
      <c r="O219" s="2"/>
      <c r="P219" s="2"/>
      <c r="Q219" s="2"/>
      <c r="R219" s="2"/>
      <c r="S219" s="2"/>
      <c r="T219" s="2"/>
      <c r="U219" s="2"/>
      <c r="V219" s="2"/>
      <c r="W219" s="2"/>
      <c r="X219" s="2"/>
      <c r="Y219" s="2"/>
      <c r="Z219" s="2"/>
    </row>
    <row r="220">
      <c r="A220" s="5"/>
      <c r="B220" s="5"/>
      <c r="C220" s="5"/>
      <c r="D220" s="2"/>
      <c r="E220" s="2"/>
      <c r="F220" s="2"/>
      <c r="G220" s="2"/>
      <c r="H220" s="2"/>
      <c r="I220" s="2"/>
      <c r="J220" s="2"/>
      <c r="K220" s="2"/>
      <c r="L220" s="2"/>
      <c r="M220" s="2"/>
      <c r="N220" s="2"/>
      <c r="O220" s="2"/>
      <c r="P220" s="2"/>
      <c r="Q220" s="2"/>
      <c r="R220" s="2"/>
      <c r="S220" s="2"/>
      <c r="T220" s="2"/>
      <c r="U220" s="2"/>
      <c r="V220" s="2"/>
      <c r="W220" s="2"/>
      <c r="X220" s="2"/>
      <c r="Y220" s="2"/>
      <c r="Z220" s="2"/>
    </row>
    <row r="221">
      <c r="A221" s="5"/>
      <c r="B221" s="5"/>
      <c r="C221" s="5"/>
      <c r="D221" s="2"/>
      <c r="E221" s="2"/>
      <c r="F221" s="2"/>
      <c r="G221" s="2"/>
      <c r="H221" s="2"/>
      <c r="I221" s="2"/>
      <c r="J221" s="2"/>
      <c r="K221" s="2"/>
      <c r="L221" s="2"/>
      <c r="M221" s="2"/>
      <c r="N221" s="2"/>
      <c r="O221" s="2"/>
      <c r="P221" s="2"/>
      <c r="Q221" s="2"/>
      <c r="R221" s="2"/>
      <c r="S221" s="2"/>
      <c r="T221" s="2"/>
      <c r="U221" s="2"/>
      <c r="V221" s="2"/>
      <c r="W221" s="2"/>
      <c r="X221" s="2"/>
      <c r="Y221" s="2"/>
      <c r="Z221" s="2"/>
    </row>
    <row r="222">
      <c r="A222" s="5"/>
      <c r="B222" s="5"/>
      <c r="C222" s="5"/>
      <c r="D222" s="2"/>
      <c r="E222" s="2"/>
      <c r="F222" s="2"/>
      <c r="G222" s="2"/>
      <c r="H222" s="2"/>
      <c r="I222" s="2"/>
      <c r="J222" s="2"/>
      <c r="K222" s="2"/>
      <c r="L222" s="2"/>
      <c r="M222" s="2"/>
      <c r="N222" s="2"/>
      <c r="O222" s="2"/>
      <c r="P222" s="2"/>
      <c r="Q222" s="2"/>
      <c r="R222" s="2"/>
      <c r="S222" s="2"/>
      <c r="T222" s="2"/>
      <c r="U222" s="2"/>
      <c r="V222" s="2"/>
      <c r="W222" s="2"/>
      <c r="X222" s="2"/>
      <c r="Y222" s="2"/>
      <c r="Z222" s="2"/>
    </row>
    <row r="223">
      <c r="A223" s="5"/>
      <c r="B223" s="5"/>
      <c r="C223" s="5"/>
      <c r="D223" s="2"/>
      <c r="E223" s="2"/>
      <c r="F223" s="2"/>
      <c r="G223" s="2"/>
      <c r="H223" s="2"/>
      <c r="I223" s="2"/>
      <c r="J223" s="2"/>
      <c r="K223" s="2"/>
      <c r="L223" s="2"/>
      <c r="M223" s="2"/>
      <c r="N223" s="2"/>
      <c r="O223" s="2"/>
      <c r="P223" s="2"/>
      <c r="Q223" s="2"/>
      <c r="R223" s="2"/>
      <c r="S223" s="2"/>
      <c r="T223" s="2"/>
      <c r="U223" s="2"/>
      <c r="V223" s="2"/>
      <c r="W223" s="2"/>
      <c r="X223" s="2"/>
      <c r="Y223" s="2"/>
      <c r="Z223" s="2"/>
    </row>
    <row r="224">
      <c r="A224" s="5"/>
      <c r="B224" s="5"/>
      <c r="C224" s="5"/>
      <c r="D224" s="2"/>
      <c r="E224" s="2"/>
      <c r="F224" s="2"/>
      <c r="G224" s="2"/>
      <c r="H224" s="2"/>
      <c r="I224" s="2"/>
      <c r="J224" s="2"/>
      <c r="K224" s="2"/>
      <c r="L224" s="2"/>
      <c r="M224" s="2"/>
      <c r="N224" s="2"/>
      <c r="O224" s="2"/>
      <c r="P224" s="2"/>
      <c r="Q224" s="2"/>
      <c r="R224" s="2"/>
      <c r="S224" s="2"/>
      <c r="T224" s="2"/>
      <c r="U224" s="2"/>
      <c r="V224" s="2"/>
      <c r="W224" s="2"/>
      <c r="X224" s="2"/>
      <c r="Y224" s="2"/>
      <c r="Z224" s="2"/>
    </row>
    <row r="225">
      <c r="A225" s="5"/>
      <c r="B225" s="5"/>
      <c r="C225" s="5"/>
      <c r="D225" s="2"/>
      <c r="E225" s="2"/>
      <c r="F225" s="2"/>
      <c r="G225" s="2"/>
      <c r="H225" s="2"/>
      <c r="I225" s="2"/>
      <c r="J225" s="2"/>
      <c r="K225" s="2"/>
      <c r="L225" s="2"/>
      <c r="M225" s="2"/>
      <c r="N225" s="2"/>
      <c r="O225" s="2"/>
      <c r="P225" s="2"/>
      <c r="Q225" s="2"/>
      <c r="R225" s="2"/>
      <c r="S225" s="2"/>
      <c r="T225" s="2"/>
      <c r="U225" s="2"/>
      <c r="V225" s="2"/>
      <c r="W225" s="2"/>
      <c r="X225" s="2"/>
      <c r="Y225" s="2"/>
      <c r="Z225" s="2"/>
    </row>
    <row r="226">
      <c r="A226" s="5"/>
      <c r="B226" s="5"/>
      <c r="C226" s="5"/>
      <c r="D226" s="2"/>
      <c r="E226" s="2"/>
      <c r="F226" s="2"/>
      <c r="G226" s="2"/>
      <c r="H226" s="2"/>
      <c r="I226" s="2"/>
      <c r="J226" s="2"/>
      <c r="K226" s="2"/>
      <c r="L226" s="2"/>
      <c r="M226" s="2"/>
      <c r="N226" s="2"/>
      <c r="O226" s="2"/>
      <c r="P226" s="2"/>
      <c r="Q226" s="2"/>
      <c r="R226" s="2"/>
      <c r="S226" s="2"/>
      <c r="T226" s="2"/>
      <c r="U226" s="2"/>
      <c r="V226" s="2"/>
      <c r="W226" s="2"/>
      <c r="X226" s="2"/>
      <c r="Y226" s="2"/>
      <c r="Z226" s="2"/>
    </row>
    <row r="227">
      <c r="A227" s="5"/>
      <c r="B227" s="5"/>
      <c r="C227" s="5"/>
      <c r="D227" s="2"/>
      <c r="E227" s="2"/>
      <c r="F227" s="2"/>
      <c r="G227" s="2"/>
      <c r="H227" s="2"/>
      <c r="I227" s="2"/>
      <c r="J227" s="2"/>
      <c r="K227" s="2"/>
      <c r="L227" s="2"/>
      <c r="M227" s="2"/>
      <c r="N227" s="2"/>
      <c r="O227" s="2"/>
      <c r="P227" s="2"/>
      <c r="Q227" s="2"/>
      <c r="R227" s="2"/>
      <c r="S227" s="2"/>
      <c r="T227" s="2"/>
      <c r="U227" s="2"/>
      <c r="V227" s="2"/>
      <c r="W227" s="2"/>
      <c r="X227" s="2"/>
      <c r="Y227" s="2"/>
      <c r="Z227" s="2"/>
    </row>
    <row r="228">
      <c r="A228" s="5"/>
      <c r="B228" s="5"/>
      <c r="C228" s="5"/>
      <c r="D228" s="2"/>
      <c r="E228" s="2"/>
      <c r="F228" s="2"/>
      <c r="G228" s="2"/>
      <c r="H228" s="2"/>
      <c r="I228" s="2"/>
      <c r="J228" s="2"/>
      <c r="K228" s="2"/>
      <c r="L228" s="2"/>
      <c r="M228" s="2"/>
      <c r="N228" s="2"/>
      <c r="O228" s="2"/>
      <c r="P228" s="2"/>
      <c r="Q228" s="2"/>
      <c r="R228" s="2"/>
      <c r="S228" s="2"/>
      <c r="T228" s="2"/>
      <c r="U228" s="2"/>
      <c r="V228" s="2"/>
      <c r="W228" s="2"/>
      <c r="X228" s="2"/>
      <c r="Y228" s="2"/>
      <c r="Z228" s="2"/>
    </row>
    <row r="229">
      <c r="A229" s="5"/>
      <c r="B229" s="5"/>
      <c r="C229" s="5"/>
      <c r="D229" s="2"/>
      <c r="E229" s="2"/>
      <c r="F229" s="2"/>
      <c r="G229" s="2"/>
      <c r="H229" s="2"/>
      <c r="I229" s="2"/>
      <c r="J229" s="2"/>
      <c r="K229" s="2"/>
      <c r="L229" s="2"/>
      <c r="M229" s="2"/>
      <c r="N229" s="2"/>
      <c r="O229" s="2"/>
      <c r="P229" s="2"/>
      <c r="Q229" s="2"/>
      <c r="R229" s="2"/>
      <c r="S229" s="2"/>
      <c r="T229" s="2"/>
      <c r="U229" s="2"/>
      <c r="V229" s="2"/>
      <c r="W229" s="2"/>
      <c r="X229" s="2"/>
      <c r="Y229" s="2"/>
      <c r="Z229" s="2"/>
    </row>
    <row r="230">
      <c r="A230" s="5"/>
      <c r="B230" s="5"/>
      <c r="C230" s="5"/>
      <c r="D230" s="2"/>
      <c r="E230" s="2"/>
      <c r="F230" s="2"/>
      <c r="G230" s="2"/>
      <c r="H230" s="2"/>
      <c r="I230" s="2"/>
      <c r="J230" s="2"/>
      <c r="K230" s="2"/>
      <c r="L230" s="2"/>
      <c r="M230" s="2"/>
      <c r="N230" s="2"/>
      <c r="O230" s="2"/>
      <c r="P230" s="2"/>
      <c r="Q230" s="2"/>
      <c r="R230" s="2"/>
      <c r="S230" s="2"/>
      <c r="T230" s="2"/>
      <c r="U230" s="2"/>
      <c r="V230" s="2"/>
      <c r="W230" s="2"/>
      <c r="X230" s="2"/>
      <c r="Y230" s="2"/>
      <c r="Z230" s="2"/>
    </row>
    <row r="231">
      <c r="A231" s="5"/>
      <c r="B231" s="5"/>
      <c r="C231" s="5"/>
      <c r="D231" s="2"/>
      <c r="E231" s="2"/>
      <c r="F231" s="2"/>
      <c r="G231" s="2"/>
      <c r="H231" s="2"/>
      <c r="I231" s="2"/>
      <c r="J231" s="2"/>
      <c r="K231" s="2"/>
      <c r="L231" s="2"/>
      <c r="M231" s="2"/>
      <c r="N231" s="2"/>
      <c r="O231" s="2"/>
      <c r="P231" s="2"/>
      <c r="Q231" s="2"/>
      <c r="R231" s="2"/>
      <c r="S231" s="2"/>
      <c r="T231" s="2"/>
      <c r="U231" s="2"/>
      <c r="V231" s="2"/>
      <c r="W231" s="2"/>
      <c r="X231" s="2"/>
      <c r="Y231" s="2"/>
      <c r="Z231" s="2"/>
    </row>
    <row r="232">
      <c r="A232" s="5"/>
      <c r="B232" s="5"/>
      <c r="C232" s="5"/>
      <c r="D232" s="2"/>
      <c r="E232" s="2"/>
      <c r="F232" s="2"/>
      <c r="G232" s="2"/>
      <c r="H232" s="2"/>
      <c r="I232" s="2"/>
      <c r="J232" s="2"/>
      <c r="K232" s="2"/>
      <c r="L232" s="2"/>
      <c r="M232" s="2"/>
      <c r="N232" s="2"/>
      <c r="O232" s="2"/>
      <c r="P232" s="2"/>
      <c r="Q232" s="2"/>
      <c r="R232" s="2"/>
      <c r="S232" s="2"/>
      <c r="T232" s="2"/>
      <c r="U232" s="2"/>
      <c r="V232" s="2"/>
      <c r="W232" s="2"/>
      <c r="X232" s="2"/>
      <c r="Y232" s="2"/>
      <c r="Z232" s="2"/>
    </row>
    <row r="233">
      <c r="A233" s="5"/>
      <c r="B233" s="5"/>
      <c r="C233" s="5"/>
      <c r="D233" s="2"/>
      <c r="E233" s="2"/>
      <c r="F233" s="2"/>
      <c r="G233" s="2"/>
      <c r="H233" s="2"/>
      <c r="I233" s="2"/>
      <c r="J233" s="2"/>
      <c r="K233" s="2"/>
      <c r="L233" s="2"/>
      <c r="M233" s="2"/>
      <c r="N233" s="2"/>
      <c r="O233" s="2"/>
      <c r="P233" s="2"/>
      <c r="Q233" s="2"/>
      <c r="R233" s="2"/>
      <c r="S233" s="2"/>
      <c r="T233" s="2"/>
      <c r="U233" s="2"/>
      <c r="V233" s="2"/>
      <c r="W233" s="2"/>
      <c r="X233" s="2"/>
      <c r="Y233" s="2"/>
      <c r="Z233" s="2"/>
    </row>
    <row r="234">
      <c r="A234" s="5"/>
      <c r="B234" s="5"/>
      <c r="C234" s="5"/>
      <c r="D234" s="2"/>
      <c r="E234" s="2"/>
      <c r="F234" s="2"/>
      <c r="G234" s="2"/>
      <c r="H234" s="2"/>
      <c r="I234" s="2"/>
      <c r="J234" s="2"/>
      <c r="K234" s="2"/>
      <c r="L234" s="2"/>
      <c r="M234" s="2"/>
      <c r="N234" s="2"/>
      <c r="O234" s="2"/>
      <c r="P234" s="2"/>
      <c r="Q234" s="2"/>
      <c r="R234" s="2"/>
      <c r="S234" s="2"/>
      <c r="T234" s="2"/>
      <c r="U234" s="2"/>
      <c r="V234" s="2"/>
      <c r="W234" s="2"/>
      <c r="X234" s="2"/>
      <c r="Y234" s="2"/>
      <c r="Z234" s="2"/>
    </row>
    <row r="235">
      <c r="A235" s="5"/>
      <c r="B235" s="5"/>
      <c r="C235" s="5"/>
      <c r="D235" s="2"/>
      <c r="E235" s="2"/>
      <c r="F235" s="2"/>
      <c r="G235" s="2"/>
      <c r="H235" s="2"/>
      <c r="I235" s="2"/>
      <c r="J235" s="2"/>
      <c r="K235" s="2"/>
      <c r="L235" s="2"/>
      <c r="M235" s="2"/>
      <c r="N235" s="2"/>
      <c r="O235" s="2"/>
      <c r="P235" s="2"/>
      <c r="Q235" s="2"/>
      <c r="R235" s="2"/>
      <c r="S235" s="2"/>
      <c r="T235" s="2"/>
      <c r="U235" s="2"/>
      <c r="V235" s="2"/>
      <c r="W235" s="2"/>
      <c r="X235" s="2"/>
      <c r="Y235" s="2"/>
      <c r="Z235" s="2"/>
    </row>
    <row r="236">
      <c r="A236" s="5"/>
      <c r="B236" s="5"/>
      <c r="C236" s="5"/>
      <c r="D236" s="2"/>
      <c r="E236" s="2"/>
      <c r="F236" s="2"/>
      <c r="G236" s="2"/>
      <c r="H236" s="2"/>
      <c r="I236" s="2"/>
      <c r="J236" s="2"/>
      <c r="K236" s="2"/>
      <c r="L236" s="2"/>
      <c r="M236" s="2"/>
      <c r="N236" s="2"/>
      <c r="O236" s="2"/>
      <c r="P236" s="2"/>
      <c r="Q236" s="2"/>
      <c r="R236" s="2"/>
      <c r="S236" s="2"/>
      <c r="T236" s="2"/>
      <c r="U236" s="2"/>
      <c r="V236" s="2"/>
      <c r="W236" s="2"/>
      <c r="X236" s="2"/>
      <c r="Y236" s="2"/>
      <c r="Z236" s="2"/>
    </row>
    <row r="237">
      <c r="A237" s="5"/>
      <c r="B237" s="5"/>
      <c r="C237" s="5"/>
      <c r="D237" s="2"/>
      <c r="E237" s="2"/>
      <c r="F237" s="2"/>
      <c r="G237" s="2"/>
      <c r="H237" s="2"/>
      <c r="I237" s="2"/>
      <c r="J237" s="2"/>
      <c r="K237" s="2"/>
      <c r="L237" s="2"/>
      <c r="M237" s="2"/>
      <c r="N237" s="2"/>
      <c r="O237" s="2"/>
      <c r="P237" s="2"/>
      <c r="Q237" s="2"/>
      <c r="R237" s="2"/>
      <c r="S237" s="2"/>
      <c r="T237" s="2"/>
      <c r="U237" s="2"/>
      <c r="V237" s="2"/>
      <c r="W237" s="2"/>
      <c r="X237" s="2"/>
      <c r="Y237" s="2"/>
      <c r="Z237" s="2"/>
    </row>
    <row r="238">
      <c r="A238" s="5"/>
      <c r="B238" s="5"/>
      <c r="C238" s="5"/>
      <c r="D238" s="2"/>
      <c r="E238" s="2"/>
      <c r="F238" s="2"/>
      <c r="G238" s="2"/>
      <c r="H238" s="2"/>
      <c r="I238" s="2"/>
      <c r="J238" s="2"/>
      <c r="K238" s="2"/>
      <c r="L238" s="2"/>
      <c r="M238" s="2"/>
      <c r="N238" s="2"/>
      <c r="O238" s="2"/>
      <c r="P238" s="2"/>
      <c r="Q238" s="2"/>
      <c r="R238" s="2"/>
      <c r="S238" s="2"/>
      <c r="T238" s="2"/>
      <c r="U238" s="2"/>
      <c r="V238" s="2"/>
      <c r="W238" s="2"/>
      <c r="X238" s="2"/>
      <c r="Y238" s="2"/>
      <c r="Z238" s="2"/>
    </row>
    <row r="239">
      <c r="A239" s="5"/>
      <c r="B239" s="5"/>
      <c r="C239" s="5"/>
      <c r="D239" s="2"/>
      <c r="E239" s="2"/>
      <c r="F239" s="2"/>
      <c r="G239" s="2"/>
      <c r="H239" s="2"/>
      <c r="I239" s="2"/>
      <c r="J239" s="2"/>
      <c r="K239" s="2"/>
      <c r="L239" s="2"/>
      <c r="M239" s="2"/>
      <c r="N239" s="2"/>
      <c r="O239" s="2"/>
      <c r="P239" s="2"/>
      <c r="Q239" s="2"/>
      <c r="R239" s="2"/>
      <c r="S239" s="2"/>
      <c r="T239" s="2"/>
      <c r="U239" s="2"/>
      <c r="V239" s="2"/>
      <c r="W239" s="2"/>
      <c r="X239" s="2"/>
      <c r="Y239" s="2"/>
      <c r="Z239" s="2"/>
    </row>
    <row r="240">
      <c r="A240" s="5"/>
      <c r="B240" s="5"/>
      <c r="C240" s="5"/>
      <c r="D240" s="2"/>
      <c r="E240" s="2"/>
      <c r="F240" s="2"/>
      <c r="G240" s="2"/>
      <c r="H240" s="2"/>
      <c r="I240" s="2"/>
      <c r="J240" s="2"/>
      <c r="K240" s="2"/>
      <c r="L240" s="2"/>
      <c r="M240" s="2"/>
      <c r="N240" s="2"/>
      <c r="O240" s="2"/>
      <c r="P240" s="2"/>
      <c r="Q240" s="2"/>
      <c r="R240" s="2"/>
      <c r="S240" s="2"/>
      <c r="T240" s="2"/>
      <c r="U240" s="2"/>
      <c r="V240" s="2"/>
      <c r="W240" s="2"/>
      <c r="X240" s="2"/>
      <c r="Y240" s="2"/>
      <c r="Z240" s="2"/>
    </row>
    <row r="241">
      <c r="A241" s="5"/>
      <c r="B241" s="5"/>
      <c r="C241" s="5"/>
      <c r="D241" s="2"/>
      <c r="E241" s="2"/>
      <c r="F241" s="2"/>
      <c r="G241" s="2"/>
      <c r="H241" s="2"/>
      <c r="I241" s="2"/>
      <c r="J241" s="2"/>
      <c r="K241" s="2"/>
      <c r="L241" s="2"/>
      <c r="M241" s="2"/>
      <c r="N241" s="2"/>
      <c r="O241" s="2"/>
      <c r="P241" s="2"/>
      <c r="Q241" s="2"/>
      <c r="R241" s="2"/>
      <c r="S241" s="2"/>
      <c r="T241" s="2"/>
      <c r="U241" s="2"/>
      <c r="V241" s="2"/>
      <c r="W241" s="2"/>
      <c r="X241" s="2"/>
      <c r="Y241" s="2"/>
      <c r="Z241" s="2"/>
    </row>
    <row r="242">
      <c r="A242" s="5"/>
      <c r="B242" s="5"/>
      <c r="C242" s="5"/>
      <c r="D242" s="2"/>
      <c r="E242" s="2"/>
      <c r="F242" s="2"/>
      <c r="G242" s="2"/>
      <c r="H242" s="2"/>
      <c r="I242" s="2"/>
      <c r="J242" s="2"/>
      <c r="K242" s="2"/>
      <c r="L242" s="2"/>
      <c r="M242" s="2"/>
      <c r="N242" s="2"/>
      <c r="O242" s="2"/>
      <c r="P242" s="2"/>
      <c r="Q242" s="2"/>
      <c r="R242" s="2"/>
      <c r="S242" s="2"/>
      <c r="T242" s="2"/>
      <c r="U242" s="2"/>
      <c r="V242" s="2"/>
      <c r="W242" s="2"/>
      <c r="X242" s="2"/>
      <c r="Y242" s="2"/>
      <c r="Z242" s="2"/>
    </row>
    <row r="243">
      <c r="A243" s="5"/>
      <c r="B243" s="5"/>
      <c r="C243" s="5"/>
      <c r="D243" s="2"/>
      <c r="E243" s="2"/>
      <c r="F243" s="2"/>
      <c r="G243" s="2"/>
      <c r="H243" s="2"/>
      <c r="I243" s="2"/>
      <c r="J243" s="2"/>
      <c r="K243" s="2"/>
      <c r="L243" s="2"/>
      <c r="M243" s="2"/>
      <c r="N243" s="2"/>
      <c r="O243" s="2"/>
      <c r="P243" s="2"/>
      <c r="Q243" s="2"/>
      <c r="R243" s="2"/>
      <c r="S243" s="2"/>
      <c r="T243" s="2"/>
      <c r="U243" s="2"/>
      <c r="V243" s="2"/>
      <c r="W243" s="2"/>
      <c r="X243" s="2"/>
      <c r="Y243" s="2"/>
      <c r="Z243" s="2"/>
    </row>
    <row r="244">
      <c r="A244" s="5"/>
      <c r="B244" s="5"/>
      <c r="C244" s="5"/>
      <c r="D244" s="2"/>
      <c r="E244" s="2"/>
      <c r="F244" s="2"/>
      <c r="G244" s="2"/>
      <c r="H244" s="2"/>
      <c r="I244" s="2"/>
      <c r="J244" s="2"/>
      <c r="K244" s="2"/>
      <c r="L244" s="2"/>
      <c r="M244" s="2"/>
      <c r="N244" s="2"/>
      <c r="O244" s="2"/>
      <c r="P244" s="2"/>
      <c r="Q244" s="2"/>
      <c r="R244" s="2"/>
      <c r="S244" s="2"/>
      <c r="T244" s="2"/>
      <c r="U244" s="2"/>
      <c r="V244" s="2"/>
      <c r="W244" s="2"/>
      <c r="X244" s="2"/>
      <c r="Y244" s="2"/>
      <c r="Z244" s="2"/>
    </row>
    <row r="245">
      <c r="A245" s="5"/>
      <c r="B245" s="5"/>
      <c r="C245" s="5"/>
      <c r="D245" s="2"/>
      <c r="E245" s="2"/>
      <c r="F245" s="2"/>
      <c r="G245" s="2"/>
      <c r="H245" s="2"/>
      <c r="I245" s="2"/>
      <c r="J245" s="2"/>
      <c r="K245" s="2"/>
      <c r="L245" s="2"/>
      <c r="M245" s="2"/>
      <c r="N245" s="2"/>
      <c r="O245" s="2"/>
      <c r="P245" s="2"/>
      <c r="Q245" s="2"/>
      <c r="R245" s="2"/>
      <c r="S245" s="2"/>
      <c r="T245" s="2"/>
      <c r="U245" s="2"/>
      <c r="V245" s="2"/>
      <c r="W245" s="2"/>
      <c r="X245" s="2"/>
      <c r="Y245" s="2"/>
      <c r="Z245" s="2"/>
    </row>
    <row r="246">
      <c r="A246" s="5"/>
      <c r="B246" s="5"/>
      <c r="C246" s="5"/>
      <c r="D246" s="2"/>
      <c r="E246" s="2"/>
      <c r="F246" s="2"/>
      <c r="G246" s="2"/>
      <c r="H246" s="2"/>
      <c r="I246" s="2"/>
      <c r="J246" s="2"/>
      <c r="K246" s="2"/>
      <c r="L246" s="2"/>
      <c r="M246" s="2"/>
      <c r="N246" s="2"/>
      <c r="O246" s="2"/>
      <c r="P246" s="2"/>
      <c r="Q246" s="2"/>
      <c r="R246" s="2"/>
      <c r="S246" s="2"/>
      <c r="T246" s="2"/>
      <c r="U246" s="2"/>
      <c r="V246" s="2"/>
      <c r="W246" s="2"/>
      <c r="X246" s="2"/>
      <c r="Y246" s="2"/>
      <c r="Z246" s="2"/>
    </row>
    <row r="247">
      <c r="A247" s="5"/>
      <c r="B247" s="5"/>
      <c r="C247" s="5"/>
      <c r="D247" s="2"/>
      <c r="E247" s="2"/>
      <c r="F247" s="2"/>
      <c r="G247" s="2"/>
      <c r="H247" s="2"/>
      <c r="I247" s="2"/>
      <c r="J247" s="2"/>
      <c r="K247" s="2"/>
      <c r="L247" s="2"/>
      <c r="M247" s="2"/>
      <c r="N247" s="2"/>
      <c r="O247" s="2"/>
      <c r="P247" s="2"/>
      <c r="Q247" s="2"/>
      <c r="R247" s="2"/>
      <c r="S247" s="2"/>
      <c r="T247" s="2"/>
      <c r="U247" s="2"/>
      <c r="V247" s="2"/>
      <c r="W247" s="2"/>
      <c r="X247" s="2"/>
      <c r="Y247" s="2"/>
      <c r="Z247" s="2"/>
    </row>
    <row r="248">
      <c r="A248" s="5"/>
      <c r="B248" s="5"/>
      <c r="C248" s="5"/>
      <c r="D248" s="2"/>
      <c r="E248" s="2"/>
      <c r="F248" s="2"/>
      <c r="G248" s="2"/>
      <c r="H248" s="2"/>
      <c r="I248" s="2"/>
      <c r="J248" s="2"/>
      <c r="K248" s="2"/>
      <c r="L248" s="2"/>
      <c r="M248" s="2"/>
      <c r="N248" s="2"/>
      <c r="O248" s="2"/>
      <c r="P248" s="2"/>
      <c r="Q248" s="2"/>
      <c r="R248" s="2"/>
      <c r="S248" s="2"/>
      <c r="T248" s="2"/>
      <c r="U248" s="2"/>
      <c r="V248" s="2"/>
      <c r="W248" s="2"/>
      <c r="X248" s="2"/>
      <c r="Y248" s="2"/>
      <c r="Z248" s="2"/>
    </row>
    <row r="249">
      <c r="A249" s="5"/>
      <c r="B249" s="5"/>
      <c r="C249" s="5"/>
      <c r="D249" s="2"/>
      <c r="E249" s="2"/>
      <c r="F249" s="2"/>
      <c r="G249" s="2"/>
      <c r="H249" s="2"/>
      <c r="I249" s="2"/>
      <c r="J249" s="2"/>
      <c r="K249" s="2"/>
      <c r="L249" s="2"/>
      <c r="M249" s="2"/>
      <c r="N249" s="2"/>
      <c r="O249" s="2"/>
      <c r="P249" s="2"/>
      <c r="Q249" s="2"/>
      <c r="R249" s="2"/>
      <c r="S249" s="2"/>
      <c r="T249" s="2"/>
      <c r="U249" s="2"/>
      <c r="V249" s="2"/>
      <c r="W249" s="2"/>
      <c r="X249" s="2"/>
      <c r="Y249" s="2"/>
      <c r="Z249" s="2"/>
    </row>
    <row r="250">
      <c r="A250" s="5"/>
      <c r="B250" s="5"/>
      <c r="C250" s="5"/>
      <c r="D250" s="2"/>
      <c r="E250" s="2"/>
      <c r="F250" s="2"/>
      <c r="G250" s="2"/>
      <c r="H250" s="2"/>
      <c r="I250" s="2"/>
      <c r="J250" s="2"/>
      <c r="K250" s="2"/>
      <c r="L250" s="2"/>
      <c r="M250" s="2"/>
      <c r="N250" s="2"/>
      <c r="O250" s="2"/>
      <c r="P250" s="2"/>
      <c r="Q250" s="2"/>
      <c r="R250" s="2"/>
      <c r="S250" s="2"/>
      <c r="T250" s="2"/>
      <c r="U250" s="2"/>
      <c r="V250" s="2"/>
      <c r="W250" s="2"/>
      <c r="X250" s="2"/>
      <c r="Y250" s="2"/>
      <c r="Z250" s="2"/>
    </row>
    <row r="251">
      <c r="A251" s="5"/>
      <c r="B251" s="5"/>
      <c r="C251" s="5"/>
      <c r="D251" s="2"/>
      <c r="E251" s="2"/>
      <c r="F251" s="2"/>
      <c r="G251" s="2"/>
      <c r="H251" s="2"/>
      <c r="I251" s="2"/>
      <c r="J251" s="2"/>
      <c r="K251" s="2"/>
      <c r="L251" s="2"/>
      <c r="M251" s="2"/>
      <c r="N251" s="2"/>
      <c r="O251" s="2"/>
      <c r="P251" s="2"/>
      <c r="Q251" s="2"/>
      <c r="R251" s="2"/>
      <c r="S251" s="2"/>
      <c r="T251" s="2"/>
      <c r="U251" s="2"/>
      <c r="V251" s="2"/>
      <c r="W251" s="2"/>
      <c r="X251" s="2"/>
      <c r="Y251" s="2"/>
      <c r="Z251" s="2"/>
    </row>
    <row r="252">
      <c r="A252" s="5"/>
      <c r="B252" s="5"/>
      <c r="C252" s="5"/>
      <c r="D252" s="2"/>
      <c r="E252" s="2"/>
      <c r="F252" s="2"/>
      <c r="G252" s="2"/>
      <c r="H252" s="2"/>
      <c r="I252" s="2"/>
      <c r="J252" s="2"/>
      <c r="K252" s="2"/>
      <c r="L252" s="2"/>
      <c r="M252" s="2"/>
      <c r="N252" s="2"/>
      <c r="O252" s="2"/>
      <c r="P252" s="2"/>
      <c r="Q252" s="2"/>
      <c r="R252" s="2"/>
      <c r="S252" s="2"/>
      <c r="T252" s="2"/>
      <c r="U252" s="2"/>
      <c r="V252" s="2"/>
      <c r="W252" s="2"/>
      <c r="X252" s="2"/>
      <c r="Y252" s="2"/>
      <c r="Z252" s="2"/>
    </row>
    <row r="253">
      <c r="A253" s="5"/>
      <c r="B253" s="5"/>
      <c r="C253" s="5"/>
      <c r="D253" s="2"/>
      <c r="E253" s="2"/>
      <c r="F253" s="2"/>
      <c r="G253" s="2"/>
      <c r="H253" s="2"/>
      <c r="I253" s="2"/>
      <c r="J253" s="2"/>
      <c r="K253" s="2"/>
      <c r="L253" s="2"/>
      <c r="M253" s="2"/>
      <c r="N253" s="2"/>
      <c r="O253" s="2"/>
      <c r="P253" s="2"/>
      <c r="Q253" s="2"/>
      <c r="R253" s="2"/>
      <c r="S253" s="2"/>
      <c r="T253" s="2"/>
      <c r="U253" s="2"/>
      <c r="V253" s="2"/>
      <c r="W253" s="2"/>
      <c r="X253" s="2"/>
      <c r="Y253" s="2"/>
      <c r="Z253" s="2"/>
    </row>
    <row r="254">
      <c r="A254" s="5"/>
      <c r="B254" s="5"/>
      <c r="C254" s="5"/>
      <c r="D254" s="2"/>
      <c r="E254" s="2"/>
      <c r="F254" s="2"/>
      <c r="G254" s="2"/>
      <c r="H254" s="2"/>
      <c r="I254" s="2"/>
      <c r="J254" s="2"/>
      <c r="K254" s="2"/>
      <c r="L254" s="2"/>
      <c r="M254" s="2"/>
      <c r="N254" s="2"/>
      <c r="O254" s="2"/>
      <c r="P254" s="2"/>
      <c r="Q254" s="2"/>
      <c r="R254" s="2"/>
      <c r="S254" s="2"/>
      <c r="T254" s="2"/>
      <c r="U254" s="2"/>
      <c r="V254" s="2"/>
      <c r="W254" s="2"/>
      <c r="X254" s="2"/>
      <c r="Y254" s="2"/>
      <c r="Z254" s="2"/>
    </row>
    <row r="255">
      <c r="A255" s="5"/>
      <c r="B255" s="5"/>
      <c r="C255" s="5"/>
      <c r="D255" s="2"/>
      <c r="E255" s="2"/>
      <c r="F255" s="2"/>
      <c r="G255" s="2"/>
      <c r="H255" s="2"/>
      <c r="I255" s="2"/>
      <c r="J255" s="2"/>
      <c r="K255" s="2"/>
      <c r="L255" s="2"/>
      <c r="M255" s="2"/>
      <c r="N255" s="2"/>
      <c r="O255" s="2"/>
      <c r="P255" s="2"/>
      <c r="Q255" s="2"/>
      <c r="R255" s="2"/>
      <c r="S255" s="2"/>
      <c r="T255" s="2"/>
      <c r="U255" s="2"/>
      <c r="V255" s="2"/>
      <c r="W255" s="2"/>
      <c r="X255" s="2"/>
      <c r="Y255" s="2"/>
      <c r="Z255" s="2"/>
    </row>
    <row r="256">
      <c r="A256" s="5"/>
      <c r="B256" s="5"/>
      <c r="C256" s="5"/>
      <c r="D256" s="2"/>
      <c r="E256" s="2"/>
      <c r="F256" s="2"/>
      <c r="G256" s="2"/>
      <c r="H256" s="2"/>
      <c r="I256" s="2"/>
      <c r="J256" s="2"/>
      <c r="K256" s="2"/>
      <c r="L256" s="2"/>
      <c r="M256" s="2"/>
      <c r="N256" s="2"/>
      <c r="O256" s="2"/>
      <c r="P256" s="2"/>
      <c r="Q256" s="2"/>
      <c r="R256" s="2"/>
      <c r="S256" s="2"/>
      <c r="T256" s="2"/>
      <c r="U256" s="2"/>
      <c r="V256" s="2"/>
      <c r="W256" s="2"/>
      <c r="X256" s="2"/>
      <c r="Y256" s="2"/>
      <c r="Z256" s="2"/>
    </row>
    <row r="257">
      <c r="A257" s="5"/>
      <c r="B257" s="5"/>
      <c r="C257" s="5"/>
      <c r="D257" s="2"/>
      <c r="E257" s="2"/>
      <c r="F257" s="2"/>
      <c r="G257" s="2"/>
      <c r="H257" s="2"/>
      <c r="I257" s="2"/>
      <c r="J257" s="2"/>
      <c r="K257" s="2"/>
      <c r="L257" s="2"/>
      <c r="M257" s="2"/>
      <c r="N257" s="2"/>
      <c r="O257" s="2"/>
      <c r="P257" s="2"/>
      <c r="Q257" s="2"/>
      <c r="R257" s="2"/>
      <c r="S257" s="2"/>
      <c r="T257" s="2"/>
      <c r="U257" s="2"/>
      <c r="V257" s="2"/>
      <c r="W257" s="2"/>
      <c r="X257" s="2"/>
      <c r="Y257" s="2"/>
      <c r="Z257" s="2"/>
    </row>
    <row r="258">
      <c r="A258" s="5"/>
      <c r="B258" s="5"/>
      <c r="C258" s="5"/>
      <c r="D258" s="2"/>
      <c r="E258" s="2"/>
      <c r="F258" s="2"/>
      <c r="G258" s="2"/>
      <c r="H258" s="2"/>
      <c r="I258" s="2"/>
      <c r="J258" s="2"/>
      <c r="K258" s="2"/>
      <c r="L258" s="2"/>
      <c r="M258" s="2"/>
      <c r="N258" s="2"/>
      <c r="O258" s="2"/>
      <c r="P258" s="2"/>
      <c r="Q258" s="2"/>
      <c r="R258" s="2"/>
      <c r="S258" s="2"/>
      <c r="T258" s="2"/>
      <c r="U258" s="2"/>
      <c r="V258" s="2"/>
      <c r="W258" s="2"/>
      <c r="X258" s="2"/>
      <c r="Y258" s="2"/>
      <c r="Z258" s="2"/>
    </row>
    <row r="259">
      <c r="A259" s="5"/>
      <c r="B259" s="5"/>
      <c r="C259" s="5"/>
      <c r="D259" s="2"/>
      <c r="E259" s="2"/>
      <c r="F259" s="2"/>
      <c r="G259" s="2"/>
      <c r="H259" s="2"/>
      <c r="I259" s="2"/>
      <c r="J259" s="2"/>
      <c r="K259" s="2"/>
      <c r="L259" s="2"/>
      <c r="M259" s="2"/>
      <c r="N259" s="2"/>
      <c r="O259" s="2"/>
      <c r="P259" s="2"/>
      <c r="Q259" s="2"/>
      <c r="R259" s="2"/>
      <c r="S259" s="2"/>
      <c r="T259" s="2"/>
      <c r="U259" s="2"/>
      <c r="V259" s="2"/>
      <c r="W259" s="2"/>
      <c r="X259" s="2"/>
      <c r="Y259" s="2"/>
      <c r="Z259" s="2"/>
    </row>
    <row r="260">
      <c r="A260" s="5"/>
      <c r="B260" s="5"/>
      <c r="C260" s="5"/>
      <c r="D260" s="2"/>
      <c r="E260" s="2"/>
      <c r="F260" s="2"/>
      <c r="G260" s="2"/>
      <c r="H260" s="2"/>
      <c r="I260" s="2"/>
      <c r="J260" s="2"/>
      <c r="K260" s="2"/>
      <c r="L260" s="2"/>
      <c r="M260" s="2"/>
      <c r="N260" s="2"/>
      <c r="O260" s="2"/>
      <c r="P260" s="2"/>
      <c r="Q260" s="2"/>
      <c r="R260" s="2"/>
      <c r="S260" s="2"/>
      <c r="T260" s="2"/>
      <c r="U260" s="2"/>
      <c r="V260" s="2"/>
      <c r="W260" s="2"/>
      <c r="X260" s="2"/>
      <c r="Y260" s="2"/>
      <c r="Z260" s="2"/>
    </row>
    <row r="261">
      <c r="A261" s="5"/>
      <c r="B261" s="5"/>
      <c r="C261" s="5"/>
      <c r="D261" s="2"/>
      <c r="E261" s="2"/>
      <c r="F261" s="2"/>
      <c r="G261" s="2"/>
      <c r="H261" s="2"/>
      <c r="I261" s="2"/>
      <c r="J261" s="2"/>
      <c r="K261" s="2"/>
      <c r="L261" s="2"/>
      <c r="M261" s="2"/>
      <c r="N261" s="2"/>
      <c r="O261" s="2"/>
      <c r="P261" s="2"/>
      <c r="Q261" s="2"/>
      <c r="R261" s="2"/>
      <c r="S261" s="2"/>
      <c r="T261" s="2"/>
      <c r="U261" s="2"/>
      <c r="V261" s="2"/>
      <c r="W261" s="2"/>
      <c r="X261" s="2"/>
      <c r="Y261" s="2"/>
      <c r="Z261" s="2"/>
    </row>
    <row r="262">
      <c r="A262" s="5"/>
      <c r="B262" s="5"/>
      <c r="C262" s="5"/>
      <c r="D262" s="2"/>
      <c r="E262" s="2"/>
      <c r="F262" s="2"/>
      <c r="G262" s="2"/>
      <c r="H262" s="2"/>
      <c r="I262" s="2"/>
      <c r="J262" s="2"/>
      <c r="K262" s="2"/>
      <c r="L262" s="2"/>
      <c r="M262" s="2"/>
      <c r="N262" s="2"/>
      <c r="O262" s="2"/>
      <c r="P262" s="2"/>
      <c r="Q262" s="2"/>
      <c r="R262" s="2"/>
      <c r="S262" s="2"/>
      <c r="T262" s="2"/>
      <c r="U262" s="2"/>
      <c r="V262" s="2"/>
      <c r="W262" s="2"/>
      <c r="X262" s="2"/>
      <c r="Y262" s="2"/>
      <c r="Z262" s="2"/>
    </row>
    <row r="263">
      <c r="A263" s="5"/>
      <c r="B263" s="5"/>
      <c r="C263" s="5"/>
      <c r="D263" s="2"/>
      <c r="E263" s="2"/>
      <c r="F263" s="2"/>
      <c r="G263" s="2"/>
      <c r="H263" s="2"/>
      <c r="I263" s="2"/>
      <c r="J263" s="2"/>
      <c r="K263" s="2"/>
      <c r="L263" s="2"/>
      <c r="M263" s="2"/>
      <c r="N263" s="2"/>
      <c r="O263" s="2"/>
      <c r="P263" s="2"/>
      <c r="Q263" s="2"/>
      <c r="R263" s="2"/>
      <c r="S263" s="2"/>
      <c r="T263" s="2"/>
      <c r="U263" s="2"/>
      <c r="V263" s="2"/>
      <c r="W263" s="2"/>
      <c r="X263" s="2"/>
      <c r="Y263" s="2"/>
      <c r="Z263" s="2"/>
    </row>
    <row r="264">
      <c r="A264" s="5"/>
      <c r="B264" s="5"/>
      <c r="C264" s="5"/>
      <c r="D264" s="2"/>
      <c r="E264" s="2"/>
      <c r="F264" s="2"/>
      <c r="G264" s="2"/>
      <c r="H264" s="2"/>
      <c r="I264" s="2"/>
      <c r="J264" s="2"/>
      <c r="K264" s="2"/>
      <c r="L264" s="2"/>
      <c r="M264" s="2"/>
      <c r="N264" s="2"/>
      <c r="O264" s="2"/>
      <c r="P264" s="2"/>
      <c r="Q264" s="2"/>
      <c r="R264" s="2"/>
      <c r="S264" s="2"/>
      <c r="T264" s="2"/>
      <c r="U264" s="2"/>
      <c r="V264" s="2"/>
      <c r="W264" s="2"/>
      <c r="X264" s="2"/>
      <c r="Y264" s="2"/>
      <c r="Z264" s="2"/>
    </row>
    <row r="265">
      <c r="A265" s="5"/>
      <c r="B265" s="5"/>
      <c r="C265" s="5"/>
      <c r="D265" s="2"/>
      <c r="E265" s="2"/>
      <c r="F265" s="2"/>
      <c r="G265" s="2"/>
      <c r="H265" s="2"/>
      <c r="I265" s="2"/>
      <c r="J265" s="2"/>
      <c r="K265" s="2"/>
      <c r="L265" s="2"/>
      <c r="M265" s="2"/>
      <c r="N265" s="2"/>
      <c r="O265" s="2"/>
      <c r="P265" s="2"/>
      <c r="Q265" s="2"/>
      <c r="R265" s="2"/>
      <c r="S265" s="2"/>
      <c r="T265" s="2"/>
      <c r="U265" s="2"/>
      <c r="V265" s="2"/>
      <c r="W265" s="2"/>
      <c r="X265" s="2"/>
      <c r="Y265" s="2"/>
      <c r="Z265" s="2"/>
    </row>
    <row r="266">
      <c r="A266" s="5"/>
      <c r="B266" s="5"/>
      <c r="C266" s="5"/>
      <c r="D266" s="2"/>
      <c r="E266" s="2"/>
      <c r="F266" s="2"/>
      <c r="G266" s="2"/>
      <c r="H266" s="2"/>
      <c r="I266" s="2"/>
      <c r="J266" s="2"/>
      <c r="K266" s="2"/>
      <c r="L266" s="2"/>
      <c r="M266" s="2"/>
      <c r="N266" s="2"/>
      <c r="O266" s="2"/>
      <c r="P266" s="2"/>
      <c r="Q266" s="2"/>
      <c r="R266" s="2"/>
      <c r="S266" s="2"/>
      <c r="T266" s="2"/>
      <c r="U266" s="2"/>
      <c r="V266" s="2"/>
      <c r="W266" s="2"/>
      <c r="X266" s="2"/>
      <c r="Y266" s="2"/>
      <c r="Z266" s="2"/>
    </row>
    <row r="267">
      <c r="A267" s="5"/>
      <c r="B267" s="5"/>
      <c r="C267" s="5"/>
      <c r="D267" s="2"/>
      <c r="E267" s="2"/>
      <c r="F267" s="2"/>
      <c r="G267" s="2"/>
      <c r="H267" s="2"/>
      <c r="I267" s="2"/>
      <c r="J267" s="2"/>
      <c r="K267" s="2"/>
      <c r="L267" s="2"/>
      <c r="M267" s="2"/>
      <c r="N267" s="2"/>
      <c r="O267" s="2"/>
      <c r="P267" s="2"/>
      <c r="Q267" s="2"/>
      <c r="R267" s="2"/>
      <c r="S267" s="2"/>
      <c r="T267" s="2"/>
      <c r="U267" s="2"/>
      <c r="V267" s="2"/>
      <c r="W267" s="2"/>
      <c r="X267" s="2"/>
      <c r="Y267" s="2"/>
      <c r="Z267" s="2"/>
    </row>
    <row r="268">
      <c r="A268" s="5"/>
      <c r="B268" s="5"/>
      <c r="C268" s="5"/>
      <c r="D268" s="2"/>
      <c r="E268" s="2"/>
      <c r="F268" s="2"/>
      <c r="G268" s="2"/>
      <c r="H268" s="2"/>
      <c r="I268" s="2"/>
      <c r="J268" s="2"/>
      <c r="K268" s="2"/>
      <c r="L268" s="2"/>
      <c r="M268" s="2"/>
      <c r="N268" s="2"/>
      <c r="O268" s="2"/>
      <c r="P268" s="2"/>
      <c r="Q268" s="2"/>
      <c r="R268" s="2"/>
      <c r="S268" s="2"/>
      <c r="T268" s="2"/>
      <c r="U268" s="2"/>
      <c r="V268" s="2"/>
      <c r="W268" s="2"/>
      <c r="X268" s="2"/>
      <c r="Y268" s="2"/>
      <c r="Z268" s="2"/>
    </row>
    <row r="269">
      <c r="A269" s="5"/>
      <c r="B269" s="5"/>
      <c r="C269" s="5"/>
      <c r="D269" s="2"/>
      <c r="E269" s="2"/>
      <c r="F269" s="2"/>
      <c r="G269" s="2"/>
      <c r="H269" s="2"/>
      <c r="I269" s="2"/>
      <c r="J269" s="2"/>
      <c r="K269" s="2"/>
      <c r="L269" s="2"/>
      <c r="M269" s="2"/>
      <c r="N269" s="2"/>
      <c r="O269" s="2"/>
      <c r="P269" s="2"/>
      <c r="Q269" s="2"/>
      <c r="R269" s="2"/>
      <c r="S269" s="2"/>
      <c r="T269" s="2"/>
      <c r="U269" s="2"/>
      <c r="V269" s="2"/>
      <c r="W269" s="2"/>
      <c r="X269" s="2"/>
      <c r="Y269" s="2"/>
      <c r="Z269" s="2"/>
    </row>
    <row r="270">
      <c r="A270" s="5"/>
      <c r="B270" s="5"/>
      <c r="C270" s="5"/>
      <c r="D270" s="2"/>
      <c r="E270" s="2"/>
      <c r="F270" s="2"/>
      <c r="G270" s="2"/>
      <c r="H270" s="2"/>
      <c r="I270" s="2"/>
      <c r="J270" s="2"/>
      <c r="K270" s="2"/>
      <c r="L270" s="2"/>
      <c r="M270" s="2"/>
      <c r="N270" s="2"/>
      <c r="O270" s="2"/>
      <c r="P270" s="2"/>
      <c r="Q270" s="2"/>
      <c r="R270" s="2"/>
      <c r="S270" s="2"/>
      <c r="T270" s="2"/>
      <c r="U270" s="2"/>
      <c r="V270" s="2"/>
      <c r="W270" s="2"/>
      <c r="X270" s="2"/>
      <c r="Y270" s="2"/>
      <c r="Z270" s="2"/>
    </row>
    <row r="271">
      <c r="A271" s="5"/>
      <c r="B271" s="5"/>
      <c r="C271" s="5"/>
      <c r="D271" s="2"/>
      <c r="E271" s="2"/>
      <c r="F271" s="2"/>
      <c r="G271" s="2"/>
      <c r="H271" s="2"/>
      <c r="I271" s="2"/>
      <c r="J271" s="2"/>
      <c r="K271" s="2"/>
      <c r="L271" s="2"/>
      <c r="M271" s="2"/>
      <c r="N271" s="2"/>
      <c r="O271" s="2"/>
      <c r="P271" s="2"/>
      <c r="Q271" s="2"/>
      <c r="R271" s="2"/>
      <c r="S271" s="2"/>
      <c r="T271" s="2"/>
      <c r="U271" s="2"/>
      <c r="V271" s="2"/>
      <c r="W271" s="2"/>
      <c r="X271" s="2"/>
      <c r="Y271" s="2"/>
      <c r="Z271" s="2"/>
    </row>
    <row r="272">
      <c r="A272" s="5"/>
      <c r="B272" s="5"/>
      <c r="C272" s="5"/>
      <c r="D272" s="2"/>
      <c r="E272" s="2"/>
      <c r="F272" s="2"/>
      <c r="G272" s="2"/>
      <c r="H272" s="2"/>
      <c r="I272" s="2"/>
      <c r="J272" s="2"/>
      <c r="K272" s="2"/>
      <c r="L272" s="2"/>
      <c r="M272" s="2"/>
      <c r="N272" s="2"/>
      <c r="O272" s="2"/>
      <c r="P272" s="2"/>
      <c r="Q272" s="2"/>
      <c r="R272" s="2"/>
      <c r="S272" s="2"/>
      <c r="T272" s="2"/>
      <c r="U272" s="2"/>
      <c r="V272" s="2"/>
      <c r="W272" s="2"/>
      <c r="X272" s="2"/>
      <c r="Y272" s="2"/>
      <c r="Z272" s="2"/>
    </row>
    <row r="273">
      <c r="A273" s="5"/>
      <c r="B273" s="5"/>
      <c r="C273" s="5"/>
      <c r="D273" s="2"/>
      <c r="E273" s="2"/>
      <c r="F273" s="2"/>
      <c r="G273" s="2"/>
      <c r="H273" s="2"/>
      <c r="I273" s="2"/>
      <c r="J273" s="2"/>
      <c r="K273" s="2"/>
      <c r="L273" s="2"/>
      <c r="M273" s="2"/>
      <c r="N273" s="2"/>
      <c r="O273" s="2"/>
      <c r="P273" s="2"/>
      <c r="Q273" s="2"/>
      <c r="R273" s="2"/>
      <c r="S273" s="2"/>
      <c r="T273" s="2"/>
      <c r="U273" s="2"/>
      <c r="V273" s="2"/>
      <c r="W273" s="2"/>
      <c r="X273" s="2"/>
      <c r="Y273" s="2"/>
      <c r="Z273" s="2"/>
    </row>
    <row r="274">
      <c r="A274" s="5"/>
      <c r="B274" s="5"/>
      <c r="C274" s="5"/>
      <c r="D274" s="2"/>
      <c r="E274" s="2"/>
      <c r="F274" s="2"/>
      <c r="G274" s="2"/>
      <c r="H274" s="2"/>
      <c r="I274" s="2"/>
      <c r="J274" s="2"/>
      <c r="K274" s="2"/>
      <c r="L274" s="2"/>
      <c r="M274" s="2"/>
      <c r="N274" s="2"/>
      <c r="O274" s="2"/>
      <c r="P274" s="2"/>
      <c r="Q274" s="2"/>
      <c r="R274" s="2"/>
      <c r="S274" s="2"/>
      <c r="T274" s="2"/>
      <c r="U274" s="2"/>
      <c r="V274" s="2"/>
      <c r="W274" s="2"/>
      <c r="X274" s="2"/>
      <c r="Y274" s="2"/>
      <c r="Z274" s="2"/>
    </row>
    <row r="275">
      <c r="A275" s="5"/>
      <c r="B275" s="5"/>
      <c r="C275" s="5"/>
      <c r="D275" s="2"/>
      <c r="E275" s="2"/>
      <c r="F275" s="2"/>
      <c r="G275" s="2"/>
      <c r="H275" s="2"/>
      <c r="I275" s="2"/>
      <c r="J275" s="2"/>
      <c r="K275" s="2"/>
      <c r="L275" s="2"/>
      <c r="M275" s="2"/>
      <c r="N275" s="2"/>
      <c r="O275" s="2"/>
      <c r="P275" s="2"/>
      <c r="Q275" s="2"/>
      <c r="R275" s="2"/>
      <c r="S275" s="2"/>
      <c r="T275" s="2"/>
      <c r="U275" s="2"/>
      <c r="V275" s="2"/>
      <c r="W275" s="2"/>
      <c r="X275" s="2"/>
      <c r="Y275" s="2"/>
      <c r="Z275" s="2"/>
    </row>
    <row r="276">
      <c r="A276" s="5"/>
      <c r="B276" s="5"/>
      <c r="C276" s="5"/>
      <c r="D276" s="2"/>
      <c r="E276" s="2"/>
      <c r="F276" s="2"/>
      <c r="G276" s="2"/>
      <c r="H276" s="2"/>
      <c r="I276" s="2"/>
      <c r="J276" s="2"/>
      <c r="K276" s="2"/>
      <c r="L276" s="2"/>
      <c r="M276" s="2"/>
      <c r="N276" s="2"/>
      <c r="O276" s="2"/>
      <c r="P276" s="2"/>
      <c r="Q276" s="2"/>
      <c r="R276" s="2"/>
      <c r="S276" s="2"/>
      <c r="T276" s="2"/>
      <c r="U276" s="2"/>
      <c r="V276" s="2"/>
      <c r="W276" s="2"/>
      <c r="X276" s="2"/>
      <c r="Y276" s="2"/>
      <c r="Z276" s="2"/>
    </row>
    <row r="277">
      <c r="A277" s="5"/>
      <c r="B277" s="5"/>
      <c r="C277" s="5"/>
      <c r="D277" s="2"/>
      <c r="E277" s="2"/>
      <c r="F277" s="2"/>
      <c r="G277" s="2"/>
      <c r="H277" s="2"/>
      <c r="I277" s="2"/>
      <c r="J277" s="2"/>
      <c r="K277" s="2"/>
      <c r="L277" s="2"/>
      <c r="M277" s="2"/>
      <c r="N277" s="2"/>
      <c r="O277" s="2"/>
      <c r="P277" s="2"/>
      <c r="Q277" s="2"/>
      <c r="R277" s="2"/>
      <c r="S277" s="2"/>
      <c r="T277" s="2"/>
      <c r="U277" s="2"/>
      <c r="V277" s="2"/>
      <c r="W277" s="2"/>
      <c r="X277" s="2"/>
      <c r="Y277" s="2"/>
      <c r="Z277" s="2"/>
    </row>
    <row r="278">
      <c r="A278" s="5"/>
      <c r="B278" s="5"/>
      <c r="C278" s="5"/>
      <c r="D278" s="2"/>
      <c r="E278" s="2"/>
      <c r="F278" s="2"/>
      <c r="G278" s="2"/>
      <c r="H278" s="2"/>
      <c r="I278" s="2"/>
      <c r="J278" s="2"/>
      <c r="K278" s="2"/>
      <c r="L278" s="2"/>
      <c r="M278" s="2"/>
      <c r="N278" s="2"/>
      <c r="O278" s="2"/>
      <c r="P278" s="2"/>
      <c r="Q278" s="2"/>
      <c r="R278" s="2"/>
      <c r="S278" s="2"/>
      <c r="T278" s="2"/>
      <c r="U278" s="2"/>
      <c r="V278" s="2"/>
      <c r="W278" s="2"/>
      <c r="X278" s="2"/>
      <c r="Y278" s="2"/>
      <c r="Z278" s="2"/>
    </row>
    <row r="279">
      <c r="A279" s="5"/>
      <c r="B279" s="5"/>
      <c r="C279" s="5"/>
      <c r="D279" s="2"/>
      <c r="E279" s="2"/>
      <c r="F279" s="2"/>
      <c r="G279" s="2"/>
      <c r="H279" s="2"/>
      <c r="I279" s="2"/>
      <c r="J279" s="2"/>
      <c r="K279" s="2"/>
      <c r="L279" s="2"/>
      <c r="M279" s="2"/>
      <c r="N279" s="2"/>
      <c r="O279" s="2"/>
      <c r="P279" s="2"/>
      <c r="Q279" s="2"/>
      <c r="R279" s="2"/>
      <c r="S279" s="2"/>
      <c r="T279" s="2"/>
      <c r="U279" s="2"/>
      <c r="V279" s="2"/>
      <c r="W279" s="2"/>
      <c r="X279" s="2"/>
      <c r="Y279" s="2"/>
      <c r="Z279" s="2"/>
    </row>
    <row r="280">
      <c r="A280" s="5"/>
      <c r="B280" s="5"/>
      <c r="C280" s="5"/>
      <c r="D280" s="2"/>
      <c r="E280" s="2"/>
      <c r="F280" s="2"/>
      <c r="G280" s="2"/>
      <c r="H280" s="2"/>
      <c r="I280" s="2"/>
      <c r="J280" s="2"/>
      <c r="K280" s="2"/>
      <c r="L280" s="2"/>
      <c r="M280" s="2"/>
      <c r="N280" s="2"/>
      <c r="O280" s="2"/>
      <c r="P280" s="2"/>
      <c r="Q280" s="2"/>
      <c r="R280" s="2"/>
      <c r="S280" s="2"/>
      <c r="T280" s="2"/>
      <c r="U280" s="2"/>
      <c r="V280" s="2"/>
      <c r="W280" s="2"/>
      <c r="X280" s="2"/>
      <c r="Y280" s="2"/>
      <c r="Z280" s="2"/>
    </row>
    <row r="281">
      <c r="A281" s="5"/>
      <c r="B281" s="5"/>
      <c r="C281" s="5"/>
      <c r="D281" s="2"/>
      <c r="E281" s="2"/>
      <c r="F281" s="2"/>
      <c r="G281" s="2"/>
      <c r="H281" s="2"/>
      <c r="I281" s="2"/>
      <c r="J281" s="2"/>
      <c r="K281" s="2"/>
      <c r="L281" s="2"/>
      <c r="M281" s="2"/>
      <c r="N281" s="2"/>
      <c r="O281" s="2"/>
      <c r="P281" s="2"/>
      <c r="Q281" s="2"/>
      <c r="R281" s="2"/>
      <c r="S281" s="2"/>
      <c r="T281" s="2"/>
      <c r="U281" s="2"/>
      <c r="V281" s="2"/>
      <c r="W281" s="2"/>
      <c r="X281" s="2"/>
      <c r="Y281" s="2"/>
      <c r="Z281" s="2"/>
    </row>
    <row r="282">
      <c r="A282" s="5"/>
      <c r="B282" s="5"/>
      <c r="C282" s="5"/>
      <c r="D282" s="2"/>
      <c r="E282" s="2"/>
      <c r="F282" s="2"/>
      <c r="G282" s="2"/>
      <c r="H282" s="2"/>
      <c r="I282" s="2"/>
      <c r="J282" s="2"/>
      <c r="K282" s="2"/>
      <c r="L282" s="2"/>
      <c r="M282" s="2"/>
      <c r="N282" s="2"/>
      <c r="O282" s="2"/>
      <c r="P282" s="2"/>
      <c r="Q282" s="2"/>
      <c r="R282" s="2"/>
      <c r="S282" s="2"/>
      <c r="T282" s="2"/>
      <c r="U282" s="2"/>
      <c r="V282" s="2"/>
      <c r="W282" s="2"/>
      <c r="X282" s="2"/>
      <c r="Y282" s="2"/>
      <c r="Z282" s="2"/>
    </row>
    <row r="283">
      <c r="A283" s="5"/>
      <c r="B283" s="5"/>
      <c r="C283" s="5"/>
      <c r="D283" s="2"/>
      <c r="E283" s="2"/>
      <c r="F283" s="2"/>
      <c r="G283" s="2"/>
      <c r="H283" s="2"/>
      <c r="I283" s="2"/>
      <c r="J283" s="2"/>
      <c r="K283" s="2"/>
      <c r="L283" s="2"/>
      <c r="M283" s="2"/>
      <c r="N283" s="2"/>
      <c r="O283" s="2"/>
      <c r="P283" s="2"/>
      <c r="Q283" s="2"/>
      <c r="R283" s="2"/>
      <c r="S283" s="2"/>
      <c r="T283" s="2"/>
      <c r="U283" s="2"/>
      <c r="V283" s="2"/>
      <c r="W283" s="2"/>
      <c r="X283" s="2"/>
      <c r="Y283" s="2"/>
      <c r="Z283" s="2"/>
    </row>
    <row r="284">
      <c r="A284" s="5"/>
      <c r="B284" s="5"/>
      <c r="C284" s="5"/>
      <c r="D284" s="2"/>
      <c r="E284" s="2"/>
      <c r="F284" s="2"/>
      <c r="G284" s="2"/>
      <c r="H284" s="2"/>
      <c r="I284" s="2"/>
      <c r="J284" s="2"/>
      <c r="K284" s="2"/>
      <c r="L284" s="2"/>
      <c r="M284" s="2"/>
      <c r="N284" s="2"/>
      <c r="O284" s="2"/>
      <c r="P284" s="2"/>
      <c r="Q284" s="2"/>
      <c r="R284" s="2"/>
      <c r="S284" s="2"/>
      <c r="T284" s="2"/>
      <c r="U284" s="2"/>
      <c r="V284" s="2"/>
      <c r="W284" s="2"/>
      <c r="X284" s="2"/>
      <c r="Y284" s="2"/>
      <c r="Z284" s="2"/>
    </row>
    <row r="285">
      <c r="A285" s="5"/>
      <c r="B285" s="5"/>
      <c r="C285" s="5"/>
      <c r="D285" s="2"/>
      <c r="E285" s="2"/>
      <c r="F285" s="2"/>
      <c r="G285" s="2"/>
      <c r="H285" s="2"/>
      <c r="I285" s="2"/>
      <c r="J285" s="2"/>
      <c r="K285" s="2"/>
      <c r="L285" s="2"/>
      <c r="M285" s="2"/>
      <c r="N285" s="2"/>
      <c r="O285" s="2"/>
      <c r="P285" s="2"/>
      <c r="Q285" s="2"/>
      <c r="R285" s="2"/>
      <c r="S285" s="2"/>
      <c r="T285" s="2"/>
      <c r="U285" s="2"/>
      <c r="V285" s="2"/>
      <c r="W285" s="2"/>
      <c r="X285" s="2"/>
      <c r="Y285" s="2"/>
      <c r="Z285" s="2"/>
    </row>
    <row r="286">
      <c r="A286" s="5"/>
      <c r="B286" s="5"/>
      <c r="C286" s="5"/>
      <c r="D286" s="2"/>
      <c r="E286" s="2"/>
      <c r="F286" s="2"/>
      <c r="G286" s="2"/>
      <c r="H286" s="2"/>
      <c r="I286" s="2"/>
      <c r="J286" s="2"/>
      <c r="K286" s="2"/>
      <c r="L286" s="2"/>
      <c r="M286" s="2"/>
      <c r="N286" s="2"/>
      <c r="O286" s="2"/>
      <c r="P286" s="2"/>
      <c r="Q286" s="2"/>
      <c r="R286" s="2"/>
      <c r="S286" s="2"/>
      <c r="T286" s="2"/>
      <c r="U286" s="2"/>
      <c r="V286" s="2"/>
      <c r="W286" s="2"/>
      <c r="X286" s="2"/>
      <c r="Y286" s="2"/>
      <c r="Z286" s="2"/>
    </row>
    <row r="287">
      <c r="A287" s="5"/>
      <c r="B287" s="5"/>
      <c r="C287" s="5"/>
      <c r="D287" s="2"/>
      <c r="E287" s="2"/>
      <c r="F287" s="2"/>
      <c r="G287" s="2"/>
      <c r="H287" s="2"/>
      <c r="I287" s="2"/>
      <c r="J287" s="2"/>
      <c r="K287" s="2"/>
      <c r="L287" s="2"/>
      <c r="M287" s="2"/>
      <c r="N287" s="2"/>
      <c r="O287" s="2"/>
      <c r="P287" s="2"/>
      <c r="Q287" s="2"/>
      <c r="R287" s="2"/>
      <c r="S287" s="2"/>
      <c r="T287" s="2"/>
      <c r="U287" s="2"/>
      <c r="V287" s="2"/>
      <c r="W287" s="2"/>
      <c r="X287" s="2"/>
      <c r="Y287" s="2"/>
      <c r="Z287" s="2"/>
    </row>
    <row r="288">
      <c r="A288" s="5"/>
      <c r="B288" s="5"/>
      <c r="C288" s="5"/>
      <c r="D288" s="2"/>
      <c r="E288" s="2"/>
      <c r="F288" s="2"/>
      <c r="G288" s="2"/>
      <c r="H288" s="2"/>
      <c r="I288" s="2"/>
      <c r="J288" s="2"/>
      <c r="K288" s="2"/>
      <c r="L288" s="2"/>
      <c r="M288" s="2"/>
      <c r="N288" s="2"/>
      <c r="O288" s="2"/>
      <c r="P288" s="2"/>
      <c r="Q288" s="2"/>
      <c r="R288" s="2"/>
      <c r="S288" s="2"/>
      <c r="T288" s="2"/>
      <c r="U288" s="2"/>
      <c r="V288" s="2"/>
      <c r="W288" s="2"/>
      <c r="X288" s="2"/>
      <c r="Y288" s="2"/>
      <c r="Z288" s="2"/>
    </row>
    <row r="289">
      <c r="A289" s="5"/>
      <c r="B289" s="5"/>
      <c r="C289" s="5"/>
      <c r="D289" s="2"/>
      <c r="E289" s="2"/>
      <c r="F289" s="2"/>
      <c r="G289" s="2"/>
      <c r="H289" s="2"/>
      <c r="I289" s="2"/>
      <c r="J289" s="2"/>
      <c r="K289" s="2"/>
      <c r="L289" s="2"/>
      <c r="M289" s="2"/>
      <c r="N289" s="2"/>
      <c r="O289" s="2"/>
      <c r="P289" s="2"/>
      <c r="Q289" s="2"/>
      <c r="R289" s="2"/>
      <c r="S289" s="2"/>
      <c r="T289" s="2"/>
      <c r="U289" s="2"/>
      <c r="V289" s="2"/>
      <c r="W289" s="2"/>
      <c r="X289" s="2"/>
      <c r="Y289" s="2"/>
      <c r="Z289" s="2"/>
    </row>
    <row r="290">
      <c r="A290" s="5"/>
      <c r="B290" s="5"/>
      <c r="C290" s="5"/>
      <c r="D290" s="2"/>
      <c r="E290" s="2"/>
      <c r="F290" s="2"/>
      <c r="G290" s="2"/>
      <c r="H290" s="2"/>
      <c r="I290" s="2"/>
      <c r="J290" s="2"/>
      <c r="K290" s="2"/>
      <c r="L290" s="2"/>
      <c r="M290" s="2"/>
      <c r="N290" s="2"/>
      <c r="O290" s="2"/>
      <c r="P290" s="2"/>
      <c r="Q290" s="2"/>
      <c r="R290" s="2"/>
      <c r="S290" s="2"/>
      <c r="T290" s="2"/>
      <c r="U290" s="2"/>
      <c r="V290" s="2"/>
      <c r="W290" s="2"/>
      <c r="X290" s="2"/>
      <c r="Y290" s="2"/>
      <c r="Z290" s="2"/>
    </row>
    <row r="291">
      <c r="A291" s="5"/>
      <c r="B291" s="5"/>
      <c r="C291" s="5"/>
      <c r="D291" s="2"/>
      <c r="E291" s="2"/>
      <c r="F291" s="2"/>
      <c r="G291" s="2"/>
      <c r="H291" s="2"/>
      <c r="I291" s="2"/>
      <c r="J291" s="2"/>
      <c r="K291" s="2"/>
      <c r="L291" s="2"/>
      <c r="M291" s="2"/>
      <c r="N291" s="2"/>
      <c r="O291" s="2"/>
      <c r="P291" s="2"/>
      <c r="Q291" s="2"/>
      <c r="R291" s="2"/>
      <c r="S291" s="2"/>
      <c r="T291" s="2"/>
      <c r="U291" s="2"/>
      <c r="V291" s="2"/>
      <c r="W291" s="2"/>
      <c r="X291" s="2"/>
      <c r="Y291" s="2"/>
      <c r="Z291" s="2"/>
    </row>
    <row r="292">
      <c r="A292" s="5"/>
      <c r="B292" s="5"/>
      <c r="C292" s="5"/>
      <c r="D292" s="2"/>
      <c r="E292" s="2"/>
      <c r="F292" s="2"/>
      <c r="G292" s="2"/>
      <c r="H292" s="2"/>
      <c r="I292" s="2"/>
      <c r="J292" s="2"/>
      <c r="K292" s="2"/>
      <c r="L292" s="2"/>
      <c r="M292" s="2"/>
      <c r="N292" s="2"/>
      <c r="O292" s="2"/>
      <c r="P292" s="2"/>
      <c r="Q292" s="2"/>
      <c r="R292" s="2"/>
      <c r="S292" s="2"/>
      <c r="T292" s="2"/>
      <c r="U292" s="2"/>
      <c r="V292" s="2"/>
      <c r="W292" s="2"/>
      <c r="X292" s="2"/>
      <c r="Y292" s="2"/>
      <c r="Z292" s="2"/>
    </row>
    <row r="293">
      <c r="A293" s="5"/>
      <c r="B293" s="5"/>
      <c r="C293" s="5"/>
      <c r="D293" s="2"/>
      <c r="E293" s="2"/>
      <c r="F293" s="2"/>
      <c r="G293" s="2"/>
      <c r="H293" s="2"/>
      <c r="I293" s="2"/>
      <c r="J293" s="2"/>
      <c r="K293" s="2"/>
      <c r="L293" s="2"/>
      <c r="M293" s="2"/>
      <c r="N293" s="2"/>
      <c r="O293" s="2"/>
      <c r="P293" s="2"/>
      <c r="Q293" s="2"/>
      <c r="R293" s="2"/>
      <c r="S293" s="2"/>
      <c r="T293" s="2"/>
      <c r="U293" s="2"/>
      <c r="V293" s="2"/>
      <c r="W293" s="2"/>
      <c r="X293" s="2"/>
      <c r="Y293" s="2"/>
      <c r="Z293" s="2"/>
    </row>
    <row r="294">
      <c r="A294" s="5"/>
      <c r="B294" s="5"/>
      <c r="C294" s="5"/>
      <c r="D294" s="2"/>
      <c r="E294" s="2"/>
      <c r="F294" s="2"/>
      <c r="G294" s="2"/>
      <c r="H294" s="2"/>
      <c r="I294" s="2"/>
      <c r="J294" s="2"/>
      <c r="K294" s="2"/>
      <c r="L294" s="2"/>
      <c r="M294" s="2"/>
      <c r="N294" s="2"/>
      <c r="O294" s="2"/>
      <c r="P294" s="2"/>
      <c r="Q294" s="2"/>
      <c r="R294" s="2"/>
      <c r="S294" s="2"/>
      <c r="T294" s="2"/>
      <c r="U294" s="2"/>
      <c r="V294" s="2"/>
      <c r="W294" s="2"/>
      <c r="X294" s="2"/>
      <c r="Y294" s="2"/>
      <c r="Z294" s="2"/>
    </row>
    <row r="295">
      <c r="A295" s="5"/>
      <c r="B295" s="5"/>
      <c r="C295" s="5"/>
      <c r="D295" s="2"/>
      <c r="E295" s="2"/>
      <c r="F295" s="2"/>
      <c r="G295" s="2"/>
      <c r="H295" s="2"/>
      <c r="I295" s="2"/>
      <c r="J295" s="2"/>
      <c r="K295" s="2"/>
      <c r="L295" s="2"/>
      <c r="M295" s="2"/>
      <c r="N295" s="2"/>
      <c r="O295" s="2"/>
      <c r="P295" s="2"/>
      <c r="Q295" s="2"/>
      <c r="R295" s="2"/>
      <c r="S295" s="2"/>
      <c r="T295" s="2"/>
      <c r="U295" s="2"/>
      <c r="V295" s="2"/>
      <c r="W295" s="2"/>
      <c r="X295" s="2"/>
      <c r="Y295" s="2"/>
      <c r="Z295" s="2"/>
    </row>
    <row r="296">
      <c r="A296" s="5"/>
      <c r="B296" s="5"/>
      <c r="C296" s="5"/>
      <c r="D296" s="2"/>
      <c r="E296" s="2"/>
      <c r="F296" s="2"/>
      <c r="G296" s="2"/>
      <c r="H296" s="2"/>
      <c r="I296" s="2"/>
      <c r="J296" s="2"/>
      <c r="K296" s="2"/>
      <c r="L296" s="2"/>
      <c r="M296" s="2"/>
      <c r="N296" s="2"/>
      <c r="O296" s="2"/>
      <c r="P296" s="2"/>
      <c r="Q296" s="2"/>
      <c r="R296" s="2"/>
      <c r="S296" s="2"/>
      <c r="T296" s="2"/>
      <c r="U296" s="2"/>
      <c r="V296" s="2"/>
      <c r="W296" s="2"/>
      <c r="X296" s="2"/>
      <c r="Y296" s="2"/>
      <c r="Z296" s="2"/>
    </row>
    <row r="297">
      <c r="A297" s="5"/>
      <c r="B297" s="5"/>
      <c r="C297" s="5"/>
      <c r="D297" s="2"/>
      <c r="E297" s="2"/>
      <c r="F297" s="2"/>
      <c r="G297" s="2"/>
      <c r="H297" s="2"/>
      <c r="I297" s="2"/>
      <c r="J297" s="2"/>
      <c r="K297" s="2"/>
      <c r="L297" s="2"/>
      <c r="M297" s="2"/>
      <c r="N297" s="2"/>
      <c r="O297" s="2"/>
      <c r="P297" s="2"/>
      <c r="Q297" s="2"/>
      <c r="R297" s="2"/>
      <c r="S297" s="2"/>
      <c r="T297" s="2"/>
      <c r="U297" s="2"/>
      <c r="V297" s="2"/>
      <c r="W297" s="2"/>
      <c r="X297" s="2"/>
      <c r="Y297" s="2"/>
      <c r="Z297" s="2"/>
    </row>
    <row r="298">
      <c r="A298" s="5"/>
      <c r="B298" s="5"/>
      <c r="C298" s="5"/>
      <c r="D298" s="2"/>
      <c r="E298" s="2"/>
      <c r="F298" s="2"/>
      <c r="G298" s="2"/>
      <c r="H298" s="2"/>
      <c r="I298" s="2"/>
      <c r="J298" s="2"/>
      <c r="K298" s="2"/>
      <c r="L298" s="2"/>
      <c r="M298" s="2"/>
      <c r="N298" s="2"/>
      <c r="O298" s="2"/>
      <c r="P298" s="2"/>
      <c r="Q298" s="2"/>
      <c r="R298" s="2"/>
      <c r="S298" s="2"/>
      <c r="T298" s="2"/>
      <c r="U298" s="2"/>
      <c r="V298" s="2"/>
      <c r="W298" s="2"/>
      <c r="X298" s="2"/>
      <c r="Y298" s="2"/>
      <c r="Z298" s="2"/>
    </row>
    <row r="299">
      <c r="A299" s="5"/>
      <c r="B299" s="5"/>
      <c r="C299" s="5"/>
      <c r="D299" s="2"/>
      <c r="E299" s="2"/>
      <c r="F299" s="2"/>
      <c r="G299" s="2"/>
      <c r="H299" s="2"/>
      <c r="I299" s="2"/>
      <c r="J299" s="2"/>
      <c r="K299" s="2"/>
      <c r="L299" s="2"/>
      <c r="M299" s="2"/>
      <c r="N299" s="2"/>
      <c r="O299" s="2"/>
      <c r="P299" s="2"/>
      <c r="Q299" s="2"/>
      <c r="R299" s="2"/>
      <c r="S299" s="2"/>
      <c r="T299" s="2"/>
      <c r="U299" s="2"/>
      <c r="V299" s="2"/>
      <c r="W299" s="2"/>
      <c r="X299" s="2"/>
      <c r="Y299" s="2"/>
      <c r="Z299" s="2"/>
    </row>
    <row r="300">
      <c r="A300" s="5"/>
      <c r="B300" s="5"/>
      <c r="C300" s="5"/>
      <c r="D300" s="2"/>
      <c r="E300" s="2"/>
      <c r="F300" s="2"/>
      <c r="G300" s="2"/>
      <c r="H300" s="2"/>
      <c r="I300" s="2"/>
      <c r="J300" s="2"/>
      <c r="K300" s="2"/>
      <c r="L300" s="2"/>
      <c r="M300" s="2"/>
      <c r="N300" s="2"/>
      <c r="O300" s="2"/>
      <c r="P300" s="2"/>
      <c r="Q300" s="2"/>
      <c r="R300" s="2"/>
      <c r="S300" s="2"/>
      <c r="T300" s="2"/>
      <c r="U300" s="2"/>
      <c r="V300" s="2"/>
      <c r="W300" s="2"/>
      <c r="X300" s="2"/>
      <c r="Y300" s="2"/>
      <c r="Z300" s="2"/>
    </row>
    <row r="301">
      <c r="A301" s="5"/>
      <c r="B301" s="5"/>
      <c r="C301" s="5"/>
      <c r="D301" s="2"/>
      <c r="E301" s="2"/>
      <c r="F301" s="2"/>
      <c r="G301" s="2"/>
      <c r="H301" s="2"/>
      <c r="I301" s="2"/>
      <c r="J301" s="2"/>
      <c r="K301" s="2"/>
      <c r="L301" s="2"/>
      <c r="M301" s="2"/>
      <c r="N301" s="2"/>
      <c r="O301" s="2"/>
      <c r="P301" s="2"/>
      <c r="Q301" s="2"/>
      <c r="R301" s="2"/>
      <c r="S301" s="2"/>
      <c r="T301" s="2"/>
      <c r="U301" s="2"/>
      <c r="V301" s="2"/>
      <c r="W301" s="2"/>
      <c r="X301" s="2"/>
      <c r="Y301" s="2"/>
      <c r="Z301" s="2"/>
    </row>
    <row r="302">
      <c r="A302" s="5"/>
      <c r="B302" s="5"/>
      <c r="C302" s="5"/>
      <c r="D302" s="2"/>
      <c r="E302" s="2"/>
      <c r="F302" s="2"/>
      <c r="G302" s="2"/>
      <c r="H302" s="2"/>
      <c r="I302" s="2"/>
      <c r="J302" s="2"/>
      <c r="K302" s="2"/>
      <c r="L302" s="2"/>
      <c r="M302" s="2"/>
      <c r="N302" s="2"/>
      <c r="O302" s="2"/>
      <c r="P302" s="2"/>
      <c r="Q302" s="2"/>
      <c r="R302" s="2"/>
      <c r="S302" s="2"/>
      <c r="T302" s="2"/>
      <c r="U302" s="2"/>
      <c r="V302" s="2"/>
      <c r="W302" s="2"/>
      <c r="X302" s="2"/>
      <c r="Y302" s="2"/>
      <c r="Z302" s="2"/>
    </row>
    <row r="303">
      <c r="A303" s="5"/>
      <c r="B303" s="5"/>
      <c r="C303" s="5"/>
      <c r="D303" s="2"/>
      <c r="E303" s="2"/>
      <c r="F303" s="2"/>
      <c r="G303" s="2"/>
      <c r="H303" s="2"/>
      <c r="I303" s="2"/>
      <c r="J303" s="2"/>
      <c r="K303" s="2"/>
      <c r="L303" s="2"/>
      <c r="M303" s="2"/>
      <c r="N303" s="2"/>
      <c r="O303" s="2"/>
      <c r="P303" s="2"/>
      <c r="Q303" s="2"/>
      <c r="R303" s="2"/>
      <c r="S303" s="2"/>
      <c r="T303" s="2"/>
      <c r="U303" s="2"/>
      <c r="V303" s="2"/>
      <c r="W303" s="2"/>
      <c r="X303" s="2"/>
      <c r="Y303" s="2"/>
      <c r="Z303" s="2"/>
    </row>
    <row r="304">
      <c r="A304" s="5"/>
      <c r="B304" s="5"/>
      <c r="C304" s="5"/>
      <c r="D304" s="2"/>
      <c r="E304" s="2"/>
      <c r="F304" s="2"/>
      <c r="G304" s="2"/>
      <c r="H304" s="2"/>
      <c r="I304" s="2"/>
      <c r="J304" s="2"/>
      <c r="K304" s="2"/>
      <c r="L304" s="2"/>
      <c r="M304" s="2"/>
      <c r="N304" s="2"/>
      <c r="O304" s="2"/>
      <c r="P304" s="2"/>
      <c r="Q304" s="2"/>
      <c r="R304" s="2"/>
      <c r="S304" s="2"/>
      <c r="T304" s="2"/>
      <c r="U304" s="2"/>
      <c r="V304" s="2"/>
      <c r="W304" s="2"/>
      <c r="X304" s="2"/>
      <c r="Y304" s="2"/>
      <c r="Z304" s="2"/>
    </row>
    <row r="305">
      <c r="A305" s="5"/>
      <c r="B305" s="5"/>
      <c r="C305" s="5"/>
      <c r="D305" s="2"/>
      <c r="E305" s="2"/>
      <c r="F305" s="2"/>
      <c r="G305" s="2"/>
      <c r="H305" s="2"/>
      <c r="I305" s="2"/>
      <c r="J305" s="2"/>
      <c r="K305" s="2"/>
      <c r="L305" s="2"/>
      <c r="M305" s="2"/>
      <c r="N305" s="2"/>
      <c r="O305" s="2"/>
      <c r="P305" s="2"/>
      <c r="Q305" s="2"/>
      <c r="R305" s="2"/>
      <c r="S305" s="2"/>
      <c r="T305" s="2"/>
      <c r="U305" s="2"/>
      <c r="V305" s="2"/>
      <c r="W305" s="2"/>
      <c r="X305" s="2"/>
      <c r="Y305" s="2"/>
      <c r="Z305" s="2"/>
    </row>
    <row r="306">
      <c r="A306" s="5"/>
      <c r="B306" s="5"/>
      <c r="C306" s="5"/>
      <c r="D306" s="2"/>
      <c r="E306" s="2"/>
      <c r="F306" s="2"/>
      <c r="G306" s="2"/>
      <c r="H306" s="2"/>
      <c r="I306" s="2"/>
      <c r="J306" s="2"/>
      <c r="K306" s="2"/>
      <c r="L306" s="2"/>
      <c r="M306" s="2"/>
      <c r="N306" s="2"/>
      <c r="O306" s="2"/>
      <c r="P306" s="2"/>
      <c r="Q306" s="2"/>
      <c r="R306" s="2"/>
      <c r="S306" s="2"/>
      <c r="T306" s="2"/>
      <c r="U306" s="2"/>
      <c r="V306" s="2"/>
      <c r="W306" s="2"/>
      <c r="X306" s="2"/>
      <c r="Y306" s="2"/>
      <c r="Z306" s="2"/>
    </row>
    <row r="307">
      <c r="A307" s="5"/>
      <c r="B307" s="5"/>
      <c r="C307" s="5"/>
      <c r="D307" s="2"/>
      <c r="E307" s="2"/>
      <c r="F307" s="2"/>
      <c r="G307" s="2"/>
      <c r="H307" s="2"/>
      <c r="I307" s="2"/>
      <c r="J307" s="2"/>
      <c r="K307" s="2"/>
      <c r="L307" s="2"/>
      <c r="M307" s="2"/>
      <c r="N307" s="2"/>
      <c r="O307" s="2"/>
      <c r="P307" s="2"/>
      <c r="Q307" s="2"/>
      <c r="R307" s="2"/>
      <c r="S307" s="2"/>
      <c r="T307" s="2"/>
      <c r="U307" s="2"/>
      <c r="V307" s="2"/>
      <c r="W307" s="2"/>
      <c r="X307" s="2"/>
      <c r="Y307" s="2"/>
      <c r="Z307" s="2"/>
    </row>
    <row r="308">
      <c r="A308" s="5"/>
      <c r="B308" s="5"/>
      <c r="C308" s="5"/>
      <c r="D308" s="2"/>
      <c r="E308" s="2"/>
      <c r="F308" s="2"/>
      <c r="G308" s="2"/>
      <c r="H308" s="2"/>
      <c r="I308" s="2"/>
      <c r="J308" s="2"/>
      <c r="K308" s="2"/>
      <c r="L308" s="2"/>
      <c r="M308" s="2"/>
      <c r="N308" s="2"/>
      <c r="O308" s="2"/>
      <c r="P308" s="2"/>
      <c r="Q308" s="2"/>
      <c r="R308" s="2"/>
      <c r="S308" s="2"/>
      <c r="T308" s="2"/>
      <c r="U308" s="2"/>
      <c r="V308" s="2"/>
      <c r="W308" s="2"/>
      <c r="X308" s="2"/>
      <c r="Y308" s="2"/>
      <c r="Z308" s="2"/>
    </row>
    <row r="309">
      <c r="A309" s="5"/>
      <c r="B309" s="5"/>
      <c r="C309" s="5"/>
      <c r="D309" s="2"/>
      <c r="E309" s="2"/>
      <c r="F309" s="2"/>
      <c r="G309" s="2"/>
      <c r="H309" s="2"/>
      <c r="I309" s="2"/>
      <c r="J309" s="2"/>
      <c r="K309" s="2"/>
      <c r="L309" s="2"/>
      <c r="M309" s="2"/>
      <c r="N309" s="2"/>
      <c r="O309" s="2"/>
      <c r="P309" s="2"/>
      <c r="Q309" s="2"/>
      <c r="R309" s="2"/>
      <c r="S309" s="2"/>
      <c r="T309" s="2"/>
      <c r="U309" s="2"/>
      <c r="V309" s="2"/>
      <c r="W309" s="2"/>
      <c r="X309" s="2"/>
      <c r="Y309" s="2"/>
      <c r="Z309" s="2"/>
    </row>
    <row r="310">
      <c r="A310" s="5"/>
      <c r="B310" s="5"/>
      <c r="C310" s="5"/>
      <c r="D310" s="2"/>
      <c r="E310" s="2"/>
      <c r="F310" s="2"/>
      <c r="G310" s="2"/>
      <c r="H310" s="2"/>
      <c r="I310" s="2"/>
      <c r="J310" s="2"/>
      <c r="K310" s="2"/>
      <c r="L310" s="2"/>
      <c r="M310" s="2"/>
      <c r="N310" s="2"/>
      <c r="O310" s="2"/>
      <c r="P310" s="2"/>
      <c r="Q310" s="2"/>
      <c r="R310" s="2"/>
      <c r="S310" s="2"/>
      <c r="T310" s="2"/>
      <c r="U310" s="2"/>
      <c r="V310" s="2"/>
      <c r="W310" s="2"/>
      <c r="X310" s="2"/>
      <c r="Y310" s="2"/>
      <c r="Z310" s="2"/>
    </row>
    <row r="311">
      <c r="A311" s="5"/>
      <c r="B311" s="5"/>
      <c r="C311" s="5"/>
      <c r="D311" s="2"/>
      <c r="E311" s="2"/>
      <c r="F311" s="2"/>
      <c r="G311" s="2"/>
      <c r="H311" s="2"/>
      <c r="I311" s="2"/>
      <c r="J311" s="2"/>
      <c r="K311" s="2"/>
      <c r="L311" s="2"/>
      <c r="M311" s="2"/>
      <c r="N311" s="2"/>
      <c r="O311" s="2"/>
      <c r="P311" s="2"/>
      <c r="Q311" s="2"/>
      <c r="R311" s="2"/>
      <c r="S311" s="2"/>
      <c r="T311" s="2"/>
      <c r="U311" s="2"/>
      <c r="V311" s="2"/>
      <c r="W311" s="2"/>
      <c r="X311" s="2"/>
      <c r="Y311" s="2"/>
      <c r="Z311" s="2"/>
    </row>
    <row r="312">
      <c r="A312" s="5"/>
      <c r="B312" s="5"/>
      <c r="C312" s="5"/>
      <c r="D312" s="2"/>
      <c r="E312" s="2"/>
      <c r="F312" s="2"/>
      <c r="G312" s="2"/>
      <c r="H312" s="2"/>
      <c r="I312" s="2"/>
      <c r="J312" s="2"/>
      <c r="K312" s="2"/>
      <c r="L312" s="2"/>
      <c r="M312" s="2"/>
      <c r="N312" s="2"/>
      <c r="O312" s="2"/>
      <c r="P312" s="2"/>
      <c r="Q312" s="2"/>
      <c r="R312" s="2"/>
      <c r="S312" s="2"/>
      <c r="T312" s="2"/>
      <c r="U312" s="2"/>
      <c r="V312" s="2"/>
      <c r="W312" s="2"/>
      <c r="X312" s="2"/>
      <c r="Y312" s="2"/>
      <c r="Z312" s="2"/>
    </row>
    <row r="313">
      <c r="A313" s="5"/>
      <c r="B313" s="5"/>
      <c r="C313" s="5"/>
      <c r="D313" s="2"/>
      <c r="E313" s="2"/>
      <c r="F313" s="2"/>
      <c r="G313" s="2"/>
      <c r="H313" s="2"/>
      <c r="I313" s="2"/>
      <c r="J313" s="2"/>
      <c r="K313" s="2"/>
      <c r="L313" s="2"/>
      <c r="M313" s="2"/>
      <c r="N313" s="2"/>
      <c r="O313" s="2"/>
      <c r="P313" s="2"/>
      <c r="Q313" s="2"/>
      <c r="R313" s="2"/>
      <c r="S313" s="2"/>
      <c r="T313" s="2"/>
      <c r="U313" s="2"/>
      <c r="V313" s="2"/>
      <c r="W313" s="2"/>
      <c r="X313" s="2"/>
      <c r="Y313" s="2"/>
      <c r="Z313" s="2"/>
    </row>
    <row r="314">
      <c r="A314" s="5"/>
      <c r="B314" s="5"/>
      <c r="C314" s="5"/>
      <c r="D314" s="2"/>
      <c r="E314" s="2"/>
      <c r="F314" s="2"/>
      <c r="G314" s="2"/>
      <c r="H314" s="2"/>
      <c r="I314" s="2"/>
      <c r="J314" s="2"/>
      <c r="K314" s="2"/>
      <c r="L314" s="2"/>
      <c r="M314" s="2"/>
      <c r="N314" s="2"/>
      <c r="O314" s="2"/>
      <c r="P314" s="2"/>
      <c r="Q314" s="2"/>
      <c r="R314" s="2"/>
      <c r="S314" s="2"/>
      <c r="T314" s="2"/>
      <c r="U314" s="2"/>
      <c r="V314" s="2"/>
      <c r="W314" s="2"/>
      <c r="X314" s="2"/>
      <c r="Y314" s="2"/>
      <c r="Z314" s="2"/>
    </row>
    <row r="315">
      <c r="A315" s="5"/>
      <c r="B315" s="5"/>
      <c r="C315" s="5"/>
      <c r="D315" s="2"/>
      <c r="E315" s="2"/>
      <c r="F315" s="2"/>
      <c r="G315" s="2"/>
      <c r="H315" s="2"/>
      <c r="I315" s="2"/>
      <c r="J315" s="2"/>
      <c r="K315" s="2"/>
      <c r="L315" s="2"/>
      <c r="M315" s="2"/>
      <c r="N315" s="2"/>
      <c r="O315" s="2"/>
      <c r="P315" s="2"/>
      <c r="Q315" s="2"/>
      <c r="R315" s="2"/>
      <c r="S315" s="2"/>
      <c r="T315" s="2"/>
      <c r="U315" s="2"/>
      <c r="V315" s="2"/>
      <c r="W315" s="2"/>
      <c r="X315" s="2"/>
      <c r="Y315" s="2"/>
      <c r="Z315" s="2"/>
    </row>
    <row r="316">
      <c r="A316" s="5"/>
      <c r="B316" s="5"/>
      <c r="C316" s="5"/>
      <c r="D316" s="2"/>
      <c r="E316" s="2"/>
      <c r="F316" s="2"/>
      <c r="G316" s="2"/>
      <c r="H316" s="2"/>
      <c r="I316" s="2"/>
      <c r="J316" s="2"/>
      <c r="K316" s="2"/>
      <c r="L316" s="2"/>
      <c r="M316" s="2"/>
      <c r="N316" s="2"/>
      <c r="O316" s="2"/>
      <c r="P316" s="2"/>
      <c r="Q316" s="2"/>
      <c r="R316" s="2"/>
      <c r="S316" s="2"/>
      <c r="T316" s="2"/>
      <c r="U316" s="2"/>
      <c r="V316" s="2"/>
      <c r="W316" s="2"/>
      <c r="X316" s="2"/>
      <c r="Y316" s="2"/>
      <c r="Z316" s="2"/>
    </row>
    <row r="317">
      <c r="A317" s="5"/>
      <c r="B317" s="5"/>
      <c r="C317" s="5"/>
      <c r="D317" s="2"/>
      <c r="E317" s="2"/>
      <c r="F317" s="2"/>
      <c r="G317" s="2"/>
      <c r="H317" s="2"/>
      <c r="I317" s="2"/>
      <c r="J317" s="2"/>
      <c r="K317" s="2"/>
      <c r="L317" s="2"/>
      <c r="M317" s="2"/>
      <c r="N317" s="2"/>
      <c r="O317" s="2"/>
      <c r="P317" s="2"/>
      <c r="Q317" s="2"/>
      <c r="R317" s="2"/>
      <c r="S317" s="2"/>
      <c r="T317" s="2"/>
      <c r="U317" s="2"/>
      <c r="V317" s="2"/>
      <c r="W317" s="2"/>
      <c r="X317" s="2"/>
      <c r="Y317" s="2"/>
      <c r="Z317" s="2"/>
    </row>
    <row r="318">
      <c r="A318" s="5"/>
      <c r="B318" s="5"/>
      <c r="C318" s="5"/>
      <c r="D318" s="2"/>
      <c r="E318" s="2"/>
      <c r="F318" s="2"/>
      <c r="G318" s="2"/>
      <c r="H318" s="2"/>
      <c r="I318" s="2"/>
      <c r="J318" s="2"/>
      <c r="K318" s="2"/>
      <c r="L318" s="2"/>
      <c r="M318" s="2"/>
      <c r="N318" s="2"/>
      <c r="O318" s="2"/>
      <c r="P318" s="2"/>
      <c r="Q318" s="2"/>
      <c r="R318" s="2"/>
      <c r="S318" s="2"/>
      <c r="T318" s="2"/>
      <c r="U318" s="2"/>
      <c r="V318" s="2"/>
      <c r="W318" s="2"/>
      <c r="X318" s="2"/>
      <c r="Y318" s="2"/>
      <c r="Z318" s="2"/>
    </row>
    <row r="319">
      <c r="A319" s="5"/>
      <c r="B319" s="5"/>
      <c r="C319" s="5"/>
      <c r="D319" s="2"/>
      <c r="E319" s="2"/>
      <c r="F319" s="2"/>
      <c r="G319" s="2"/>
      <c r="H319" s="2"/>
      <c r="I319" s="2"/>
      <c r="J319" s="2"/>
      <c r="K319" s="2"/>
      <c r="L319" s="2"/>
      <c r="M319" s="2"/>
      <c r="N319" s="2"/>
      <c r="O319" s="2"/>
      <c r="P319" s="2"/>
      <c r="Q319" s="2"/>
      <c r="R319" s="2"/>
      <c r="S319" s="2"/>
      <c r="T319" s="2"/>
      <c r="U319" s="2"/>
      <c r="V319" s="2"/>
      <c r="W319" s="2"/>
      <c r="X319" s="2"/>
      <c r="Y319" s="2"/>
      <c r="Z319" s="2"/>
    </row>
    <row r="320">
      <c r="A320" s="5"/>
      <c r="B320" s="5"/>
      <c r="C320" s="5"/>
      <c r="D320" s="2"/>
      <c r="E320" s="2"/>
      <c r="F320" s="2"/>
      <c r="G320" s="2"/>
      <c r="H320" s="2"/>
      <c r="I320" s="2"/>
      <c r="J320" s="2"/>
      <c r="K320" s="2"/>
      <c r="L320" s="2"/>
      <c r="M320" s="2"/>
      <c r="N320" s="2"/>
      <c r="O320" s="2"/>
      <c r="P320" s="2"/>
      <c r="Q320" s="2"/>
      <c r="R320" s="2"/>
      <c r="S320" s="2"/>
      <c r="T320" s="2"/>
      <c r="U320" s="2"/>
      <c r="V320" s="2"/>
      <c r="W320" s="2"/>
      <c r="X320" s="2"/>
      <c r="Y320" s="2"/>
      <c r="Z320" s="2"/>
    </row>
    <row r="321">
      <c r="A321" s="5"/>
      <c r="B321" s="5"/>
      <c r="C321" s="5"/>
      <c r="D321" s="2"/>
      <c r="E321" s="2"/>
      <c r="F321" s="2"/>
      <c r="G321" s="2"/>
      <c r="H321" s="2"/>
      <c r="I321" s="2"/>
      <c r="J321" s="2"/>
      <c r="K321" s="2"/>
      <c r="L321" s="2"/>
      <c r="M321" s="2"/>
      <c r="N321" s="2"/>
      <c r="O321" s="2"/>
      <c r="P321" s="2"/>
      <c r="Q321" s="2"/>
      <c r="R321" s="2"/>
      <c r="S321" s="2"/>
      <c r="T321" s="2"/>
      <c r="U321" s="2"/>
      <c r="V321" s="2"/>
      <c r="W321" s="2"/>
      <c r="X321" s="2"/>
      <c r="Y321" s="2"/>
      <c r="Z321" s="2"/>
    </row>
    <row r="322">
      <c r="A322" s="5"/>
      <c r="B322" s="5"/>
      <c r="C322" s="5"/>
      <c r="D322" s="2"/>
      <c r="E322" s="2"/>
      <c r="F322" s="2"/>
      <c r="G322" s="2"/>
      <c r="H322" s="2"/>
      <c r="I322" s="2"/>
      <c r="J322" s="2"/>
      <c r="K322" s="2"/>
      <c r="L322" s="2"/>
      <c r="M322" s="2"/>
      <c r="N322" s="2"/>
      <c r="O322" s="2"/>
      <c r="P322" s="2"/>
      <c r="Q322" s="2"/>
      <c r="R322" s="2"/>
      <c r="S322" s="2"/>
      <c r="T322" s="2"/>
      <c r="U322" s="2"/>
      <c r="V322" s="2"/>
      <c r="W322" s="2"/>
      <c r="X322" s="2"/>
      <c r="Y322" s="2"/>
      <c r="Z322" s="2"/>
    </row>
    <row r="323">
      <c r="A323" s="5"/>
      <c r="B323" s="5"/>
      <c r="C323" s="5"/>
      <c r="D323" s="2"/>
      <c r="E323" s="2"/>
      <c r="F323" s="2"/>
      <c r="G323" s="2"/>
      <c r="H323" s="2"/>
      <c r="I323" s="2"/>
      <c r="J323" s="2"/>
      <c r="K323" s="2"/>
      <c r="L323" s="2"/>
      <c r="M323" s="2"/>
      <c r="N323" s="2"/>
      <c r="O323" s="2"/>
      <c r="P323" s="2"/>
      <c r="Q323" s="2"/>
      <c r="R323" s="2"/>
      <c r="S323" s="2"/>
      <c r="T323" s="2"/>
      <c r="U323" s="2"/>
      <c r="V323" s="2"/>
      <c r="W323" s="2"/>
      <c r="X323" s="2"/>
      <c r="Y323" s="2"/>
      <c r="Z323" s="2"/>
    </row>
    <row r="324">
      <c r="A324" s="5"/>
      <c r="B324" s="5"/>
      <c r="C324" s="5"/>
      <c r="D324" s="2"/>
      <c r="E324" s="2"/>
      <c r="F324" s="2"/>
      <c r="G324" s="2"/>
      <c r="H324" s="2"/>
      <c r="I324" s="2"/>
      <c r="J324" s="2"/>
      <c r="K324" s="2"/>
      <c r="L324" s="2"/>
      <c r="M324" s="2"/>
      <c r="N324" s="2"/>
      <c r="O324" s="2"/>
      <c r="P324" s="2"/>
      <c r="Q324" s="2"/>
      <c r="R324" s="2"/>
      <c r="S324" s="2"/>
      <c r="T324" s="2"/>
      <c r="U324" s="2"/>
      <c r="V324" s="2"/>
      <c r="W324" s="2"/>
      <c r="X324" s="2"/>
      <c r="Y324" s="2"/>
      <c r="Z324" s="2"/>
    </row>
    <row r="325">
      <c r="A325" s="5"/>
      <c r="B325" s="5"/>
      <c r="C325" s="5"/>
      <c r="D325" s="2"/>
      <c r="E325" s="2"/>
      <c r="F325" s="2"/>
      <c r="G325" s="2"/>
      <c r="H325" s="2"/>
      <c r="I325" s="2"/>
      <c r="J325" s="2"/>
      <c r="K325" s="2"/>
      <c r="L325" s="2"/>
      <c r="M325" s="2"/>
      <c r="N325" s="2"/>
      <c r="O325" s="2"/>
      <c r="P325" s="2"/>
      <c r="Q325" s="2"/>
      <c r="R325" s="2"/>
      <c r="S325" s="2"/>
      <c r="T325" s="2"/>
      <c r="U325" s="2"/>
      <c r="V325" s="2"/>
      <c r="W325" s="2"/>
      <c r="X325" s="2"/>
      <c r="Y325" s="2"/>
      <c r="Z325" s="2"/>
    </row>
    <row r="326">
      <c r="A326" s="5"/>
      <c r="B326" s="5"/>
      <c r="C326" s="5"/>
      <c r="D326" s="2"/>
      <c r="E326" s="2"/>
      <c r="F326" s="2"/>
      <c r="G326" s="2"/>
      <c r="H326" s="2"/>
      <c r="I326" s="2"/>
      <c r="J326" s="2"/>
      <c r="K326" s="2"/>
      <c r="L326" s="2"/>
      <c r="M326" s="2"/>
      <c r="N326" s="2"/>
      <c r="O326" s="2"/>
      <c r="P326" s="2"/>
      <c r="Q326" s="2"/>
      <c r="R326" s="2"/>
      <c r="S326" s="2"/>
      <c r="T326" s="2"/>
      <c r="U326" s="2"/>
      <c r="V326" s="2"/>
      <c r="W326" s="2"/>
      <c r="X326" s="2"/>
      <c r="Y326" s="2"/>
      <c r="Z326" s="2"/>
    </row>
    <row r="327">
      <c r="A327" s="5"/>
      <c r="B327" s="5"/>
      <c r="C327" s="5"/>
      <c r="D327" s="2"/>
      <c r="E327" s="2"/>
      <c r="F327" s="2"/>
      <c r="G327" s="2"/>
      <c r="H327" s="2"/>
      <c r="I327" s="2"/>
      <c r="J327" s="2"/>
      <c r="K327" s="2"/>
      <c r="L327" s="2"/>
      <c r="M327" s="2"/>
      <c r="N327" s="2"/>
      <c r="O327" s="2"/>
      <c r="P327" s="2"/>
      <c r="Q327" s="2"/>
      <c r="R327" s="2"/>
      <c r="S327" s="2"/>
      <c r="T327" s="2"/>
      <c r="U327" s="2"/>
      <c r="V327" s="2"/>
      <c r="W327" s="2"/>
      <c r="X327" s="2"/>
      <c r="Y327" s="2"/>
      <c r="Z327" s="2"/>
    </row>
    <row r="328">
      <c r="A328" s="5"/>
      <c r="B328" s="5"/>
      <c r="C328" s="5"/>
      <c r="D328" s="2"/>
      <c r="E328" s="2"/>
      <c r="F328" s="2"/>
      <c r="G328" s="2"/>
      <c r="H328" s="2"/>
      <c r="I328" s="2"/>
      <c r="J328" s="2"/>
      <c r="K328" s="2"/>
      <c r="L328" s="2"/>
      <c r="M328" s="2"/>
      <c r="N328" s="2"/>
      <c r="O328" s="2"/>
      <c r="P328" s="2"/>
      <c r="Q328" s="2"/>
      <c r="R328" s="2"/>
      <c r="S328" s="2"/>
      <c r="T328" s="2"/>
      <c r="U328" s="2"/>
      <c r="V328" s="2"/>
      <c r="W328" s="2"/>
      <c r="X328" s="2"/>
      <c r="Y328" s="2"/>
      <c r="Z328" s="2"/>
    </row>
    <row r="329">
      <c r="A329" s="5"/>
      <c r="B329" s="5"/>
      <c r="C329" s="5"/>
      <c r="D329" s="2"/>
      <c r="E329" s="2"/>
      <c r="F329" s="2"/>
      <c r="G329" s="2"/>
      <c r="H329" s="2"/>
      <c r="I329" s="2"/>
      <c r="J329" s="2"/>
      <c r="K329" s="2"/>
      <c r="L329" s="2"/>
      <c r="M329" s="2"/>
      <c r="N329" s="2"/>
      <c r="O329" s="2"/>
      <c r="P329" s="2"/>
      <c r="Q329" s="2"/>
      <c r="R329" s="2"/>
      <c r="S329" s="2"/>
      <c r="T329" s="2"/>
      <c r="U329" s="2"/>
      <c r="V329" s="2"/>
      <c r="W329" s="2"/>
      <c r="X329" s="2"/>
      <c r="Y329" s="2"/>
      <c r="Z329" s="2"/>
    </row>
    <row r="330">
      <c r="A330" s="5"/>
      <c r="B330" s="5"/>
      <c r="C330" s="5"/>
      <c r="D330" s="2"/>
      <c r="E330" s="2"/>
      <c r="F330" s="2"/>
      <c r="G330" s="2"/>
      <c r="H330" s="2"/>
      <c r="I330" s="2"/>
      <c r="J330" s="2"/>
      <c r="K330" s="2"/>
      <c r="L330" s="2"/>
      <c r="M330" s="2"/>
      <c r="N330" s="2"/>
      <c r="O330" s="2"/>
      <c r="P330" s="2"/>
      <c r="Q330" s="2"/>
      <c r="R330" s="2"/>
      <c r="S330" s="2"/>
      <c r="T330" s="2"/>
      <c r="U330" s="2"/>
      <c r="V330" s="2"/>
      <c r="W330" s="2"/>
      <c r="X330" s="2"/>
      <c r="Y330" s="2"/>
      <c r="Z330" s="2"/>
    </row>
    <row r="331">
      <c r="A331" s="5"/>
      <c r="B331" s="5"/>
      <c r="C331" s="5"/>
      <c r="D331" s="2"/>
      <c r="E331" s="2"/>
      <c r="F331" s="2"/>
      <c r="G331" s="2"/>
      <c r="H331" s="2"/>
      <c r="I331" s="2"/>
      <c r="J331" s="2"/>
      <c r="K331" s="2"/>
      <c r="L331" s="2"/>
      <c r="M331" s="2"/>
      <c r="N331" s="2"/>
      <c r="O331" s="2"/>
      <c r="P331" s="2"/>
      <c r="Q331" s="2"/>
      <c r="R331" s="2"/>
      <c r="S331" s="2"/>
      <c r="T331" s="2"/>
      <c r="U331" s="2"/>
      <c r="V331" s="2"/>
      <c r="W331" s="2"/>
      <c r="X331" s="2"/>
      <c r="Y331" s="2"/>
      <c r="Z331" s="2"/>
    </row>
    <row r="332">
      <c r="A332" s="5"/>
      <c r="B332" s="5"/>
      <c r="C332" s="5"/>
      <c r="D332" s="2"/>
      <c r="E332" s="2"/>
      <c r="F332" s="2"/>
      <c r="G332" s="2"/>
      <c r="H332" s="2"/>
      <c r="I332" s="2"/>
      <c r="J332" s="2"/>
      <c r="K332" s="2"/>
      <c r="L332" s="2"/>
      <c r="M332" s="2"/>
      <c r="N332" s="2"/>
      <c r="O332" s="2"/>
      <c r="P332" s="2"/>
      <c r="Q332" s="2"/>
      <c r="R332" s="2"/>
      <c r="S332" s="2"/>
      <c r="T332" s="2"/>
      <c r="U332" s="2"/>
      <c r="V332" s="2"/>
      <c r="W332" s="2"/>
      <c r="X332" s="2"/>
      <c r="Y332" s="2"/>
      <c r="Z332" s="2"/>
    </row>
    <row r="333">
      <c r="A333" s="5"/>
      <c r="B333" s="5"/>
      <c r="C333" s="5"/>
      <c r="D333" s="2"/>
      <c r="E333" s="2"/>
      <c r="F333" s="2"/>
      <c r="G333" s="2"/>
      <c r="H333" s="2"/>
      <c r="I333" s="2"/>
      <c r="J333" s="2"/>
      <c r="K333" s="2"/>
      <c r="L333" s="2"/>
      <c r="M333" s="2"/>
      <c r="N333" s="2"/>
      <c r="O333" s="2"/>
      <c r="P333" s="2"/>
      <c r="Q333" s="2"/>
      <c r="R333" s="2"/>
      <c r="S333" s="2"/>
      <c r="T333" s="2"/>
      <c r="U333" s="2"/>
      <c r="V333" s="2"/>
      <c r="W333" s="2"/>
      <c r="X333" s="2"/>
      <c r="Y333" s="2"/>
      <c r="Z333" s="2"/>
    </row>
    <row r="334">
      <c r="A334" s="5"/>
      <c r="B334" s="5"/>
      <c r="C334" s="5"/>
      <c r="D334" s="2"/>
      <c r="E334" s="2"/>
      <c r="F334" s="2"/>
      <c r="G334" s="2"/>
      <c r="H334" s="2"/>
      <c r="I334" s="2"/>
      <c r="J334" s="2"/>
      <c r="K334" s="2"/>
      <c r="L334" s="2"/>
      <c r="M334" s="2"/>
      <c r="N334" s="2"/>
      <c r="O334" s="2"/>
      <c r="P334" s="2"/>
      <c r="Q334" s="2"/>
      <c r="R334" s="2"/>
      <c r="S334" s="2"/>
      <c r="T334" s="2"/>
      <c r="U334" s="2"/>
      <c r="V334" s="2"/>
      <c r="W334" s="2"/>
      <c r="X334" s="2"/>
      <c r="Y334" s="2"/>
      <c r="Z334" s="2"/>
    </row>
    <row r="335">
      <c r="A335" s="5"/>
      <c r="B335" s="5"/>
      <c r="C335" s="5"/>
      <c r="D335" s="2"/>
      <c r="E335" s="2"/>
      <c r="F335" s="2"/>
      <c r="G335" s="2"/>
      <c r="H335" s="2"/>
      <c r="I335" s="2"/>
      <c r="J335" s="2"/>
      <c r="K335" s="2"/>
      <c r="L335" s="2"/>
      <c r="M335" s="2"/>
      <c r="N335" s="2"/>
      <c r="O335" s="2"/>
      <c r="P335" s="2"/>
      <c r="Q335" s="2"/>
      <c r="R335" s="2"/>
      <c r="S335" s="2"/>
      <c r="T335" s="2"/>
      <c r="U335" s="2"/>
      <c r="V335" s="2"/>
      <c r="W335" s="2"/>
      <c r="X335" s="2"/>
      <c r="Y335" s="2"/>
      <c r="Z335" s="2"/>
    </row>
    <row r="336">
      <c r="A336" s="5"/>
      <c r="B336" s="5"/>
      <c r="C336" s="5"/>
      <c r="D336" s="2"/>
      <c r="E336" s="2"/>
      <c r="F336" s="2"/>
      <c r="G336" s="2"/>
      <c r="H336" s="2"/>
      <c r="I336" s="2"/>
      <c r="J336" s="2"/>
      <c r="K336" s="2"/>
      <c r="L336" s="2"/>
      <c r="M336" s="2"/>
      <c r="N336" s="2"/>
      <c r="O336" s="2"/>
      <c r="P336" s="2"/>
      <c r="Q336" s="2"/>
      <c r="R336" s="2"/>
      <c r="S336" s="2"/>
      <c r="T336" s="2"/>
      <c r="U336" s="2"/>
      <c r="V336" s="2"/>
      <c r="W336" s="2"/>
      <c r="X336" s="2"/>
      <c r="Y336" s="2"/>
      <c r="Z336" s="2"/>
    </row>
    <row r="337">
      <c r="A337" s="5"/>
      <c r="B337" s="5"/>
      <c r="C337" s="5"/>
      <c r="D337" s="2"/>
      <c r="E337" s="2"/>
      <c r="F337" s="2"/>
      <c r="G337" s="2"/>
      <c r="H337" s="2"/>
      <c r="I337" s="2"/>
      <c r="J337" s="2"/>
      <c r="K337" s="2"/>
      <c r="L337" s="2"/>
      <c r="M337" s="2"/>
      <c r="N337" s="2"/>
      <c r="O337" s="2"/>
      <c r="P337" s="2"/>
      <c r="Q337" s="2"/>
      <c r="R337" s="2"/>
      <c r="S337" s="2"/>
      <c r="T337" s="2"/>
      <c r="U337" s="2"/>
      <c r="V337" s="2"/>
      <c r="W337" s="2"/>
      <c r="X337" s="2"/>
      <c r="Y337" s="2"/>
      <c r="Z337" s="2"/>
    </row>
    <row r="338">
      <c r="A338" s="5"/>
      <c r="B338" s="5"/>
      <c r="C338" s="5"/>
      <c r="D338" s="2"/>
      <c r="E338" s="2"/>
      <c r="F338" s="2"/>
      <c r="G338" s="2"/>
      <c r="H338" s="2"/>
      <c r="I338" s="2"/>
      <c r="J338" s="2"/>
      <c r="K338" s="2"/>
      <c r="L338" s="2"/>
      <c r="M338" s="2"/>
      <c r="N338" s="2"/>
      <c r="O338" s="2"/>
      <c r="P338" s="2"/>
      <c r="Q338" s="2"/>
      <c r="R338" s="2"/>
      <c r="S338" s="2"/>
      <c r="T338" s="2"/>
      <c r="U338" s="2"/>
      <c r="V338" s="2"/>
      <c r="W338" s="2"/>
      <c r="X338" s="2"/>
      <c r="Y338" s="2"/>
      <c r="Z338" s="2"/>
    </row>
    <row r="339">
      <c r="A339" s="5"/>
      <c r="B339" s="5"/>
      <c r="C339" s="5"/>
      <c r="D339" s="2"/>
      <c r="E339" s="2"/>
      <c r="F339" s="2"/>
      <c r="G339" s="2"/>
      <c r="H339" s="2"/>
      <c r="I339" s="2"/>
      <c r="J339" s="2"/>
      <c r="K339" s="2"/>
      <c r="L339" s="2"/>
      <c r="M339" s="2"/>
      <c r="N339" s="2"/>
      <c r="O339" s="2"/>
      <c r="P339" s="2"/>
      <c r="Q339" s="2"/>
      <c r="R339" s="2"/>
      <c r="S339" s="2"/>
      <c r="T339" s="2"/>
      <c r="U339" s="2"/>
      <c r="V339" s="2"/>
      <c r="W339" s="2"/>
      <c r="X339" s="2"/>
      <c r="Y339" s="2"/>
      <c r="Z339" s="2"/>
    </row>
    <row r="340">
      <c r="A340" s="5"/>
      <c r="B340" s="5"/>
      <c r="C340" s="5"/>
      <c r="D340" s="2"/>
      <c r="E340" s="2"/>
      <c r="F340" s="2"/>
      <c r="G340" s="2"/>
      <c r="H340" s="2"/>
      <c r="I340" s="2"/>
      <c r="J340" s="2"/>
      <c r="K340" s="2"/>
      <c r="L340" s="2"/>
      <c r="M340" s="2"/>
      <c r="N340" s="2"/>
      <c r="O340" s="2"/>
      <c r="P340" s="2"/>
      <c r="Q340" s="2"/>
      <c r="R340" s="2"/>
      <c r="S340" s="2"/>
      <c r="T340" s="2"/>
      <c r="U340" s="2"/>
      <c r="V340" s="2"/>
      <c r="W340" s="2"/>
      <c r="X340" s="2"/>
      <c r="Y340" s="2"/>
      <c r="Z340" s="2"/>
    </row>
    <row r="341">
      <c r="A341" s="5"/>
      <c r="B341" s="5"/>
      <c r="C341" s="5"/>
      <c r="D341" s="2"/>
      <c r="E341" s="2"/>
      <c r="F341" s="2"/>
      <c r="G341" s="2"/>
      <c r="H341" s="2"/>
      <c r="I341" s="2"/>
      <c r="J341" s="2"/>
      <c r="K341" s="2"/>
      <c r="L341" s="2"/>
      <c r="M341" s="2"/>
      <c r="N341" s="2"/>
      <c r="O341" s="2"/>
      <c r="P341" s="2"/>
      <c r="Q341" s="2"/>
      <c r="R341" s="2"/>
      <c r="S341" s="2"/>
      <c r="T341" s="2"/>
      <c r="U341" s="2"/>
      <c r="V341" s="2"/>
      <c r="W341" s="2"/>
      <c r="X341" s="2"/>
      <c r="Y341" s="2"/>
      <c r="Z341" s="2"/>
    </row>
    <row r="342">
      <c r="A342" s="5"/>
      <c r="B342" s="5"/>
      <c r="C342" s="5"/>
      <c r="D342" s="2"/>
      <c r="E342" s="2"/>
      <c r="F342" s="2"/>
      <c r="G342" s="2"/>
      <c r="H342" s="2"/>
      <c r="I342" s="2"/>
      <c r="J342" s="2"/>
      <c r="K342" s="2"/>
      <c r="L342" s="2"/>
      <c r="M342" s="2"/>
      <c r="N342" s="2"/>
      <c r="O342" s="2"/>
      <c r="P342" s="2"/>
      <c r="Q342" s="2"/>
      <c r="R342" s="2"/>
      <c r="S342" s="2"/>
      <c r="T342" s="2"/>
      <c r="U342" s="2"/>
      <c r="V342" s="2"/>
      <c r="W342" s="2"/>
      <c r="X342" s="2"/>
      <c r="Y342" s="2"/>
      <c r="Z342" s="2"/>
    </row>
    <row r="343">
      <c r="A343" s="5"/>
      <c r="B343" s="5"/>
      <c r="C343" s="5"/>
      <c r="D343" s="2"/>
      <c r="E343" s="2"/>
      <c r="F343" s="2"/>
      <c r="G343" s="2"/>
      <c r="H343" s="2"/>
      <c r="I343" s="2"/>
      <c r="J343" s="2"/>
      <c r="K343" s="2"/>
      <c r="L343" s="2"/>
      <c r="M343" s="2"/>
      <c r="N343" s="2"/>
      <c r="O343" s="2"/>
      <c r="P343" s="2"/>
      <c r="Q343" s="2"/>
      <c r="R343" s="2"/>
      <c r="S343" s="2"/>
      <c r="T343" s="2"/>
      <c r="U343" s="2"/>
      <c r="V343" s="2"/>
      <c r="W343" s="2"/>
      <c r="X343" s="2"/>
      <c r="Y343" s="2"/>
      <c r="Z343" s="2"/>
    </row>
    <row r="344">
      <c r="A344" s="5"/>
      <c r="B344" s="5"/>
      <c r="C344" s="5"/>
      <c r="D344" s="2"/>
      <c r="E344" s="2"/>
      <c r="F344" s="2"/>
      <c r="G344" s="2"/>
      <c r="H344" s="2"/>
      <c r="I344" s="2"/>
      <c r="J344" s="2"/>
      <c r="K344" s="2"/>
      <c r="L344" s="2"/>
      <c r="M344" s="2"/>
      <c r="N344" s="2"/>
      <c r="O344" s="2"/>
      <c r="P344" s="2"/>
      <c r="Q344" s="2"/>
      <c r="R344" s="2"/>
      <c r="S344" s="2"/>
      <c r="T344" s="2"/>
      <c r="U344" s="2"/>
      <c r="V344" s="2"/>
      <c r="W344" s="2"/>
      <c r="X344" s="2"/>
      <c r="Y344" s="2"/>
      <c r="Z344" s="2"/>
    </row>
    <row r="345">
      <c r="A345" s="5"/>
      <c r="B345" s="5"/>
      <c r="C345" s="5"/>
      <c r="D345" s="2"/>
      <c r="E345" s="2"/>
      <c r="F345" s="2"/>
      <c r="G345" s="2"/>
      <c r="H345" s="2"/>
      <c r="I345" s="2"/>
      <c r="J345" s="2"/>
      <c r="K345" s="2"/>
      <c r="L345" s="2"/>
      <c r="M345" s="2"/>
      <c r="N345" s="2"/>
      <c r="O345" s="2"/>
      <c r="P345" s="2"/>
      <c r="Q345" s="2"/>
      <c r="R345" s="2"/>
      <c r="S345" s="2"/>
      <c r="T345" s="2"/>
      <c r="U345" s="2"/>
      <c r="V345" s="2"/>
      <c r="W345" s="2"/>
      <c r="X345" s="2"/>
      <c r="Y345" s="2"/>
      <c r="Z345" s="2"/>
    </row>
    <row r="346">
      <c r="A346" s="5"/>
      <c r="B346" s="5"/>
      <c r="C346" s="5"/>
      <c r="D346" s="2"/>
      <c r="E346" s="2"/>
      <c r="F346" s="2"/>
      <c r="G346" s="2"/>
      <c r="H346" s="2"/>
      <c r="I346" s="2"/>
      <c r="J346" s="2"/>
      <c r="K346" s="2"/>
      <c r="L346" s="2"/>
      <c r="M346" s="2"/>
      <c r="N346" s="2"/>
      <c r="O346" s="2"/>
      <c r="P346" s="2"/>
      <c r="Q346" s="2"/>
      <c r="R346" s="2"/>
      <c r="S346" s="2"/>
      <c r="T346" s="2"/>
      <c r="U346" s="2"/>
      <c r="V346" s="2"/>
      <c r="W346" s="2"/>
      <c r="X346" s="2"/>
      <c r="Y346" s="2"/>
      <c r="Z346" s="2"/>
    </row>
    <row r="347">
      <c r="A347" s="5"/>
      <c r="B347" s="5"/>
      <c r="C347" s="5"/>
      <c r="D347" s="2"/>
      <c r="E347" s="2"/>
      <c r="F347" s="2"/>
      <c r="G347" s="2"/>
      <c r="H347" s="2"/>
      <c r="I347" s="2"/>
      <c r="J347" s="2"/>
      <c r="K347" s="2"/>
      <c r="L347" s="2"/>
      <c r="M347" s="2"/>
      <c r="N347" s="2"/>
      <c r="O347" s="2"/>
      <c r="P347" s="2"/>
      <c r="Q347" s="2"/>
      <c r="R347" s="2"/>
      <c r="S347" s="2"/>
      <c r="T347" s="2"/>
      <c r="U347" s="2"/>
      <c r="V347" s="2"/>
      <c r="W347" s="2"/>
      <c r="X347" s="2"/>
      <c r="Y347" s="2"/>
      <c r="Z347" s="2"/>
    </row>
    <row r="348">
      <c r="A348" s="5"/>
      <c r="B348" s="5"/>
      <c r="C348" s="5"/>
      <c r="D348" s="2"/>
      <c r="E348" s="2"/>
      <c r="F348" s="2"/>
      <c r="G348" s="2"/>
      <c r="H348" s="2"/>
      <c r="I348" s="2"/>
      <c r="J348" s="2"/>
      <c r="K348" s="2"/>
      <c r="L348" s="2"/>
      <c r="M348" s="2"/>
      <c r="N348" s="2"/>
      <c r="O348" s="2"/>
      <c r="P348" s="2"/>
      <c r="Q348" s="2"/>
      <c r="R348" s="2"/>
      <c r="S348" s="2"/>
      <c r="T348" s="2"/>
      <c r="U348" s="2"/>
      <c r="V348" s="2"/>
      <c r="W348" s="2"/>
      <c r="X348" s="2"/>
      <c r="Y348" s="2"/>
      <c r="Z348" s="2"/>
    </row>
    <row r="349">
      <c r="A349" s="5"/>
      <c r="B349" s="5"/>
      <c r="C349" s="5"/>
      <c r="D349" s="2"/>
      <c r="E349" s="2"/>
      <c r="F349" s="2"/>
      <c r="G349" s="2"/>
      <c r="H349" s="2"/>
      <c r="I349" s="2"/>
      <c r="J349" s="2"/>
      <c r="K349" s="2"/>
      <c r="L349" s="2"/>
      <c r="M349" s="2"/>
      <c r="N349" s="2"/>
      <c r="O349" s="2"/>
      <c r="P349" s="2"/>
      <c r="Q349" s="2"/>
      <c r="R349" s="2"/>
      <c r="S349" s="2"/>
      <c r="T349" s="2"/>
      <c r="U349" s="2"/>
      <c r="V349" s="2"/>
      <c r="W349" s="2"/>
      <c r="X349" s="2"/>
      <c r="Y349" s="2"/>
      <c r="Z349" s="2"/>
    </row>
    <row r="350">
      <c r="A350" s="5"/>
      <c r="B350" s="5"/>
      <c r="C350" s="5"/>
      <c r="D350" s="2"/>
      <c r="E350" s="2"/>
      <c r="F350" s="2"/>
      <c r="G350" s="2"/>
      <c r="H350" s="2"/>
      <c r="I350" s="2"/>
      <c r="J350" s="2"/>
      <c r="K350" s="2"/>
      <c r="L350" s="2"/>
      <c r="M350" s="2"/>
      <c r="N350" s="2"/>
      <c r="O350" s="2"/>
      <c r="P350" s="2"/>
      <c r="Q350" s="2"/>
      <c r="R350" s="2"/>
      <c r="S350" s="2"/>
      <c r="T350" s="2"/>
      <c r="U350" s="2"/>
      <c r="V350" s="2"/>
      <c r="W350" s="2"/>
      <c r="X350" s="2"/>
      <c r="Y350" s="2"/>
      <c r="Z350" s="2"/>
    </row>
    <row r="351">
      <c r="A351" s="5"/>
      <c r="B351" s="5"/>
      <c r="C351" s="5"/>
      <c r="D351" s="2"/>
      <c r="E351" s="2"/>
      <c r="F351" s="2"/>
      <c r="G351" s="2"/>
      <c r="H351" s="2"/>
      <c r="I351" s="2"/>
      <c r="J351" s="2"/>
      <c r="K351" s="2"/>
      <c r="L351" s="2"/>
      <c r="M351" s="2"/>
      <c r="N351" s="2"/>
      <c r="O351" s="2"/>
      <c r="P351" s="2"/>
      <c r="Q351" s="2"/>
      <c r="R351" s="2"/>
      <c r="S351" s="2"/>
      <c r="T351" s="2"/>
      <c r="U351" s="2"/>
      <c r="V351" s="2"/>
      <c r="W351" s="2"/>
      <c r="X351" s="2"/>
      <c r="Y351" s="2"/>
      <c r="Z351" s="2"/>
    </row>
    <row r="352">
      <c r="A352" s="5"/>
      <c r="B352" s="5"/>
      <c r="C352" s="5"/>
      <c r="D352" s="2"/>
      <c r="E352" s="2"/>
      <c r="F352" s="2"/>
      <c r="G352" s="2"/>
      <c r="H352" s="2"/>
      <c r="I352" s="2"/>
      <c r="J352" s="2"/>
      <c r="K352" s="2"/>
      <c r="L352" s="2"/>
      <c r="M352" s="2"/>
      <c r="N352" s="2"/>
      <c r="O352" s="2"/>
      <c r="P352" s="2"/>
      <c r="Q352" s="2"/>
      <c r="R352" s="2"/>
      <c r="S352" s="2"/>
      <c r="T352" s="2"/>
      <c r="U352" s="2"/>
      <c r="V352" s="2"/>
      <c r="W352" s="2"/>
      <c r="X352" s="2"/>
      <c r="Y352" s="2"/>
      <c r="Z352" s="2"/>
    </row>
    <row r="353">
      <c r="A353" s="5"/>
      <c r="B353" s="5"/>
      <c r="C353" s="5"/>
      <c r="D353" s="2"/>
      <c r="E353" s="2"/>
      <c r="F353" s="2"/>
      <c r="G353" s="2"/>
      <c r="H353" s="2"/>
      <c r="I353" s="2"/>
      <c r="J353" s="2"/>
      <c r="K353" s="2"/>
      <c r="L353" s="2"/>
      <c r="M353" s="2"/>
      <c r="N353" s="2"/>
      <c r="O353" s="2"/>
      <c r="P353" s="2"/>
      <c r="Q353" s="2"/>
      <c r="R353" s="2"/>
      <c r="S353" s="2"/>
      <c r="T353" s="2"/>
      <c r="U353" s="2"/>
      <c r="V353" s="2"/>
      <c r="W353" s="2"/>
      <c r="X353" s="2"/>
      <c r="Y353" s="2"/>
      <c r="Z353" s="2"/>
    </row>
    <row r="354">
      <c r="A354" s="5"/>
      <c r="B354" s="5"/>
      <c r="C354" s="5"/>
      <c r="D354" s="2"/>
      <c r="E354" s="2"/>
      <c r="F354" s="2"/>
      <c r="G354" s="2"/>
      <c r="H354" s="2"/>
      <c r="I354" s="2"/>
      <c r="J354" s="2"/>
      <c r="K354" s="2"/>
      <c r="L354" s="2"/>
      <c r="M354" s="2"/>
      <c r="N354" s="2"/>
      <c r="O354" s="2"/>
      <c r="P354" s="2"/>
      <c r="Q354" s="2"/>
      <c r="R354" s="2"/>
      <c r="S354" s="2"/>
      <c r="T354" s="2"/>
      <c r="U354" s="2"/>
      <c r="V354" s="2"/>
      <c r="W354" s="2"/>
      <c r="X354" s="2"/>
      <c r="Y354" s="2"/>
      <c r="Z354" s="2"/>
    </row>
    <row r="355">
      <c r="A355" s="5"/>
      <c r="B355" s="5"/>
      <c r="C355" s="5"/>
      <c r="D355" s="2"/>
      <c r="E355" s="2"/>
      <c r="F355" s="2"/>
      <c r="G355" s="2"/>
      <c r="H355" s="2"/>
      <c r="I355" s="2"/>
      <c r="J355" s="2"/>
      <c r="K355" s="2"/>
      <c r="L355" s="2"/>
      <c r="M355" s="2"/>
      <c r="N355" s="2"/>
      <c r="O355" s="2"/>
      <c r="P355" s="2"/>
      <c r="Q355" s="2"/>
      <c r="R355" s="2"/>
      <c r="S355" s="2"/>
      <c r="T355" s="2"/>
      <c r="U355" s="2"/>
      <c r="V355" s="2"/>
      <c r="W355" s="2"/>
      <c r="X355" s="2"/>
      <c r="Y355" s="2"/>
      <c r="Z355" s="2"/>
    </row>
    <row r="356">
      <c r="A356" s="5"/>
      <c r="B356" s="5"/>
      <c r="C356" s="5"/>
      <c r="D356" s="2"/>
      <c r="E356" s="2"/>
      <c r="F356" s="2"/>
      <c r="G356" s="2"/>
      <c r="H356" s="2"/>
      <c r="I356" s="2"/>
      <c r="J356" s="2"/>
      <c r="K356" s="2"/>
      <c r="L356" s="2"/>
      <c r="M356" s="2"/>
      <c r="N356" s="2"/>
      <c r="O356" s="2"/>
      <c r="P356" s="2"/>
      <c r="Q356" s="2"/>
      <c r="R356" s="2"/>
      <c r="S356" s="2"/>
      <c r="T356" s="2"/>
      <c r="U356" s="2"/>
      <c r="V356" s="2"/>
      <c r="W356" s="2"/>
      <c r="X356" s="2"/>
      <c r="Y356" s="2"/>
      <c r="Z356" s="2"/>
    </row>
    <row r="357">
      <c r="A357" s="5"/>
      <c r="B357" s="5"/>
      <c r="C357" s="5"/>
      <c r="D357" s="2"/>
      <c r="E357" s="2"/>
      <c r="F357" s="2"/>
      <c r="G357" s="2"/>
      <c r="H357" s="2"/>
      <c r="I357" s="2"/>
      <c r="J357" s="2"/>
      <c r="K357" s="2"/>
      <c r="L357" s="2"/>
      <c r="M357" s="2"/>
      <c r="N357" s="2"/>
      <c r="O357" s="2"/>
      <c r="P357" s="2"/>
      <c r="Q357" s="2"/>
      <c r="R357" s="2"/>
      <c r="S357" s="2"/>
      <c r="T357" s="2"/>
      <c r="U357" s="2"/>
      <c r="V357" s="2"/>
      <c r="W357" s="2"/>
      <c r="X357" s="2"/>
      <c r="Y357" s="2"/>
      <c r="Z357" s="2"/>
    </row>
    <row r="358">
      <c r="A358" s="5"/>
      <c r="B358" s="5"/>
      <c r="C358" s="5"/>
      <c r="D358" s="2"/>
      <c r="E358" s="2"/>
      <c r="F358" s="2"/>
      <c r="G358" s="2"/>
      <c r="H358" s="2"/>
      <c r="I358" s="2"/>
      <c r="J358" s="2"/>
      <c r="K358" s="2"/>
      <c r="L358" s="2"/>
      <c r="M358" s="2"/>
      <c r="N358" s="2"/>
      <c r="O358" s="2"/>
      <c r="P358" s="2"/>
      <c r="Q358" s="2"/>
      <c r="R358" s="2"/>
      <c r="S358" s="2"/>
      <c r="T358" s="2"/>
      <c r="U358" s="2"/>
      <c r="V358" s="2"/>
      <c r="W358" s="2"/>
      <c r="X358" s="2"/>
      <c r="Y358" s="2"/>
      <c r="Z358" s="2"/>
    </row>
    <row r="359">
      <c r="A359" s="5"/>
      <c r="B359" s="5"/>
      <c r="C359" s="5"/>
      <c r="D359" s="2"/>
      <c r="E359" s="2"/>
      <c r="F359" s="2"/>
      <c r="G359" s="2"/>
      <c r="H359" s="2"/>
      <c r="I359" s="2"/>
      <c r="J359" s="2"/>
      <c r="K359" s="2"/>
      <c r="L359" s="2"/>
      <c r="M359" s="2"/>
      <c r="N359" s="2"/>
      <c r="O359" s="2"/>
      <c r="P359" s="2"/>
      <c r="Q359" s="2"/>
      <c r="R359" s="2"/>
      <c r="S359" s="2"/>
      <c r="T359" s="2"/>
      <c r="U359" s="2"/>
      <c r="V359" s="2"/>
      <c r="W359" s="2"/>
      <c r="X359" s="2"/>
      <c r="Y359" s="2"/>
      <c r="Z359" s="2"/>
    </row>
    <row r="360">
      <c r="A360" s="5"/>
      <c r="B360" s="5"/>
      <c r="C360" s="5"/>
      <c r="D360" s="2"/>
      <c r="E360" s="2"/>
      <c r="F360" s="2"/>
      <c r="G360" s="2"/>
      <c r="H360" s="2"/>
      <c r="I360" s="2"/>
      <c r="J360" s="2"/>
      <c r="K360" s="2"/>
      <c r="L360" s="2"/>
      <c r="M360" s="2"/>
      <c r="N360" s="2"/>
      <c r="O360" s="2"/>
      <c r="P360" s="2"/>
      <c r="Q360" s="2"/>
      <c r="R360" s="2"/>
      <c r="S360" s="2"/>
      <c r="T360" s="2"/>
      <c r="U360" s="2"/>
      <c r="V360" s="2"/>
      <c r="W360" s="2"/>
      <c r="X360" s="2"/>
      <c r="Y360" s="2"/>
      <c r="Z360" s="2"/>
    </row>
    <row r="361">
      <c r="A361" s="5"/>
      <c r="B361" s="5"/>
      <c r="C361" s="5"/>
      <c r="D361" s="2"/>
      <c r="E361" s="2"/>
      <c r="F361" s="2"/>
      <c r="G361" s="2"/>
      <c r="H361" s="2"/>
      <c r="I361" s="2"/>
      <c r="J361" s="2"/>
      <c r="K361" s="2"/>
      <c r="L361" s="2"/>
      <c r="M361" s="2"/>
      <c r="N361" s="2"/>
      <c r="O361" s="2"/>
      <c r="P361" s="2"/>
      <c r="Q361" s="2"/>
      <c r="R361" s="2"/>
      <c r="S361" s="2"/>
      <c r="T361" s="2"/>
      <c r="U361" s="2"/>
      <c r="V361" s="2"/>
      <c r="W361" s="2"/>
      <c r="X361" s="2"/>
      <c r="Y361" s="2"/>
      <c r="Z361" s="2"/>
    </row>
    <row r="362">
      <c r="A362" s="5"/>
      <c r="B362" s="5"/>
      <c r="C362" s="5"/>
      <c r="D362" s="2"/>
      <c r="E362" s="2"/>
      <c r="F362" s="2"/>
      <c r="G362" s="2"/>
      <c r="H362" s="2"/>
      <c r="I362" s="2"/>
      <c r="J362" s="2"/>
      <c r="K362" s="2"/>
      <c r="L362" s="2"/>
      <c r="M362" s="2"/>
      <c r="N362" s="2"/>
      <c r="O362" s="2"/>
      <c r="P362" s="2"/>
      <c r="Q362" s="2"/>
      <c r="R362" s="2"/>
      <c r="S362" s="2"/>
      <c r="T362" s="2"/>
      <c r="U362" s="2"/>
      <c r="V362" s="2"/>
      <c r="W362" s="2"/>
      <c r="X362" s="2"/>
      <c r="Y362" s="2"/>
      <c r="Z362" s="2"/>
    </row>
    <row r="363">
      <c r="A363" s="5"/>
      <c r="B363" s="5"/>
      <c r="C363" s="5"/>
      <c r="D363" s="2"/>
      <c r="E363" s="2"/>
      <c r="F363" s="2"/>
      <c r="G363" s="2"/>
      <c r="H363" s="2"/>
      <c r="I363" s="2"/>
      <c r="J363" s="2"/>
      <c r="K363" s="2"/>
      <c r="L363" s="2"/>
      <c r="M363" s="2"/>
      <c r="N363" s="2"/>
      <c r="O363" s="2"/>
      <c r="P363" s="2"/>
      <c r="Q363" s="2"/>
      <c r="R363" s="2"/>
      <c r="S363" s="2"/>
      <c r="T363" s="2"/>
      <c r="U363" s="2"/>
      <c r="V363" s="2"/>
      <c r="W363" s="2"/>
      <c r="X363" s="2"/>
      <c r="Y363" s="2"/>
      <c r="Z363" s="2"/>
    </row>
    <row r="364">
      <c r="A364" s="5"/>
      <c r="B364" s="5"/>
      <c r="C364" s="5"/>
      <c r="D364" s="2"/>
      <c r="E364" s="2"/>
      <c r="F364" s="2"/>
      <c r="G364" s="2"/>
      <c r="H364" s="2"/>
      <c r="I364" s="2"/>
      <c r="J364" s="2"/>
      <c r="K364" s="2"/>
      <c r="L364" s="2"/>
      <c r="M364" s="2"/>
      <c r="N364" s="2"/>
      <c r="O364" s="2"/>
      <c r="P364" s="2"/>
      <c r="Q364" s="2"/>
      <c r="R364" s="2"/>
      <c r="S364" s="2"/>
      <c r="T364" s="2"/>
      <c r="U364" s="2"/>
      <c r="V364" s="2"/>
      <c r="W364" s="2"/>
      <c r="X364" s="2"/>
      <c r="Y364" s="2"/>
      <c r="Z364" s="2"/>
    </row>
    <row r="365">
      <c r="A365" s="5"/>
      <c r="B365" s="5"/>
      <c r="C365" s="5"/>
      <c r="D365" s="2"/>
      <c r="E365" s="2"/>
      <c r="F365" s="2"/>
      <c r="G365" s="2"/>
      <c r="H365" s="2"/>
      <c r="I365" s="2"/>
      <c r="J365" s="2"/>
      <c r="K365" s="2"/>
      <c r="L365" s="2"/>
      <c r="M365" s="2"/>
      <c r="N365" s="2"/>
      <c r="O365" s="2"/>
      <c r="P365" s="2"/>
      <c r="Q365" s="2"/>
      <c r="R365" s="2"/>
      <c r="S365" s="2"/>
      <c r="T365" s="2"/>
      <c r="U365" s="2"/>
      <c r="V365" s="2"/>
      <c r="W365" s="2"/>
      <c r="X365" s="2"/>
      <c r="Y365" s="2"/>
      <c r="Z365" s="2"/>
    </row>
    <row r="366">
      <c r="A366" s="5"/>
      <c r="B366" s="5"/>
      <c r="C366" s="5"/>
      <c r="D366" s="2"/>
      <c r="E366" s="2"/>
      <c r="F366" s="2"/>
      <c r="G366" s="2"/>
      <c r="H366" s="2"/>
      <c r="I366" s="2"/>
      <c r="J366" s="2"/>
      <c r="K366" s="2"/>
      <c r="L366" s="2"/>
      <c r="M366" s="2"/>
      <c r="N366" s="2"/>
      <c r="O366" s="2"/>
      <c r="P366" s="2"/>
      <c r="Q366" s="2"/>
      <c r="R366" s="2"/>
      <c r="S366" s="2"/>
      <c r="T366" s="2"/>
      <c r="U366" s="2"/>
      <c r="V366" s="2"/>
      <c r="W366" s="2"/>
      <c r="X366" s="2"/>
      <c r="Y366" s="2"/>
      <c r="Z366" s="2"/>
    </row>
    <row r="367">
      <c r="A367" s="5"/>
      <c r="B367" s="5"/>
      <c r="C367" s="5"/>
      <c r="D367" s="2"/>
      <c r="E367" s="2"/>
      <c r="F367" s="2"/>
      <c r="G367" s="2"/>
      <c r="H367" s="2"/>
      <c r="I367" s="2"/>
      <c r="J367" s="2"/>
      <c r="K367" s="2"/>
      <c r="L367" s="2"/>
      <c r="M367" s="2"/>
      <c r="N367" s="2"/>
      <c r="O367" s="2"/>
      <c r="P367" s="2"/>
      <c r="Q367" s="2"/>
      <c r="R367" s="2"/>
      <c r="S367" s="2"/>
      <c r="T367" s="2"/>
      <c r="U367" s="2"/>
      <c r="V367" s="2"/>
      <c r="W367" s="2"/>
      <c r="X367" s="2"/>
      <c r="Y367" s="2"/>
      <c r="Z367" s="2"/>
    </row>
    <row r="368">
      <c r="A368" s="5"/>
      <c r="B368" s="5"/>
      <c r="C368" s="5"/>
      <c r="D368" s="2"/>
      <c r="E368" s="2"/>
      <c r="F368" s="2"/>
      <c r="G368" s="2"/>
      <c r="H368" s="2"/>
      <c r="I368" s="2"/>
      <c r="J368" s="2"/>
      <c r="K368" s="2"/>
      <c r="L368" s="2"/>
      <c r="M368" s="2"/>
      <c r="N368" s="2"/>
      <c r="O368" s="2"/>
      <c r="P368" s="2"/>
      <c r="Q368" s="2"/>
      <c r="R368" s="2"/>
      <c r="S368" s="2"/>
      <c r="T368" s="2"/>
      <c r="U368" s="2"/>
      <c r="V368" s="2"/>
      <c r="W368" s="2"/>
      <c r="X368" s="2"/>
      <c r="Y368" s="2"/>
      <c r="Z368" s="2"/>
    </row>
    <row r="369">
      <c r="A369" s="5"/>
      <c r="B369" s="5"/>
      <c r="C369" s="5"/>
      <c r="D369" s="2"/>
      <c r="E369" s="2"/>
      <c r="F369" s="2"/>
      <c r="G369" s="2"/>
      <c r="H369" s="2"/>
      <c r="I369" s="2"/>
      <c r="J369" s="2"/>
      <c r="K369" s="2"/>
      <c r="L369" s="2"/>
      <c r="M369" s="2"/>
      <c r="N369" s="2"/>
      <c r="O369" s="2"/>
      <c r="P369" s="2"/>
      <c r="Q369" s="2"/>
      <c r="R369" s="2"/>
      <c r="S369" s="2"/>
      <c r="T369" s="2"/>
      <c r="U369" s="2"/>
      <c r="V369" s="2"/>
      <c r="W369" s="2"/>
      <c r="X369" s="2"/>
      <c r="Y369" s="2"/>
      <c r="Z369" s="2"/>
    </row>
    <row r="370">
      <c r="A370" s="5"/>
      <c r="B370" s="5"/>
      <c r="C370" s="5"/>
      <c r="D370" s="2"/>
      <c r="E370" s="2"/>
      <c r="F370" s="2"/>
      <c r="G370" s="2"/>
      <c r="H370" s="2"/>
      <c r="I370" s="2"/>
      <c r="J370" s="2"/>
      <c r="K370" s="2"/>
      <c r="L370" s="2"/>
      <c r="M370" s="2"/>
      <c r="N370" s="2"/>
      <c r="O370" s="2"/>
      <c r="P370" s="2"/>
      <c r="Q370" s="2"/>
      <c r="R370" s="2"/>
      <c r="S370" s="2"/>
      <c r="T370" s="2"/>
      <c r="U370" s="2"/>
      <c r="V370" s="2"/>
      <c r="W370" s="2"/>
      <c r="X370" s="2"/>
      <c r="Y370" s="2"/>
      <c r="Z370" s="2"/>
    </row>
    <row r="371">
      <c r="A371" s="5"/>
      <c r="B371" s="5"/>
      <c r="C371" s="5"/>
      <c r="D371" s="2"/>
      <c r="E371" s="2"/>
      <c r="F371" s="2"/>
      <c r="G371" s="2"/>
      <c r="H371" s="2"/>
      <c r="I371" s="2"/>
      <c r="J371" s="2"/>
      <c r="K371" s="2"/>
      <c r="L371" s="2"/>
      <c r="M371" s="2"/>
      <c r="N371" s="2"/>
      <c r="O371" s="2"/>
      <c r="P371" s="2"/>
      <c r="Q371" s="2"/>
      <c r="R371" s="2"/>
      <c r="S371" s="2"/>
      <c r="T371" s="2"/>
      <c r="U371" s="2"/>
      <c r="V371" s="2"/>
      <c r="W371" s="2"/>
      <c r="X371" s="2"/>
      <c r="Y371" s="2"/>
      <c r="Z371" s="2"/>
    </row>
    <row r="372">
      <c r="A372" s="5"/>
      <c r="B372" s="5"/>
      <c r="C372" s="5"/>
      <c r="D372" s="2"/>
      <c r="E372" s="2"/>
      <c r="F372" s="2"/>
      <c r="G372" s="2"/>
      <c r="H372" s="2"/>
      <c r="I372" s="2"/>
      <c r="J372" s="2"/>
      <c r="K372" s="2"/>
      <c r="L372" s="2"/>
      <c r="M372" s="2"/>
      <c r="N372" s="2"/>
      <c r="O372" s="2"/>
      <c r="P372" s="2"/>
      <c r="Q372" s="2"/>
      <c r="R372" s="2"/>
      <c r="S372" s="2"/>
      <c r="T372" s="2"/>
      <c r="U372" s="2"/>
      <c r="V372" s="2"/>
      <c r="W372" s="2"/>
      <c r="X372" s="2"/>
      <c r="Y372" s="2"/>
      <c r="Z372" s="2"/>
    </row>
    <row r="373">
      <c r="A373" s="5"/>
      <c r="B373" s="5"/>
      <c r="C373" s="5"/>
      <c r="D373" s="2"/>
      <c r="E373" s="2"/>
      <c r="F373" s="2"/>
      <c r="G373" s="2"/>
      <c r="H373" s="2"/>
      <c r="I373" s="2"/>
      <c r="J373" s="2"/>
      <c r="K373" s="2"/>
      <c r="L373" s="2"/>
      <c r="M373" s="2"/>
      <c r="N373" s="2"/>
      <c r="O373" s="2"/>
      <c r="P373" s="2"/>
      <c r="Q373" s="2"/>
      <c r="R373" s="2"/>
      <c r="S373" s="2"/>
      <c r="T373" s="2"/>
      <c r="U373" s="2"/>
      <c r="V373" s="2"/>
      <c r="W373" s="2"/>
      <c r="X373" s="2"/>
      <c r="Y373" s="2"/>
      <c r="Z373" s="2"/>
    </row>
    <row r="374">
      <c r="A374" s="5"/>
      <c r="B374" s="5"/>
      <c r="C374" s="5"/>
      <c r="D374" s="2"/>
      <c r="E374" s="2"/>
      <c r="F374" s="2"/>
      <c r="G374" s="2"/>
      <c r="H374" s="2"/>
      <c r="I374" s="2"/>
      <c r="J374" s="2"/>
      <c r="K374" s="2"/>
      <c r="L374" s="2"/>
      <c r="M374" s="2"/>
      <c r="N374" s="2"/>
      <c r="O374" s="2"/>
      <c r="P374" s="2"/>
      <c r="Q374" s="2"/>
      <c r="R374" s="2"/>
      <c r="S374" s="2"/>
      <c r="T374" s="2"/>
      <c r="U374" s="2"/>
      <c r="V374" s="2"/>
      <c r="W374" s="2"/>
      <c r="X374" s="2"/>
      <c r="Y374" s="2"/>
      <c r="Z374" s="2"/>
    </row>
    <row r="375">
      <c r="A375" s="5"/>
      <c r="B375" s="5"/>
      <c r="C375" s="5"/>
      <c r="D375" s="2"/>
      <c r="E375" s="2"/>
      <c r="F375" s="2"/>
      <c r="G375" s="2"/>
      <c r="H375" s="2"/>
      <c r="I375" s="2"/>
      <c r="J375" s="2"/>
      <c r="K375" s="2"/>
      <c r="L375" s="2"/>
      <c r="M375" s="2"/>
      <c r="N375" s="2"/>
      <c r="O375" s="2"/>
      <c r="P375" s="2"/>
      <c r="Q375" s="2"/>
      <c r="R375" s="2"/>
      <c r="S375" s="2"/>
      <c r="T375" s="2"/>
      <c r="U375" s="2"/>
      <c r="V375" s="2"/>
      <c r="W375" s="2"/>
      <c r="X375" s="2"/>
      <c r="Y375" s="2"/>
      <c r="Z375" s="2"/>
    </row>
    <row r="376">
      <c r="A376" s="5"/>
      <c r="B376" s="5"/>
      <c r="C376" s="5"/>
      <c r="D376" s="2"/>
      <c r="E376" s="2"/>
      <c r="F376" s="2"/>
      <c r="G376" s="2"/>
      <c r="H376" s="2"/>
      <c r="I376" s="2"/>
      <c r="J376" s="2"/>
      <c r="K376" s="2"/>
      <c r="L376" s="2"/>
      <c r="M376" s="2"/>
      <c r="N376" s="2"/>
      <c r="O376" s="2"/>
      <c r="P376" s="2"/>
      <c r="Q376" s="2"/>
      <c r="R376" s="2"/>
      <c r="S376" s="2"/>
      <c r="T376" s="2"/>
      <c r="U376" s="2"/>
      <c r="V376" s="2"/>
      <c r="W376" s="2"/>
      <c r="X376" s="2"/>
      <c r="Y376" s="2"/>
      <c r="Z376" s="2"/>
    </row>
    <row r="377">
      <c r="A377" s="5"/>
      <c r="B377" s="5"/>
      <c r="C377" s="5"/>
      <c r="D377" s="2"/>
      <c r="E377" s="2"/>
      <c r="F377" s="2"/>
      <c r="G377" s="2"/>
      <c r="H377" s="2"/>
      <c r="I377" s="2"/>
      <c r="J377" s="2"/>
      <c r="K377" s="2"/>
      <c r="L377" s="2"/>
      <c r="M377" s="2"/>
      <c r="N377" s="2"/>
      <c r="O377" s="2"/>
      <c r="P377" s="2"/>
      <c r="Q377" s="2"/>
      <c r="R377" s="2"/>
      <c r="S377" s="2"/>
      <c r="T377" s="2"/>
      <c r="U377" s="2"/>
      <c r="V377" s="2"/>
      <c r="W377" s="2"/>
      <c r="X377" s="2"/>
      <c r="Y377" s="2"/>
      <c r="Z377" s="2"/>
    </row>
    <row r="378">
      <c r="A378" s="5"/>
      <c r="B378" s="5"/>
      <c r="C378" s="5"/>
      <c r="D378" s="2"/>
      <c r="E378" s="2"/>
      <c r="F378" s="2"/>
      <c r="G378" s="2"/>
      <c r="H378" s="2"/>
      <c r="I378" s="2"/>
      <c r="J378" s="2"/>
      <c r="K378" s="2"/>
      <c r="L378" s="2"/>
      <c r="M378" s="2"/>
      <c r="N378" s="2"/>
      <c r="O378" s="2"/>
      <c r="P378" s="2"/>
      <c r="Q378" s="2"/>
      <c r="R378" s="2"/>
      <c r="S378" s="2"/>
      <c r="T378" s="2"/>
      <c r="U378" s="2"/>
      <c r="V378" s="2"/>
      <c r="W378" s="2"/>
      <c r="X378" s="2"/>
      <c r="Y378" s="2"/>
      <c r="Z378" s="2"/>
    </row>
    <row r="379">
      <c r="A379" s="5"/>
      <c r="B379" s="5"/>
      <c r="C379" s="5"/>
      <c r="D379" s="2"/>
      <c r="E379" s="2"/>
      <c r="F379" s="2"/>
      <c r="G379" s="2"/>
      <c r="H379" s="2"/>
      <c r="I379" s="2"/>
      <c r="J379" s="2"/>
      <c r="K379" s="2"/>
      <c r="L379" s="2"/>
      <c r="M379" s="2"/>
      <c r="N379" s="2"/>
      <c r="O379" s="2"/>
      <c r="P379" s="2"/>
      <c r="Q379" s="2"/>
      <c r="R379" s="2"/>
      <c r="S379" s="2"/>
      <c r="T379" s="2"/>
      <c r="U379" s="2"/>
      <c r="V379" s="2"/>
      <c r="W379" s="2"/>
      <c r="X379" s="2"/>
      <c r="Y379" s="2"/>
      <c r="Z379" s="2"/>
    </row>
    <row r="380">
      <c r="A380" s="5"/>
      <c r="B380" s="5"/>
      <c r="C380" s="5"/>
      <c r="D380" s="2"/>
      <c r="E380" s="2"/>
      <c r="F380" s="2"/>
      <c r="G380" s="2"/>
      <c r="H380" s="2"/>
      <c r="I380" s="2"/>
      <c r="J380" s="2"/>
      <c r="K380" s="2"/>
      <c r="L380" s="2"/>
      <c r="M380" s="2"/>
      <c r="N380" s="2"/>
      <c r="O380" s="2"/>
      <c r="P380" s="2"/>
      <c r="Q380" s="2"/>
      <c r="R380" s="2"/>
      <c r="S380" s="2"/>
      <c r="T380" s="2"/>
      <c r="U380" s="2"/>
      <c r="V380" s="2"/>
      <c r="W380" s="2"/>
      <c r="X380" s="2"/>
      <c r="Y380" s="2"/>
      <c r="Z380" s="2"/>
    </row>
    <row r="381">
      <c r="A381" s="5"/>
      <c r="B381" s="5"/>
      <c r="C381" s="5"/>
      <c r="D381" s="2"/>
      <c r="E381" s="2"/>
      <c r="F381" s="2"/>
      <c r="G381" s="2"/>
      <c r="H381" s="2"/>
      <c r="I381" s="2"/>
      <c r="J381" s="2"/>
      <c r="K381" s="2"/>
      <c r="L381" s="2"/>
      <c r="M381" s="2"/>
      <c r="N381" s="2"/>
      <c r="O381" s="2"/>
      <c r="P381" s="2"/>
      <c r="Q381" s="2"/>
      <c r="R381" s="2"/>
      <c r="S381" s="2"/>
      <c r="T381" s="2"/>
      <c r="U381" s="2"/>
      <c r="V381" s="2"/>
      <c r="W381" s="2"/>
      <c r="X381" s="2"/>
      <c r="Y381" s="2"/>
      <c r="Z381" s="2"/>
    </row>
    <row r="382">
      <c r="A382" s="5"/>
      <c r="B382" s="5"/>
      <c r="C382" s="5"/>
      <c r="D382" s="2"/>
      <c r="E382" s="2"/>
      <c r="F382" s="2"/>
      <c r="G382" s="2"/>
      <c r="H382" s="2"/>
      <c r="I382" s="2"/>
      <c r="J382" s="2"/>
      <c r="K382" s="2"/>
      <c r="L382" s="2"/>
      <c r="M382" s="2"/>
      <c r="N382" s="2"/>
      <c r="O382" s="2"/>
      <c r="P382" s="2"/>
      <c r="Q382" s="2"/>
      <c r="R382" s="2"/>
      <c r="S382" s="2"/>
      <c r="T382" s="2"/>
      <c r="U382" s="2"/>
      <c r="V382" s="2"/>
      <c r="W382" s="2"/>
      <c r="X382" s="2"/>
      <c r="Y382" s="2"/>
      <c r="Z382" s="2"/>
    </row>
    <row r="383">
      <c r="A383" s="5"/>
      <c r="B383" s="5"/>
      <c r="C383" s="5"/>
      <c r="D383" s="2"/>
      <c r="E383" s="2"/>
      <c r="F383" s="2"/>
      <c r="G383" s="2"/>
      <c r="H383" s="2"/>
      <c r="I383" s="2"/>
      <c r="J383" s="2"/>
      <c r="K383" s="2"/>
      <c r="L383" s="2"/>
      <c r="M383" s="2"/>
      <c r="N383" s="2"/>
      <c r="O383" s="2"/>
      <c r="P383" s="2"/>
      <c r="Q383" s="2"/>
      <c r="R383" s="2"/>
      <c r="S383" s="2"/>
      <c r="T383" s="2"/>
      <c r="U383" s="2"/>
      <c r="V383" s="2"/>
      <c r="W383" s="2"/>
      <c r="X383" s="2"/>
      <c r="Y383" s="2"/>
      <c r="Z383" s="2"/>
    </row>
    <row r="384">
      <c r="A384" s="5"/>
      <c r="B384" s="5"/>
      <c r="C384" s="5"/>
      <c r="D384" s="2"/>
      <c r="E384" s="2"/>
      <c r="F384" s="2"/>
      <c r="G384" s="2"/>
      <c r="H384" s="2"/>
      <c r="I384" s="2"/>
      <c r="J384" s="2"/>
      <c r="K384" s="2"/>
      <c r="L384" s="2"/>
      <c r="M384" s="2"/>
      <c r="N384" s="2"/>
      <c r="O384" s="2"/>
      <c r="P384" s="2"/>
      <c r="Q384" s="2"/>
      <c r="R384" s="2"/>
      <c r="S384" s="2"/>
      <c r="T384" s="2"/>
      <c r="U384" s="2"/>
      <c r="V384" s="2"/>
      <c r="W384" s="2"/>
      <c r="X384" s="2"/>
      <c r="Y384" s="2"/>
      <c r="Z384" s="2"/>
    </row>
    <row r="385">
      <c r="A385" s="5"/>
      <c r="B385" s="5"/>
      <c r="C385" s="5"/>
      <c r="D385" s="2"/>
      <c r="E385" s="2"/>
      <c r="F385" s="2"/>
      <c r="G385" s="2"/>
      <c r="H385" s="2"/>
      <c r="I385" s="2"/>
      <c r="J385" s="2"/>
      <c r="K385" s="2"/>
      <c r="L385" s="2"/>
      <c r="M385" s="2"/>
      <c r="N385" s="2"/>
      <c r="O385" s="2"/>
      <c r="P385" s="2"/>
      <c r="Q385" s="2"/>
      <c r="R385" s="2"/>
      <c r="S385" s="2"/>
      <c r="T385" s="2"/>
      <c r="U385" s="2"/>
      <c r="V385" s="2"/>
      <c r="W385" s="2"/>
      <c r="X385" s="2"/>
      <c r="Y385" s="2"/>
      <c r="Z385" s="2"/>
    </row>
    <row r="386">
      <c r="A386" s="5"/>
      <c r="B386" s="5"/>
      <c r="C386" s="5"/>
      <c r="D386" s="2"/>
      <c r="E386" s="2"/>
      <c r="F386" s="2"/>
      <c r="G386" s="2"/>
      <c r="H386" s="2"/>
      <c r="I386" s="2"/>
      <c r="J386" s="2"/>
      <c r="K386" s="2"/>
      <c r="L386" s="2"/>
      <c r="M386" s="2"/>
      <c r="N386" s="2"/>
      <c r="O386" s="2"/>
      <c r="P386" s="2"/>
      <c r="Q386" s="2"/>
      <c r="R386" s="2"/>
      <c r="S386" s="2"/>
      <c r="T386" s="2"/>
      <c r="U386" s="2"/>
      <c r="V386" s="2"/>
      <c r="W386" s="2"/>
      <c r="X386" s="2"/>
      <c r="Y386" s="2"/>
      <c r="Z386" s="2"/>
    </row>
    <row r="387">
      <c r="A387" s="5"/>
      <c r="B387" s="5"/>
      <c r="C387" s="5"/>
      <c r="D387" s="2"/>
      <c r="E387" s="2"/>
      <c r="F387" s="2"/>
      <c r="G387" s="2"/>
      <c r="H387" s="2"/>
      <c r="I387" s="2"/>
      <c r="J387" s="2"/>
      <c r="K387" s="2"/>
      <c r="L387" s="2"/>
      <c r="M387" s="2"/>
      <c r="N387" s="2"/>
      <c r="O387" s="2"/>
      <c r="P387" s="2"/>
      <c r="Q387" s="2"/>
      <c r="R387" s="2"/>
      <c r="S387" s="2"/>
      <c r="T387" s="2"/>
      <c r="U387" s="2"/>
      <c r="V387" s="2"/>
      <c r="W387" s="2"/>
      <c r="X387" s="2"/>
      <c r="Y387" s="2"/>
      <c r="Z387" s="2"/>
    </row>
    <row r="388">
      <c r="A388" s="5"/>
      <c r="B388" s="5"/>
      <c r="C388" s="5"/>
      <c r="D388" s="2"/>
      <c r="E388" s="2"/>
      <c r="F388" s="2"/>
      <c r="G388" s="2"/>
      <c r="H388" s="2"/>
      <c r="I388" s="2"/>
      <c r="J388" s="2"/>
      <c r="K388" s="2"/>
      <c r="L388" s="2"/>
      <c r="M388" s="2"/>
      <c r="N388" s="2"/>
      <c r="O388" s="2"/>
      <c r="P388" s="2"/>
      <c r="Q388" s="2"/>
      <c r="R388" s="2"/>
      <c r="S388" s="2"/>
      <c r="T388" s="2"/>
      <c r="U388" s="2"/>
      <c r="V388" s="2"/>
      <c r="W388" s="2"/>
      <c r="X388" s="2"/>
      <c r="Y388" s="2"/>
      <c r="Z388" s="2"/>
    </row>
    <row r="389">
      <c r="A389" s="5"/>
      <c r="B389" s="5"/>
      <c r="C389" s="5"/>
      <c r="D389" s="2"/>
      <c r="E389" s="2"/>
      <c r="F389" s="2"/>
      <c r="G389" s="2"/>
      <c r="H389" s="2"/>
      <c r="I389" s="2"/>
      <c r="J389" s="2"/>
      <c r="K389" s="2"/>
      <c r="L389" s="2"/>
      <c r="M389" s="2"/>
      <c r="N389" s="2"/>
      <c r="O389" s="2"/>
      <c r="P389" s="2"/>
      <c r="Q389" s="2"/>
      <c r="R389" s="2"/>
      <c r="S389" s="2"/>
      <c r="T389" s="2"/>
      <c r="U389" s="2"/>
      <c r="V389" s="2"/>
      <c r="W389" s="2"/>
      <c r="X389" s="2"/>
      <c r="Y389" s="2"/>
      <c r="Z389" s="2"/>
    </row>
    <row r="390">
      <c r="A390" s="5"/>
      <c r="B390" s="5"/>
      <c r="C390" s="5"/>
      <c r="D390" s="2"/>
      <c r="E390" s="2"/>
      <c r="F390" s="2"/>
      <c r="G390" s="2"/>
      <c r="H390" s="2"/>
      <c r="I390" s="2"/>
      <c r="J390" s="2"/>
      <c r="K390" s="2"/>
      <c r="L390" s="2"/>
      <c r="M390" s="2"/>
      <c r="N390" s="2"/>
      <c r="O390" s="2"/>
      <c r="P390" s="2"/>
      <c r="Q390" s="2"/>
      <c r="R390" s="2"/>
      <c r="S390" s="2"/>
      <c r="T390" s="2"/>
      <c r="U390" s="2"/>
      <c r="V390" s="2"/>
      <c r="W390" s="2"/>
      <c r="X390" s="2"/>
      <c r="Y390" s="2"/>
      <c r="Z390" s="2"/>
    </row>
    <row r="391">
      <c r="A391" s="5"/>
      <c r="B391" s="5"/>
      <c r="C391" s="5"/>
      <c r="D391" s="2"/>
      <c r="E391" s="2"/>
      <c r="F391" s="2"/>
      <c r="G391" s="2"/>
      <c r="H391" s="2"/>
      <c r="I391" s="2"/>
      <c r="J391" s="2"/>
      <c r="K391" s="2"/>
      <c r="L391" s="2"/>
      <c r="M391" s="2"/>
      <c r="N391" s="2"/>
      <c r="O391" s="2"/>
      <c r="P391" s="2"/>
      <c r="Q391" s="2"/>
      <c r="R391" s="2"/>
      <c r="S391" s="2"/>
      <c r="T391" s="2"/>
      <c r="U391" s="2"/>
      <c r="V391" s="2"/>
      <c r="W391" s="2"/>
      <c r="X391" s="2"/>
      <c r="Y391" s="2"/>
      <c r="Z391" s="2"/>
    </row>
    <row r="392">
      <c r="A392" s="5"/>
      <c r="B392" s="5"/>
      <c r="C392" s="5"/>
      <c r="D392" s="2"/>
      <c r="E392" s="2"/>
      <c r="F392" s="2"/>
      <c r="G392" s="2"/>
      <c r="H392" s="2"/>
      <c r="I392" s="2"/>
      <c r="J392" s="2"/>
      <c r="K392" s="2"/>
      <c r="L392" s="2"/>
      <c r="M392" s="2"/>
      <c r="N392" s="2"/>
      <c r="O392" s="2"/>
      <c r="P392" s="2"/>
      <c r="Q392" s="2"/>
      <c r="R392" s="2"/>
      <c r="S392" s="2"/>
      <c r="T392" s="2"/>
      <c r="U392" s="2"/>
      <c r="V392" s="2"/>
      <c r="W392" s="2"/>
      <c r="X392" s="2"/>
      <c r="Y392" s="2"/>
      <c r="Z392" s="2"/>
    </row>
    <row r="393">
      <c r="A393" s="5"/>
      <c r="B393" s="5"/>
      <c r="C393" s="5"/>
      <c r="D393" s="2"/>
      <c r="E393" s="2"/>
      <c r="F393" s="2"/>
      <c r="G393" s="2"/>
      <c r="H393" s="2"/>
      <c r="I393" s="2"/>
      <c r="J393" s="2"/>
      <c r="K393" s="2"/>
      <c r="L393" s="2"/>
      <c r="M393" s="2"/>
      <c r="N393" s="2"/>
      <c r="O393" s="2"/>
      <c r="P393" s="2"/>
      <c r="Q393" s="2"/>
      <c r="R393" s="2"/>
      <c r="S393" s="2"/>
      <c r="T393" s="2"/>
      <c r="U393" s="2"/>
      <c r="V393" s="2"/>
      <c r="W393" s="2"/>
      <c r="X393" s="2"/>
      <c r="Y393" s="2"/>
      <c r="Z393" s="2"/>
    </row>
    <row r="394">
      <c r="A394" s="5"/>
      <c r="B394" s="5"/>
      <c r="C394" s="5"/>
      <c r="D394" s="2"/>
      <c r="E394" s="2"/>
      <c r="F394" s="2"/>
      <c r="G394" s="2"/>
      <c r="H394" s="2"/>
      <c r="I394" s="2"/>
      <c r="J394" s="2"/>
      <c r="K394" s="2"/>
      <c r="L394" s="2"/>
      <c r="M394" s="2"/>
      <c r="N394" s="2"/>
      <c r="O394" s="2"/>
      <c r="P394" s="2"/>
      <c r="Q394" s="2"/>
      <c r="R394" s="2"/>
      <c r="S394" s="2"/>
      <c r="T394" s="2"/>
      <c r="U394" s="2"/>
      <c r="V394" s="2"/>
      <c r="W394" s="2"/>
      <c r="X394" s="2"/>
      <c r="Y394" s="2"/>
      <c r="Z394" s="2"/>
    </row>
    <row r="395">
      <c r="A395" s="5"/>
      <c r="B395" s="5"/>
      <c r="C395" s="5"/>
      <c r="D395" s="2"/>
      <c r="E395" s="2"/>
      <c r="F395" s="2"/>
      <c r="G395" s="2"/>
      <c r="H395" s="2"/>
      <c r="I395" s="2"/>
      <c r="J395" s="2"/>
      <c r="K395" s="2"/>
      <c r="L395" s="2"/>
      <c r="M395" s="2"/>
      <c r="N395" s="2"/>
      <c r="O395" s="2"/>
      <c r="P395" s="2"/>
      <c r="Q395" s="2"/>
      <c r="R395" s="2"/>
      <c r="S395" s="2"/>
      <c r="T395" s="2"/>
      <c r="U395" s="2"/>
      <c r="V395" s="2"/>
      <c r="W395" s="2"/>
      <c r="X395" s="2"/>
      <c r="Y395" s="2"/>
      <c r="Z395" s="2"/>
    </row>
    <row r="396">
      <c r="A396" s="5"/>
      <c r="B396" s="5"/>
      <c r="C396" s="5"/>
      <c r="D396" s="2"/>
      <c r="E396" s="2"/>
      <c r="F396" s="2"/>
      <c r="G396" s="2"/>
      <c r="H396" s="2"/>
      <c r="I396" s="2"/>
      <c r="J396" s="2"/>
      <c r="K396" s="2"/>
      <c r="L396" s="2"/>
      <c r="M396" s="2"/>
      <c r="N396" s="2"/>
      <c r="O396" s="2"/>
      <c r="P396" s="2"/>
      <c r="Q396" s="2"/>
      <c r="R396" s="2"/>
      <c r="S396" s="2"/>
      <c r="T396" s="2"/>
      <c r="U396" s="2"/>
      <c r="V396" s="2"/>
      <c r="W396" s="2"/>
      <c r="X396" s="2"/>
      <c r="Y396" s="2"/>
      <c r="Z396" s="2"/>
    </row>
    <row r="397">
      <c r="A397" s="5"/>
      <c r="B397" s="5"/>
      <c r="C397" s="5"/>
      <c r="D397" s="2"/>
      <c r="E397" s="2"/>
      <c r="F397" s="2"/>
      <c r="G397" s="2"/>
      <c r="H397" s="2"/>
      <c r="I397" s="2"/>
      <c r="J397" s="2"/>
      <c r="K397" s="2"/>
      <c r="L397" s="2"/>
      <c r="M397" s="2"/>
      <c r="N397" s="2"/>
      <c r="O397" s="2"/>
      <c r="P397" s="2"/>
      <c r="Q397" s="2"/>
      <c r="R397" s="2"/>
      <c r="S397" s="2"/>
      <c r="T397" s="2"/>
      <c r="U397" s="2"/>
      <c r="V397" s="2"/>
      <c r="W397" s="2"/>
      <c r="X397" s="2"/>
      <c r="Y397" s="2"/>
      <c r="Z397" s="2"/>
    </row>
    <row r="398">
      <c r="A398" s="5"/>
      <c r="B398" s="5"/>
      <c r="C398" s="5"/>
      <c r="D398" s="2"/>
      <c r="E398" s="2"/>
      <c r="F398" s="2"/>
      <c r="G398" s="2"/>
      <c r="H398" s="2"/>
      <c r="I398" s="2"/>
      <c r="J398" s="2"/>
      <c r="K398" s="2"/>
      <c r="L398" s="2"/>
      <c r="M398" s="2"/>
      <c r="N398" s="2"/>
      <c r="O398" s="2"/>
      <c r="P398" s="2"/>
      <c r="Q398" s="2"/>
      <c r="R398" s="2"/>
      <c r="S398" s="2"/>
      <c r="T398" s="2"/>
      <c r="U398" s="2"/>
      <c r="V398" s="2"/>
      <c r="W398" s="2"/>
      <c r="X398" s="2"/>
      <c r="Y398" s="2"/>
      <c r="Z398" s="2"/>
    </row>
    <row r="399">
      <c r="A399" s="5"/>
      <c r="B399" s="5"/>
      <c r="C399" s="5"/>
      <c r="D399" s="2"/>
      <c r="E399" s="2"/>
      <c r="F399" s="2"/>
      <c r="G399" s="2"/>
      <c r="H399" s="2"/>
      <c r="I399" s="2"/>
      <c r="J399" s="2"/>
      <c r="K399" s="2"/>
      <c r="L399" s="2"/>
      <c r="M399" s="2"/>
      <c r="N399" s="2"/>
      <c r="O399" s="2"/>
      <c r="P399" s="2"/>
      <c r="Q399" s="2"/>
      <c r="R399" s="2"/>
      <c r="S399" s="2"/>
      <c r="T399" s="2"/>
      <c r="U399" s="2"/>
      <c r="V399" s="2"/>
      <c r="W399" s="2"/>
      <c r="X399" s="2"/>
      <c r="Y399" s="2"/>
      <c r="Z399" s="2"/>
    </row>
    <row r="400">
      <c r="A400" s="5"/>
      <c r="B400" s="5"/>
      <c r="C400" s="5"/>
      <c r="D400" s="2"/>
      <c r="E400" s="2"/>
      <c r="F400" s="2"/>
      <c r="G400" s="2"/>
      <c r="H400" s="2"/>
      <c r="I400" s="2"/>
      <c r="J400" s="2"/>
      <c r="K400" s="2"/>
      <c r="L400" s="2"/>
      <c r="M400" s="2"/>
      <c r="N400" s="2"/>
      <c r="O400" s="2"/>
      <c r="P400" s="2"/>
      <c r="Q400" s="2"/>
      <c r="R400" s="2"/>
      <c r="S400" s="2"/>
      <c r="T400" s="2"/>
      <c r="U400" s="2"/>
      <c r="V400" s="2"/>
      <c r="W400" s="2"/>
      <c r="X400" s="2"/>
      <c r="Y400" s="2"/>
      <c r="Z400" s="2"/>
    </row>
    <row r="401">
      <c r="A401" s="5"/>
      <c r="B401" s="5"/>
      <c r="C401" s="5"/>
      <c r="D401" s="2"/>
      <c r="E401" s="2"/>
      <c r="F401" s="2"/>
      <c r="G401" s="2"/>
      <c r="H401" s="2"/>
      <c r="I401" s="2"/>
      <c r="J401" s="2"/>
      <c r="K401" s="2"/>
      <c r="L401" s="2"/>
      <c r="M401" s="2"/>
      <c r="N401" s="2"/>
      <c r="O401" s="2"/>
      <c r="P401" s="2"/>
      <c r="Q401" s="2"/>
      <c r="R401" s="2"/>
      <c r="S401" s="2"/>
      <c r="T401" s="2"/>
      <c r="U401" s="2"/>
      <c r="V401" s="2"/>
      <c r="W401" s="2"/>
      <c r="X401" s="2"/>
      <c r="Y401" s="2"/>
      <c r="Z401" s="2"/>
    </row>
    <row r="402">
      <c r="A402" s="5"/>
      <c r="B402" s="5"/>
      <c r="C402" s="5"/>
      <c r="D402" s="2"/>
      <c r="E402" s="2"/>
      <c r="F402" s="2"/>
      <c r="G402" s="2"/>
      <c r="H402" s="2"/>
      <c r="I402" s="2"/>
      <c r="J402" s="2"/>
      <c r="K402" s="2"/>
      <c r="L402" s="2"/>
      <c r="M402" s="2"/>
      <c r="N402" s="2"/>
      <c r="O402" s="2"/>
      <c r="P402" s="2"/>
      <c r="Q402" s="2"/>
      <c r="R402" s="2"/>
      <c r="S402" s="2"/>
      <c r="T402" s="2"/>
      <c r="U402" s="2"/>
      <c r="V402" s="2"/>
      <c r="W402" s="2"/>
      <c r="X402" s="2"/>
      <c r="Y402" s="2"/>
      <c r="Z402" s="2"/>
    </row>
    <row r="403">
      <c r="A403" s="5"/>
      <c r="B403" s="5"/>
      <c r="C403" s="5"/>
      <c r="D403" s="2"/>
      <c r="E403" s="2"/>
      <c r="F403" s="2"/>
      <c r="G403" s="2"/>
      <c r="H403" s="2"/>
      <c r="I403" s="2"/>
      <c r="J403" s="2"/>
      <c r="K403" s="2"/>
      <c r="L403" s="2"/>
      <c r="M403" s="2"/>
      <c r="N403" s="2"/>
      <c r="O403" s="2"/>
      <c r="P403" s="2"/>
      <c r="Q403" s="2"/>
      <c r="R403" s="2"/>
      <c r="S403" s="2"/>
      <c r="T403" s="2"/>
      <c r="U403" s="2"/>
      <c r="V403" s="2"/>
      <c r="W403" s="2"/>
      <c r="X403" s="2"/>
      <c r="Y403" s="2"/>
      <c r="Z403" s="2"/>
    </row>
    <row r="404">
      <c r="A404" s="5"/>
      <c r="B404" s="5"/>
      <c r="C404" s="5"/>
      <c r="D404" s="2"/>
      <c r="E404" s="2"/>
      <c r="F404" s="2"/>
      <c r="G404" s="2"/>
      <c r="H404" s="2"/>
      <c r="I404" s="2"/>
      <c r="J404" s="2"/>
      <c r="K404" s="2"/>
      <c r="L404" s="2"/>
      <c r="M404" s="2"/>
      <c r="N404" s="2"/>
      <c r="O404" s="2"/>
      <c r="P404" s="2"/>
      <c r="Q404" s="2"/>
      <c r="R404" s="2"/>
      <c r="S404" s="2"/>
      <c r="T404" s="2"/>
      <c r="U404" s="2"/>
      <c r="V404" s="2"/>
      <c r="W404" s="2"/>
      <c r="X404" s="2"/>
      <c r="Y404" s="2"/>
      <c r="Z404" s="2"/>
    </row>
    <row r="405">
      <c r="A405" s="5"/>
      <c r="B405" s="5"/>
      <c r="C405" s="5"/>
      <c r="D405" s="2"/>
      <c r="E405" s="2"/>
      <c r="F405" s="2"/>
      <c r="G405" s="2"/>
      <c r="H405" s="2"/>
      <c r="I405" s="2"/>
      <c r="J405" s="2"/>
      <c r="K405" s="2"/>
      <c r="L405" s="2"/>
      <c r="M405" s="2"/>
      <c r="N405" s="2"/>
      <c r="O405" s="2"/>
      <c r="P405" s="2"/>
      <c r="Q405" s="2"/>
      <c r="R405" s="2"/>
      <c r="S405" s="2"/>
      <c r="T405" s="2"/>
      <c r="U405" s="2"/>
      <c r="V405" s="2"/>
      <c r="W405" s="2"/>
      <c r="X405" s="2"/>
      <c r="Y405" s="2"/>
      <c r="Z405" s="2"/>
    </row>
    <row r="406">
      <c r="A406" s="5"/>
      <c r="B406" s="5"/>
      <c r="C406" s="5"/>
      <c r="D406" s="2"/>
      <c r="E406" s="2"/>
      <c r="F406" s="2"/>
      <c r="G406" s="2"/>
      <c r="H406" s="2"/>
      <c r="I406" s="2"/>
      <c r="J406" s="2"/>
      <c r="K406" s="2"/>
      <c r="L406" s="2"/>
      <c r="M406" s="2"/>
      <c r="N406" s="2"/>
      <c r="O406" s="2"/>
      <c r="P406" s="2"/>
      <c r="Q406" s="2"/>
      <c r="R406" s="2"/>
      <c r="S406" s="2"/>
      <c r="T406" s="2"/>
      <c r="U406" s="2"/>
      <c r="V406" s="2"/>
      <c r="W406" s="2"/>
      <c r="X406" s="2"/>
      <c r="Y406" s="2"/>
      <c r="Z406" s="2"/>
    </row>
    <row r="407">
      <c r="A407" s="5"/>
      <c r="B407" s="5"/>
      <c r="C407" s="5"/>
      <c r="D407" s="2"/>
      <c r="E407" s="2"/>
      <c r="F407" s="2"/>
      <c r="G407" s="2"/>
      <c r="H407" s="2"/>
      <c r="I407" s="2"/>
      <c r="J407" s="2"/>
      <c r="K407" s="2"/>
      <c r="L407" s="2"/>
      <c r="M407" s="2"/>
      <c r="N407" s="2"/>
      <c r="O407" s="2"/>
      <c r="P407" s="2"/>
      <c r="Q407" s="2"/>
      <c r="R407" s="2"/>
      <c r="S407" s="2"/>
      <c r="T407" s="2"/>
      <c r="U407" s="2"/>
      <c r="V407" s="2"/>
      <c r="W407" s="2"/>
      <c r="X407" s="2"/>
      <c r="Y407" s="2"/>
      <c r="Z407" s="2"/>
    </row>
    <row r="408">
      <c r="A408" s="5"/>
      <c r="B408" s="5"/>
      <c r="C408" s="5"/>
      <c r="D408" s="2"/>
      <c r="E408" s="2"/>
      <c r="F408" s="2"/>
      <c r="G408" s="2"/>
      <c r="H408" s="2"/>
      <c r="I408" s="2"/>
      <c r="J408" s="2"/>
      <c r="K408" s="2"/>
      <c r="L408" s="2"/>
      <c r="M408" s="2"/>
      <c r="N408" s="2"/>
      <c r="O408" s="2"/>
      <c r="P408" s="2"/>
      <c r="Q408" s="2"/>
      <c r="R408" s="2"/>
      <c r="S408" s="2"/>
      <c r="T408" s="2"/>
      <c r="U408" s="2"/>
      <c r="V408" s="2"/>
      <c r="W408" s="2"/>
      <c r="X408" s="2"/>
      <c r="Y408" s="2"/>
      <c r="Z408" s="2"/>
    </row>
    <row r="409">
      <c r="A409" s="5"/>
      <c r="B409" s="5"/>
      <c r="C409" s="5"/>
      <c r="D409" s="2"/>
      <c r="E409" s="2"/>
      <c r="F409" s="2"/>
      <c r="G409" s="2"/>
      <c r="H409" s="2"/>
      <c r="I409" s="2"/>
      <c r="J409" s="2"/>
      <c r="K409" s="2"/>
      <c r="L409" s="2"/>
      <c r="M409" s="2"/>
      <c r="N409" s="2"/>
      <c r="O409" s="2"/>
      <c r="P409" s="2"/>
      <c r="Q409" s="2"/>
      <c r="R409" s="2"/>
      <c r="S409" s="2"/>
      <c r="T409" s="2"/>
      <c r="U409" s="2"/>
      <c r="V409" s="2"/>
      <c r="W409" s="2"/>
      <c r="X409" s="2"/>
      <c r="Y409" s="2"/>
      <c r="Z409" s="2"/>
    </row>
    <row r="410">
      <c r="A410" s="5"/>
      <c r="B410" s="5"/>
      <c r="C410" s="5"/>
      <c r="D410" s="2"/>
      <c r="E410" s="2"/>
      <c r="F410" s="2"/>
      <c r="G410" s="2"/>
      <c r="H410" s="2"/>
      <c r="I410" s="2"/>
      <c r="J410" s="2"/>
      <c r="K410" s="2"/>
      <c r="L410" s="2"/>
      <c r="M410" s="2"/>
      <c r="N410" s="2"/>
      <c r="O410" s="2"/>
      <c r="P410" s="2"/>
      <c r="Q410" s="2"/>
      <c r="R410" s="2"/>
      <c r="S410" s="2"/>
      <c r="T410" s="2"/>
      <c r="U410" s="2"/>
      <c r="V410" s="2"/>
      <c r="W410" s="2"/>
      <c r="X410" s="2"/>
      <c r="Y410" s="2"/>
      <c r="Z410" s="2"/>
    </row>
    <row r="411">
      <c r="A411" s="5"/>
      <c r="B411" s="5"/>
      <c r="C411" s="5"/>
      <c r="D411" s="2"/>
      <c r="E411" s="2"/>
      <c r="F411" s="2"/>
      <c r="G411" s="2"/>
      <c r="H411" s="2"/>
      <c r="I411" s="2"/>
      <c r="J411" s="2"/>
      <c r="K411" s="2"/>
      <c r="L411" s="2"/>
      <c r="M411" s="2"/>
      <c r="N411" s="2"/>
      <c r="O411" s="2"/>
      <c r="P411" s="2"/>
      <c r="Q411" s="2"/>
      <c r="R411" s="2"/>
      <c r="S411" s="2"/>
      <c r="T411" s="2"/>
      <c r="U411" s="2"/>
      <c r="V411" s="2"/>
      <c r="W411" s="2"/>
      <c r="X411" s="2"/>
      <c r="Y411" s="2"/>
      <c r="Z411" s="2"/>
    </row>
    <row r="412">
      <c r="A412" s="5"/>
      <c r="B412" s="5"/>
      <c r="C412" s="5"/>
      <c r="D412" s="2"/>
      <c r="E412" s="2"/>
      <c r="F412" s="2"/>
      <c r="G412" s="2"/>
      <c r="H412" s="2"/>
      <c r="I412" s="2"/>
      <c r="J412" s="2"/>
      <c r="K412" s="2"/>
      <c r="L412" s="2"/>
      <c r="M412" s="2"/>
      <c r="N412" s="2"/>
      <c r="O412" s="2"/>
      <c r="P412" s="2"/>
      <c r="Q412" s="2"/>
      <c r="R412" s="2"/>
      <c r="S412" s="2"/>
      <c r="T412" s="2"/>
      <c r="U412" s="2"/>
      <c r="V412" s="2"/>
      <c r="W412" s="2"/>
      <c r="X412" s="2"/>
      <c r="Y412" s="2"/>
      <c r="Z412" s="2"/>
    </row>
    <row r="413">
      <c r="A413" s="5"/>
      <c r="B413" s="5"/>
      <c r="C413" s="5"/>
      <c r="D413" s="2"/>
      <c r="E413" s="2"/>
      <c r="F413" s="2"/>
      <c r="G413" s="2"/>
      <c r="H413" s="2"/>
      <c r="I413" s="2"/>
      <c r="J413" s="2"/>
      <c r="K413" s="2"/>
      <c r="L413" s="2"/>
      <c r="M413" s="2"/>
      <c r="N413" s="2"/>
      <c r="O413" s="2"/>
      <c r="P413" s="2"/>
      <c r="Q413" s="2"/>
      <c r="R413" s="2"/>
      <c r="S413" s="2"/>
      <c r="T413" s="2"/>
      <c r="U413" s="2"/>
      <c r="V413" s="2"/>
      <c r="W413" s="2"/>
      <c r="X413" s="2"/>
      <c r="Y413" s="2"/>
      <c r="Z413" s="2"/>
    </row>
    <row r="414">
      <c r="A414" s="5"/>
      <c r="B414" s="5"/>
      <c r="C414" s="5"/>
      <c r="D414" s="2"/>
      <c r="E414" s="2"/>
      <c r="F414" s="2"/>
      <c r="G414" s="2"/>
      <c r="H414" s="2"/>
      <c r="I414" s="2"/>
      <c r="J414" s="2"/>
      <c r="K414" s="2"/>
      <c r="L414" s="2"/>
      <c r="M414" s="2"/>
      <c r="N414" s="2"/>
      <c r="O414" s="2"/>
      <c r="P414" s="2"/>
      <c r="Q414" s="2"/>
      <c r="R414" s="2"/>
      <c r="S414" s="2"/>
      <c r="T414" s="2"/>
      <c r="U414" s="2"/>
      <c r="V414" s="2"/>
      <c r="W414" s="2"/>
      <c r="X414" s="2"/>
      <c r="Y414" s="2"/>
      <c r="Z414" s="2"/>
    </row>
    <row r="415">
      <c r="A415" s="5"/>
      <c r="B415" s="5"/>
      <c r="C415" s="5"/>
      <c r="D415" s="2"/>
      <c r="E415" s="2"/>
      <c r="F415" s="2"/>
      <c r="G415" s="2"/>
      <c r="H415" s="2"/>
      <c r="I415" s="2"/>
      <c r="J415" s="2"/>
      <c r="K415" s="2"/>
      <c r="L415" s="2"/>
      <c r="M415" s="2"/>
      <c r="N415" s="2"/>
      <c r="O415" s="2"/>
      <c r="P415" s="2"/>
      <c r="Q415" s="2"/>
      <c r="R415" s="2"/>
      <c r="S415" s="2"/>
      <c r="T415" s="2"/>
      <c r="U415" s="2"/>
      <c r="V415" s="2"/>
      <c r="W415" s="2"/>
      <c r="X415" s="2"/>
      <c r="Y415" s="2"/>
      <c r="Z415" s="2"/>
    </row>
    <row r="416">
      <c r="A416" s="5"/>
      <c r="B416" s="5"/>
      <c r="C416" s="5"/>
      <c r="D416" s="2"/>
      <c r="E416" s="2"/>
      <c r="F416" s="2"/>
      <c r="G416" s="2"/>
      <c r="H416" s="2"/>
      <c r="I416" s="2"/>
      <c r="J416" s="2"/>
      <c r="K416" s="2"/>
      <c r="L416" s="2"/>
      <c r="M416" s="2"/>
      <c r="N416" s="2"/>
      <c r="O416" s="2"/>
      <c r="P416" s="2"/>
      <c r="Q416" s="2"/>
      <c r="R416" s="2"/>
      <c r="S416" s="2"/>
      <c r="T416" s="2"/>
      <c r="U416" s="2"/>
      <c r="V416" s="2"/>
      <c r="W416" s="2"/>
      <c r="X416" s="2"/>
      <c r="Y416" s="2"/>
      <c r="Z416" s="2"/>
    </row>
    <row r="417">
      <c r="A417" s="5"/>
      <c r="B417" s="5"/>
      <c r="C417" s="5"/>
      <c r="D417" s="2"/>
      <c r="E417" s="2"/>
      <c r="F417" s="2"/>
      <c r="G417" s="2"/>
      <c r="H417" s="2"/>
      <c r="I417" s="2"/>
      <c r="J417" s="2"/>
      <c r="K417" s="2"/>
      <c r="L417" s="2"/>
      <c r="M417" s="2"/>
      <c r="N417" s="2"/>
      <c r="O417" s="2"/>
      <c r="P417" s="2"/>
      <c r="Q417" s="2"/>
      <c r="R417" s="2"/>
      <c r="S417" s="2"/>
      <c r="T417" s="2"/>
      <c r="U417" s="2"/>
      <c r="V417" s="2"/>
      <c r="W417" s="2"/>
      <c r="X417" s="2"/>
      <c r="Y417" s="2"/>
      <c r="Z417" s="2"/>
    </row>
    <row r="418">
      <c r="A418" s="5"/>
      <c r="B418" s="5"/>
      <c r="C418" s="5"/>
      <c r="D418" s="2"/>
      <c r="E418" s="2"/>
      <c r="F418" s="2"/>
      <c r="G418" s="2"/>
      <c r="H418" s="2"/>
      <c r="I418" s="2"/>
      <c r="J418" s="2"/>
      <c r="K418" s="2"/>
      <c r="L418" s="2"/>
      <c r="M418" s="2"/>
      <c r="N418" s="2"/>
      <c r="O418" s="2"/>
      <c r="P418" s="2"/>
      <c r="Q418" s="2"/>
      <c r="R418" s="2"/>
      <c r="S418" s="2"/>
      <c r="T418" s="2"/>
      <c r="U418" s="2"/>
      <c r="V418" s="2"/>
      <c r="W418" s="2"/>
      <c r="X418" s="2"/>
      <c r="Y418" s="2"/>
      <c r="Z418" s="2"/>
    </row>
    <row r="419">
      <c r="A419" s="5"/>
      <c r="B419" s="5"/>
      <c r="C419" s="5"/>
      <c r="D419" s="2"/>
      <c r="E419" s="2"/>
      <c r="F419" s="2"/>
      <c r="G419" s="2"/>
      <c r="H419" s="2"/>
      <c r="I419" s="2"/>
      <c r="J419" s="2"/>
      <c r="K419" s="2"/>
      <c r="L419" s="2"/>
      <c r="M419" s="2"/>
      <c r="N419" s="2"/>
      <c r="O419" s="2"/>
      <c r="P419" s="2"/>
      <c r="Q419" s="2"/>
      <c r="R419" s="2"/>
      <c r="S419" s="2"/>
      <c r="T419" s="2"/>
      <c r="U419" s="2"/>
      <c r="V419" s="2"/>
      <c r="W419" s="2"/>
      <c r="X419" s="2"/>
      <c r="Y419" s="2"/>
      <c r="Z419" s="2"/>
    </row>
    <row r="420">
      <c r="A420" s="5"/>
      <c r="B420" s="5"/>
      <c r="C420" s="5"/>
      <c r="D420" s="2"/>
      <c r="E420" s="2"/>
      <c r="F420" s="2"/>
      <c r="G420" s="2"/>
      <c r="H420" s="2"/>
      <c r="I420" s="2"/>
      <c r="J420" s="2"/>
      <c r="K420" s="2"/>
      <c r="L420" s="2"/>
      <c r="M420" s="2"/>
      <c r="N420" s="2"/>
      <c r="O420" s="2"/>
      <c r="P420" s="2"/>
      <c r="Q420" s="2"/>
      <c r="R420" s="2"/>
      <c r="S420" s="2"/>
      <c r="T420" s="2"/>
      <c r="U420" s="2"/>
      <c r="V420" s="2"/>
      <c r="W420" s="2"/>
      <c r="X420" s="2"/>
      <c r="Y420" s="2"/>
      <c r="Z420" s="2"/>
    </row>
    <row r="421">
      <c r="A421" s="5"/>
      <c r="B421" s="5"/>
      <c r="C421" s="5"/>
      <c r="D421" s="2"/>
      <c r="E421" s="2"/>
      <c r="F421" s="2"/>
      <c r="G421" s="2"/>
      <c r="H421" s="2"/>
      <c r="I421" s="2"/>
      <c r="J421" s="2"/>
      <c r="K421" s="2"/>
      <c r="L421" s="2"/>
      <c r="M421" s="2"/>
      <c r="N421" s="2"/>
      <c r="O421" s="2"/>
      <c r="P421" s="2"/>
      <c r="Q421" s="2"/>
      <c r="R421" s="2"/>
      <c r="S421" s="2"/>
      <c r="T421" s="2"/>
      <c r="U421" s="2"/>
      <c r="V421" s="2"/>
      <c r="W421" s="2"/>
      <c r="X421" s="2"/>
      <c r="Y421" s="2"/>
      <c r="Z421" s="2"/>
    </row>
    <row r="422">
      <c r="A422" s="5"/>
      <c r="B422" s="5"/>
      <c r="C422" s="5"/>
      <c r="D422" s="2"/>
      <c r="E422" s="2"/>
      <c r="F422" s="2"/>
      <c r="G422" s="2"/>
      <c r="H422" s="2"/>
      <c r="I422" s="2"/>
      <c r="J422" s="2"/>
      <c r="K422" s="2"/>
      <c r="L422" s="2"/>
      <c r="M422" s="2"/>
      <c r="N422" s="2"/>
      <c r="O422" s="2"/>
      <c r="P422" s="2"/>
      <c r="Q422" s="2"/>
      <c r="R422" s="2"/>
      <c r="S422" s="2"/>
      <c r="T422" s="2"/>
      <c r="U422" s="2"/>
      <c r="V422" s="2"/>
      <c r="W422" s="2"/>
      <c r="X422" s="2"/>
      <c r="Y422" s="2"/>
      <c r="Z422" s="2"/>
    </row>
    <row r="423">
      <c r="A423" s="5"/>
      <c r="B423" s="5"/>
      <c r="C423" s="5"/>
      <c r="D423" s="2"/>
      <c r="E423" s="2"/>
      <c r="F423" s="2"/>
      <c r="G423" s="2"/>
      <c r="H423" s="2"/>
      <c r="I423" s="2"/>
      <c r="J423" s="2"/>
      <c r="K423" s="2"/>
      <c r="L423" s="2"/>
      <c r="M423" s="2"/>
      <c r="N423" s="2"/>
      <c r="O423" s="2"/>
      <c r="P423" s="2"/>
      <c r="Q423" s="2"/>
      <c r="R423" s="2"/>
      <c r="S423" s="2"/>
      <c r="T423" s="2"/>
      <c r="U423" s="2"/>
      <c r="V423" s="2"/>
      <c r="W423" s="2"/>
      <c r="X423" s="2"/>
      <c r="Y423" s="2"/>
      <c r="Z423" s="2"/>
    </row>
    <row r="424">
      <c r="A424" s="5"/>
      <c r="B424" s="5"/>
      <c r="C424" s="5"/>
      <c r="D424" s="2"/>
      <c r="E424" s="2"/>
      <c r="F424" s="2"/>
      <c r="G424" s="2"/>
      <c r="H424" s="2"/>
      <c r="I424" s="2"/>
      <c r="J424" s="2"/>
      <c r="K424" s="2"/>
      <c r="L424" s="2"/>
      <c r="M424" s="2"/>
      <c r="N424" s="2"/>
      <c r="O424" s="2"/>
      <c r="P424" s="2"/>
      <c r="Q424" s="2"/>
      <c r="R424" s="2"/>
      <c r="S424" s="2"/>
      <c r="T424" s="2"/>
      <c r="U424" s="2"/>
      <c r="V424" s="2"/>
      <c r="W424" s="2"/>
      <c r="X424" s="2"/>
      <c r="Y424" s="2"/>
      <c r="Z424" s="2"/>
    </row>
    <row r="425">
      <c r="A425" s="5"/>
      <c r="B425" s="5"/>
      <c r="C425" s="5"/>
      <c r="D425" s="2"/>
      <c r="E425" s="2"/>
      <c r="F425" s="2"/>
      <c r="G425" s="2"/>
      <c r="H425" s="2"/>
      <c r="I425" s="2"/>
      <c r="J425" s="2"/>
      <c r="K425" s="2"/>
      <c r="L425" s="2"/>
      <c r="M425" s="2"/>
      <c r="N425" s="2"/>
      <c r="O425" s="2"/>
      <c r="P425" s="2"/>
      <c r="Q425" s="2"/>
      <c r="R425" s="2"/>
      <c r="S425" s="2"/>
      <c r="T425" s="2"/>
      <c r="U425" s="2"/>
      <c r="V425" s="2"/>
      <c r="W425" s="2"/>
      <c r="X425" s="2"/>
      <c r="Y425" s="2"/>
      <c r="Z425" s="2"/>
    </row>
    <row r="426">
      <c r="A426" s="5"/>
      <c r="B426" s="5"/>
      <c r="C426" s="5"/>
      <c r="D426" s="2"/>
      <c r="E426" s="2"/>
      <c r="F426" s="2"/>
      <c r="G426" s="2"/>
      <c r="H426" s="2"/>
      <c r="I426" s="2"/>
      <c r="J426" s="2"/>
      <c r="K426" s="2"/>
      <c r="L426" s="2"/>
      <c r="M426" s="2"/>
      <c r="N426" s="2"/>
      <c r="O426" s="2"/>
      <c r="P426" s="2"/>
      <c r="Q426" s="2"/>
      <c r="R426" s="2"/>
      <c r="S426" s="2"/>
      <c r="T426" s="2"/>
      <c r="U426" s="2"/>
      <c r="V426" s="2"/>
      <c r="W426" s="2"/>
      <c r="X426" s="2"/>
      <c r="Y426" s="2"/>
      <c r="Z426" s="2"/>
    </row>
    <row r="427">
      <c r="A427" s="5"/>
      <c r="B427" s="5"/>
      <c r="C427" s="5"/>
      <c r="D427" s="2"/>
      <c r="E427" s="2"/>
      <c r="F427" s="2"/>
      <c r="G427" s="2"/>
      <c r="H427" s="2"/>
      <c r="I427" s="2"/>
      <c r="J427" s="2"/>
      <c r="K427" s="2"/>
      <c r="L427" s="2"/>
      <c r="M427" s="2"/>
      <c r="N427" s="2"/>
      <c r="O427" s="2"/>
      <c r="P427" s="2"/>
      <c r="Q427" s="2"/>
      <c r="R427" s="2"/>
      <c r="S427" s="2"/>
      <c r="T427" s="2"/>
      <c r="U427" s="2"/>
      <c r="V427" s="2"/>
      <c r="W427" s="2"/>
      <c r="X427" s="2"/>
      <c r="Y427" s="2"/>
      <c r="Z427" s="2"/>
    </row>
    <row r="428">
      <c r="A428" s="5"/>
      <c r="B428" s="5"/>
      <c r="C428" s="5"/>
      <c r="D428" s="2"/>
      <c r="E428" s="2"/>
      <c r="F428" s="2"/>
      <c r="G428" s="2"/>
      <c r="H428" s="2"/>
      <c r="I428" s="2"/>
      <c r="J428" s="2"/>
      <c r="K428" s="2"/>
      <c r="L428" s="2"/>
      <c r="M428" s="2"/>
      <c r="N428" s="2"/>
      <c r="O428" s="2"/>
      <c r="P428" s="2"/>
      <c r="Q428" s="2"/>
      <c r="R428" s="2"/>
      <c r="S428" s="2"/>
      <c r="T428" s="2"/>
      <c r="U428" s="2"/>
      <c r="V428" s="2"/>
      <c r="W428" s="2"/>
      <c r="X428" s="2"/>
      <c r="Y428" s="2"/>
      <c r="Z428" s="2"/>
    </row>
    <row r="429">
      <c r="A429" s="5"/>
      <c r="B429" s="5"/>
      <c r="C429" s="5"/>
      <c r="D429" s="2"/>
      <c r="E429" s="2"/>
      <c r="F429" s="2"/>
      <c r="G429" s="2"/>
      <c r="H429" s="2"/>
      <c r="I429" s="2"/>
      <c r="J429" s="2"/>
      <c r="K429" s="2"/>
      <c r="L429" s="2"/>
      <c r="M429" s="2"/>
      <c r="N429" s="2"/>
      <c r="O429" s="2"/>
      <c r="P429" s="2"/>
      <c r="Q429" s="2"/>
      <c r="R429" s="2"/>
      <c r="S429" s="2"/>
      <c r="T429" s="2"/>
      <c r="U429" s="2"/>
      <c r="V429" s="2"/>
      <c r="W429" s="2"/>
      <c r="X429" s="2"/>
      <c r="Y429" s="2"/>
      <c r="Z429" s="2"/>
    </row>
    <row r="430">
      <c r="A430" s="5"/>
      <c r="B430" s="5"/>
      <c r="C430" s="5"/>
      <c r="D430" s="2"/>
      <c r="E430" s="2"/>
      <c r="F430" s="2"/>
      <c r="G430" s="2"/>
      <c r="H430" s="2"/>
      <c r="I430" s="2"/>
      <c r="J430" s="2"/>
      <c r="K430" s="2"/>
      <c r="L430" s="2"/>
      <c r="M430" s="2"/>
      <c r="N430" s="2"/>
      <c r="O430" s="2"/>
      <c r="P430" s="2"/>
      <c r="Q430" s="2"/>
      <c r="R430" s="2"/>
      <c r="S430" s="2"/>
      <c r="T430" s="2"/>
      <c r="U430" s="2"/>
      <c r="V430" s="2"/>
      <c r="W430" s="2"/>
      <c r="X430" s="2"/>
      <c r="Y430" s="2"/>
      <c r="Z430" s="2"/>
    </row>
    <row r="431">
      <c r="A431" s="5"/>
      <c r="B431" s="5"/>
      <c r="C431" s="5"/>
      <c r="D431" s="2"/>
      <c r="E431" s="2"/>
      <c r="F431" s="2"/>
      <c r="G431" s="2"/>
      <c r="H431" s="2"/>
      <c r="I431" s="2"/>
      <c r="J431" s="2"/>
      <c r="K431" s="2"/>
      <c r="L431" s="2"/>
      <c r="M431" s="2"/>
      <c r="N431" s="2"/>
      <c r="O431" s="2"/>
      <c r="P431" s="2"/>
      <c r="Q431" s="2"/>
      <c r="R431" s="2"/>
      <c r="S431" s="2"/>
      <c r="T431" s="2"/>
      <c r="U431" s="2"/>
      <c r="V431" s="2"/>
      <c r="W431" s="2"/>
      <c r="X431" s="2"/>
      <c r="Y431" s="2"/>
      <c r="Z431" s="2"/>
    </row>
    <row r="432">
      <c r="A432" s="5"/>
      <c r="B432" s="5"/>
      <c r="C432" s="5"/>
      <c r="D432" s="2"/>
      <c r="E432" s="2"/>
      <c r="F432" s="2"/>
      <c r="G432" s="2"/>
      <c r="H432" s="2"/>
      <c r="I432" s="2"/>
      <c r="J432" s="2"/>
      <c r="K432" s="2"/>
      <c r="L432" s="2"/>
      <c r="M432" s="2"/>
      <c r="N432" s="2"/>
      <c r="O432" s="2"/>
      <c r="P432" s="2"/>
      <c r="Q432" s="2"/>
      <c r="R432" s="2"/>
      <c r="S432" s="2"/>
      <c r="T432" s="2"/>
      <c r="U432" s="2"/>
      <c r="V432" s="2"/>
      <c r="W432" s="2"/>
      <c r="X432" s="2"/>
      <c r="Y432" s="2"/>
      <c r="Z432" s="2"/>
    </row>
    <row r="433">
      <c r="A433" s="5"/>
      <c r="B433" s="5"/>
      <c r="C433" s="5"/>
      <c r="D433" s="2"/>
      <c r="E433" s="2"/>
      <c r="F433" s="2"/>
      <c r="G433" s="2"/>
      <c r="H433" s="2"/>
      <c r="I433" s="2"/>
      <c r="J433" s="2"/>
      <c r="K433" s="2"/>
      <c r="L433" s="2"/>
      <c r="M433" s="2"/>
      <c r="N433" s="2"/>
      <c r="O433" s="2"/>
      <c r="P433" s="2"/>
      <c r="Q433" s="2"/>
      <c r="R433" s="2"/>
      <c r="S433" s="2"/>
      <c r="T433" s="2"/>
      <c r="U433" s="2"/>
      <c r="V433" s="2"/>
      <c r="W433" s="2"/>
      <c r="X433" s="2"/>
      <c r="Y433" s="2"/>
      <c r="Z433" s="2"/>
    </row>
    <row r="434">
      <c r="A434" s="5"/>
      <c r="B434" s="5"/>
      <c r="C434" s="5"/>
      <c r="D434" s="2"/>
      <c r="E434" s="2"/>
      <c r="F434" s="2"/>
      <c r="G434" s="2"/>
      <c r="H434" s="2"/>
      <c r="I434" s="2"/>
      <c r="J434" s="2"/>
      <c r="K434" s="2"/>
      <c r="L434" s="2"/>
      <c r="M434" s="2"/>
      <c r="N434" s="2"/>
      <c r="O434" s="2"/>
      <c r="P434" s="2"/>
      <c r="Q434" s="2"/>
      <c r="R434" s="2"/>
      <c r="S434" s="2"/>
      <c r="T434" s="2"/>
      <c r="U434" s="2"/>
      <c r="V434" s="2"/>
      <c r="W434" s="2"/>
      <c r="X434" s="2"/>
      <c r="Y434" s="2"/>
      <c r="Z434" s="2"/>
    </row>
    <row r="435">
      <c r="A435" s="5"/>
      <c r="B435" s="5"/>
      <c r="C435" s="5"/>
      <c r="D435" s="2"/>
      <c r="E435" s="2"/>
      <c r="F435" s="2"/>
      <c r="G435" s="2"/>
      <c r="H435" s="2"/>
      <c r="I435" s="2"/>
      <c r="J435" s="2"/>
      <c r="K435" s="2"/>
      <c r="L435" s="2"/>
      <c r="M435" s="2"/>
      <c r="N435" s="2"/>
      <c r="O435" s="2"/>
      <c r="P435" s="2"/>
      <c r="Q435" s="2"/>
      <c r="R435" s="2"/>
      <c r="S435" s="2"/>
      <c r="T435" s="2"/>
      <c r="U435" s="2"/>
      <c r="V435" s="2"/>
      <c r="W435" s="2"/>
      <c r="X435" s="2"/>
      <c r="Y435" s="2"/>
      <c r="Z435" s="2"/>
    </row>
    <row r="436">
      <c r="A436" s="5"/>
      <c r="B436" s="5"/>
      <c r="C436" s="5"/>
      <c r="D436" s="2"/>
      <c r="E436" s="2"/>
      <c r="F436" s="2"/>
      <c r="G436" s="2"/>
      <c r="H436" s="2"/>
      <c r="I436" s="2"/>
      <c r="J436" s="2"/>
      <c r="K436" s="2"/>
      <c r="L436" s="2"/>
      <c r="M436" s="2"/>
      <c r="N436" s="2"/>
      <c r="O436" s="2"/>
      <c r="P436" s="2"/>
      <c r="Q436" s="2"/>
      <c r="R436" s="2"/>
      <c r="S436" s="2"/>
      <c r="T436" s="2"/>
      <c r="U436" s="2"/>
      <c r="V436" s="2"/>
      <c r="W436" s="2"/>
      <c r="X436" s="2"/>
      <c r="Y436" s="2"/>
      <c r="Z436" s="2"/>
    </row>
    <row r="437">
      <c r="A437" s="5"/>
      <c r="B437" s="5"/>
      <c r="C437" s="5"/>
      <c r="D437" s="2"/>
      <c r="E437" s="2"/>
      <c r="F437" s="2"/>
      <c r="G437" s="2"/>
      <c r="H437" s="2"/>
      <c r="I437" s="2"/>
      <c r="J437" s="2"/>
      <c r="K437" s="2"/>
      <c r="L437" s="2"/>
      <c r="M437" s="2"/>
      <c r="N437" s="2"/>
      <c r="O437" s="2"/>
      <c r="P437" s="2"/>
      <c r="Q437" s="2"/>
      <c r="R437" s="2"/>
      <c r="S437" s="2"/>
      <c r="T437" s="2"/>
      <c r="U437" s="2"/>
      <c r="V437" s="2"/>
      <c r="W437" s="2"/>
      <c r="X437" s="2"/>
      <c r="Y437" s="2"/>
      <c r="Z437" s="2"/>
    </row>
    <row r="438">
      <c r="A438" s="5"/>
      <c r="B438" s="5"/>
      <c r="C438" s="5"/>
      <c r="D438" s="2"/>
      <c r="E438" s="2"/>
      <c r="F438" s="2"/>
      <c r="G438" s="2"/>
      <c r="H438" s="2"/>
      <c r="I438" s="2"/>
      <c r="J438" s="2"/>
      <c r="K438" s="2"/>
      <c r="L438" s="2"/>
      <c r="M438" s="2"/>
      <c r="N438" s="2"/>
      <c r="O438" s="2"/>
      <c r="P438" s="2"/>
      <c r="Q438" s="2"/>
      <c r="R438" s="2"/>
      <c r="S438" s="2"/>
      <c r="T438" s="2"/>
      <c r="U438" s="2"/>
      <c r="V438" s="2"/>
      <c r="W438" s="2"/>
      <c r="X438" s="2"/>
      <c r="Y438" s="2"/>
      <c r="Z438" s="2"/>
    </row>
    <row r="439">
      <c r="A439" s="5"/>
      <c r="B439" s="5"/>
      <c r="C439" s="5"/>
      <c r="D439" s="2"/>
      <c r="E439" s="2"/>
      <c r="F439" s="2"/>
      <c r="G439" s="2"/>
      <c r="H439" s="2"/>
      <c r="I439" s="2"/>
      <c r="J439" s="2"/>
      <c r="K439" s="2"/>
      <c r="L439" s="2"/>
      <c r="M439" s="2"/>
      <c r="N439" s="2"/>
      <c r="O439" s="2"/>
      <c r="P439" s="2"/>
      <c r="Q439" s="2"/>
      <c r="R439" s="2"/>
      <c r="S439" s="2"/>
      <c r="T439" s="2"/>
      <c r="U439" s="2"/>
      <c r="V439" s="2"/>
      <c r="W439" s="2"/>
      <c r="X439" s="2"/>
      <c r="Y439" s="2"/>
      <c r="Z439" s="2"/>
    </row>
    <row r="440">
      <c r="A440" s="5"/>
      <c r="B440" s="5"/>
      <c r="C440" s="5"/>
      <c r="D440" s="2"/>
      <c r="E440" s="2"/>
      <c r="F440" s="2"/>
      <c r="G440" s="2"/>
      <c r="H440" s="2"/>
      <c r="I440" s="2"/>
      <c r="J440" s="2"/>
      <c r="K440" s="2"/>
      <c r="L440" s="2"/>
      <c r="M440" s="2"/>
      <c r="N440" s="2"/>
      <c r="O440" s="2"/>
      <c r="P440" s="2"/>
      <c r="Q440" s="2"/>
      <c r="R440" s="2"/>
      <c r="S440" s="2"/>
      <c r="T440" s="2"/>
      <c r="U440" s="2"/>
      <c r="V440" s="2"/>
      <c r="W440" s="2"/>
      <c r="X440" s="2"/>
      <c r="Y440" s="2"/>
      <c r="Z440" s="2"/>
    </row>
    <row r="441">
      <c r="A441" s="5"/>
      <c r="B441" s="5"/>
      <c r="C441" s="5"/>
      <c r="D441" s="2"/>
      <c r="E441" s="2"/>
      <c r="F441" s="2"/>
      <c r="G441" s="2"/>
      <c r="H441" s="2"/>
      <c r="I441" s="2"/>
      <c r="J441" s="2"/>
      <c r="K441" s="2"/>
      <c r="L441" s="2"/>
      <c r="M441" s="2"/>
      <c r="N441" s="2"/>
      <c r="O441" s="2"/>
      <c r="P441" s="2"/>
      <c r="Q441" s="2"/>
      <c r="R441" s="2"/>
      <c r="S441" s="2"/>
      <c r="T441" s="2"/>
      <c r="U441" s="2"/>
      <c r="V441" s="2"/>
      <c r="W441" s="2"/>
      <c r="X441" s="2"/>
      <c r="Y441" s="2"/>
      <c r="Z441" s="2"/>
    </row>
    <row r="442">
      <c r="A442" s="5"/>
      <c r="B442" s="5"/>
      <c r="C442" s="5"/>
      <c r="D442" s="2"/>
      <c r="E442" s="2"/>
      <c r="F442" s="2"/>
      <c r="G442" s="2"/>
      <c r="H442" s="2"/>
      <c r="I442" s="2"/>
      <c r="J442" s="2"/>
      <c r="K442" s="2"/>
      <c r="L442" s="2"/>
      <c r="M442" s="2"/>
      <c r="N442" s="2"/>
      <c r="O442" s="2"/>
      <c r="P442" s="2"/>
      <c r="Q442" s="2"/>
      <c r="R442" s="2"/>
      <c r="S442" s="2"/>
      <c r="T442" s="2"/>
      <c r="U442" s="2"/>
      <c r="V442" s="2"/>
      <c r="W442" s="2"/>
      <c r="X442" s="2"/>
      <c r="Y442" s="2"/>
      <c r="Z442" s="2"/>
    </row>
    <row r="443">
      <c r="A443" s="5"/>
      <c r="B443" s="5"/>
      <c r="C443" s="5"/>
      <c r="D443" s="2"/>
      <c r="E443" s="2"/>
      <c r="F443" s="2"/>
      <c r="G443" s="2"/>
      <c r="H443" s="2"/>
      <c r="I443" s="2"/>
      <c r="J443" s="2"/>
      <c r="K443" s="2"/>
      <c r="L443" s="2"/>
      <c r="M443" s="2"/>
      <c r="N443" s="2"/>
      <c r="O443" s="2"/>
      <c r="P443" s="2"/>
      <c r="Q443" s="2"/>
      <c r="R443" s="2"/>
      <c r="S443" s="2"/>
      <c r="T443" s="2"/>
      <c r="U443" s="2"/>
      <c r="V443" s="2"/>
      <c r="W443" s="2"/>
      <c r="X443" s="2"/>
      <c r="Y443" s="2"/>
      <c r="Z443" s="2"/>
    </row>
    <row r="444">
      <c r="A444" s="5"/>
      <c r="B444" s="5"/>
      <c r="C444" s="5"/>
      <c r="D444" s="2"/>
      <c r="E444" s="2"/>
      <c r="F444" s="2"/>
      <c r="G444" s="2"/>
      <c r="H444" s="2"/>
      <c r="I444" s="2"/>
      <c r="J444" s="2"/>
      <c r="K444" s="2"/>
      <c r="L444" s="2"/>
      <c r="M444" s="2"/>
      <c r="N444" s="2"/>
      <c r="O444" s="2"/>
      <c r="P444" s="2"/>
      <c r="Q444" s="2"/>
      <c r="R444" s="2"/>
      <c r="S444" s="2"/>
      <c r="T444" s="2"/>
      <c r="U444" s="2"/>
      <c r="V444" s="2"/>
      <c r="W444" s="2"/>
      <c r="X444" s="2"/>
      <c r="Y444" s="2"/>
      <c r="Z444" s="2"/>
    </row>
    <row r="445">
      <c r="A445" s="5"/>
      <c r="B445" s="5"/>
      <c r="C445" s="5"/>
      <c r="D445" s="2"/>
      <c r="E445" s="2"/>
      <c r="F445" s="2"/>
      <c r="G445" s="2"/>
      <c r="H445" s="2"/>
      <c r="I445" s="2"/>
      <c r="J445" s="2"/>
      <c r="K445" s="2"/>
      <c r="L445" s="2"/>
      <c r="M445" s="2"/>
      <c r="N445" s="2"/>
      <c r="O445" s="2"/>
      <c r="P445" s="2"/>
      <c r="Q445" s="2"/>
      <c r="R445" s="2"/>
      <c r="S445" s="2"/>
      <c r="T445" s="2"/>
      <c r="U445" s="2"/>
      <c r="V445" s="2"/>
      <c r="W445" s="2"/>
      <c r="X445" s="2"/>
      <c r="Y445" s="2"/>
      <c r="Z445" s="2"/>
    </row>
    <row r="446">
      <c r="A446" s="5"/>
      <c r="B446" s="5"/>
      <c r="C446" s="5"/>
      <c r="D446" s="2"/>
      <c r="E446" s="2"/>
      <c r="F446" s="2"/>
      <c r="G446" s="2"/>
      <c r="H446" s="2"/>
      <c r="I446" s="2"/>
      <c r="J446" s="2"/>
      <c r="K446" s="2"/>
      <c r="L446" s="2"/>
      <c r="M446" s="2"/>
      <c r="N446" s="2"/>
      <c r="O446" s="2"/>
      <c r="P446" s="2"/>
      <c r="Q446" s="2"/>
      <c r="R446" s="2"/>
      <c r="S446" s="2"/>
      <c r="T446" s="2"/>
      <c r="U446" s="2"/>
      <c r="V446" s="2"/>
      <c r="W446" s="2"/>
      <c r="X446" s="2"/>
      <c r="Y446" s="2"/>
      <c r="Z446" s="2"/>
    </row>
    <row r="447">
      <c r="A447" s="5"/>
      <c r="B447" s="5"/>
      <c r="C447" s="5"/>
      <c r="D447" s="2"/>
      <c r="E447" s="2"/>
      <c r="F447" s="2"/>
      <c r="G447" s="2"/>
      <c r="H447" s="2"/>
      <c r="I447" s="2"/>
      <c r="J447" s="2"/>
      <c r="K447" s="2"/>
      <c r="L447" s="2"/>
      <c r="M447" s="2"/>
      <c r="N447" s="2"/>
      <c r="O447" s="2"/>
      <c r="P447" s="2"/>
      <c r="Q447" s="2"/>
      <c r="R447" s="2"/>
      <c r="S447" s="2"/>
      <c r="T447" s="2"/>
      <c r="U447" s="2"/>
      <c r="V447" s="2"/>
      <c r="W447" s="2"/>
      <c r="X447" s="2"/>
      <c r="Y447" s="2"/>
      <c r="Z447" s="2"/>
    </row>
    <row r="448">
      <c r="A448" s="5"/>
      <c r="B448" s="5"/>
      <c r="C448" s="5"/>
      <c r="D448" s="2"/>
      <c r="E448" s="2"/>
      <c r="F448" s="2"/>
      <c r="G448" s="2"/>
      <c r="H448" s="2"/>
      <c r="I448" s="2"/>
      <c r="J448" s="2"/>
      <c r="K448" s="2"/>
      <c r="L448" s="2"/>
      <c r="M448" s="2"/>
      <c r="N448" s="2"/>
      <c r="O448" s="2"/>
      <c r="P448" s="2"/>
      <c r="Q448" s="2"/>
      <c r="R448" s="2"/>
      <c r="S448" s="2"/>
      <c r="T448" s="2"/>
      <c r="U448" s="2"/>
      <c r="V448" s="2"/>
      <c r="W448" s="2"/>
      <c r="X448" s="2"/>
      <c r="Y448" s="2"/>
      <c r="Z448" s="2"/>
    </row>
    <row r="449">
      <c r="A449" s="5"/>
      <c r="B449" s="5"/>
      <c r="C449" s="5"/>
      <c r="D449" s="2"/>
      <c r="E449" s="2"/>
      <c r="F449" s="2"/>
      <c r="G449" s="2"/>
      <c r="H449" s="2"/>
      <c r="I449" s="2"/>
      <c r="J449" s="2"/>
      <c r="K449" s="2"/>
      <c r="L449" s="2"/>
      <c r="M449" s="2"/>
      <c r="N449" s="2"/>
      <c r="O449" s="2"/>
      <c r="P449" s="2"/>
      <c r="Q449" s="2"/>
      <c r="R449" s="2"/>
      <c r="S449" s="2"/>
      <c r="T449" s="2"/>
      <c r="U449" s="2"/>
      <c r="V449" s="2"/>
      <c r="W449" s="2"/>
      <c r="X449" s="2"/>
      <c r="Y449" s="2"/>
      <c r="Z449" s="2"/>
    </row>
    <row r="450">
      <c r="A450" s="5"/>
      <c r="B450" s="5"/>
      <c r="C450" s="5"/>
      <c r="D450" s="2"/>
      <c r="E450" s="2"/>
      <c r="F450" s="2"/>
      <c r="G450" s="2"/>
      <c r="H450" s="2"/>
      <c r="I450" s="2"/>
      <c r="J450" s="2"/>
      <c r="K450" s="2"/>
      <c r="L450" s="2"/>
      <c r="M450" s="2"/>
      <c r="N450" s="2"/>
      <c r="O450" s="2"/>
      <c r="P450" s="2"/>
      <c r="Q450" s="2"/>
      <c r="R450" s="2"/>
      <c r="S450" s="2"/>
      <c r="T450" s="2"/>
      <c r="U450" s="2"/>
      <c r="V450" s="2"/>
      <c r="W450" s="2"/>
      <c r="X450" s="2"/>
      <c r="Y450" s="2"/>
      <c r="Z450" s="2"/>
    </row>
    <row r="451">
      <c r="A451" s="5"/>
      <c r="B451" s="5"/>
      <c r="C451" s="5"/>
      <c r="D451" s="2"/>
      <c r="E451" s="2"/>
      <c r="F451" s="2"/>
      <c r="G451" s="2"/>
      <c r="H451" s="2"/>
      <c r="I451" s="2"/>
      <c r="J451" s="2"/>
      <c r="K451" s="2"/>
      <c r="L451" s="2"/>
      <c r="M451" s="2"/>
      <c r="N451" s="2"/>
      <c r="O451" s="2"/>
      <c r="P451" s="2"/>
      <c r="Q451" s="2"/>
      <c r="R451" s="2"/>
      <c r="S451" s="2"/>
      <c r="T451" s="2"/>
      <c r="U451" s="2"/>
      <c r="V451" s="2"/>
      <c r="W451" s="2"/>
      <c r="X451" s="2"/>
      <c r="Y451" s="2"/>
      <c r="Z451" s="2"/>
    </row>
    <row r="452">
      <c r="A452" s="5"/>
      <c r="B452" s="5"/>
      <c r="C452" s="5"/>
      <c r="D452" s="2"/>
      <c r="E452" s="2"/>
      <c r="F452" s="2"/>
      <c r="G452" s="2"/>
      <c r="H452" s="2"/>
      <c r="I452" s="2"/>
      <c r="J452" s="2"/>
      <c r="K452" s="2"/>
      <c r="L452" s="2"/>
      <c r="M452" s="2"/>
      <c r="N452" s="2"/>
      <c r="O452" s="2"/>
      <c r="P452" s="2"/>
      <c r="Q452" s="2"/>
      <c r="R452" s="2"/>
      <c r="S452" s="2"/>
      <c r="T452" s="2"/>
      <c r="U452" s="2"/>
      <c r="V452" s="2"/>
      <c r="W452" s="2"/>
      <c r="X452" s="2"/>
      <c r="Y452" s="2"/>
      <c r="Z452" s="2"/>
    </row>
    <row r="453">
      <c r="A453" s="5"/>
      <c r="B453" s="5"/>
      <c r="C453" s="5"/>
      <c r="D453" s="2"/>
      <c r="E453" s="2"/>
      <c r="F453" s="2"/>
      <c r="G453" s="2"/>
      <c r="H453" s="2"/>
      <c r="I453" s="2"/>
      <c r="J453" s="2"/>
      <c r="K453" s="2"/>
      <c r="L453" s="2"/>
      <c r="M453" s="2"/>
      <c r="N453" s="2"/>
      <c r="O453" s="2"/>
      <c r="P453" s="2"/>
      <c r="Q453" s="2"/>
      <c r="R453" s="2"/>
      <c r="S453" s="2"/>
      <c r="T453" s="2"/>
      <c r="U453" s="2"/>
      <c r="V453" s="2"/>
      <c r="W453" s="2"/>
      <c r="X453" s="2"/>
      <c r="Y453" s="2"/>
      <c r="Z453" s="2"/>
    </row>
    <row r="454">
      <c r="A454" s="5"/>
      <c r="B454" s="5"/>
      <c r="C454" s="5"/>
      <c r="D454" s="2"/>
      <c r="E454" s="2"/>
      <c r="F454" s="2"/>
      <c r="G454" s="2"/>
      <c r="H454" s="2"/>
      <c r="I454" s="2"/>
      <c r="J454" s="2"/>
      <c r="K454" s="2"/>
      <c r="L454" s="2"/>
      <c r="M454" s="2"/>
      <c r="N454" s="2"/>
      <c r="O454" s="2"/>
      <c r="P454" s="2"/>
      <c r="Q454" s="2"/>
      <c r="R454" s="2"/>
      <c r="S454" s="2"/>
      <c r="T454" s="2"/>
      <c r="U454" s="2"/>
      <c r="V454" s="2"/>
      <c r="W454" s="2"/>
      <c r="X454" s="2"/>
      <c r="Y454" s="2"/>
      <c r="Z454" s="2"/>
    </row>
    <row r="455">
      <c r="A455" s="5"/>
      <c r="B455" s="5"/>
      <c r="C455" s="5"/>
      <c r="D455" s="2"/>
      <c r="E455" s="2"/>
      <c r="F455" s="2"/>
      <c r="G455" s="2"/>
      <c r="H455" s="2"/>
      <c r="I455" s="2"/>
      <c r="J455" s="2"/>
      <c r="K455" s="2"/>
      <c r="L455" s="2"/>
      <c r="M455" s="2"/>
      <c r="N455" s="2"/>
      <c r="O455" s="2"/>
      <c r="P455" s="2"/>
      <c r="Q455" s="2"/>
      <c r="R455" s="2"/>
      <c r="S455" s="2"/>
      <c r="T455" s="2"/>
      <c r="U455" s="2"/>
      <c r="V455" s="2"/>
      <c r="W455" s="2"/>
      <c r="X455" s="2"/>
      <c r="Y455" s="2"/>
      <c r="Z455" s="2"/>
    </row>
    <row r="456">
      <c r="A456" s="5"/>
      <c r="B456" s="5"/>
      <c r="C456" s="5"/>
      <c r="D456" s="2"/>
      <c r="E456" s="2"/>
      <c r="F456" s="2"/>
      <c r="G456" s="2"/>
      <c r="H456" s="2"/>
      <c r="I456" s="2"/>
      <c r="J456" s="2"/>
      <c r="K456" s="2"/>
      <c r="L456" s="2"/>
      <c r="M456" s="2"/>
      <c r="N456" s="2"/>
      <c r="O456" s="2"/>
      <c r="P456" s="2"/>
      <c r="Q456" s="2"/>
      <c r="R456" s="2"/>
      <c r="S456" s="2"/>
      <c r="T456" s="2"/>
      <c r="U456" s="2"/>
      <c r="V456" s="2"/>
      <c r="W456" s="2"/>
      <c r="X456" s="2"/>
      <c r="Y456" s="2"/>
      <c r="Z456" s="2"/>
    </row>
    <row r="457">
      <c r="A457" s="5"/>
      <c r="B457" s="5"/>
      <c r="C457" s="5"/>
      <c r="D457" s="2"/>
      <c r="E457" s="2"/>
      <c r="F457" s="2"/>
      <c r="G457" s="2"/>
      <c r="H457" s="2"/>
      <c r="I457" s="2"/>
      <c r="J457" s="2"/>
      <c r="K457" s="2"/>
      <c r="L457" s="2"/>
      <c r="M457" s="2"/>
      <c r="N457" s="2"/>
      <c r="O457" s="2"/>
      <c r="P457" s="2"/>
      <c r="Q457" s="2"/>
      <c r="R457" s="2"/>
      <c r="S457" s="2"/>
      <c r="T457" s="2"/>
      <c r="U457" s="2"/>
      <c r="V457" s="2"/>
      <c r="W457" s="2"/>
      <c r="X457" s="2"/>
      <c r="Y457" s="2"/>
      <c r="Z457" s="2"/>
    </row>
    <row r="458">
      <c r="A458" s="5"/>
      <c r="B458" s="5"/>
      <c r="C458" s="5"/>
      <c r="D458" s="2"/>
      <c r="E458" s="2"/>
      <c r="F458" s="2"/>
      <c r="G458" s="2"/>
      <c r="H458" s="2"/>
      <c r="I458" s="2"/>
      <c r="J458" s="2"/>
      <c r="K458" s="2"/>
      <c r="L458" s="2"/>
      <c r="M458" s="2"/>
      <c r="N458" s="2"/>
      <c r="O458" s="2"/>
      <c r="P458" s="2"/>
      <c r="Q458" s="2"/>
      <c r="R458" s="2"/>
      <c r="S458" s="2"/>
      <c r="T458" s="2"/>
      <c r="U458" s="2"/>
      <c r="V458" s="2"/>
      <c r="W458" s="2"/>
      <c r="X458" s="2"/>
      <c r="Y458" s="2"/>
      <c r="Z458" s="2"/>
    </row>
    <row r="459">
      <c r="A459" s="5"/>
      <c r="B459" s="5"/>
      <c r="C459" s="5"/>
      <c r="D459" s="2"/>
      <c r="E459" s="2"/>
      <c r="F459" s="2"/>
      <c r="G459" s="2"/>
      <c r="H459" s="2"/>
      <c r="I459" s="2"/>
      <c r="J459" s="2"/>
      <c r="K459" s="2"/>
      <c r="L459" s="2"/>
      <c r="M459" s="2"/>
      <c r="N459" s="2"/>
      <c r="O459" s="2"/>
      <c r="P459" s="2"/>
      <c r="Q459" s="2"/>
      <c r="R459" s="2"/>
      <c r="S459" s="2"/>
      <c r="T459" s="2"/>
      <c r="U459" s="2"/>
      <c r="V459" s="2"/>
      <c r="W459" s="2"/>
      <c r="X459" s="2"/>
      <c r="Y459" s="2"/>
      <c r="Z459" s="2"/>
    </row>
    <row r="460">
      <c r="A460" s="5"/>
      <c r="B460" s="5"/>
      <c r="C460" s="5"/>
      <c r="D460" s="2"/>
      <c r="E460" s="2"/>
      <c r="F460" s="2"/>
      <c r="G460" s="2"/>
      <c r="H460" s="2"/>
      <c r="I460" s="2"/>
      <c r="J460" s="2"/>
      <c r="K460" s="2"/>
      <c r="L460" s="2"/>
      <c r="M460" s="2"/>
      <c r="N460" s="2"/>
      <c r="O460" s="2"/>
      <c r="P460" s="2"/>
      <c r="Q460" s="2"/>
      <c r="R460" s="2"/>
      <c r="S460" s="2"/>
      <c r="T460" s="2"/>
      <c r="U460" s="2"/>
      <c r="V460" s="2"/>
      <c r="W460" s="2"/>
      <c r="X460" s="2"/>
      <c r="Y460" s="2"/>
      <c r="Z460" s="2"/>
    </row>
    <row r="461">
      <c r="A461" s="5"/>
      <c r="B461" s="5"/>
      <c r="C461" s="5"/>
      <c r="D461" s="2"/>
      <c r="E461" s="2"/>
      <c r="F461" s="2"/>
      <c r="G461" s="2"/>
      <c r="H461" s="2"/>
      <c r="I461" s="2"/>
      <c r="J461" s="2"/>
      <c r="K461" s="2"/>
      <c r="L461" s="2"/>
      <c r="M461" s="2"/>
      <c r="N461" s="2"/>
      <c r="O461" s="2"/>
      <c r="P461" s="2"/>
      <c r="Q461" s="2"/>
      <c r="R461" s="2"/>
      <c r="S461" s="2"/>
      <c r="T461" s="2"/>
      <c r="U461" s="2"/>
      <c r="V461" s="2"/>
      <c r="W461" s="2"/>
      <c r="X461" s="2"/>
      <c r="Y461" s="2"/>
      <c r="Z461" s="2"/>
    </row>
    <row r="462">
      <c r="A462" s="5"/>
      <c r="B462" s="5"/>
      <c r="C462" s="5"/>
      <c r="D462" s="2"/>
      <c r="E462" s="2"/>
      <c r="F462" s="2"/>
      <c r="G462" s="2"/>
      <c r="H462" s="2"/>
      <c r="I462" s="2"/>
      <c r="J462" s="2"/>
      <c r="K462" s="2"/>
      <c r="L462" s="2"/>
      <c r="M462" s="2"/>
      <c r="N462" s="2"/>
      <c r="O462" s="2"/>
      <c r="P462" s="2"/>
      <c r="Q462" s="2"/>
      <c r="R462" s="2"/>
      <c r="S462" s="2"/>
      <c r="T462" s="2"/>
      <c r="U462" s="2"/>
      <c r="V462" s="2"/>
      <c r="W462" s="2"/>
      <c r="X462" s="2"/>
      <c r="Y462" s="2"/>
      <c r="Z462" s="2"/>
    </row>
    <row r="463">
      <c r="A463" s="5"/>
      <c r="B463" s="5"/>
      <c r="C463" s="5"/>
      <c r="D463" s="2"/>
      <c r="E463" s="2"/>
      <c r="F463" s="2"/>
      <c r="G463" s="2"/>
      <c r="H463" s="2"/>
      <c r="I463" s="2"/>
      <c r="J463" s="2"/>
      <c r="K463" s="2"/>
      <c r="L463" s="2"/>
      <c r="M463" s="2"/>
      <c r="N463" s="2"/>
      <c r="O463" s="2"/>
      <c r="P463" s="2"/>
      <c r="Q463" s="2"/>
      <c r="R463" s="2"/>
      <c r="S463" s="2"/>
      <c r="T463" s="2"/>
      <c r="U463" s="2"/>
      <c r="V463" s="2"/>
      <c r="W463" s="2"/>
      <c r="X463" s="2"/>
      <c r="Y463" s="2"/>
      <c r="Z463" s="2"/>
    </row>
    <row r="464">
      <c r="A464" s="5"/>
      <c r="B464" s="5"/>
      <c r="C464" s="5"/>
      <c r="D464" s="2"/>
      <c r="E464" s="2"/>
      <c r="F464" s="2"/>
      <c r="G464" s="2"/>
      <c r="H464" s="2"/>
      <c r="I464" s="2"/>
      <c r="J464" s="2"/>
      <c r="K464" s="2"/>
      <c r="L464" s="2"/>
      <c r="M464" s="2"/>
      <c r="N464" s="2"/>
      <c r="O464" s="2"/>
      <c r="P464" s="2"/>
      <c r="Q464" s="2"/>
      <c r="R464" s="2"/>
      <c r="S464" s="2"/>
      <c r="T464" s="2"/>
      <c r="U464" s="2"/>
      <c r="V464" s="2"/>
      <c r="W464" s="2"/>
      <c r="X464" s="2"/>
      <c r="Y464" s="2"/>
      <c r="Z464" s="2"/>
    </row>
    <row r="465">
      <c r="A465" s="5"/>
      <c r="B465" s="5"/>
      <c r="C465" s="5"/>
      <c r="D465" s="2"/>
      <c r="E465" s="2"/>
      <c r="F465" s="2"/>
      <c r="G465" s="2"/>
      <c r="H465" s="2"/>
      <c r="I465" s="2"/>
      <c r="J465" s="2"/>
      <c r="K465" s="2"/>
      <c r="L465" s="2"/>
      <c r="M465" s="2"/>
      <c r="N465" s="2"/>
      <c r="O465" s="2"/>
      <c r="P465" s="2"/>
      <c r="Q465" s="2"/>
      <c r="R465" s="2"/>
      <c r="S465" s="2"/>
      <c r="T465" s="2"/>
      <c r="U465" s="2"/>
      <c r="V465" s="2"/>
      <c r="W465" s="2"/>
      <c r="X465" s="2"/>
      <c r="Y465" s="2"/>
      <c r="Z465" s="2"/>
    </row>
    <row r="466">
      <c r="A466" s="5"/>
      <c r="B466" s="5"/>
      <c r="C466" s="5"/>
      <c r="D466" s="2"/>
      <c r="E466" s="2"/>
      <c r="F466" s="2"/>
      <c r="G466" s="2"/>
      <c r="H466" s="2"/>
      <c r="I466" s="2"/>
      <c r="J466" s="2"/>
      <c r="K466" s="2"/>
      <c r="L466" s="2"/>
      <c r="M466" s="2"/>
      <c r="N466" s="2"/>
      <c r="O466" s="2"/>
      <c r="P466" s="2"/>
      <c r="Q466" s="2"/>
      <c r="R466" s="2"/>
      <c r="S466" s="2"/>
      <c r="T466" s="2"/>
      <c r="U466" s="2"/>
      <c r="V466" s="2"/>
      <c r="W466" s="2"/>
      <c r="X466" s="2"/>
      <c r="Y466" s="2"/>
      <c r="Z466" s="2"/>
    </row>
    <row r="467">
      <c r="A467" s="5"/>
      <c r="B467" s="5"/>
      <c r="C467" s="5"/>
      <c r="D467" s="2"/>
      <c r="E467" s="2"/>
      <c r="F467" s="2"/>
      <c r="G467" s="2"/>
      <c r="H467" s="2"/>
      <c r="I467" s="2"/>
      <c r="J467" s="2"/>
      <c r="K467" s="2"/>
      <c r="L467" s="2"/>
      <c r="M467" s="2"/>
      <c r="N467" s="2"/>
      <c r="O467" s="2"/>
      <c r="P467" s="2"/>
      <c r="Q467" s="2"/>
      <c r="R467" s="2"/>
      <c r="S467" s="2"/>
      <c r="T467" s="2"/>
      <c r="U467" s="2"/>
      <c r="V467" s="2"/>
      <c r="W467" s="2"/>
      <c r="X467" s="2"/>
      <c r="Y467" s="2"/>
      <c r="Z467" s="2"/>
    </row>
    <row r="468">
      <c r="A468" s="5"/>
      <c r="B468" s="5"/>
      <c r="C468" s="5"/>
      <c r="D468" s="2"/>
      <c r="E468" s="2"/>
      <c r="F468" s="2"/>
      <c r="G468" s="2"/>
      <c r="H468" s="2"/>
      <c r="I468" s="2"/>
      <c r="J468" s="2"/>
      <c r="K468" s="2"/>
      <c r="L468" s="2"/>
      <c r="M468" s="2"/>
      <c r="N468" s="2"/>
      <c r="O468" s="2"/>
      <c r="P468" s="2"/>
      <c r="Q468" s="2"/>
      <c r="R468" s="2"/>
      <c r="S468" s="2"/>
      <c r="T468" s="2"/>
      <c r="U468" s="2"/>
      <c r="V468" s="2"/>
      <c r="W468" s="2"/>
      <c r="X468" s="2"/>
      <c r="Y468" s="2"/>
      <c r="Z468" s="2"/>
    </row>
    <row r="469">
      <c r="A469" s="5"/>
      <c r="B469" s="5"/>
      <c r="C469" s="5"/>
      <c r="D469" s="2"/>
      <c r="E469" s="2"/>
      <c r="F469" s="2"/>
      <c r="G469" s="2"/>
      <c r="H469" s="2"/>
      <c r="I469" s="2"/>
      <c r="J469" s="2"/>
      <c r="K469" s="2"/>
      <c r="L469" s="2"/>
      <c r="M469" s="2"/>
      <c r="N469" s="2"/>
      <c r="O469" s="2"/>
      <c r="P469" s="2"/>
      <c r="Q469" s="2"/>
      <c r="R469" s="2"/>
      <c r="S469" s="2"/>
      <c r="T469" s="2"/>
      <c r="U469" s="2"/>
      <c r="V469" s="2"/>
      <c r="W469" s="2"/>
      <c r="X469" s="2"/>
      <c r="Y469" s="2"/>
      <c r="Z469" s="2"/>
    </row>
    <row r="470">
      <c r="A470" s="5"/>
      <c r="B470" s="5"/>
      <c r="C470" s="5"/>
      <c r="D470" s="2"/>
      <c r="E470" s="2"/>
      <c r="F470" s="2"/>
      <c r="G470" s="2"/>
      <c r="H470" s="2"/>
      <c r="I470" s="2"/>
      <c r="J470" s="2"/>
      <c r="K470" s="2"/>
      <c r="L470" s="2"/>
      <c r="M470" s="2"/>
      <c r="N470" s="2"/>
      <c r="O470" s="2"/>
      <c r="P470" s="2"/>
      <c r="Q470" s="2"/>
      <c r="R470" s="2"/>
      <c r="S470" s="2"/>
      <c r="T470" s="2"/>
      <c r="U470" s="2"/>
      <c r="V470" s="2"/>
      <c r="W470" s="2"/>
      <c r="X470" s="2"/>
      <c r="Y470" s="2"/>
      <c r="Z470" s="2"/>
    </row>
    <row r="471">
      <c r="A471" s="5"/>
      <c r="B471" s="5"/>
      <c r="C471" s="5"/>
      <c r="D471" s="2"/>
      <c r="E471" s="2"/>
      <c r="F471" s="2"/>
      <c r="G471" s="2"/>
      <c r="H471" s="2"/>
      <c r="I471" s="2"/>
      <c r="J471" s="2"/>
      <c r="K471" s="2"/>
      <c r="L471" s="2"/>
      <c r="M471" s="2"/>
      <c r="N471" s="2"/>
      <c r="O471" s="2"/>
      <c r="P471" s="2"/>
      <c r="Q471" s="2"/>
      <c r="R471" s="2"/>
      <c r="S471" s="2"/>
      <c r="T471" s="2"/>
      <c r="U471" s="2"/>
      <c r="V471" s="2"/>
      <c r="W471" s="2"/>
      <c r="X471" s="2"/>
      <c r="Y471" s="2"/>
      <c r="Z471" s="2"/>
    </row>
    <row r="472">
      <c r="A472" s="5"/>
      <c r="B472" s="5"/>
      <c r="C472" s="5"/>
      <c r="D472" s="2"/>
      <c r="E472" s="2"/>
      <c r="F472" s="2"/>
      <c r="G472" s="2"/>
      <c r="H472" s="2"/>
      <c r="I472" s="2"/>
      <c r="J472" s="2"/>
      <c r="K472" s="2"/>
      <c r="L472" s="2"/>
      <c r="M472" s="2"/>
      <c r="N472" s="2"/>
      <c r="O472" s="2"/>
      <c r="P472" s="2"/>
      <c r="Q472" s="2"/>
      <c r="R472" s="2"/>
      <c r="S472" s="2"/>
      <c r="T472" s="2"/>
      <c r="U472" s="2"/>
      <c r="V472" s="2"/>
      <c r="W472" s="2"/>
      <c r="X472" s="2"/>
      <c r="Y472" s="2"/>
      <c r="Z472" s="2"/>
    </row>
    <row r="473">
      <c r="A473" s="5"/>
      <c r="B473" s="5"/>
      <c r="C473" s="5"/>
      <c r="D473" s="2"/>
      <c r="E473" s="2"/>
      <c r="F473" s="2"/>
      <c r="G473" s="2"/>
      <c r="H473" s="2"/>
      <c r="I473" s="2"/>
      <c r="J473" s="2"/>
      <c r="K473" s="2"/>
      <c r="L473" s="2"/>
      <c r="M473" s="2"/>
      <c r="N473" s="2"/>
      <c r="O473" s="2"/>
      <c r="P473" s="2"/>
      <c r="Q473" s="2"/>
      <c r="R473" s="2"/>
      <c r="S473" s="2"/>
      <c r="T473" s="2"/>
      <c r="U473" s="2"/>
      <c r="V473" s="2"/>
      <c r="W473" s="2"/>
      <c r="X473" s="2"/>
      <c r="Y473" s="2"/>
      <c r="Z473" s="2"/>
    </row>
    <row r="474">
      <c r="A474" s="5"/>
      <c r="B474" s="5"/>
      <c r="C474" s="5"/>
      <c r="D474" s="2"/>
      <c r="E474" s="2"/>
      <c r="F474" s="2"/>
      <c r="G474" s="2"/>
      <c r="H474" s="2"/>
      <c r="I474" s="2"/>
      <c r="J474" s="2"/>
      <c r="K474" s="2"/>
      <c r="L474" s="2"/>
      <c r="M474" s="2"/>
      <c r="N474" s="2"/>
      <c r="O474" s="2"/>
      <c r="P474" s="2"/>
      <c r="Q474" s="2"/>
      <c r="R474" s="2"/>
      <c r="S474" s="2"/>
      <c r="T474" s="2"/>
      <c r="U474" s="2"/>
      <c r="V474" s="2"/>
      <c r="W474" s="2"/>
      <c r="X474" s="2"/>
      <c r="Y474" s="2"/>
      <c r="Z474" s="2"/>
    </row>
    <row r="475">
      <c r="A475" s="5"/>
      <c r="B475" s="5"/>
      <c r="C475" s="5"/>
      <c r="D475" s="2"/>
      <c r="E475" s="2"/>
      <c r="F475" s="2"/>
      <c r="G475" s="2"/>
      <c r="H475" s="2"/>
      <c r="I475" s="2"/>
      <c r="J475" s="2"/>
      <c r="K475" s="2"/>
      <c r="L475" s="2"/>
      <c r="M475" s="2"/>
      <c r="N475" s="2"/>
      <c r="O475" s="2"/>
      <c r="P475" s="2"/>
      <c r="Q475" s="2"/>
      <c r="R475" s="2"/>
      <c r="S475" s="2"/>
      <c r="T475" s="2"/>
      <c r="U475" s="2"/>
      <c r="V475" s="2"/>
      <c r="W475" s="2"/>
      <c r="X475" s="2"/>
      <c r="Y475" s="2"/>
      <c r="Z475" s="2"/>
    </row>
    <row r="476">
      <c r="A476" s="5"/>
      <c r="B476" s="5"/>
      <c r="C476" s="5"/>
      <c r="D476" s="2"/>
      <c r="E476" s="2"/>
      <c r="F476" s="2"/>
      <c r="G476" s="2"/>
      <c r="H476" s="2"/>
      <c r="I476" s="2"/>
      <c r="J476" s="2"/>
      <c r="K476" s="2"/>
      <c r="L476" s="2"/>
      <c r="M476" s="2"/>
      <c r="N476" s="2"/>
      <c r="O476" s="2"/>
      <c r="P476" s="2"/>
      <c r="Q476" s="2"/>
      <c r="R476" s="2"/>
      <c r="S476" s="2"/>
      <c r="T476" s="2"/>
      <c r="U476" s="2"/>
      <c r="V476" s="2"/>
      <c r="W476" s="2"/>
      <c r="X476" s="2"/>
      <c r="Y476" s="2"/>
      <c r="Z476" s="2"/>
    </row>
    <row r="477">
      <c r="A477" s="5"/>
      <c r="B477" s="5"/>
      <c r="C477" s="5"/>
      <c r="D477" s="2"/>
      <c r="E477" s="2"/>
      <c r="F477" s="2"/>
      <c r="G477" s="2"/>
      <c r="H477" s="2"/>
      <c r="I477" s="2"/>
      <c r="J477" s="2"/>
      <c r="K477" s="2"/>
      <c r="L477" s="2"/>
      <c r="M477" s="2"/>
      <c r="N477" s="2"/>
      <c r="O477" s="2"/>
      <c r="P477" s="2"/>
      <c r="Q477" s="2"/>
      <c r="R477" s="2"/>
      <c r="S477" s="2"/>
      <c r="T477" s="2"/>
      <c r="U477" s="2"/>
      <c r="V477" s="2"/>
      <c r="W477" s="2"/>
      <c r="X477" s="2"/>
      <c r="Y477" s="2"/>
      <c r="Z477" s="2"/>
    </row>
    <row r="478">
      <c r="A478" s="5"/>
      <c r="B478" s="5"/>
      <c r="C478" s="5"/>
      <c r="D478" s="2"/>
      <c r="E478" s="2"/>
      <c r="F478" s="2"/>
      <c r="G478" s="2"/>
      <c r="H478" s="2"/>
      <c r="I478" s="2"/>
      <c r="J478" s="2"/>
      <c r="K478" s="2"/>
      <c r="L478" s="2"/>
      <c r="M478" s="2"/>
      <c r="N478" s="2"/>
      <c r="O478" s="2"/>
      <c r="P478" s="2"/>
      <c r="Q478" s="2"/>
      <c r="R478" s="2"/>
      <c r="S478" s="2"/>
      <c r="T478" s="2"/>
      <c r="U478" s="2"/>
      <c r="V478" s="2"/>
      <c r="W478" s="2"/>
      <c r="X478" s="2"/>
      <c r="Y478" s="2"/>
      <c r="Z478" s="2"/>
    </row>
    <row r="479">
      <c r="A479" s="5"/>
      <c r="B479" s="5"/>
      <c r="C479" s="5"/>
      <c r="D479" s="2"/>
      <c r="E479" s="2"/>
      <c r="F479" s="2"/>
      <c r="G479" s="2"/>
      <c r="H479" s="2"/>
      <c r="I479" s="2"/>
      <c r="J479" s="2"/>
      <c r="K479" s="2"/>
      <c r="L479" s="2"/>
      <c r="M479" s="2"/>
      <c r="N479" s="2"/>
      <c r="O479" s="2"/>
      <c r="P479" s="2"/>
      <c r="Q479" s="2"/>
      <c r="R479" s="2"/>
      <c r="S479" s="2"/>
      <c r="T479" s="2"/>
      <c r="U479" s="2"/>
      <c r="V479" s="2"/>
      <c r="W479" s="2"/>
      <c r="X479" s="2"/>
      <c r="Y479" s="2"/>
      <c r="Z479" s="2"/>
    </row>
    <row r="480">
      <c r="A480" s="5"/>
      <c r="B480" s="5"/>
      <c r="C480" s="5"/>
      <c r="D480" s="2"/>
      <c r="E480" s="2"/>
      <c r="F480" s="2"/>
      <c r="G480" s="2"/>
      <c r="H480" s="2"/>
      <c r="I480" s="2"/>
      <c r="J480" s="2"/>
      <c r="K480" s="2"/>
      <c r="L480" s="2"/>
      <c r="M480" s="2"/>
      <c r="N480" s="2"/>
      <c r="O480" s="2"/>
      <c r="P480" s="2"/>
      <c r="Q480" s="2"/>
      <c r="R480" s="2"/>
      <c r="S480" s="2"/>
      <c r="T480" s="2"/>
      <c r="U480" s="2"/>
      <c r="V480" s="2"/>
      <c r="W480" s="2"/>
      <c r="X480" s="2"/>
      <c r="Y480" s="2"/>
      <c r="Z480" s="2"/>
    </row>
    <row r="481">
      <c r="A481" s="5"/>
      <c r="B481" s="5"/>
      <c r="C481" s="5"/>
      <c r="D481" s="2"/>
      <c r="E481" s="2"/>
      <c r="F481" s="2"/>
      <c r="G481" s="2"/>
      <c r="H481" s="2"/>
      <c r="I481" s="2"/>
      <c r="J481" s="2"/>
      <c r="K481" s="2"/>
      <c r="L481" s="2"/>
      <c r="M481" s="2"/>
      <c r="N481" s="2"/>
      <c r="O481" s="2"/>
      <c r="P481" s="2"/>
      <c r="Q481" s="2"/>
      <c r="R481" s="2"/>
      <c r="S481" s="2"/>
      <c r="T481" s="2"/>
      <c r="U481" s="2"/>
      <c r="V481" s="2"/>
      <c r="W481" s="2"/>
      <c r="X481" s="2"/>
      <c r="Y481" s="2"/>
      <c r="Z481" s="2"/>
    </row>
    <row r="482">
      <c r="A482" s="5"/>
      <c r="B482" s="5"/>
      <c r="C482" s="5"/>
      <c r="D482" s="2"/>
      <c r="E482" s="2"/>
      <c r="F482" s="2"/>
      <c r="G482" s="2"/>
      <c r="H482" s="2"/>
      <c r="I482" s="2"/>
      <c r="J482" s="2"/>
      <c r="K482" s="2"/>
      <c r="L482" s="2"/>
      <c r="M482" s="2"/>
      <c r="N482" s="2"/>
      <c r="O482" s="2"/>
      <c r="P482" s="2"/>
      <c r="Q482" s="2"/>
      <c r="R482" s="2"/>
      <c r="S482" s="2"/>
      <c r="T482" s="2"/>
      <c r="U482" s="2"/>
      <c r="V482" s="2"/>
      <c r="W482" s="2"/>
      <c r="X482" s="2"/>
      <c r="Y482" s="2"/>
      <c r="Z482" s="2"/>
    </row>
    <row r="483">
      <c r="A483" s="5"/>
      <c r="B483" s="5"/>
      <c r="C483" s="5"/>
      <c r="D483" s="2"/>
      <c r="E483" s="2"/>
      <c r="F483" s="2"/>
      <c r="G483" s="2"/>
      <c r="H483" s="2"/>
      <c r="I483" s="2"/>
      <c r="J483" s="2"/>
      <c r="K483" s="2"/>
      <c r="L483" s="2"/>
      <c r="M483" s="2"/>
      <c r="N483" s="2"/>
      <c r="O483" s="2"/>
      <c r="P483" s="2"/>
      <c r="Q483" s="2"/>
      <c r="R483" s="2"/>
      <c r="S483" s="2"/>
      <c r="T483" s="2"/>
      <c r="U483" s="2"/>
      <c r="V483" s="2"/>
      <c r="W483" s="2"/>
      <c r="X483" s="2"/>
      <c r="Y483" s="2"/>
      <c r="Z483" s="2"/>
    </row>
    <row r="484">
      <c r="A484" s="5"/>
      <c r="B484" s="5"/>
      <c r="C484" s="5"/>
      <c r="D484" s="2"/>
      <c r="E484" s="2"/>
      <c r="F484" s="2"/>
      <c r="G484" s="2"/>
      <c r="H484" s="2"/>
      <c r="I484" s="2"/>
      <c r="J484" s="2"/>
      <c r="K484" s="2"/>
      <c r="L484" s="2"/>
      <c r="M484" s="2"/>
      <c r="N484" s="2"/>
      <c r="O484" s="2"/>
      <c r="P484" s="2"/>
      <c r="Q484" s="2"/>
      <c r="R484" s="2"/>
      <c r="S484" s="2"/>
      <c r="T484" s="2"/>
      <c r="U484" s="2"/>
      <c r="V484" s="2"/>
      <c r="W484" s="2"/>
      <c r="X484" s="2"/>
      <c r="Y484" s="2"/>
      <c r="Z484" s="2"/>
    </row>
    <row r="485">
      <c r="A485" s="5"/>
      <c r="B485" s="5"/>
      <c r="C485" s="5"/>
      <c r="D485" s="2"/>
      <c r="E485" s="2"/>
      <c r="F485" s="2"/>
      <c r="G485" s="2"/>
      <c r="H485" s="2"/>
      <c r="I485" s="2"/>
      <c r="J485" s="2"/>
      <c r="K485" s="2"/>
      <c r="L485" s="2"/>
      <c r="M485" s="2"/>
      <c r="N485" s="2"/>
      <c r="O485" s="2"/>
      <c r="P485" s="2"/>
      <c r="Q485" s="2"/>
      <c r="R485" s="2"/>
      <c r="S485" s="2"/>
      <c r="T485" s="2"/>
      <c r="U485" s="2"/>
      <c r="V485" s="2"/>
      <c r="W485" s="2"/>
      <c r="X485" s="2"/>
      <c r="Y485" s="2"/>
      <c r="Z485" s="2"/>
    </row>
    <row r="486">
      <c r="A486" s="5"/>
      <c r="B486" s="5"/>
      <c r="C486" s="5"/>
      <c r="D486" s="2"/>
      <c r="E486" s="2"/>
      <c r="F486" s="2"/>
      <c r="G486" s="2"/>
      <c r="H486" s="2"/>
      <c r="I486" s="2"/>
      <c r="J486" s="2"/>
      <c r="K486" s="2"/>
      <c r="L486" s="2"/>
      <c r="M486" s="2"/>
      <c r="N486" s="2"/>
      <c r="O486" s="2"/>
      <c r="P486" s="2"/>
      <c r="Q486" s="2"/>
      <c r="R486" s="2"/>
      <c r="S486" s="2"/>
      <c r="T486" s="2"/>
      <c r="U486" s="2"/>
      <c r="V486" s="2"/>
      <c r="W486" s="2"/>
      <c r="X486" s="2"/>
      <c r="Y486" s="2"/>
      <c r="Z486" s="2"/>
    </row>
    <row r="487">
      <c r="A487" s="5"/>
      <c r="B487" s="5"/>
      <c r="C487" s="5"/>
      <c r="D487" s="2"/>
      <c r="E487" s="2"/>
      <c r="F487" s="2"/>
      <c r="G487" s="2"/>
      <c r="H487" s="2"/>
      <c r="I487" s="2"/>
      <c r="J487" s="2"/>
      <c r="K487" s="2"/>
      <c r="L487" s="2"/>
      <c r="M487" s="2"/>
      <c r="N487" s="2"/>
      <c r="O487" s="2"/>
      <c r="P487" s="2"/>
      <c r="Q487" s="2"/>
      <c r="R487" s="2"/>
      <c r="S487" s="2"/>
      <c r="T487" s="2"/>
      <c r="U487" s="2"/>
      <c r="V487" s="2"/>
      <c r="W487" s="2"/>
      <c r="X487" s="2"/>
      <c r="Y487" s="2"/>
      <c r="Z487" s="2"/>
    </row>
    <row r="488">
      <c r="A488" s="5"/>
      <c r="B488" s="5"/>
      <c r="C488" s="5"/>
      <c r="D488" s="2"/>
      <c r="E488" s="2"/>
      <c r="F488" s="2"/>
      <c r="G488" s="2"/>
      <c r="H488" s="2"/>
      <c r="I488" s="2"/>
      <c r="J488" s="2"/>
      <c r="K488" s="2"/>
      <c r="L488" s="2"/>
      <c r="M488" s="2"/>
      <c r="N488" s="2"/>
      <c r="O488" s="2"/>
      <c r="P488" s="2"/>
      <c r="Q488" s="2"/>
      <c r="R488" s="2"/>
      <c r="S488" s="2"/>
      <c r="T488" s="2"/>
      <c r="U488" s="2"/>
      <c r="V488" s="2"/>
      <c r="W488" s="2"/>
      <c r="X488" s="2"/>
      <c r="Y488" s="2"/>
      <c r="Z488" s="2"/>
    </row>
    <row r="489">
      <c r="A489" s="5"/>
      <c r="B489" s="5"/>
      <c r="C489" s="5"/>
      <c r="D489" s="2"/>
      <c r="E489" s="2"/>
      <c r="F489" s="2"/>
      <c r="G489" s="2"/>
      <c r="H489" s="2"/>
      <c r="I489" s="2"/>
      <c r="J489" s="2"/>
      <c r="K489" s="2"/>
      <c r="L489" s="2"/>
      <c r="M489" s="2"/>
      <c r="N489" s="2"/>
      <c r="O489" s="2"/>
      <c r="P489" s="2"/>
      <c r="Q489" s="2"/>
      <c r="R489" s="2"/>
      <c r="S489" s="2"/>
      <c r="T489" s="2"/>
      <c r="U489" s="2"/>
      <c r="V489" s="2"/>
      <c r="W489" s="2"/>
      <c r="X489" s="2"/>
      <c r="Y489" s="2"/>
      <c r="Z489" s="2"/>
    </row>
    <row r="490">
      <c r="A490" s="5"/>
      <c r="B490" s="5"/>
      <c r="C490" s="5"/>
      <c r="D490" s="2"/>
      <c r="E490" s="2"/>
      <c r="F490" s="2"/>
      <c r="G490" s="2"/>
      <c r="H490" s="2"/>
      <c r="I490" s="2"/>
      <c r="J490" s="2"/>
      <c r="K490" s="2"/>
      <c r="L490" s="2"/>
      <c r="M490" s="2"/>
      <c r="N490" s="2"/>
      <c r="O490" s="2"/>
      <c r="P490" s="2"/>
      <c r="Q490" s="2"/>
      <c r="R490" s="2"/>
      <c r="S490" s="2"/>
      <c r="T490" s="2"/>
      <c r="U490" s="2"/>
      <c r="V490" s="2"/>
      <c r="W490" s="2"/>
      <c r="X490" s="2"/>
      <c r="Y490" s="2"/>
      <c r="Z490" s="2"/>
    </row>
    <row r="491">
      <c r="A491" s="5"/>
      <c r="B491" s="5"/>
      <c r="C491" s="5"/>
      <c r="D491" s="2"/>
      <c r="E491" s="2"/>
      <c r="F491" s="2"/>
      <c r="G491" s="2"/>
      <c r="H491" s="2"/>
      <c r="I491" s="2"/>
      <c r="J491" s="2"/>
      <c r="K491" s="2"/>
      <c r="L491" s="2"/>
      <c r="M491" s="2"/>
      <c r="N491" s="2"/>
      <c r="O491" s="2"/>
      <c r="P491" s="2"/>
      <c r="Q491" s="2"/>
      <c r="R491" s="2"/>
      <c r="S491" s="2"/>
      <c r="T491" s="2"/>
      <c r="U491" s="2"/>
      <c r="V491" s="2"/>
      <c r="W491" s="2"/>
      <c r="X491" s="2"/>
      <c r="Y491" s="2"/>
      <c r="Z491" s="2"/>
    </row>
    <row r="492">
      <c r="A492" s="5"/>
      <c r="B492" s="5"/>
      <c r="C492" s="5"/>
      <c r="D492" s="2"/>
      <c r="E492" s="2"/>
      <c r="F492" s="2"/>
      <c r="G492" s="2"/>
      <c r="H492" s="2"/>
      <c r="I492" s="2"/>
      <c r="J492" s="2"/>
      <c r="K492" s="2"/>
      <c r="L492" s="2"/>
      <c r="M492" s="2"/>
      <c r="N492" s="2"/>
      <c r="O492" s="2"/>
      <c r="P492" s="2"/>
      <c r="Q492" s="2"/>
      <c r="R492" s="2"/>
      <c r="S492" s="2"/>
      <c r="T492" s="2"/>
      <c r="U492" s="2"/>
      <c r="V492" s="2"/>
      <c r="W492" s="2"/>
      <c r="X492" s="2"/>
      <c r="Y492" s="2"/>
      <c r="Z492" s="2"/>
    </row>
    <row r="493">
      <c r="A493" s="5"/>
      <c r="B493" s="5"/>
      <c r="C493" s="5"/>
      <c r="D493" s="2"/>
      <c r="E493" s="2"/>
      <c r="F493" s="2"/>
      <c r="G493" s="2"/>
      <c r="H493" s="2"/>
      <c r="I493" s="2"/>
      <c r="J493" s="2"/>
      <c r="K493" s="2"/>
      <c r="L493" s="2"/>
      <c r="M493" s="2"/>
      <c r="N493" s="2"/>
      <c r="O493" s="2"/>
      <c r="P493" s="2"/>
      <c r="Q493" s="2"/>
      <c r="R493" s="2"/>
      <c r="S493" s="2"/>
      <c r="T493" s="2"/>
      <c r="U493" s="2"/>
      <c r="V493" s="2"/>
      <c r="W493" s="2"/>
      <c r="X493" s="2"/>
      <c r="Y493" s="2"/>
      <c r="Z493" s="2"/>
    </row>
    <row r="494">
      <c r="A494" s="5"/>
      <c r="B494" s="5"/>
      <c r="C494" s="5"/>
      <c r="D494" s="2"/>
      <c r="E494" s="2"/>
      <c r="F494" s="2"/>
      <c r="G494" s="2"/>
      <c r="H494" s="2"/>
      <c r="I494" s="2"/>
      <c r="J494" s="2"/>
      <c r="K494" s="2"/>
      <c r="L494" s="2"/>
      <c r="M494" s="2"/>
      <c r="N494" s="2"/>
      <c r="O494" s="2"/>
      <c r="P494" s="2"/>
      <c r="Q494" s="2"/>
      <c r="R494" s="2"/>
      <c r="S494" s="2"/>
      <c r="T494" s="2"/>
      <c r="U494" s="2"/>
      <c r="V494" s="2"/>
      <c r="W494" s="2"/>
      <c r="X494" s="2"/>
      <c r="Y494" s="2"/>
      <c r="Z494" s="2"/>
    </row>
    <row r="495">
      <c r="A495" s="5"/>
      <c r="B495" s="5"/>
      <c r="C495" s="5"/>
      <c r="D495" s="2"/>
      <c r="E495" s="2"/>
      <c r="F495" s="2"/>
      <c r="G495" s="2"/>
      <c r="H495" s="2"/>
      <c r="I495" s="2"/>
      <c r="J495" s="2"/>
      <c r="K495" s="2"/>
      <c r="L495" s="2"/>
      <c r="M495" s="2"/>
      <c r="N495" s="2"/>
      <c r="O495" s="2"/>
      <c r="P495" s="2"/>
      <c r="Q495" s="2"/>
      <c r="R495" s="2"/>
      <c r="S495" s="2"/>
      <c r="T495" s="2"/>
      <c r="U495" s="2"/>
      <c r="V495" s="2"/>
      <c r="W495" s="2"/>
      <c r="X495" s="2"/>
      <c r="Y495" s="2"/>
      <c r="Z495" s="2"/>
    </row>
    <row r="496">
      <c r="A496" s="5"/>
      <c r="B496" s="5"/>
      <c r="C496" s="5"/>
      <c r="D496" s="2"/>
      <c r="E496" s="2"/>
      <c r="F496" s="2"/>
      <c r="G496" s="2"/>
      <c r="H496" s="2"/>
      <c r="I496" s="2"/>
      <c r="J496" s="2"/>
      <c r="K496" s="2"/>
      <c r="L496" s="2"/>
      <c r="M496" s="2"/>
      <c r="N496" s="2"/>
      <c r="O496" s="2"/>
      <c r="P496" s="2"/>
      <c r="Q496" s="2"/>
      <c r="R496" s="2"/>
      <c r="S496" s="2"/>
      <c r="T496" s="2"/>
      <c r="U496" s="2"/>
      <c r="V496" s="2"/>
      <c r="W496" s="2"/>
      <c r="X496" s="2"/>
      <c r="Y496" s="2"/>
      <c r="Z496" s="2"/>
    </row>
    <row r="497">
      <c r="A497" s="5"/>
      <c r="B497" s="5"/>
      <c r="C497" s="5"/>
      <c r="D497" s="2"/>
      <c r="E497" s="2"/>
      <c r="F497" s="2"/>
      <c r="G497" s="2"/>
      <c r="H497" s="2"/>
      <c r="I497" s="2"/>
      <c r="J497" s="2"/>
      <c r="K497" s="2"/>
      <c r="L497" s="2"/>
      <c r="M497" s="2"/>
      <c r="N497" s="2"/>
      <c r="O497" s="2"/>
      <c r="P497" s="2"/>
      <c r="Q497" s="2"/>
      <c r="R497" s="2"/>
      <c r="S497" s="2"/>
      <c r="T497" s="2"/>
      <c r="U497" s="2"/>
      <c r="V497" s="2"/>
      <c r="W497" s="2"/>
      <c r="X497" s="2"/>
      <c r="Y497" s="2"/>
      <c r="Z497" s="2"/>
    </row>
    <row r="498">
      <c r="A498" s="5"/>
      <c r="B498" s="5"/>
      <c r="C498" s="5"/>
      <c r="D498" s="2"/>
      <c r="E498" s="2"/>
      <c r="F498" s="2"/>
      <c r="G498" s="2"/>
      <c r="H498" s="2"/>
      <c r="I498" s="2"/>
      <c r="J498" s="2"/>
      <c r="K498" s="2"/>
      <c r="L498" s="2"/>
      <c r="M498" s="2"/>
      <c r="N498" s="2"/>
      <c r="O498" s="2"/>
      <c r="P498" s="2"/>
      <c r="Q498" s="2"/>
      <c r="R498" s="2"/>
      <c r="S498" s="2"/>
      <c r="T498" s="2"/>
      <c r="U498" s="2"/>
      <c r="V498" s="2"/>
      <c r="W498" s="2"/>
      <c r="X498" s="2"/>
      <c r="Y498" s="2"/>
      <c r="Z498" s="2"/>
    </row>
    <row r="499">
      <c r="A499" s="5"/>
      <c r="B499" s="5"/>
      <c r="C499" s="5"/>
      <c r="D499" s="2"/>
      <c r="E499" s="2"/>
      <c r="F499" s="2"/>
      <c r="G499" s="2"/>
      <c r="H499" s="2"/>
      <c r="I499" s="2"/>
      <c r="J499" s="2"/>
      <c r="K499" s="2"/>
      <c r="L499" s="2"/>
      <c r="M499" s="2"/>
      <c r="N499" s="2"/>
      <c r="O499" s="2"/>
      <c r="P499" s="2"/>
      <c r="Q499" s="2"/>
      <c r="R499" s="2"/>
      <c r="S499" s="2"/>
      <c r="T499" s="2"/>
      <c r="U499" s="2"/>
      <c r="V499" s="2"/>
      <c r="W499" s="2"/>
      <c r="X499" s="2"/>
      <c r="Y499" s="2"/>
      <c r="Z499" s="2"/>
    </row>
    <row r="500">
      <c r="A500" s="5"/>
      <c r="B500" s="5"/>
      <c r="C500" s="5"/>
      <c r="D500" s="2"/>
      <c r="E500" s="2"/>
      <c r="F500" s="2"/>
      <c r="G500" s="2"/>
      <c r="H500" s="2"/>
      <c r="I500" s="2"/>
      <c r="J500" s="2"/>
      <c r="K500" s="2"/>
      <c r="L500" s="2"/>
      <c r="M500" s="2"/>
      <c r="N500" s="2"/>
      <c r="O500" s="2"/>
      <c r="P500" s="2"/>
      <c r="Q500" s="2"/>
      <c r="R500" s="2"/>
      <c r="S500" s="2"/>
      <c r="T500" s="2"/>
      <c r="U500" s="2"/>
      <c r="V500" s="2"/>
      <c r="W500" s="2"/>
      <c r="X500" s="2"/>
      <c r="Y500" s="2"/>
      <c r="Z500" s="2"/>
    </row>
    <row r="501">
      <c r="A501" s="5"/>
      <c r="B501" s="5"/>
      <c r="C501" s="5"/>
      <c r="D501" s="2"/>
      <c r="E501" s="2"/>
      <c r="F501" s="2"/>
      <c r="G501" s="2"/>
      <c r="H501" s="2"/>
      <c r="I501" s="2"/>
      <c r="J501" s="2"/>
      <c r="K501" s="2"/>
      <c r="L501" s="2"/>
      <c r="M501" s="2"/>
      <c r="N501" s="2"/>
      <c r="O501" s="2"/>
      <c r="P501" s="2"/>
      <c r="Q501" s="2"/>
      <c r="R501" s="2"/>
      <c r="S501" s="2"/>
      <c r="T501" s="2"/>
      <c r="U501" s="2"/>
      <c r="V501" s="2"/>
      <c r="W501" s="2"/>
      <c r="X501" s="2"/>
      <c r="Y501" s="2"/>
      <c r="Z501" s="2"/>
    </row>
    <row r="502">
      <c r="A502" s="5"/>
      <c r="B502" s="5"/>
      <c r="C502" s="5"/>
      <c r="D502" s="2"/>
      <c r="E502" s="2"/>
      <c r="F502" s="2"/>
      <c r="G502" s="2"/>
      <c r="H502" s="2"/>
      <c r="I502" s="2"/>
      <c r="J502" s="2"/>
      <c r="K502" s="2"/>
      <c r="L502" s="2"/>
      <c r="M502" s="2"/>
      <c r="N502" s="2"/>
      <c r="O502" s="2"/>
      <c r="P502" s="2"/>
      <c r="Q502" s="2"/>
      <c r="R502" s="2"/>
      <c r="S502" s="2"/>
      <c r="T502" s="2"/>
      <c r="U502" s="2"/>
      <c r="V502" s="2"/>
      <c r="W502" s="2"/>
      <c r="X502" s="2"/>
      <c r="Y502" s="2"/>
      <c r="Z502" s="2"/>
    </row>
    <row r="503">
      <c r="A503" s="5"/>
      <c r="B503" s="5"/>
      <c r="C503" s="5"/>
      <c r="D503" s="2"/>
      <c r="E503" s="2"/>
      <c r="F503" s="2"/>
      <c r="G503" s="2"/>
      <c r="H503" s="2"/>
      <c r="I503" s="2"/>
      <c r="J503" s="2"/>
      <c r="K503" s="2"/>
      <c r="L503" s="2"/>
      <c r="M503" s="2"/>
      <c r="N503" s="2"/>
      <c r="O503" s="2"/>
      <c r="P503" s="2"/>
      <c r="Q503" s="2"/>
      <c r="R503" s="2"/>
      <c r="S503" s="2"/>
      <c r="T503" s="2"/>
      <c r="U503" s="2"/>
      <c r="V503" s="2"/>
      <c r="W503" s="2"/>
      <c r="X503" s="2"/>
      <c r="Y503" s="2"/>
      <c r="Z503" s="2"/>
    </row>
    <row r="504">
      <c r="A504" s="5"/>
      <c r="B504" s="5"/>
      <c r="C504" s="5"/>
      <c r="D504" s="2"/>
      <c r="E504" s="2"/>
      <c r="F504" s="2"/>
      <c r="G504" s="2"/>
      <c r="H504" s="2"/>
      <c r="I504" s="2"/>
      <c r="J504" s="2"/>
      <c r="K504" s="2"/>
      <c r="L504" s="2"/>
      <c r="M504" s="2"/>
      <c r="N504" s="2"/>
      <c r="O504" s="2"/>
      <c r="P504" s="2"/>
      <c r="Q504" s="2"/>
      <c r="R504" s="2"/>
      <c r="S504" s="2"/>
      <c r="T504" s="2"/>
      <c r="U504" s="2"/>
      <c r="V504" s="2"/>
      <c r="W504" s="2"/>
      <c r="X504" s="2"/>
      <c r="Y504" s="2"/>
      <c r="Z504" s="2"/>
    </row>
    <row r="505">
      <c r="A505" s="5"/>
      <c r="B505" s="5"/>
      <c r="C505" s="5"/>
      <c r="D505" s="2"/>
      <c r="E505" s="2"/>
      <c r="F505" s="2"/>
      <c r="G505" s="2"/>
      <c r="H505" s="2"/>
      <c r="I505" s="2"/>
      <c r="J505" s="2"/>
      <c r="K505" s="2"/>
      <c r="L505" s="2"/>
      <c r="M505" s="2"/>
      <c r="N505" s="2"/>
      <c r="O505" s="2"/>
      <c r="P505" s="2"/>
      <c r="Q505" s="2"/>
      <c r="R505" s="2"/>
      <c r="S505" s="2"/>
      <c r="T505" s="2"/>
      <c r="U505" s="2"/>
      <c r="V505" s="2"/>
      <c r="W505" s="2"/>
      <c r="X505" s="2"/>
      <c r="Y505" s="2"/>
      <c r="Z505" s="2"/>
    </row>
    <row r="506">
      <c r="A506" s="5"/>
      <c r="B506" s="5"/>
      <c r="C506" s="5"/>
      <c r="D506" s="2"/>
      <c r="E506" s="2"/>
      <c r="F506" s="2"/>
      <c r="G506" s="2"/>
      <c r="H506" s="2"/>
      <c r="I506" s="2"/>
      <c r="J506" s="2"/>
      <c r="K506" s="2"/>
      <c r="L506" s="2"/>
      <c r="M506" s="2"/>
      <c r="N506" s="2"/>
      <c r="O506" s="2"/>
      <c r="P506" s="2"/>
      <c r="Q506" s="2"/>
      <c r="R506" s="2"/>
      <c r="S506" s="2"/>
      <c r="T506" s="2"/>
      <c r="U506" s="2"/>
      <c r="V506" s="2"/>
      <c r="W506" s="2"/>
      <c r="X506" s="2"/>
      <c r="Y506" s="2"/>
      <c r="Z506" s="2"/>
    </row>
    <row r="507">
      <c r="A507" s="5"/>
      <c r="B507" s="5"/>
      <c r="C507" s="5"/>
      <c r="D507" s="2"/>
      <c r="E507" s="2"/>
      <c r="F507" s="2"/>
      <c r="G507" s="2"/>
      <c r="H507" s="2"/>
      <c r="I507" s="2"/>
      <c r="J507" s="2"/>
      <c r="K507" s="2"/>
      <c r="L507" s="2"/>
      <c r="M507" s="2"/>
      <c r="N507" s="2"/>
      <c r="O507" s="2"/>
      <c r="P507" s="2"/>
      <c r="Q507" s="2"/>
      <c r="R507" s="2"/>
      <c r="S507" s="2"/>
      <c r="T507" s="2"/>
      <c r="U507" s="2"/>
      <c r="V507" s="2"/>
      <c r="W507" s="2"/>
      <c r="X507" s="2"/>
      <c r="Y507" s="2"/>
      <c r="Z507" s="2"/>
    </row>
    <row r="508">
      <c r="A508" s="5"/>
      <c r="B508" s="5"/>
      <c r="C508" s="5"/>
      <c r="D508" s="2"/>
      <c r="E508" s="2"/>
      <c r="F508" s="2"/>
      <c r="G508" s="2"/>
      <c r="H508" s="2"/>
      <c r="I508" s="2"/>
      <c r="J508" s="2"/>
      <c r="K508" s="2"/>
      <c r="L508" s="2"/>
      <c r="M508" s="2"/>
      <c r="N508" s="2"/>
      <c r="O508" s="2"/>
      <c r="P508" s="2"/>
      <c r="Q508" s="2"/>
      <c r="R508" s="2"/>
      <c r="S508" s="2"/>
      <c r="T508" s="2"/>
      <c r="U508" s="2"/>
      <c r="V508" s="2"/>
      <c r="W508" s="2"/>
      <c r="X508" s="2"/>
      <c r="Y508" s="2"/>
      <c r="Z508" s="2"/>
    </row>
    <row r="509">
      <c r="A509" s="5"/>
      <c r="B509" s="5"/>
      <c r="C509" s="5"/>
      <c r="D509" s="2"/>
      <c r="E509" s="2"/>
      <c r="F509" s="2"/>
      <c r="G509" s="2"/>
      <c r="H509" s="2"/>
      <c r="I509" s="2"/>
      <c r="J509" s="2"/>
      <c r="K509" s="2"/>
      <c r="L509" s="2"/>
      <c r="M509" s="2"/>
      <c r="N509" s="2"/>
      <c r="O509" s="2"/>
      <c r="P509" s="2"/>
      <c r="Q509" s="2"/>
      <c r="R509" s="2"/>
      <c r="S509" s="2"/>
      <c r="T509" s="2"/>
      <c r="U509" s="2"/>
      <c r="V509" s="2"/>
      <c r="W509" s="2"/>
      <c r="X509" s="2"/>
      <c r="Y509" s="2"/>
      <c r="Z509" s="2"/>
    </row>
    <row r="510">
      <c r="A510" s="5"/>
      <c r="B510" s="5"/>
      <c r="C510" s="5"/>
      <c r="D510" s="2"/>
      <c r="E510" s="2"/>
      <c r="F510" s="2"/>
      <c r="G510" s="2"/>
      <c r="H510" s="2"/>
      <c r="I510" s="2"/>
      <c r="J510" s="2"/>
      <c r="K510" s="2"/>
      <c r="L510" s="2"/>
      <c r="M510" s="2"/>
      <c r="N510" s="2"/>
      <c r="O510" s="2"/>
      <c r="P510" s="2"/>
      <c r="Q510" s="2"/>
      <c r="R510" s="2"/>
      <c r="S510" s="2"/>
      <c r="T510" s="2"/>
      <c r="U510" s="2"/>
      <c r="V510" s="2"/>
      <c r="W510" s="2"/>
      <c r="X510" s="2"/>
      <c r="Y510" s="2"/>
      <c r="Z510" s="2"/>
    </row>
    <row r="511">
      <c r="A511" s="5"/>
      <c r="B511" s="5"/>
      <c r="C511" s="5"/>
      <c r="D511" s="2"/>
      <c r="E511" s="2"/>
      <c r="F511" s="2"/>
      <c r="G511" s="2"/>
      <c r="H511" s="2"/>
      <c r="I511" s="2"/>
      <c r="J511" s="2"/>
      <c r="K511" s="2"/>
      <c r="L511" s="2"/>
      <c r="M511" s="2"/>
      <c r="N511" s="2"/>
      <c r="O511" s="2"/>
      <c r="P511" s="2"/>
      <c r="Q511" s="2"/>
      <c r="R511" s="2"/>
      <c r="S511" s="2"/>
      <c r="T511" s="2"/>
      <c r="U511" s="2"/>
      <c r="V511" s="2"/>
      <c r="W511" s="2"/>
      <c r="X511" s="2"/>
      <c r="Y511" s="2"/>
      <c r="Z511" s="2"/>
    </row>
    <row r="512">
      <c r="A512" s="5"/>
      <c r="B512" s="5"/>
      <c r="C512" s="5"/>
      <c r="D512" s="2"/>
      <c r="E512" s="2"/>
      <c r="F512" s="2"/>
      <c r="G512" s="2"/>
      <c r="H512" s="2"/>
      <c r="I512" s="2"/>
      <c r="J512" s="2"/>
      <c r="K512" s="2"/>
      <c r="L512" s="2"/>
      <c r="M512" s="2"/>
      <c r="N512" s="2"/>
      <c r="O512" s="2"/>
      <c r="P512" s="2"/>
      <c r="Q512" s="2"/>
      <c r="R512" s="2"/>
      <c r="S512" s="2"/>
      <c r="T512" s="2"/>
      <c r="U512" s="2"/>
      <c r="V512" s="2"/>
      <c r="W512" s="2"/>
      <c r="X512" s="2"/>
      <c r="Y512" s="2"/>
      <c r="Z512" s="2"/>
    </row>
    <row r="513">
      <c r="A513" s="5"/>
      <c r="B513" s="5"/>
      <c r="C513" s="5"/>
      <c r="D513" s="2"/>
      <c r="E513" s="2"/>
      <c r="F513" s="2"/>
      <c r="G513" s="2"/>
      <c r="H513" s="2"/>
      <c r="I513" s="2"/>
      <c r="J513" s="2"/>
      <c r="K513" s="2"/>
      <c r="L513" s="2"/>
      <c r="M513" s="2"/>
      <c r="N513" s="2"/>
      <c r="O513" s="2"/>
      <c r="P513" s="2"/>
      <c r="Q513" s="2"/>
      <c r="R513" s="2"/>
      <c r="S513" s="2"/>
      <c r="T513" s="2"/>
      <c r="U513" s="2"/>
      <c r="V513" s="2"/>
      <c r="W513" s="2"/>
      <c r="X513" s="2"/>
      <c r="Y513" s="2"/>
      <c r="Z513" s="2"/>
    </row>
    <row r="514">
      <c r="A514" s="5"/>
      <c r="B514" s="5"/>
      <c r="C514" s="5"/>
      <c r="D514" s="2"/>
      <c r="E514" s="2"/>
      <c r="F514" s="2"/>
      <c r="G514" s="2"/>
      <c r="H514" s="2"/>
      <c r="I514" s="2"/>
      <c r="J514" s="2"/>
      <c r="K514" s="2"/>
      <c r="L514" s="2"/>
      <c r="M514" s="2"/>
      <c r="N514" s="2"/>
      <c r="O514" s="2"/>
      <c r="P514" s="2"/>
      <c r="Q514" s="2"/>
      <c r="R514" s="2"/>
      <c r="S514" s="2"/>
      <c r="T514" s="2"/>
      <c r="U514" s="2"/>
      <c r="V514" s="2"/>
      <c r="W514" s="2"/>
      <c r="X514" s="2"/>
      <c r="Y514" s="2"/>
      <c r="Z514" s="2"/>
    </row>
    <row r="515">
      <c r="A515" s="5"/>
      <c r="B515" s="5"/>
      <c r="C515" s="5"/>
      <c r="D515" s="2"/>
      <c r="E515" s="2"/>
      <c r="F515" s="2"/>
      <c r="G515" s="2"/>
      <c r="H515" s="2"/>
      <c r="I515" s="2"/>
      <c r="J515" s="2"/>
      <c r="K515" s="2"/>
      <c r="L515" s="2"/>
      <c r="M515" s="2"/>
      <c r="N515" s="2"/>
      <c r="O515" s="2"/>
      <c r="P515" s="2"/>
      <c r="Q515" s="2"/>
      <c r="R515" s="2"/>
      <c r="S515" s="2"/>
      <c r="T515" s="2"/>
      <c r="U515" s="2"/>
      <c r="V515" s="2"/>
      <c r="W515" s="2"/>
      <c r="X515" s="2"/>
      <c r="Y515" s="2"/>
      <c r="Z515" s="2"/>
    </row>
    <row r="516">
      <c r="A516" s="5"/>
      <c r="B516" s="5"/>
      <c r="C516" s="5"/>
      <c r="D516" s="2"/>
      <c r="E516" s="2"/>
      <c r="F516" s="2"/>
      <c r="G516" s="2"/>
      <c r="H516" s="2"/>
      <c r="I516" s="2"/>
      <c r="J516" s="2"/>
      <c r="K516" s="2"/>
      <c r="L516" s="2"/>
      <c r="M516" s="2"/>
      <c r="N516" s="2"/>
      <c r="O516" s="2"/>
      <c r="P516" s="2"/>
      <c r="Q516" s="2"/>
      <c r="R516" s="2"/>
      <c r="S516" s="2"/>
      <c r="T516" s="2"/>
      <c r="U516" s="2"/>
      <c r="V516" s="2"/>
      <c r="W516" s="2"/>
      <c r="X516" s="2"/>
      <c r="Y516" s="2"/>
      <c r="Z516" s="2"/>
    </row>
    <row r="517">
      <c r="A517" s="5"/>
      <c r="B517" s="5"/>
      <c r="C517" s="5"/>
      <c r="D517" s="2"/>
      <c r="E517" s="2"/>
      <c r="F517" s="2"/>
      <c r="G517" s="2"/>
      <c r="H517" s="2"/>
      <c r="I517" s="2"/>
      <c r="J517" s="2"/>
      <c r="K517" s="2"/>
      <c r="L517" s="2"/>
      <c r="M517" s="2"/>
      <c r="N517" s="2"/>
      <c r="O517" s="2"/>
      <c r="P517" s="2"/>
      <c r="Q517" s="2"/>
      <c r="R517" s="2"/>
      <c r="S517" s="2"/>
      <c r="T517" s="2"/>
      <c r="U517" s="2"/>
      <c r="V517" s="2"/>
      <c r="W517" s="2"/>
      <c r="X517" s="2"/>
      <c r="Y517" s="2"/>
      <c r="Z517" s="2"/>
    </row>
    <row r="518">
      <c r="A518" s="5"/>
      <c r="B518" s="5"/>
      <c r="C518" s="5"/>
      <c r="D518" s="2"/>
      <c r="E518" s="2"/>
      <c r="F518" s="2"/>
      <c r="G518" s="2"/>
      <c r="H518" s="2"/>
      <c r="I518" s="2"/>
      <c r="J518" s="2"/>
      <c r="K518" s="2"/>
      <c r="L518" s="2"/>
      <c r="M518" s="2"/>
      <c r="N518" s="2"/>
      <c r="O518" s="2"/>
      <c r="P518" s="2"/>
      <c r="Q518" s="2"/>
      <c r="R518" s="2"/>
      <c r="S518" s="2"/>
      <c r="T518" s="2"/>
      <c r="U518" s="2"/>
      <c r="V518" s="2"/>
      <c r="W518" s="2"/>
      <c r="X518" s="2"/>
      <c r="Y518" s="2"/>
      <c r="Z518" s="2"/>
    </row>
    <row r="519">
      <c r="A519" s="5"/>
      <c r="B519" s="5"/>
      <c r="C519" s="5"/>
      <c r="D519" s="2"/>
      <c r="E519" s="2"/>
      <c r="F519" s="2"/>
      <c r="G519" s="2"/>
      <c r="H519" s="2"/>
      <c r="I519" s="2"/>
      <c r="J519" s="2"/>
      <c r="K519" s="2"/>
      <c r="L519" s="2"/>
      <c r="M519" s="2"/>
      <c r="N519" s="2"/>
      <c r="O519" s="2"/>
      <c r="P519" s="2"/>
      <c r="Q519" s="2"/>
      <c r="R519" s="2"/>
      <c r="S519" s="2"/>
      <c r="T519" s="2"/>
      <c r="U519" s="2"/>
      <c r="V519" s="2"/>
      <c r="W519" s="2"/>
      <c r="X519" s="2"/>
      <c r="Y519" s="2"/>
      <c r="Z519" s="2"/>
    </row>
    <row r="520">
      <c r="A520" s="5"/>
      <c r="B520" s="5"/>
      <c r="C520" s="5"/>
      <c r="D520" s="2"/>
      <c r="E520" s="2"/>
      <c r="F520" s="2"/>
      <c r="G520" s="2"/>
      <c r="H520" s="2"/>
      <c r="I520" s="2"/>
      <c r="J520" s="2"/>
      <c r="K520" s="2"/>
      <c r="L520" s="2"/>
      <c r="M520" s="2"/>
      <c r="N520" s="2"/>
      <c r="O520" s="2"/>
      <c r="P520" s="2"/>
      <c r="Q520" s="2"/>
      <c r="R520" s="2"/>
      <c r="S520" s="2"/>
      <c r="T520" s="2"/>
      <c r="U520" s="2"/>
      <c r="V520" s="2"/>
      <c r="W520" s="2"/>
      <c r="X520" s="2"/>
      <c r="Y520" s="2"/>
      <c r="Z520" s="2"/>
    </row>
    <row r="521">
      <c r="A521" s="5"/>
      <c r="B521" s="5"/>
      <c r="C521" s="5"/>
      <c r="D521" s="2"/>
      <c r="E521" s="2"/>
      <c r="F521" s="2"/>
      <c r="G521" s="2"/>
      <c r="H521" s="2"/>
      <c r="I521" s="2"/>
      <c r="J521" s="2"/>
      <c r="K521" s="2"/>
      <c r="L521" s="2"/>
      <c r="M521" s="2"/>
      <c r="N521" s="2"/>
      <c r="O521" s="2"/>
      <c r="P521" s="2"/>
      <c r="Q521" s="2"/>
      <c r="R521" s="2"/>
      <c r="S521" s="2"/>
      <c r="T521" s="2"/>
      <c r="U521" s="2"/>
      <c r="V521" s="2"/>
      <c r="W521" s="2"/>
      <c r="X521" s="2"/>
      <c r="Y521" s="2"/>
      <c r="Z521" s="2"/>
    </row>
    <row r="522">
      <c r="A522" s="5"/>
      <c r="B522" s="5"/>
      <c r="C522" s="5"/>
      <c r="D522" s="2"/>
      <c r="E522" s="2"/>
      <c r="F522" s="2"/>
      <c r="G522" s="2"/>
      <c r="H522" s="2"/>
      <c r="I522" s="2"/>
      <c r="J522" s="2"/>
      <c r="K522" s="2"/>
      <c r="L522" s="2"/>
      <c r="M522" s="2"/>
      <c r="N522" s="2"/>
      <c r="O522" s="2"/>
      <c r="P522" s="2"/>
      <c r="Q522" s="2"/>
      <c r="R522" s="2"/>
      <c r="S522" s="2"/>
      <c r="T522" s="2"/>
      <c r="U522" s="2"/>
      <c r="V522" s="2"/>
      <c r="W522" s="2"/>
      <c r="X522" s="2"/>
      <c r="Y522" s="2"/>
      <c r="Z522" s="2"/>
    </row>
    <row r="523">
      <c r="A523" s="5"/>
      <c r="B523" s="5"/>
      <c r="C523" s="5"/>
      <c r="D523" s="2"/>
      <c r="E523" s="2"/>
      <c r="F523" s="2"/>
      <c r="G523" s="2"/>
      <c r="H523" s="2"/>
      <c r="I523" s="2"/>
      <c r="J523" s="2"/>
      <c r="K523" s="2"/>
      <c r="L523" s="2"/>
      <c r="M523" s="2"/>
      <c r="N523" s="2"/>
      <c r="O523" s="2"/>
      <c r="P523" s="2"/>
      <c r="Q523" s="2"/>
      <c r="R523" s="2"/>
      <c r="S523" s="2"/>
      <c r="T523" s="2"/>
      <c r="U523" s="2"/>
      <c r="V523" s="2"/>
      <c r="W523" s="2"/>
      <c r="X523" s="2"/>
      <c r="Y523" s="2"/>
      <c r="Z523" s="2"/>
    </row>
    <row r="524">
      <c r="A524" s="5"/>
      <c r="B524" s="5"/>
      <c r="C524" s="5"/>
      <c r="D524" s="2"/>
      <c r="E524" s="2"/>
      <c r="F524" s="2"/>
      <c r="G524" s="2"/>
      <c r="H524" s="2"/>
      <c r="I524" s="2"/>
      <c r="J524" s="2"/>
      <c r="K524" s="2"/>
      <c r="L524" s="2"/>
      <c r="M524" s="2"/>
      <c r="N524" s="2"/>
      <c r="O524" s="2"/>
      <c r="P524" s="2"/>
      <c r="Q524" s="2"/>
      <c r="R524" s="2"/>
      <c r="S524" s="2"/>
      <c r="T524" s="2"/>
      <c r="U524" s="2"/>
      <c r="V524" s="2"/>
      <c r="W524" s="2"/>
      <c r="X524" s="2"/>
      <c r="Y524" s="2"/>
      <c r="Z524" s="2"/>
    </row>
    <row r="525">
      <c r="A525" s="5"/>
      <c r="B525" s="5"/>
      <c r="C525" s="5"/>
      <c r="D525" s="2"/>
      <c r="E525" s="2"/>
      <c r="F525" s="2"/>
      <c r="G525" s="2"/>
      <c r="H525" s="2"/>
      <c r="I525" s="2"/>
      <c r="J525" s="2"/>
      <c r="K525" s="2"/>
      <c r="L525" s="2"/>
      <c r="M525" s="2"/>
      <c r="N525" s="2"/>
      <c r="O525" s="2"/>
      <c r="P525" s="2"/>
      <c r="Q525" s="2"/>
      <c r="R525" s="2"/>
      <c r="S525" s="2"/>
      <c r="T525" s="2"/>
      <c r="U525" s="2"/>
      <c r="V525" s="2"/>
      <c r="W525" s="2"/>
      <c r="X525" s="2"/>
      <c r="Y525" s="2"/>
      <c r="Z525" s="2"/>
    </row>
    <row r="526">
      <c r="A526" s="5"/>
      <c r="B526" s="5"/>
      <c r="C526" s="5"/>
      <c r="D526" s="2"/>
      <c r="E526" s="2"/>
      <c r="F526" s="2"/>
      <c r="G526" s="2"/>
      <c r="H526" s="2"/>
      <c r="I526" s="2"/>
      <c r="J526" s="2"/>
      <c r="K526" s="2"/>
      <c r="L526" s="2"/>
      <c r="M526" s="2"/>
      <c r="N526" s="2"/>
      <c r="O526" s="2"/>
      <c r="P526" s="2"/>
      <c r="Q526" s="2"/>
      <c r="R526" s="2"/>
      <c r="S526" s="2"/>
      <c r="T526" s="2"/>
      <c r="U526" s="2"/>
      <c r="V526" s="2"/>
      <c r="W526" s="2"/>
      <c r="X526" s="2"/>
      <c r="Y526" s="2"/>
      <c r="Z526" s="2"/>
    </row>
    <row r="527">
      <c r="A527" s="5"/>
      <c r="B527" s="5"/>
      <c r="C527" s="5"/>
      <c r="D527" s="2"/>
      <c r="E527" s="2"/>
      <c r="F527" s="2"/>
      <c r="G527" s="2"/>
      <c r="H527" s="2"/>
      <c r="I527" s="2"/>
      <c r="J527" s="2"/>
      <c r="K527" s="2"/>
      <c r="L527" s="2"/>
      <c r="M527" s="2"/>
      <c r="N527" s="2"/>
      <c r="O527" s="2"/>
      <c r="P527" s="2"/>
      <c r="Q527" s="2"/>
      <c r="R527" s="2"/>
      <c r="S527" s="2"/>
      <c r="T527" s="2"/>
      <c r="U527" s="2"/>
      <c r="V527" s="2"/>
      <c r="W527" s="2"/>
      <c r="X527" s="2"/>
      <c r="Y527" s="2"/>
      <c r="Z527" s="2"/>
    </row>
    <row r="528">
      <c r="A528" s="5"/>
      <c r="B528" s="5"/>
      <c r="C528" s="5"/>
      <c r="D528" s="2"/>
      <c r="E528" s="2"/>
      <c r="F528" s="2"/>
      <c r="G528" s="2"/>
      <c r="H528" s="2"/>
      <c r="I528" s="2"/>
      <c r="J528" s="2"/>
      <c r="K528" s="2"/>
      <c r="L528" s="2"/>
      <c r="M528" s="2"/>
      <c r="N528" s="2"/>
      <c r="O528" s="2"/>
      <c r="P528" s="2"/>
      <c r="Q528" s="2"/>
      <c r="R528" s="2"/>
      <c r="S528" s="2"/>
      <c r="T528" s="2"/>
      <c r="U528" s="2"/>
      <c r="V528" s="2"/>
      <c r="W528" s="2"/>
      <c r="X528" s="2"/>
      <c r="Y528" s="2"/>
      <c r="Z528" s="2"/>
    </row>
    <row r="529">
      <c r="A529" s="5"/>
      <c r="B529" s="5"/>
      <c r="C529" s="5"/>
      <c r="D529" s="2"/>
      <c r="E529" s="2"/>
      <c r="F529" s="2"/>
      <c r="G529" s="2"/>
      <c r="H529" s="2"/>
      <c r="I529" s="2"/>
      <c r="J529" s="2"/>
      <c r="K529" s="2"/>
      <c r="L529" s="2"/>
      <c r="M529" s="2"/>
      <c r="N529" s="2"/>
      <c r="O529" s="2"/>
      <c r="P529" s="2"/>
      <c r="Q529" s="2"/>
      <c r="R529" s="2"/>
      <c r="S529" s="2"/>
      <c r="T529" s="2"/>
      <c r="U529" s="2"/>
      <c r="V529" s="2"/>
      <c r="W529" s="2"/>
      <c r="X529" s="2"/>
      <c r="Y529" s="2"/>
      <c r="Z529" s="2"/>
    </row>
    <row r="530">
      <c r="A530" s="5"/>
      <c r="B530" s="5"/>
      <c r="C530" s="5"/>
      <c r="D530" s="2"/>
      <c r="E530" s="2"/>
      <c r="F530" s="2"/>
      <c r="G530" s="2"/>
      <c r="H530" s="2"/>
      <c r="I530" s="2"/>
      <c r="J530" s="2"/>
      <c r="K530" s="2"/>
      <c r="L530" s="2"/>
      <c r="M530" s="2"/>
      <c r="N530" s="2"/>
      <c r="O530" s="2"/>
      <c r="P530" s="2"/>
      <c r="Q530" s="2"/>
      <c r="R530" s="2"/>
      <c r="S530" s="2"/>
      <c r="T530" s="2"/>
      <c r="U530" s="2"/>
      <c r="V530" s="2"/>
      <c r="W530" s="2"/>
      <c r="X530" s="2"/>
      <c r="Y530" s="2"/>
      <c r="Z530" s="2"/>
    </row>
    <row r="531">
      <c r="A531" s="5"/>
      <c r="B531" s="5"/>
      <c r="C531" s="5"/>
      <c r="D531" s="2"/>
      <c r="E531" s="2"/>
      <c r="F531" s="2"/>
      <c r="G531" s="2"/>
      <c r="H531" s="2"/>
      <c r="I531" s="2"/>
      <c r="J531" s="2"/>
      <c r="K531" s="2"/>
      <c r="L531" s="2"/>
      <c r="M531" s="2"/>
      <c r="N531" s="2"/>
      <c r="O531" s="2"/>
      <c r="P531" s="2"/>
      <c r="Q531" s="2"/>
      <c r="R531" s="2"/>
      <c r="S531" s="2"/>
      <c r="T531" s="2"/>
      <c r="U531" s="2"/>
      <c r="V531" s="2"/>
      <c r="W531" s="2"/>
      <c r="X531" s="2"/>
      <c r="Y531" s="2"/>
      <c r="Z531" s="2"/>
    </row>
    <row r="532">
      <c r="A532" s="5"/>
      <c r="B532" s="5"/>
      <c r="C532" s="5"/>
      <c r="D532" s="2"/>
      <c r="E532" s="2"/>
      <c r="F532" s="2"/>
      <c r="G532" s="2"/>
      <c r="H532" s="2"/>
      <c r="I532" s="2"/>
      <c r="J532" s="2"/>
      <c r="K532" s="2"/>
      <c r="L532" s="2"/>
      <c r="M532" s="2"/>
      <c r="N532" s="2"/>
      <c r="O532" s="2"/>
      <c r="P532" s="2"/>
      <c r="Q532" s="2"/>
      <c r="R532" s="2"/>
      <c r="S532" s="2"/>
      <c r="T532" s="2"/>
      <c r="U532" s="2"/>
      <c r="V532" s="2"/>
      <c r="W532" s="2"/>
      <c r="X532" s="2"/>
      <c r="Y532" s="2"/>
      <c r="Z532" s="2"/>
    </row>
    <row r="533">
      <c r="A533" s="5"/>
      <c r="B533" s="5"/>
      <c r="C533" s="5"/>
      <c r="D533" s="2"/>
      <c r="E533" s="2"/>
      <c r="F533" s="2"/>
      <c r="G533" s="2"/>
      <c r="H533" s="2"/>
      <c r="I533" s="2"/>
      <c r="J533" s="2"/>
      <c r="K533" s="2"/>
      <c r="L533" s="2"/>
      <c r="M533" s="2"/>
      <c r="N533" s="2"/>
      <c r="O533" s="2"/>
      <c r="P533" s="2"/>
      <c r="Q533" s="2"/>
      <c r="R533" s="2"/>
      <c r="S533" s="2"/>
      <c r="T533" s="2"/>
      <c r="U533" s="2"/>
      <c r="V533" s="2"/>
      <c r="W533" s="2"/>
      <c r="X533" s="2"/>
      <c r="Y533" s="2"/>
      <c r="Z533" s="2"/>
    </row>
    <row r="534">
      <c r="A534" s="5"/>
      <c r="B534" s="5"/>
      <c r="C534" s="5"/>
      <c r="D534" s="2"/>
      <c r="E534" s="2"/>
      <c r="F534" s="2"/>
      <c r="G534" s="2"/>
      <c r="H534" s="2"/>
      <c r="I534" s="2"/>
      <c r="J534" s="2"/>
      <c r="K534" s="2"/>
      <c r="L534" s="2"/>
      <c r="M534" s="2"/>
      <c r="N534" s="2"/>
      <c r="O534" s="2"/>
      <c r="P534" s="2"/>
      <c r="Q534" s="2"/>
      <c r="R534" s="2"/>
      <c r="S534" s="2"/>
      <c r="T534" s="2"/>
      <c r="U534" s="2"/>
      <c r="V534" s="2"/>
      <c r="W534" s="2"/>
      <c r="X534" s="2"/>
      <c r="Y534" s="2"/>
      <c r="Z534" s="2"/>
    </row>
    <row r="535">
      <c r="A535" s="5"/>
      <c r="B535" s="5"/>
      <c r="C535" s="5"/>
      <c r="D535" s="2"/>
      <c r="E535" s="2"/>
      <c r="F535" s="2"/>
      <c r="G535" s="2"/>
      <c r="H535" s="2"/>
      <c r="I535" s="2"/>
      <c r="J535" s="2"/>
      <c r="K535" s="2"/>
      <c r="L535" s="2"/>
      <c r="M535" s="2"/>
      <c r="N535" s="2"/>
      <c r="O535" s="2"/>
      <c r="P535" s="2"/>
      <c r="Q535" s="2"/>
      <c r="R535" s="2"/>
      <c r="S535" s="2"/>
      <c r="T535" s="2"/>
      <c r="U535" s="2"/>
      <c r="V535" s="2"/>
      <c r="W535" s="2"/>
      <c r="X535" s="2"/>
      <c r="Y535" s="2"/>
      <c r="Z535" s="2"/>
    </row>
    <row r="536">
      <c r="A536" s="5"/>
      <c r="B536" s="5"/>
      <c r="C536" s="5"/>
      <c r="D536" s="2"/>
      <c r="E536" s="2"/>
      <c r="F536" s="2"/>
      <c r="G536" s="2"/>
      <c r="H536" s="2"/>
      <c r="I536" s="2"/>
      <c r="J536" s="2"/>
      <c r="K536" s="2"/>
      <c r="L536" s="2"/>
      <c r="M536" s="2"/>
      <c r="N536" s="2"/>
      <c r="O536" s="2"/>
      <c r="P536" s="2"/>
      <c r="Q536" s="2"/>
      <c r="R536" s="2"/>
      <c r="S536" s="2"/>
      <c r="T536" s="2"/>
      <c r="U536" s="2"/>
      <c r="V536" s="2"/>
      <c r="W536" s="2"/>
      <c r="X536" s="2"/>
      <c r="Y536" s="2"/>
      <c r="Z536" s="2"/>
    </row>
    <row r="537">
      <c r="A537" s="5"/>
      <c r="B537" s="5"/>
      <c r="C537" s="5"/>
      <c r="D537" s="2"/>
      <c r="E537" s="2"/>
      <c r="F537" s="2"/>
      <c r="G537" s="2"/>
      <c r="H537" s="2"/>
      <c r="I537" s="2"/>
      <c r="J537" s="2"/>
      <c r="K537" s="2"/>
      <c r="L537" s="2"/>
      <c r="M537" s="2"/>
      <c r="N537" s="2"/>
      <c r="O537" s="2"/>
      <c r="P537" s="2"/>
      <c r="Q537" s="2"/>
      <c r="R537" s="2"/>
      <c r="S537" s="2"/>
      <c r="T537" s="2"/>
      <c r="U537" s="2"/>
      <c r="V537" s="2"/>
      <c r="W537" s="2"/>
      <c r="X537" s="2"/>
      <c r="Y537" s="2"/>
      <c r="Z537" s="2"/>
    </row>
    <row r="538">
      <c r="A538" s="5"/>
      <c r="B538" s="5"/>
      <c r="C538" s="5"/>
      <c r="D538" s="2"/>
      <c r="E538" s="2"/>
      <c r="F538" s="2"/>
      <c r="G538" s="2"/>
      <c r="H538" s="2"/>
      <c r="I538" s="2"/>
      <c r="J538" s="2"/>
      <c r="K538" s="2"/>
      <c r="L538" s="2"/>
      <c r="M538" s="2"/>
      <c r="N538" s="2"/>
      <c r="O538" s="2"/>
      <c r="P538" s="2"/>
      <c r="Q538" s="2"/>
      <c r="R538" s="2"/>
      <c r="S538" s="2"/>
      <c r="T538" s="2"/>
      <c r="U538" s="2"/>
      <c r="V538" s="2"/>
      <c r="W538" s="2"/>
      <c r="X538" s="2"/>
      <c r="Y538" s="2"/>
      <c r="Z538" s="2"/>
    </row>
    <row r="539">
      <c r="A539" s="5"/>
      <c r="B539" s="5"/>
      <c r="C539" s="5"/>
      <c r="D539" s="2"/>
      <c r="E539" s="2"/>
      <c r="F539" s="2"/>
      <c r="G539" s="2"/>
      <c r="H539" s="2"/>
      <c r="I539" s="2"/>
      <c r="J539" s="2"/>
      <c r="K539" s="2"/>
      <c r="L539" s="2"/>
      <c r="M539" s="2"/>
      <c r="N539" s="2"/>
      <c r="O539" s="2"/>
      <c r="P539" s="2"/>
      <c r="Q539" s="2"/>
      <c r="R539" s="2"/>
      <c r="S539" s="2"/>
      <c r="T539" s="2"/>
      <c r="U539" s="2"/>
      <c r="V539" s="2"/>
      <c r="W539" s="2"/>
      <c r="X539" s="2"/>
      <c r="Y539" s="2"/>
      <c r="Z539" s="2"/>
    </row>
    <row r="540">
      <c r="A540" s="5"/>
      <c r="B540" s="5"/>
      <c r="C540" s="5"/>
      <c r="D540" s="2"/>
      <c r="E540" s="2"/>
      <c r="F540" s="2"/>
      <c r="G540" s="2"/>
      <c r="H540" s="2"/>
      <c r="I540" s="2"/>
      <c r="J540" s="2"/>
      <c r="K540" s="2"/>
      <c r="L540" s="2"/>
      <c r="M540" s="2"/>
      <c r="N540" s="2"/>
      <c r="O540" s="2"/>
      <c r="P540" s="2"/>
      <c r="Q540" s="2"/>
      <c r="R540" s="2"/>
      <c r="S540" s="2"/>
      <c r="T540" s="2"/>
      <c r="U540" s="2"/>
      <c r="V540" s="2"/>
      <c r="W540" s="2"/>
      <c r="X540" s="2"/>
      <c r="Y540" s="2"/>
      <c r="Z540" s="2"/>
    </row>
    <row r="541">
      <c r="A541" s="5"/>
      <c r="B541" s="5"/>
      <c r="C541" s="5"/>
      <c r="D541" s="2"/>
      <c r="E541" s="2"/>
      <c r="F541" s="2"/>
      <c r="G541" s="2"/>
      <c r="H541" s="2"/>
      <c r="I541" s="2"/>
      <c r="J541" s="2"/>
      <c r="K541" s="2"/>
      <c r="L541" s="2"/>
      <c r="M541" s="2"/>
      <c r="N541" s="2"/>
      <c r="O541" s="2"/>
      <c r="P541" s="2"/>
      <c r="Q541" s="2"/>
      <c r="R541" s="2"/>
      <c r="S541" s="2"/>
      <c r="T541" s="2"/>
      <c r="U541" s="2"/>
      <c r="V541" s="2"/>
      <c r="W541" s="2"/>
      <c r="X541" s="2"/>
      <c r="Y541" s="2"/>
      <c r="Z541" s="2"/>
    </row>
    <row r="542">
      <c r="A542" s="5"/>
      <c r="B542" s="5"/>
      <c r="C542" s="5"/>
      <c r="D542" s="2"/>
      <c r="E542" s="2"/>
      <c r="F542" s="2"/>
      <c r="G542" s="2"/>
      <c r="H542" s="2"/>
      <c r="I542" s="2"/>
      <c r="J542" s="2"/>
      <c r="K542" s="2"/>
      <c r="L542" s="2"/>
      <c r="M542" s="2"/>
      <c r="N542" s="2"/>
      <c r="O542" s="2"/>
      <c r="P542" s="2"/>
      <c r="Q542" s="2"/>
      <c r="R542" s="2"/>
      <c r="S542" s="2"/>
      <c r="T542" s="2"/>
      <c r="U542" s="2"/>
      <c r="V542" s="2"/>
      <c r="W542" s="2"/>
      <c r="X542" s="2"/>
      <c r="Y542" s="2"/>
      <c r="Z542" s="2"/>
    </row>
    <row r="543">
      <c r="A543" s="5"/>
      <c r="B543" s="5"/>
      <c r="C543" s="5"/>
      <c r="D543" s="2"/>
      <c r="E543" s="2"/>
      <c r="F543" s="2"/>
      <c r="G543" s="2"/>
      <c r="H543" s="2"/>
      <c r="I543" s="2"/>
      <c r="J543" s="2"/>
      <c r="K543" s="2"/>
      <c r="L543" s="2"/>
      <c r="M543" s="2"/>
      <c r="N543" s="2"/>
      <c r="O543" s="2"/>
      <c r="P543" s="2"/>
      <c r="Q543" s="2"/>
      <c r="R543" s="2"/>
      <c r="S543" s="2"/>
      <c r="T543" s="2"/>
      <c r="U543" s="2"/>
      <c r="V543" s="2"/>
      <c r="W543" s="2"/>
      <c r="X543" s="2"/>
      <c r="Y543" s="2"/>
      <c r="Z543" s="2"/>
    </row>
    <row r="544">
      <c r="A544" s="5"/>
      <c r="B544" s="5"/>
      <c r="C544" s="5"/>
      <c r="D544" s="2"/>
      <c r="E544" s="2"/>
      <c r="F544" s="2"/>
      <c r="G544" s="2"/>
      <c r="H544" s="2"/>
      <c r="I544" s="2"/>
      <c r="J544" s="2"/>
      <c r="K544" s="2"/>
      <c r="L544" s="2"/>
      <c r="M544" s="2"/>
      <c r="N544" s="2"/>
      <c r="O544" s="2"/>
      <c r="P544" s="2"/>
      <c r="Q544" s="2"/>
      <c r="R544" s="2"/>
      <c r="S544" s="2"/>
      <c r="T544" s="2"/>
      <c r="U544" s="2"/>
      <c r="V544" s="2"/>
      <c r="W544" s="2"/>
      <c r="X544" s="2"/>
      <c r="Y544" s="2"/>
      <c r="Z544" s="2"/>
    </row>
    <row r="545">
      <c r="A545" s="5"/>
      <c r="B545" s="5"/>
      <c r="C545" s="5"/>
      <c r="D545" s="2"/>
      <c r="E545" s="2"/>
      <c r="F545" s="2"/>
      <c r="G545" s="2"/>
      <c r="H545" s="2"/>
      <c r="I545" s="2"/>
      <c r="J545" s="2"/>
      <c r="K545" s="2"/>
      <c r="L545" s="2"/>
      <c r="M545" s="2"/>
      <c r="N545" s="2"/>
      <c r="O545" s="2"/>
      <c r="P545" s="2"/>
      <c r="Q545" s="2"/>
      <c r="R545" s="2"/>
      <c r="S545" s="2"/>
      <c r="T545" s="2"/>
      <c r="U545" s="2"/>
      <c r="V545" s="2"/>
      <c r="W545" s="2"/>
      <c r="X545" s="2"/>
      <c r="Y545" s="2"/>
      <c r="Z545" s="2"/>
    </row>
    <row r="546">
      <c r="A546" s="5"/>
      <c r="B546" s="5"/>
      <c r="C546" s="5"/>
      <c r="D546" s="2"/>
      <c r="E546" s="2"/>
      <c r="F546" s="2"/>
      <c r="G546" s="2"/>
      <c r="H546" s="2"/>
      <c r="I546" s="2"/>
      <c r="J546" s="2"/>
      <c r="K546" s="2"/>
      <c r="L546" s="2"/>
      <c r="M546" s="2"/>
      <c r="N546" s="2"/>
      <c r="O546" s="2"/>
      <c r="P546" s="2"/>
      <c r="Q546" s="2"/>
      <c r="R546" s="2"/>
      <c r="S546" s="2"/>
      <c r="T546" s="2"/>
      <c r="U546" s="2"/>
      <c r="V546" s="2"/>
      <c r="W546" s="2"/>
      <c r="X546" s="2"/>
      <c r="Y546" s="2"/>
      <c r="Z546" s="2"/>
    </row>
    <row r="547">
      <c r="A547" s="5"/>
      <c r="B547" s="5"/>
      <c r="C547" s="5"/>
      <c r="D547" s="2"/>
      <c r="E547" s="2"/>
      <c r="F547" s="2"/>
      <c r="G547" s="2"/>
      <c r="H547" s="2"/>
      <c r="I547" s="2"/>
      <c r="J547" s="2"/>
      <c r="K547" s="2"/>
      <c r="L547" s="2"/>
      <c r="M547" s="2"/>
      <c r="N547" s="2"/>
      <c r="O547" s="2"/>
      <c r="P547" s="2"/>
      <c r="Q547" s="2"/>
      <c r="R547" s="2"/>
      <c r="S547" s="2"/>
      <c r="T547" s="2"/>
      <c r="U547" s="2"/>
      <c r="V547" s="2"/>
      <c r="W547" s="2"/>
      <c r="X547" s="2"/>
      <c r="Y547" s="2"/>
      <c r="Z547" s="2"/>
    </row>
    <row r="548">
      <c r="A548" s="5"/>
      <c r="B548" s="5"/>
      <c r="C548" s="5"/>
      <c r="D548" s="2"/>
      <c r="E548" s="2"/>
      <c r="F548" s="2"/>
      <c r="G548" s="2"/>
      <c r="H548" s="2"/>
      <c r="I548" s="2"/>
      <c r="J548" s="2"/>
      <c r="K548" s="2"/>
      <c r="L548" s="2"/>
      <c r="M548" s="2"/>
      <c r="N548" s="2"/>
      <c r="O548" s="2"/>
      <c r="P548" s="2"/>
      <c r="Q548" s="2"/>
      <c r="R548" s="2"/>
      <c r="S548" s="2"/>
      <c r="T548" s="2"/>
      <c r="U548" s="2"/>
      <c r="V548" s="2"/>
      <c r="W548" s="2"/>
      <c r="X548" s="2"/>
      <c r="Y548" s="2"/>
      <c r="Z548" s="2"/>
    </row>
    <row r="549">
      <c r="A549" s="5"/>
      <c r="B549" s="5"/>
      <c r="C549" s="5"/>
      <c r="D549" s="2"/>
      <c r="E549" s="2"/>
      <c r="F549" s="2"/>
      <c r="G549" s="2"/>
      <c r="H549" s="2"/>
      <c r="I549" s="2"/>
      <c r="J549" s="2"/>
      <c r="K549" s="2"/>
      <c r="L549" s="2"/>
      <c r="M549" s="2"/>
      <c r="N549" s="2"/>
      <c r="O549" s="2"/>
      <c r="P549" s="2"/>
      <c r="Q549" s="2"/>
      <c r="R549" s="2"/>
      <c r="S549" s="2"/>
      <c r="T549" s="2"/>
      <c r="U549" s="2"/>
      <c r="V549" s="2"/>
      <c r="W549" s="2"/>
      <c r="X549" s="2"/>
      <c r="Y549" s="2"/>
      <c r="Z549" s="2"/>
    </row>
    <row r="550">
      <c r="A550" s="5"/>
      <c r="B550" s="5"/>
      <c r="C550" s="5"/>
      <c r="D550" s="2"/>
      <c r="E550" s="2"/>
      <c r="F550" s="2"/>
      <c r="G550" s="2"/>
      <c r="H550" s="2"/>
      <c r="I550" s="2"/>
      <c r="J550" s="2"/>
      <c r="K550" s="2"/>
      <c r="L550" s="2"/>
      <c r="M550" s="2"/>
      <c r="N550" s="2"/>
      <c r="O550" s="2"/>
      <c r="P550" s="2"/>
      <c r="Q550" s="2"/>
      <c r="R550" s="2"/>
      <c r="S550" s="2"/>
      <c r="T550" s="2"/>
      <c r="U550" s="2"/>
      <c r="V550" s="2"/>
      <c r="W550" s="2"/>
      <c r="X550" s="2"/>
      <c r="Y550" s="2"/>
      <c r="Z550" s="2"/>
    </row>
    <row r="551">
      <c r="A551" s="5"/>
      <c r="B551" s="5"/>
      <c r="C551" s="5"/>
      <c r="D551" s="2"/>
      <c r="E551" s="2"/>
      <c r="F551" s="2"/>
      <c r="G551" s="2"/>
      <c r="H551" s="2"/>
      <c r="I551" s="2"/>
      <c r="J551" s="2"/>
      <c r="K551" s="2"/>
      <c r="L551" s="2"/>
      <c r="M551" s="2"/>
      <c r="N551" s="2"/>
      <c r="O551" s="2"/>
      <c r="P551" s="2"/>
      <c r="Q551" s="2"/>
      <c r="R551" s="2"/>
      <c r="S551" s="2"/>
      <c r="T551" s="2"/>
      <c r="U551" s="2"/>
      <c r="V551" s="2"/>
      <c r="W551" s="2"/>
      <c r="X551" s="2"/>
      <c r="Y551" s="2"/>
      <c r="Z551" s="2"/>
    </row>
    <row r="552">
      <c r="A552" s="5"/>
      <c r="B552" s="5"/>
      <c r="C552" s="5"/>
      <c r="D552" s="2"/>
      <c r="E552" s="2"/>
      <c r="F552" s="2"/>
      <c r="G552" s="2"/>
      <c r="H552" s="2"/>
      <c r="I552" s="2"/>
      <c r="J552" s="2"/>
      <c r="K552" s="2"/>
      <c r="L552" s="2"/>
      <c r="M552" s="2"/>
      <c r="N552" s="2"/>
      <c r="O552" s="2"/>
      <c r="P552" s="2"/>
      <c r="Q552" s="2"/>
      <c r="R552" s="2"/>
      <c r="S552" s="2"/>
      <c r="T552" s="2"/>
      <c r="U552" s="2"/>
      <c r="V552" s="2"/>
      <c r="W552" s="2"/>
      <c r="X552" s="2"/>
      <c r="Y552" s="2"/>
      <c r="Z552" s="2"/>
    </row>
    <row r="553">
      <c r="A553" s="5"/>
      <c r="B553" s="5"/>
      <c r="C553" s="5"/>
      <c r="D553" s="2"/>
      <c r="E553" s="2"/>
      <c r="F553" s="2"/>
      <c r="G553" s="2"/>
      <c r="H553" s="2"/>
      <c r="I553" s="2"/>
      <c r="J553" s="2"/>
      <c r="K553" s="2"/>
      <c r="L553" s="2"/>
      <c r="M553" s="2"/>
      <c r="N553" s="2"/>
      <c r="O553" s="2"/>
      <c r="P553" s="2"/>
      <c r="Q553" s="2"/>
      <c r="R553" s="2"/>
      <c r="S553" s="2"/>
      <c r="T553" s="2"/>
      <c r="U553" s="2"/>
      <c r="V553" s="2"/>
      <c r="W553" s="2"/>
      <c r="X553" s="2"/>
      <c r="Y553" s="2"/>
      <c r="Z553" s="2"/>
    </row>
    <row r="554">
      <c r="A554" s="5"/>
      <c r="B554" s="5"/>
      <c r="C554" s="5"/>
      <c r="D554" s="2"/>
      <c r="E554" s="2"/>
      <c r="F554" s="2"/>
      <c r="G554" s="2"/>
      <c r="H554" s="2"/>
      <c r="I554" s="2"/>
      <c r="J554" s="2"/>
      <c r="K554" s="2"/>
      <c r="L554" s="2"/>
      <c r="M554" s="2"/>
      <c r="N554" s="2"/>
      <c r="O554" s="2"/>
      <c r="P554" s="2"/>
      <c r="Q554" s="2"/>
      <c r="R554" s="2"/>
      <c r="S554" s="2"/>
      <c r="T554" s="2"/>
      <c r="U554" s="2"/>
      <c r="V554" s="2"/>
      <c r="W554" s="2"/>
      <c r="X554" s="2"/>
      <c r="Y554" s="2"/>
      <c r="Z554" s="2"/>
    </row>
    <row r="555">
      <c r="A555" s="5"/>
      <c r="B555" s="5"/>
      <c r="C555" s="5"/>
      <c r="D555" s="2"/>
      <c r="E555" s="2"/>
      <c r="F555" s="2"/>
      <c r="G555" s="2"/>
      <c r="H555" s="2"/>
      <c r="I555" s="2"/>
      <c r="J555" s="2"/>
      <c r="K555" s="2"/>
      <c r="L555" s="2"/>
      <c r="M555" s="2"/>
      <c r="N555" s="2"/>
      <c r="O555" s="2"/>
      <c r="P555" s="2"/>
      <c r="Q555" s="2"/>
      <c r="R555" s="2"/>
      <c r="S555" s="2"/>
      <c r="T555" s="2"/>
      <c r="U555" s="2"/>
      <c r="V555" s="2"/>
      <c r="W555" s="2"/>
      <c r="X555" s="2"/>
      <c r="Y555" s="2"/>
      <c r="Z555" s="2"/>
    </row>
    <row r="556">
      <c r="A556" s="5"/>
      <c r="B556" s="5"/>
      <c r="C556" s="5"/>
      <c r="D556" s="2"/>
      <c r="E556" s="2"/>
      <c r="F556" s="2"/>
      <c r="G556" s="2"/>
      <c r="H556" s="2"/>
      <c r="I556" s="2"/>
      <c r="J556" s="2"/>
      <c r="K556" s="2"/>
      <c r="L556" s="2"/>
      <c r="M556" s="2"/>
      <c r="N556" s="2"/>
      <c r="O556" s="2"/>
      <c r="P556" s="2"/>
      <c r="Q556" s="2"/>
      <c r="R556" s="2"/>
      <c r="S556" s="2"/>
      <c r="T556" s="2"/>
      <c r="U556" s="2"/>
      <c r="V556" s="2"/>
      <c r="W556" s="2"/>
      <c r="X556" s="2"/>
      <c r="Y556" s="2"/>
      <c r="Z556" s="2"/>
    </row>
    <row r="557">
      <c r="A557" s="5"/>
      <c r="B557" s="5"/>
      <c r="C557" s="5"/>
      <c r="D557" s="2"/>
      <c r="E557" s="2"/>
      <c r="F557" s="2"/>
      <c r="G557" s="2"/>
      <c r="H557" s="2"/>
      <c r="I557" s="2"/>
      <c r="J557" s="2"/>
      <c r="K557" s="2"/>
      <c r="L557" s="2"/>
      <c r="M557" s="2"/>
      <c r="N557" s="2"/>
      <c r="O557" s="2"/>
      <c r="P557" s="2"/>
      <c r="Q557" s="2"/>
      <c r="R557" s="2"/>
      <c r="S557" s="2"/>
      <c r="T557" s="2"/>
      <c r="U557" s="2"/>
      <c r="V557" s="2"/>
      <c r="W557" s="2"/>
      <c r="X557" s="2"/>
      <c r="Y557" s="2"/>
      <c r="Z557" s="2"/>
    </row>
    <row r="558">
      <c r="A558" s="5"/>
      <c r="B558" s="5"/>
      <c r="C558" s="5"/>
      <c r="D558" s="2"/>
      <c r="E558" s="2"/>
      <c r="F558" s="2"/>
      <c r="G558" s="2"/>
      <c r="H558" s="2"/>
      <c r="I558" s="2"/>
      <c r="J558" s="2"/>
      <c r="K558" s="2"/>
      <c r="L558" s="2"/>
      <c r="M558" s="2"/>
      <c r="N558" s="2"/>
      <c r="O558" s="2"/>
      <c r="P558" s="2"/>
      <c r="Q558" s="2"/>
      <c r="R558" s="2"/>
      <c r="S558" s="2"/>
      <c r="T558" s="2"/>
      <c r="U558" s="2"/>
      <c r="V558" s="2"/>
      <c r="W558" s="2"/>
      <c r="X558" s="2"/>
      <c r="Y558" s="2"/>
      <c r="Z558" s="2"/>
    </row>
    <row r="559">
      <c r="A559" s="5"/>
      <c r="B559" s="5"/>
      <c r="C559" s="5"/>
      <c r="D559" s="2"/>
      <c r="E559" s="2"/>
      <c r="F559" s="2"/>
      <c r="G559" s="2"/>
      <c r="H559" s="2"/>
      <c r="I559" s="2"/>
      <c r="J559" s="2"/>
      <c r="K559" s="2"/>
      <c r="L559" s="2"/>
      <c r="M559" s="2"/>
      <c r="N559" s="2"/>
      <c r="O559" s="2"/>
      <c r="P559" s="2"/>
      <c r="Q559" s="2"/>
      <c r="R559" s="2"/>
      <c r="S559" s="2"/>
      <c r="T559" s="2"/>
      <c r="U559" s="2"/>
      <c r="V559" s="2"/>
      <c r="W559" s="2"/>
      <c r="X559" s="2"/>
      <c r="Y559" s="2"/>
      <c r="Z559" s="2"/>
    </row>
    <row r="560">
      <c r="A560" s="5"/>
      <c r="B560" s="5"/>
      <c r="C560" s="5"/>
      <c r="D560" s="2"/>
      <c r="E560" s="2"/>
      <c r="F560" s="2"/>
      <c r="G560" s="2"/>
      <c r="H560" s="2"/>
      <c r="I560" s="2"/>
      <c r="J560" s="2"/>
      <c r="K560" s="2"/>
      <c r="L560" s="2"/>
      <c r="M560" s="2"/>
      <c r="N560" s="2"/>
      <c r="O560" s="2"/>
      <c r="P560" s="2"/>
      <c r="Q560" s="2"/>
      <c r="R560" s="2"/>
      <c r="S560" s="2"/>
      <c r="T560" s="2"/>
      <c r="U560" s="2"/>
      <c r="V560" s="2"/>
      <c r="W560" s="2"/>
      <c r="X560" s="2"/>
      <c r="Y560" s="2"/>
      <c r="Z560" s="2"/>
    </row>
    <row r="561">
      <c r="A561" s="5"/>
      <c r="B561" s="5"/>
      <c r="C561" s="5"/>
      <c r="D561" s="2"/>
      <c r="E561" s="2"/>
      <c r="F561" s="2"/>
      <c r="G561" s="2"/>
      <c r="H561" s="2"/>
      <c r="I561" s="2"/>
      <c r="J561" s="2"/>
      <c r="K561" s="2"/>
      <c r="L561" s="2"/>
      <c r="M561" s="2"/>
      <c r="N561" s="2"/>
      <c r="O561" s="2"/>
      <c r="P561" s="2"/>
      <c r="Q561" s="2"/>
      <c r="R561" s="2"/>
      <c r="S561" s="2"/>
      <c r="T561" s="2"/>
      <c r="U561" s="2"/>
      <c r="V561" s="2"/>
      <c r="W561" s="2"/>
      <c r="X561" s="2"/>
      <c r="Y561" s="2"/>
      <c r="Z561" s="2"/>
    </row>
    <row r="562">
      <c r="A562" s="5"/>
      <c r="B562" s="5"/>
      <c r="C562" s="5"/>
      <c r="D562" s="2"/>
      <c r="E562" s="2"/>
      <c r="F562" s="2"/>
      <c r="G562" s="2"/>
      <c r="H562" s="2"/>
      <c r="I562" s="2"/>
      <c r="J562" s="2"/>
      <c r="K562" s="2"/>
      <c r="L562" s="2"/>
      <c r="M562" s="2"/>
      <c r="N562" s="2"/>
      <c r="O562" s="2"/>
      <c r="P562" s="2"/>
      <c r="Q562" s="2"/>
      <c r="R562" s="2"/>
      <c r="S562" s="2"/>
      <c r="T562" s="2"/>
      <c r="U562" s="2"/>
      <c r="V562" s="2"/>
      <c r="W562" s="2"/>
      <c r="X562" s="2"/>
      <c r="Y562" s="2"/>
      <c r="Z562" s="2"/>
    </row>
    <row r="563">
      <c r="A563" s="5"/>
      <c r="B563" s="5"/>
      <c r="C563" s="5"/>
      <c r="D563" s="2"/>
      <c r="E563" s="2"/>
      <c r="F563" s="2"/>
      <c r="G563" s="2"/>
      <c r="H563" s="2"/>
      <c r="I563" s="2"/>
      <c r="J563" s="2"/>
      <c r="K563" s="2"/>
      <c r="L563" s="2"/>
      <c r="M563" s="2"/>
      <c r="N563" s="2"/>
      <c r="O563" s="2"/>
      <c r="P563" s="2"/>
      <c r="Q563" s="2"/>
      <c r="R563" s="2"/>
      <c r="S563" s="2"/>
      <c r="T563" s="2"/>
      <c r="U563" s="2"/>
      <c r="V563" s="2"/>
      <c r="W563" s="2"/>
      <c r="X563" s="2"/>
      <c r="Y563" s="2"/>
      <c r="Z563" s="2"/>
    </row>
    <row r="564">
      <c r="A564" s="5"/>
      <c r="B564" s="5"/>
      <c r="C564" s="5"/>
      <c r="D564" s="2"/>
      <c r="E564" s="2"/>
      <c r="F564" s="2"/>
      <c r="G564" s="2"/>
      <c r="H564" s="2"/>
      <c r="I564" s="2"/>
      <c r="J564" s="2"/>
      <c r="K564" s="2"/>
      <c r="L564" s="2"/>
      <c r="M564" s="2"/>
      <c r="N564" s="2"/>
      <c r="O564" s="2"/>
      <c r="P564" s="2"/>
      <c r="Q564" s="2"/>
      <c r="R564" s="2"/>
      <c r="S564" s="2"/>
      <c r="T564" s="2"/>
      <c r="U564" s="2"/>
      <c r="V564" s="2"/>
      <c r="W564" s="2"/>
      <c r="X564" s="2"/>
      <c r="Y564" s="2"/>
      <c r="Z564" s="2"/>
    </row>
    <row r="565">
      <c r="A565" s="5"/>
      <c r="B565" s="5"/>
      <c r="C565" s="5"/>
      <c r="D565" s="2"/>
      <c r="E565" s="2"/>
      <c r="F565" s="2"/>
      <c r="G565" s="2"/>
      <c r="H565" s="2"/>
      <c r="I565" s="2"/>
      <c r="J565" s="2"/>
      <c r="K565" s="2"/>
      <c r="L565" s="2"/>
      <c r="M565" s="2"/>
      <c r="N565" s="2"/>
      <c r="O565" s="2"/>
      <c r="P565" s="2"/>
      <c r="Q565" s="2"/>
      <c r="R565" s="2"/>
      <c r="S565" s="2"/>
      <c r="T565" s="2"/>
      <c r="U565" s="2"/>
      <c r="V565" s="2"/>
      <c r="W565" s="2"/>
      <c r="X565" s="2"/>
      <c r="Y565" s="2"/>
      <c r="Z565" s="2"/>
    </row>
    <row r="566">
      <c r="A566" s="5"/>
      <c r="B566" s="5"/>
      <c r="C566" s="5"/>
      <c r="D566" s="2"/>
      <c r="E566" s="2"/>
      <c r="F566" s="2"/>
      <c r="G566" s="2"/>
      <c r="H566" s="2"/>
      <c r="I566" s="2"/>
      <c r="J566" s="2"/>
      <c r="K566" s="2"/>
      <c r="L566" s="2"/>
      <c r="M566" s="2"/>
      <c r="N566" s="2"/>
      <c r="O566" s="2"/>
      <c r="P566" s="2"/>
      <c r="Q566" s="2"/>
      <c r="R566" s="2"/>
      <c r="S566" s="2"/>
      <c r="T566" s="2"/>
      <c r="U566" s="2"/>
      <c r="V566" s="2"/>
      <c r="W566" s="2"/>
      <c r="X566" s="2"/>
      <c r="Y566" s="2"/>
      <c r="Z566" s="2"/>
    </row>
    <row r="567">
      <c r="A567" s="5"/>
      <c r="B567" s="5"/>
      <c r="C567" s="5"/>
      <c r="D567" s="2"/>
      <c r="E567" s="2"/>
      <c r="F567" s="2"/>
      <c r="G567" s="2"/>
      <c r="H567" s="2"/>
      <c r="I567" s="2"/>
      <c r="J567" s="2"/>
      <c r="K567" s="2"/>
      <c r="L567" s="2"/>
      <c r="M567" s="2"/>
      <c r="N567" s="2"/>
      <c r="O567" s="2"/>
      <c r="P567" s="2"/>
      <c r="Q567" s="2"/>
      <c r="R567" s="2"/>
      <c r="S567" s="2"/>
      <c r="T567" s="2"/>
      <c r="U567" s="2"/>
      <c r="V567" s="2"/>
      <c r="W567" s="2"/>
      <c r="X567" s="2"/>
      <c r="Y567" s="2"/>
      <c r="Z567" s="2"/>
    </row>
    <row r="568">
      <c r="A568" s="5"/>
      <c r="B568" s="5"/>
      <c r="C568" s="5"/>
      <c r="D568" s="2"/>
      <c r="E568" s="2"/>
      <c r="F568" s="2"/>
      <c r="G568" s="2"/>
      <c r="H568" s="2"/>
      <c r="I568" s="2"/>
      <c r="J568" s="2"/>
      <c r="K568" s="2"/>
      <c r="L568" s="2"/>
      <c r="M568" s="2"/>
      <c r="N568" s="2"/>
      <c r="O568" s="2"/>
      <c r="P568" s="2"/>
      <c r="Q568" s="2"/>
      <c r="R568" s="2"/>
      <c r="S568" s="2"/>
      <c r="T568" s="2"/>
      <c r="U568" s="2"/>
      <c r="V568" s="2"/>
      <c r="W568" s="2"/>
      <c r="X568" s="2"/>
      <c r="Y568" s="2"/>
      <c r="Z568" s="2"/>
    </row>
    <row r="569">
      <c r="A569" s="5"/>
      <c r="B569" s="5"/>
      <c r="C569" s="5"/>
      <c r="D569" s="2"/>
      <c r="E569" s="2"/>
      <c r="F569" s="2"/>
      <c r="G569" s="2"/>
      <c r="H569" s="2"/>
      <c r="I569" s="2"/>
      <c r="J569" s="2"/>
      <c r="K569" s="2"/>
      <c r="L569" s="2"/>
      <c r="M569" s="2"/>
      <c r="N569" s="2"/>
      <c r="O569" s="2"/>
      <c r="P569" s="2"/>
      <c r="Q569" s="2"/>
      <c r="R569" s="2"/>
      <c r="S569" s="2"/>
      <c r="T569" s="2"/>
      <c r="U569" s="2"/>
      <c r="V569" s="2"/>
      <c r="W569" s="2"/>
      <c r="X569" s="2"/>
      <c r="Y569" s="2"/>
      <c r="Z569" s="2"/>
    </row>
    <row r="570">
      <c r="A570" s="5"/>
      <c r="B570" s="5"/>
      <c r="C570" s="5"/>
      <c r="D570" s="2"/>
      <c r="E570" s="2"/>
      <c r="F570" s="2"/>
      <c r="G570" s="2"/>
      <c r="H570" s="2"/>
      <c r="I570" s="2"/>
      <c r="J570" s="2"/>
      <c r="K570" s="2"/>
      <c r="L570" s="2"/>
      <c r="M570" s="2"/>
      <c r="N570" s="2"/>
      <c r="O570" s="2"/>
      <c r="P570" s="2"/>
      <c r="Q570" s="2"/>
      <c r="R570" s="2"/>
      <c r="S570" s="2"/>
      <c r="T570" s="2"/>
      <c r="U570" s="2"/>
      <c r="V570" s="2"/>
      <c r="W570" s="2"/>
      <c r="X570" s="2"/>
      <c r="Y570" s="2"/>
      <c r="Z570" s="2"/>
    </row>
    <row r="571">
      <c r="A571" s="5"/>
      <c r="B571" s="5"/>
      <c r="C571" s="5"/>
      <c r="D571" s="2"/>
      <c r="E571" s="2"/>
      <c r="F571" s="2"/>
      <c r="G571" s="2"/>
      <c r="H571" s="2"/>
      <c r="I571" s="2"/>
      <c r="J571" s="2"/>
      <c r="K571" s="2"/>
      <c r="L571" s="2"/>
      <c r="M571" s="2"/>
      <c r="N571" s="2"/>
      <c r="O571" s="2"/>
      <c r="P571" s="2"/>
      <c r="Q571" s="2"/>
      <c r="R571" s="2"/>
      <c r="S571" s="2"/>
      <c r="T571" s="2"/>
      <c r="U571" s="2"/>
      <c r="V571" s="2"/>
      <c r="W571" s="2"/>
      <c r="X571" s="2"/>
      <c r="Y571" s="2"/>
      <c r="Z571" s="2"/>
    </row>
    <row r="572">
      <c r="A572" s="5"/>
      <c r="B572" s="5"/>
      <c r="C572" s="5"/>
      <c r="D572" s="2"/>
      <c r="E572" s="2"/>
      <c r="F572" s="2"/>
      <c r="G572" s="2"/>
      <c r="H572" s="2"/>
      <c r="I572" s="2"/>
      <c r="J572" s="2"/>
      <c r="K572" s="2"/>
      <c r="L572" s="2"/>
      <c r="M572" s="2"/>
      <c r="N572" s="2"/>
      <c r="O572" s="2"/>
      <c r="P572" s="2"/>
      <c r="Q572" s="2"/>
      <c r="R572" s="2"/>
      <c r="S572" s="2"/>
      <c r="T572" s="2"/>
      <c r="U572" s="2"/>
      <c r="V572" s="2"/>
      <c r="W572" s="2"/>
      <c r="X572" s="2"/>
      <c r="Y572" s="2"/>
      <c r="Z572" s="2"/>
    </row>
    <row r="573">
      <c r="A573" s="5"/>
      <c r="B573" s="5"/>
      <c r="C573" s="5"/>
      <c r="D573" s="2"/>
      <c r="E573" s="2"/>
      <c r="F573" s="2"/>
      <c r="G573" s="2"/>
      <c r="H573" s="2"/>
      <c r="I573" s="2"/>
      <c r="J573" s="2"/>
      <c r="K573" s="2"/>
      <c r="L573" s="2"/>
      <c r="M573" s="2"/>
      <c r="N573" s="2"/>
      <c r="O573" s="2"/>
      <c r="P573" s="2"/>
      <c r="Q573" s="2"/>
      <c r="R573" s="2"/>
      <c r="S573" s="2"/>
      <c r="T573" s="2"/>
      <c r="U573" s="2"/>
      <c r="V573" s="2"/>
      <c r="W573" s="2"/>
      <c r="X573" s="2"/>
      <c r="Y573" s="2"/>
      <c r="Z573" s="2"/>
    </row>
    <row r="574">
      <c r="A574" s="5"/>
      <c r="B574" s="5"/>
      <c r="C574" s="5"/>
      <c r="D574" s="2"/>
      <c r="E574" s="2"/>
      <c r="F574" s="2"/>
      <c r="G574" s="2"/>
      <c r="H574" s="2"/>
      <c r="I574" s="2"/>
      <c r="J574" s="2"/>
      <c r="K574" s="2"/>
      <c r="L574" s="2"/>
      <c r="M574" s="2"/>
      <c r="N574" s="2"/>
      <c r="O574" s="2"/>
      <c r="P574" s="2"/>
      <c r="Q574" s="2"/>
      <c r="R574" s="2"/>
      <c r="S574" s="2"/>
      <c r="T574" s="2"/>
      <c r="U574" s="2"/>
      <c r="V574" s="2"/>
      <c r="W574" s="2"/>
      <c r="X574" s="2"/>
      <c r="Y574" s="2"/>
      <c r="Z574" s="2"/>
    </row>
    <row r="575">
      <c r="A575" s="5"/>
      <c r="B575" s="5"/>
      <c r="C575" s="5"/>
      <c r="D575" s="2"/>
      <c r="E575" s="2"/>
      <c r="F575" s="2"/>
      <c r="G575" s="2"/>
      <c r="H575" s="2"/>
      <c r="I575" s="2"/>
      <c r="J575" s="2"/>
      <c r="K575" s="2"/>
      <c r="L575" s="2"/>
      <c r="M575" s="2"/>
      <c r="N575" s="2"/>
      <c r="O575" s="2"/>
      <c r="P575" s="2"/>
      <c r="Q575" s="2"/>
      <c r="R575" s="2"/>
      <c r="S575" s="2"/>
      <c r="T575" s="2"/>
      <c r="U575" s="2"/>
      <c r="V575" s="2"/>
      <c r="W575" s="2"/>
      <c r="X575" s="2"/>
      <c r="Y575" s="2"/>
      <c r="Z575" s="2"/>
    </row>
    <row r="576">
      <c r="A576" s="5"/>
      <c r="B576" s="5"/>
      <c r="C576" s="5"/>
      <c r="D576" s="2"/>
      <c r="E576" s="2"/>
      <c r="F576" s="2"/>
      <c r="G576" s="2"/>
      <c r="H576" s="2"/>
      <c r="I576" s="2"/>
      <c r="J576" s="2"/>
      <c r="K576" s="2"/>
      <c r="L576" s="2"/>
      <c r="M576" s="2"/>
      <c r="N576" s="2"/>
      <c r="O576" s="2"/>
      <c r="P576" s="2"/>
      <c r="Q576" s="2"/>
      <c r="R576" s="2"/>
      <c r="S576" s="2"/>
      <c r="T576" s="2"/>
      <c r="U576" s="2"/>
      <c r="V576" s="2"/>
      <c r="W576" s="2"/>
      <c r="X576" s="2"/>
      <c r="Y576" s="2"/>
      <c r="Z576" s="2"/>
    </row>
    <row r="577">
      <c r="A577" s="5"/>
      <c r="B577" s="5"/>
      <c r="C577" s="5"/>
      <c r="D577" s="2"/>
      <c r="E577" s="2"/>
      <c r="F577" s="2"/>
      <c r="G577" s="2"/>
      <c r="H577" s="2"/>
      <c r="I577" s="2"/>
      <c r="J577" s="2"/>
      <c r="K577" s="2"/>
      <c r="L577" s="2"/>
      <c r="M577" s="2"/>
      <c r="N577" s="2"/>
      <c r="O577" s="2"/>
      <c r="P577" s="2"/>
      <c r="Q577" s="2"/>
      <c r="R577" s="2"/>
      <c r="S577" s="2"/>
      <c r="T577" s="2"/>
      <c r="U577" s="2"/>
      <c r="V577" s="2"/>
      <c r="W577" s="2"/>
      <c r="X577" s="2"/>
      <c r="Y577" s="2"/>
      <c r="Z577" s="2"/>
    </row>
    <row r="578">
      <c r="A578" s="5"/>
      <c r="B578" s="5"/>
      <c r="C578" s="5"/>
      <c r="D578" s="2"/>
      <c r="E578" s="2"/>
      <c r="F578" s="2"/>
      <c r="G578" s="2"/>
      <c r="H578" s="2"/>
      <c r="I578" s="2"/>
      <c r="J578" s="2"/>
      <c r="K578" s="2"/>
      <c r="L578" s="2"/>
      <c r="M578" s="2"/>
      <c r="N578" s="2"/>
      <c r="O578" s="2"/>
      <c r="P578" s="2"/>
      <c r="Q578" s="2"/>
      <c r="R578" s="2"/>
      <c r="S578" s="2"/>
      <c r="T578" s="2"/>
      <c r="U578" s="2"/>
      <c r="V578" s="2"/>
      <c r="W578" s="2"/>
      <c r="X578" s="2"/>
      <c r="Y578" s="2"/>
      <c r="Z578" s="2"/>
    </row>
    <row r="579">
      <c r="A579" s="5"/>
      <c r="B579" s="5"/>
      <c r="C579" s="5"/>
      <c r="D579" s="2"/>
      <c r="E579" s="2"/>
      <c r="F579" s="2"/>
      <c r="G579" s="2"/>
      <c r="H579" s="2"/>
      <c r="I579" s="2"/>
      <c r="J579" s="2"/>
      <c r="K579" s="2"/>
      <c r="L579" s="2"/>
      <c r="M579" s="2"/>
      <c r="N579" s="2"/>
      <c r="O579" s="2"/>
      <c r="P579" s="2"/>
      <c r="Q579" s="2"/>
      <c r="R579" s="2"/>
      <c r="S579" s="2"/>
      <c r="T579" s="2"/>
      <c r="U579" s="2"/>
      <c r="V579" s="2"/>
      <c r="W579" s="2"/>
      <c r="X579" s="2"/>
      <c r="Y579" s="2"/>
      <c r="Z579" s="2"/>
    </row>
    <row r="580">
      <c r="A580" s="5"/>
      <c r="B580" s="5"/>
      <c r="C580" s="5"/>
      <c r="D580" s="2"/>
      <c r="E580" s="2"/>
      <c r="F580" s="2"/>
      <c r="G580" s="2"/>
      <c r="H580" s="2"/>
      <c r="I580" s="2"/>
      <c r="J580" s="2"/>
      <c r="K580" s="2"/>
      <c r="L580" s="2"/>
      <c r="M580" s="2"/>
      <c r="N580" s="2"/>
      <c r="O580" s="2"/>
      <c r="P580" s="2"/>
      <c r="Q580" s="2"/>
      <c r="R580" s="2"/>
      <c r="S580" s="2"/>
      <c r="T580" s="2"/>
      <c r="U580" s="2"/>
      <c r="V580" s="2"/>
      <c r="W580" s="2"/>
      <c r="X580" s="2"/>
      <c r="Y580" s="2"/>
      <c r="Z580" s="2"/>
    </row>
    <row r="581">
      <c r="A581" s="5"/>
      <c r="B581" s="5"/>
      <c r="C581" s="5"/>
      <c r="D581" s="2"/>
      <c r="E581" s="2"/>
      <c r="F581" s="2"/>
      <c r="G581" s="2"/>
      <c r="H581" s="2"/>
      <c r="I581" s="2"/>
      <c r="J581" s="2"/>
      <c r="K581" s="2"/>
      <c r="L581" s="2"/>
      <c r="M581" s="2"/>
      <c r="N581" s="2"/>
      <c r="O581" s="2"/>
      <c r="P581" s="2"/>
      <c r="Q581" s="2"/>
      <c r="R581" s="2"/>
      <c r="S581" s="2"/>
      <c r="T581" s="2"/>
      <c r="U581" s="2"/>
      <c r="V581" s="2"/>
      <c r="W581" s="2"/>
      <c r="X581" s="2"/>
      <c r="Y581" s="2"/>
      <c r="Z581" s="2"/>
    </row>
    <row r="582">
      <c r="A582" s="5"/>
      <c r="B582" s="5"/>
      <c r="C582" s="5"/>
      <c r="D582" s="2"/>
      <c r="E582" s="2"/>
      <c r="F582" s="2"/>
      <c r="G582" s="2"/>
      <c r="H582" s="2"/>
      <c r="I582" s="2"/>
      <c r="J582" s="2"/>
      <c r="K582" s="2"/>
      <c r="L582" s="2"/>
      <c r="M582" s="2"/>
      <c r="N582" s="2"/>
      <c r="O582" s="2"/>
      <c r="P582" s="2"/>
      <c r="Q582" s="2"/>
      <c r="R582" s="2"/>
      <c r="S582" s="2"/>
      <c r="T582" s="2"/>
      <c r="U582" s="2"/>
      <c r="V582" s="2"/>
      <c r="W582" s="2"/>
      <c r="X582" s="2"/>
      <c r="Y582" s="2"/>
      <c r="Z582" s="2"/>
    </row>
    <row r="583">
      <c r="A583" s="5"/>
      <c r="B583" s="5"/>
      <c r="C583" s="5"/>
      <c r="D583" s="2"/>
      <c r="E583" s="2"/>
      <c r="F583" s="2"/>
      <c r="G583" s="2"/>
      <c r="H583" s="2"/>
      <c r="I583" s="2"/>
      <c r="J583" s="2"/>
      <c r="K583" s="2"/>
      <c r="L583" s="2"/>
      <c r="M583" s="2"/>
      <c r="N583" s="2"/>
      <c r="O583" s="2"/>
      <c r="P583" s="2"/>
      <c r="Q583" s="2"/>
      <c r="R583" s="2"/>
      <c r="S583" s="2"/>
      <c r="T583" s="2"/>
      <c r="U583" s="2"/>
      <c r="V583" s="2"/>
      <c r="W583" s="2"/>
      <c r="X583" s="2"/>
      <c r="Y583" s="2"/>
      <c r="Z583" s="2"/>
    </row>
    <row r="584">
      <c r="A584" s="5"/>
      <c r="B584" s="5"/>
      <c r="C584" s="5"/>
      <c r="D584" s="2"/>
      <c r="E584" s="2"/>
      <c r="F584" s="2"/>
      <c r="G584" s="2"/>
      <c r="H584" s="2"/>
      <c r="I584" s="2"/>
      <c r="J584" s="2"/>
      <c r="K584" s="2"/>
      <c r="L584" s="2"/>
      <c r="M584" s="2"/>
      <c r="N584" s="2"/>
      <c r="O584" s="2"/>
      <c r="P584" s="2"/>
      <c r="Q584" s="2"/>
      <c r="R584" s="2"/>
      <c r="S584" s="2"/>
      <c r="T584" s="2"/>
      <c r="U584" s="2"/>
      <c r="V584" s="2"/>
      <c r="W584" s="2"/>
      <c r="X584" s="2"/>
      <c r="Y584" s="2"/>
      <c r="Z584" s="2"/>
    </row>
    <row r="585">
      <c r="A585" s="5"/>
      <c r="B585" s="5"/>
      <c r="C585" s="5"/>
      <c r="D585" s="2"/>
      <c r="E585" s="2"/>
      <c r="F585" s="2"/>
      <c r="G585" s="2"/>
      <c r="H585" s="2"/>
      <c r="I585" s="2"/>
      <c r="J585" s="2"/>
      <c r="K585" s="2"/>
      <c r="L585" s="2"/>
      <c r="M585" s="2"/>
      <c r="N585" s="2"/>
      <c r="O585" s="2"/>
      <c r="P585" s="2"/>
      <c r="Q585" s="2"/>
      <c r="R585" s="2"/>
      <c r="S585" s="2"/>
      <c r="T585" s="2"/>
      <c r="U585" s="2"/>
      <c r="V585" s="2"/>
      <c r="W585" s="2"/>
      <c r="X585" s="2"/>
      <c r="Y585" s="2"/>
      <c r="Z585" s="2"/>
    </row>
    <row r="586">
      <c r="A586" s="5"/>
      <c r="B586" s="5"/>
      <c r="C586" s="5"/>
      <c r="D586" s="2"/>
      <c r="E586" s="2"/>
      <c r="F586" s="2"/>
      <c r="G586" s="2"/>
      <c r="H586" s="2"/>
      <c r="I586" s="2"/>
      <c r="J586" s="2"/>
      <c r="K586" s="2"/>
      <c r="L586" s="2"/>
      <c r="M586" s="2"/>
      <c r="N586" s="2"/>
      <c r="O586" s="2"/>
      <c r="P586" s="2"/>
      <c r="Q586" s="2"/>
      <c r="R586" s="2"/>
      <c r="S586" s="2"/>
      <c r="T586" s="2"/>
      <c r="U586" s="2"/>
      <c r="V586" s="2"/>
      <c r="W586" s="2"/>
      <c r="X586" s="2"/>
      <c r="Y586" s="2"/>
      <c r="Z586" s="2"/>
    </row>
    <row r="587">
      <c r="A587" s="5"/>
      <c r="B587" s="5"/>
      <c r="C587" s="5"/>
      <c r="D587" s="2"/>
      <c r="E587" s="2"/>
      <c r="F587" s="2"/>
      <c r="G587" s="2"/>
      <c r="H587" s="2"/>
      <c r="I587" s="2"/>
      <c r="J587" s="2"/>
      <c r="K587" s="2"/>
      <c r="L587" s="2"/>
      <c r="M587" s="2"/>
      <c r="N587" s="2"/>
      <c r="O587" s="2"/>
      <c r="P587" s="2"/>
      <c r="Q587" s="2"/>
      <c r="R587" s="2"/>
      <c r="S587" s="2"/>
      <c r="T587" s="2"/>
      <c r="U587" s="2"/>
      <c r="V587" s="2"/>
      <c r="W587" s="2"/>
      <c r="X587" s="2"/>
      <c r="Y587" s="2"/>
      <c r="Z587" s="2"/>
    </row>
    <row r="588">
      <c r="A588" s="5"/>
      <c r="B588" s="5"/>
      <c r="C588" s="5"/>
      <c r="D588" s="2"/>
      <c r="E588" s="2"/>
      <c r="F588" s="2"/>
      <c r="G588" s="2"/>
      <c r="H588" s="2"/>
      <c r="I588" s="2"/>
      <c r="J588" s="2"/>
      <c r="K588" s="2"/>
      <c r="L588" s="2"/>
      <c r="M588" s="2"/>
      <c r="N588" s="2"/>
      <c r="O588" s="2"/>
      <c r="P588" s="2"/>
      <c r="Q588" s="2"/>
      <c r="R588" s="2"/>
      <c r="S588" s="2"/>
      <c r="T588" s="2"/>
      <c r="U588" s="2"/>
      <c r="V588" s="2"/>
      <c r="W588" s="2"/>
      <c r="X588" s="2"/>
      <c r="Y588" s="2"/>
      <c r="Z588" s="2"/>
    </row>
    <row r="589">
      <c r="A589" s="5"/>
      <c r="B589" s="5"/>
      <c r="C589" s="5"/>
      <c r="D589" s="2"/>
      <c r="E589" s="2"/>
      <c r="F589" s="2"/>
      <c r="G589" s="2"/>
      <c r="H589" s="2"/>
      <c r="I589" s="2"/>
      <c r="J589" s="2"/>
      <c r="K589" s="2"/>
      <c r="L589" s="2"/>
      <c r="M589" s="2"/>
      <c r="N589" s="2"/>
      <c r="O589" s="2"/>
      <c r="P589" s="2"/>
      <c r="Q589" s="2"/>
      <c r="R589" s="2"/>
      <c r="S589" s="2"/>
      <c r="T589" s="2"/>
      <c r="U589" s="2"/>
      <c r="V589" s="2"/>
      <c r="W589" s="2"/>
      <c r="X589" s="2"/>
      <c r="Y589" s="2"/>
      <c r="Z589" s="2"/>
    </row>
    <row r="590">
      <c r="A590" s="5"/>
      <c r="B590" s="5"/>
      <c r="C590" s="5"/>
      <c r="D590" s="2"/>
      <c r="E590" s="2"/>
      <c r="F590" s="2"/>
      <c r="G590" s="2"/>
      <c r="H590" s="2"/>
      <c r="I590" s="2"/>
      <c r="J590" s="2"/>
      <c r="K590" s="2"/>
      <c r="L590" s="2"/>
      <c r="M590" s="2"/>
      <c r="N590" s="2"/>
      <c r="O590" s="2"/>
      <c r="P590" s="2"/>
      <c r="Q590" s="2"/>
      <c r="R590" s="2"/>
      <c r="S590" s="2"/>
      <c r="T590" s="2"/>
      <c r="U590" s="2"/>
      <c r="V590" s="2"/>
      <c r="W590" s="2"/>
      <c r="X590" s="2"/>
      <c r="Y590" s="2"/>
      <c r="Z590" s="2"/>
    </row>
    <row r="591">
      <c r="A591" s="5"/>
      <c r="B591" s="5"/>
      <c r="C591" s="5"/>
      <c r="D591" s="2"/>
      <c r="E591" s="2"/>
      <c r="F591" s="2"/>
      <c r="G591" s="2"/>
      <c r="H591" s="2"/>
      <c r="I591" s="2"/>
      <c r="J591" s="2"/>
      <c r="K591" s="2"/>
      <c r="L591" s="2"/>
      <c r="M591" s="2"/>
      <c r="N591" s="2"/>
      <c r="O591" s="2"/>
      <c r="P591" s="2"/>
      <c r="Q591" s="2"/>
      <c r="R591" s="2"/>
      <c r="S591" s="2"/>
      <c r="T591" s="2"/>
      <c r="U591" s="2"/>
      <c r="V591" s="2"/>
      <c r="W591" s="2"/>
      <c r="X591" s="2"/>
      <c r="Y591" s="2"/>
      <c r="Z591" s="2"/>
    </row>
    <row r="592">
      <c r="A592" s="5"/>
      <c r="B592" s="5"/>
      <c r="C592" s="5"/>
      <c r="D592" s="2"/>
      <c r="E592" s="2"/>
      <c r="F592" s="2"/>
      <c r="G592" s="2"/>
      <c r="H592" s="2"/>
      <c r="I592" s="2"/>
      <c r="J592" s="2"/>
      <c r="K592" s="2"/>
      <c r="L592" s="2"/>
      <c r="M592" s="2"/>
      <c r="N592" s="2"/>
      <c r="O592" s="2"/>
      <c r="P592" s="2"/>
      <c r="Q592" s="2"/>
      <c r="R592" s="2"/>
      <c r="S592" s="2"/>
      <c r="T592" s="2"/>
      <c r="U592" s="2"/>
      <c r="V592" s="2"/>
      <c r="W592" s="2"/>
      <c r="X592" s="2"/>
      <c r="Y592" s="2"/>
      <c r="Z592" s="2"/>
    </row>
    <row r="593">
      <c r="A593" s="5"/>
      <c r="B593" s="5"/>
      <c r="C593" s="5"/>
      <c r="D593" s="2"/>
      <c r="E593" s="2"/>
      <c r="F593" s="2"/>
      <c r="G593" s="2"/>
      <c r="H593" s="2"/>
      <c r="I593" s="2"/>
      <c r="J593" s="2"/>
      <c r="K593" s="2"/>
      <c r="L593" s="2"/>
      <c r="M593" s="2"/>
      <c r="N593" s="2"/>
      <c r="O593" s="2"/>
      <c r="P593" s="2"/>
      <c r="Q593" s="2"/>
      <c r="R593" s="2"/>
      <c r="S593" s="2"/>
      <c r="T593" s="2"/>
      <c r="U593" s="2"/>
      <c r="V593" s="2"/>
      <c r="W593" s="2"/>
      <c r="X593" s="2"/>
      <c r="Y593" s="2"/>
      <c r="Z593" s="2"/>
    </row>
    <row r="594">
      <c r="A594" s="5"/>
      <c r="B594" s="5"/>
      <c r="C594" s="5"/>
      <c r="D594" s="2"/>
      <c r="E594" s="2"/>
      <c r="F594" s="2"/>
      <c r="G594" s="2"/>
      <c r="H594" s="2"/>
      <c r="I594" s="2"/>
      <c r="J594" s="2"/>
      <c r="K594" s="2"/>
      <c r="L594" s="2"/>
      <c r="M594" s="2"/>
      <c r="N594" s="2"/>
      <c r="O594" s="2"/>
      <c r="P594" s="2"/>
      <c r="Q594" s="2"/>
      <c r="R594" s="2"/>
      <c r="S594" s="2"/>
      <c r="T594" s="2"/>
      <c r="U594" s="2"/>
      <c r="V594" s="2"/>
      <c r="W594" s="2"/>
      <c r="X594" s="2"/>
      <c r="Y594" s="2"/>
      <c r="Z594" s="2"/>
    </row>
    <row r="595">
      <c r="A595" s="5"/>
      <c r="B595" s="5"/>
      <c r="C595" s="5"/>
      <c r="D595" s="2"/>
      <c r="E595" s="2"/>
      <c r="F595" s="2"/>
      <c r="G595" s="2"/>
      <c r="H595" s="2"/>
      <c r="I595" s="2"/>
      <c r="J595" s="2"/>
      <c r="K595" s="2"/>
      <c r="L595" s="2"/>
      <c r="M595" s="2"/>
      <c r="N595" s="2"/>
      <c r="O595" s="2"/>
      <c r="P595" s="2"/>
      <c r="Q595" s="2"/>
      <c r="R595" s="2"/>
      <c r="S595" s="2"/>
      <c r="T595" s="2"/>
      <c r="U595" s="2"/>
      <c r="V595" s="2"/>
      <c r="W595" s="2"/>
      <c r="X595" s="2"/>
      <c r="Y595" s="2"/>
      <c r="Z595" s="2"/>
    </row>
    <row r="596">
      <c r="A596" s="5"/>
      <c r="B596" s="5"/>
      <c r="C596" s="5"/>
      <c r="D596" s="2"/>
      <c r="E596" s="2"/>
      <c r="F596" s="2"/>
      <c r="G596" s="2"/>
      <c r="H596" s="2"/>
      <c r="I596" s="2"/>
      <c r="J596" s="2"/>
      <c r="K596" s="2"/>
      <c r="L596" s="2"/>
      <c r="M596" s="2"/>
      <c r="N596" s="2"/>
      <c r="O596" s="2"/>
      <c r="P596" s="2"/>
      <c r="Q596" s="2"/>
      <c r="R596" s="2"/>
      <c r="S596" s="2"/>
      <c r="T596" s="2"/>
      <c r="U596" s="2"/>
      <c r="V596" s="2"/>
      <c r="W596" s="2"/>
      <c r="X596" s="2"/>
      <c r="Y596" s="2"/>
      <c r="Z596" s="2"/>
    </row>
    <row r="597">
      <c r="A597" s="5"/>
      <c r="B597" s="5"/>
      <c r="C597" s="5"/>
      <c r="D597" s="2"/>
      <c r="E597" s="2"/>
      <c r="F597" s="2"/>
      <c r="G597" s="2"/>
      <c r="H597" s="2"/>
      <c r="I597" s="2"/>
      <c r="J597" s="2"/>
      <c r="K597" s="2"/>
      <c r="L597" s="2"/>
      <c r="M597" s="2"/>
      <c r="N597" s="2"/>
      <c r="O597" s="2"/>
      <c r="P597" s="2"/>
      <c r="Q597" s="2"/>
      <c r="R597" s="2"/>
      <c r="S597" s="2"/>
      <c r="T597" s="2"/>
      <c r="U597" s="2"/>
      <c r="V597" s="2"/>
      <c r="W597" s="2"/>
      <c r="X597" s="2"/>
      <c r="Y597" s="2"/>
      <c r="Z597" s="2"/>
    </row>
    <row r="598">
      <c r="A598" s="5"/>
      <c r="B598" s="5"/>
      <c r="C598" s="5"/>
      <c r="D598" s="2"/>
      <c r="E598" s="2"/>
      <c r="F598" s="2"/>
      <c r="G598" s="2"/>
      <c r="H598" s="2"/>
      <c r="I598" s="2"/>
      <c r="J598" s="2"/>
      <c r="K598" s="2"/>
      <c r="L598" s="2"/>
      <c r="M598" s="2"/>
      <c r="N598" s="2"/>
      <c r="O598" s="2"/>
      <c r="P598" s="2"/>
      <c r="Q598" s="2"/>
      <c r="R598" s="2"/>
      <c r="S598" s="2"/>
      <c r="T598" s="2"/>
      <c r="U598" s="2"/>
      <c r="V598" s="2"/>
      <c r="W598" s="2"/>
      <c r="X598" s="2"/>
      <c r="Y598" s="2"/>
      <c r="Z598" s="2"/>
    </row>
    <row r="599">
      <c r="A599" s="5"/>
      <c r="B599" s="5"/>
      <c r="C599" s="5"/>
      <c r="D599" s="2"/>
      <c r="E599" s="2"/>
      <c r="F599" s="2"/>
      <c r="G599" s="2"/>
      <c r="H599" s="2"/>
      <c r="I599" s="2"/>
      <c r="J599" s="2"/>
      <c r="K599" s="2"/>
      <c r="L599" s="2"/>
      <c r="M599" s="2"/>
      <c r="N599" s="2"/>
      <c r="O599" s="2"/>
      <c r="P599" s="2"/>
      <c r="Q599" s="2"/>
      <c r="R599" s="2"/>
      <c r="S599" s="2"/>
      <c r="T599" s="2"/>
      <c r="U599" s="2"/>
      <c r="V599" s="2"/>
      <c r="W599" s="2"/>
      <c r="X599" s="2"/>
      <c r="Y599" s="2"/>
      <c r="Z599" s="2"/>
    </row>
    <row r="600">
      <c r="A600" s="5"/>
      <c r="B600" s="5"/>
      <c r="C600" s="5"/>
      <c r="D600" s="2"/>
      <c r="E600" s="2"/>
      <c r="F600" s="2"/>
      <c r="G600" s="2"/>
      <c r="H600" s="2"/>
      <c r="I600" s="2"/>
      <c r="J600" s="2"/>
      <c r="K600" s="2"/>
      <c r="L600" s="2"/>
      <c r="M600" s="2"/>
      <c r="N600" s="2"/>
      <c r="O600" s="2"/>
      <c r="P600" s="2"/>
      <c r="Q600" s="2"/>
      <c r="R600" s="2"/>
      <c r="S600" s="2"/>
      <c r="T600" s="2"/>
      <c r="U600" s="2"/>
      <c r="V600" s="2"/>
      <c r="W600" s="2"/>
      <c r="X600" s="2"/>
      <c r="Y600" s="2"/>
      <c r="Z600" s="2"/>
    </row>
    <row r="601">
      <c r="A601" s="5"/>
      <c r="B601" s="5"/>
      <c r="C601" s="5"/>
      <c r="D601" s="2"/>
      <c r="E601" s="2"/>
      <c r="F601" s="2"/>
      <c r="G601" s="2"/>
      <c r="H601" s="2"/>
      <c r="I601" s="2"/>
      <c r="J601" s="2"/>
      <c r="K601" s="2"/>
      <c r="L601" s="2"/>
      <c r="M601" s="2"/>
      <c r="N601" s="2"/>
      <c r="O601" s="2"/>
      <c r="P601" s="2"/>
      <c r="Q601" s="2"/>
      <c r="R601" s="2"/>
      <c r="S601" s="2"/>
      <c r="T601" s="2"/>
      <c r="U601" s="2"/>
      <c r="V601" s="2"/>
      <c r="W601" s="2"/>
      <c r="X601" s="2"/>
      <c r="Y601" s="2"/>
      <c r="Z601" s="2"/>
    </row>
    <row r="602">
      <c r="A602" s="5"/>
      <c r="B602" s="5"/>
      <c r="C602" s="5"/>
      <c r="D602" s="2"/>
      <c r="E602" s="2"/>
      <c r="F602" s="2"/>
      <c r="G602" s="2"/>
      <c r="H602" s="2"/>
      <c r="I602" s="2"/>
      <c r="J602" s="2"/>
      <c r="K602" s="2"/>
      <c r="L602" s="2"/>
      <c r="M602" s="2"/>
      <c r="N602" s="2"/>
      <c r="O602" s="2"/>
      <c r="P602" s="2"/>
      <c r="Q602" s="2"/>
      <c r="R602" s="2"/>
      <c r="S602" s="2"/>
      <c r="T602" s="2"/>
      <c r="U602" s="2"/>
      <c r="V602" s="2"/>
      <c r="W602" s="2"/>
      <c r="X602" s="2"/>
      <c r="Y602" s="2"/>
      <c r="Z602" s="2"/>
    </row>
    <row r="603">
      <c r="A603" s="5"/>
      <c r="B603" s="5"/>
      <c r="C603" s="5"/>
      <c r="D603" s="2"/>
      <c r="E603" s="2"/>
      <c r="F603" s="2"/>
      <c r="G603" s="2"/>
      <c r="H603" s="2"/>
      <c r="I603" s="2"/>
      <c r="J603" s="2"/>
      <c r="K603" s="2"/>
      <c r="L603" s="2"/>
      <c r="M603" s="2"/>
      <c r="N603" s="2"/>
      <c r="O603" s="2"/>
      <c r="P603" s="2"/>
      <c r="Q603" s="2"/>
      <c r="R603" s="2"/>
      <c r="S603" s="2"/>
      <c r="T603" s="2"/>
      <c r="U603" s="2"/>
      <c r="V603" s="2"/>
      <c r="W603" s="2"/>
      <c r="X603" s="2"/>
      <c r="Y603" s="2"/>
      <c r="Z603" s="2"/>
    </row>
    <row r="604">
      <c r="A604" s="5"/>
      <c r="B604" s="5"/>
      <c r="C604" s="5"/>
      <c r="D604" s="2"/>
      <c r="E604" s="2"/>
      <c r="F604" s="2"/>
      <c r="G604" s="2"/>
      <c r="H604" s="2"/>
      <c r="I604" s="2"/>
      <c r="J604" s="2"/>
      <c r="K604" s="2"/>
      <c r="L604" s="2"/>
      <c r="M604" s="2"/>
      <c r="N604" s="2"/>
      <c r="O604" s="2"/>
      <c r="P604" s="2"/>
      <c r="Q604" s="2"/>
      <c r="R604" s="2"/>
      <c r="S604" s="2"/>
      <c r="T604" s="2"/>
      <c r="U604" s="2"/>
      <c r="V604" s="2"/>
      <c r="W604" s="2"/>
      <c r="X604" s="2"/>
      <c r="Y604" s="2"/>
      <c r="Z604" s="2"/>
    </row>
    <row r="605">
      <c r="A605" s="5"/>
      <c r="B605" s="5"/>
      <c r="C605" s="5"/>
      <c r="D605" s="2"/>
      <c r="E605" s="2"/>
      <c r="F605" s="2"/>
      <c r="G605" s="2"/>
      <c r="H605" s="2"/>
      <c r="I605" s="2"/>
      <c r="J605" s="2"/>
      <c r="K605" s="2"/>
      <c r="L605" s="2"/>
      <c r="M605" s="2"/>
      <c r="N605" s="2"/>
      <c r="O605" s="2"/>
      <c r="P605" s="2"/>
      <c r="Q605" s="2"/>
      <c r="R605" s="2"/>
      <c r="S605" s="2"/>
      <c r="T605" s="2"/>
      <c r="U605" s="2"/>
      <c r="V605" s="2"/>
      <c r="W605" s="2"/>
      <c r="X605" s="2"/>
      <c r="Y605" s="2"/>
      <c r="Z605" s="2"/>
    </row>
    <row r="606">
      <c r="A606" s="5"/>
      <c r="B606" s="5"/>
      <c r="C606" s="5"/>
      <c r="D606" s="2"/>
      <c r="E606" s="2"/>
      <c r="F606" s="2"/>
      <c r="G606" s="2"/>
      <c r="H606" s="2"/>
      <c r="I606" s="2"/>
      <c r="J606" s="2"/>
      <c r="K606" s="2"/>
      <c r="L606" s="2"/>
      <c r="M606" s="2"/>
      <c r="N606" s="2"/>
      <c r="O606" s="2"/>
      <c r="P606" s="2"/>
      <c r="Q606" s="2"/>
      <c r="R606" s="2"/>
      <c r="S606" s="2"/>
      <c r="T606" s="2"/>
      <c r="U606" s="2"/>
      <c r="V606" s="2"/>
      <c r="W606" s="2"/>
      <c r="X606" s="2"/>
      <c r="Y606" s="2"/>
      <c r="Z606" s="2"/>
    </row>
    <row r="607">
      <c r="A607" s="5"/>
      <c r="B607" s="5"/>
      <c r="C607" s="5"/>
      <c r="D607" s="2"/>
      <c r="E607" s="2"/>
      <c r="F607" s="2"/>
      <c r="G607" s="2"/>
      <c r="H607" s="2"/>
      <c r="I607" s="2"/>
      <c r="J607" s="2"/>
      <c r="K607" s="2"/>
      <c r="L607" s="2"/>
      <c r="M607" s="2"/>
      <c r="N607" s="2"/>
      <c r="O607" s="2"/>
      <c r="P607" s="2"/>
      <c r="Q607" s="2"/>
      <c r="R607" s="2"/>
      <c r="S607" s="2"/>
      <c r="T607" s="2"/>
      <c r="U607" s="2"/>
      <c r="V607" s="2"/>
      <c r="W607" s="2"/>
      <c r="X607" s="2"/>
      <c r="Y607" s="2"/>
      <c r="Z607" s="2"/>
    </row>
    <row r="608">
      <c r="A608" s="5"/>
      <c r="B608" s="5"/>
      <c r="C608" s="5"/>
      <c r="D608" s="2"/>
      <c r="E608" s="2"/>
      <c r="F608" s="2"/>
      <c r="G608" s="2"/>
      <c r="H608" s="2"/>
      <c r="I608" s="2"/>
      <c r="J608" s="2"/>
      <c r="K608" s="2"/>
      <c r="L608" s="2"/>
      <c r="M608" s="2"/>
      <c r="N608" s="2"/>
      <c r="O608" s="2"/>
      <c r="P608" s="2"/>
      <c r="Q608" s="2"/>
      <c r="R608" s="2"/>
      <c r="S608" s="2"/>
      <c r="T608" s="2"/>
      <c r="U608" s="2"/>
      <c r="V608" s="2"/>
      <c r="W608" s="2"/>
      <c r="X608" s="2"/>
      <c r="Y608" s="2"/>
      <c r="Z608" s="2"/>
    </row>
    <row r="609">
      <c r="A609" s="5"/>
      <c r="B609" s="5"/>
      <c r="C609" s="5"/>
      <c r="D609" s="2"/>
      <c r="E609" s="2"/>
      <c r="F609" s="2"/>
      <c r="G609" s="2"/>
      <c r="H609" s="2"/>
      <c r="I609" s="2"/>
      <c r="J609" s="2"/>
      <c r="K609" s="2"/>
      <c r="L609" s="2"/>
      <c r="M609" s="2"/>
      <c r="N609" s="2"/>
      <c r="O609" s="2"/>
      <c r="P609" s="2"/>
      <c r="Q609" s="2"/>
      <c r="R609" s="2"/>
      <c r="S609" s="2"/>
      <c r="T609" s="2"/>
      <c r="U609" s="2"/>
      <c r="V609" s="2"/>
      <c r="W609" s="2"/>
      <c r="X609" s="2"/>
      <c r="Y609" s="2"/>
      <c r="Z609" s="2"/>
    </row>
    <row r="610">
      <c r="A610" s="5"/>
      <c r="B610" s="5"/>
      <c r="C610" s="5"/>
      <c r="D610" s="2"/>
      <c r="E610" s="2"/>
      <c r="F610" s="2"/>
      <c r="G610" s="2"/>
      <c r="H610" s="2"/>
      <c r="I610" s="2"/>
      <c r="J610" s="2"/>
      <c r="K610" s="2"/>
      <c r="L610" s="2"/>
      <c r="M610" s="2"/>
      <c r="N610" s="2"/>
      <c r="O610" s="2"/>
      <c r="P610" s="2"/>
      <c r="Q610" s="2"/>
      <c r="R610" s="2"/>
      <c r="S610" s="2"/>
      <c r="T610" s="2"/>
      <c r="U610" s="2"/>
      <c r="V610" s="2"/>
      <c r="W610" s="2"/>
      <c r="X610" s="2"/>
      <c r="Y610" s="2"/>
      <c r="Z610" s="2"/>
    </row>
    <row r="611">
      <c r="A611" s="5"/>
      <c r="B611" s="5"/>
      <c r="C611" s="5"/>
      <c r="D611" s="2"/>
      <c r="E611" s="2"/>
      <c r="F611" s="2"/>
      <c r="G611" s="2"/>
      <c r="H611" s="2"/>
      <c r="I611" s="2"/>
      <c r="J611" s="2"/>
      <c r="K611" s="2"/>
      <c r="L611" s="2"/>
      <c r="M611" s="2"/>
      <c r="N611" s="2"/>
      <c r="O611" s="2"/>
      <c r="P611" s="2"/>
      <c r="Q611" s="2"/>
      <c r="R611" s="2"/>
      <c r="S611" s="2"/>
      <c r="T611" s="2"/>
      <c r="U611" s="2"/>
      <c r="V611" s="2"/>
      <c r="W611" s="2"/>
      <c r="X611" s="2"/>
      <c r="Y611" s="2"/>
      <c r="Z611" s="2"/>
    </row>
    <row r="612">
      <c r="A612" s="5"/>
      <c r="B612" s="5"/>
      <c r="C612" s="5"/>
      <c r="D612" s="2"/>
      <c r="E612" s="2"/>
      <c r="F612" s="2"/>
      <c r="G612" s="2"/>
      <c r="H612" s="2"/>
      <c r="I612" s="2"/>
      <c r="J612" s="2"/>
      <c r="K612" s="2"/>
      <c r="L612" s="2"/>
      <c r="M612" s="2"/>
      <c r="N612" s="2"/>
      <c r="O612" s="2"/>
      <c r="P612" s="2"/>
      <c r="Q612" s="2"/>
      <c r="R612" s="2"/>
      <c r="S612" s="2"/>
      <c r="T612" s="2"/>
      <c r="U612" s="2"/>
      <c r="V612" s="2"/>
      <c r="W612" s="2"/>
      <c r="X612" s="2"/>
      <c r="Y612" s="2"/>
      <c r="Z612" s="2"/>
    </row>
    <row r="613">
      <c r="A613" s="5"/>
      <c r="B613" s="5"/>
      <c r="C613" s="5"/>
      <c r="D613" s="2"/>
      <c r="E613" s="2"/>
      <c r="F613" s="2"/>
      <c r="G613" s="2"/>
      <c r="H613" s="2"/>
      <c r="I613" s="2"/>
      <c r="J613" s="2"/>
      <c r="K613" s="2"/>
      <c r="L613" s="2"/>
      <c r="M613" s="2"/>
      <c r="N613" s="2"/>
      <c r="O613" s="2"/>
      <c r="P613" s="2"/>
      <c r="Q613" s="2"/>
      <c r="R613" s="2"/>
      <c r="S613" s="2"/>
      <c r="T613" s="2"/>
      <c r="U613" s="2"/>
      <c r="V613" s="2"/>
      <c r="W613" s="2"/>
      <c r="X613" s="2"/>
      <c r="Y613" s="2"/>
      <c r="Z613" s="2"/>
    </row>
    <row r="614">
      <c r="A614" s="5"/>
      <c r="B614" s="5"/>
      <c r="C614" s="5"/>
      <c r="D614" s="2"/>
      <c r="E614" s="2"/>
      <c r="F614" s="2"/>
      <c r="G614" s="2"/>
      <c r="H614" s="2"/>
      <c r="I614" s="2"/>
      <c r="J614" s="2"/>
      <c r="K614" s="2"/>
      <c r="L614" s="2"/>
      <c r="M614" s="2"/>
      <c r="N614" s="2"/>
      <c r="O614" s="2"/>
      <c r="P614" s="2"/>
      <c r="Q614" s="2"/>
      <c r="R614" s="2"/>
      <c r="S614" s="2"/>
      <c r="T614" s="2"/>
      <c r="U614" s="2"/>
      <c r="V614" s="2"/>
      <c r="W614" s="2"/>
      <c r="X614" s="2"/>
      <c r="Y614" s="2"/>
      <c r="Z614" s="2"/>
    </row>
    <row r="615">
      <c r="A615" s="5"/>
      <c r="B615" s="5"/>
      <c r="C615" s="5"/>
      <c r="D615" s="2"/>
      <c r="E615" s="2"/>
      <c r="F615" s="2"/>
      <c r="G615" s="2"/>
      <c r="H615" s="2"/>
      <c r="I615" s="2"/>
      <c r="J615" s="2"/>
      <c r="K615" s="2"/>
      <c r="L615" s="2"/>
      <c r="M615" s="2"/>
      <c r="N615" s="2"/>
      <c r="O615" s="2"/>
      <c r="P615" s="2"/>
      <c r="Q615" s="2"/>
      <c r="R615" s="2"/>
      <c r="S615" s="2"/>
      <c r="T615" s="2"/>
      <c r="U615" s="2"/>
      <c r="V615" s="2"/>
      <c r="W615" s="2"/>
      <c r="X615" s="2"/>
      <c r="Y615" s="2"/>
      <c r="Z615" s="2"/>
    </row>
    <row r="616">
      <c r="A616" s="5"/>
      <c r="B616" s="5"/>
      <c r="C616" s="5"/>
      <c r="D616" s="2"/>
      <c r="E616" s="2"/>
      <c r="F616" s="2"/>
      <c r="G616" s="2"/>
      <c r="H616" s="2"/>
      <c r="I616" s="2"/>
      <c r="J616" s="2"/>
      <c r="K616" s="2"/>
      <c r="L616" s="2"/>
      <c r="M616" s="2"/>
      <c r="N616" s="2"/>
      <c r="O616" s="2"/>
      <c r="P616" s="2"/>
      <c r="Q616" s="2"/>
      <c r="R616" s="2"/>
      <c r="S616" s="2"/>
      <c r="T616" s="2"/>
      <c r="U616" s="2"/>
      <c r="V616" s="2"/>
      <c r="W616" s="2"/>
      <c r="X616" s="2"/>
      <c r="Y616" s="2"/>
      <c r="Z616" s="2"/>
    </row>
    <row r="617">
      <c r="A617" s="5"/>
      <c r="B617" s="5"/>
      <c r="C617" s="5"/>
      <c r="D617" s="2"/>
      <c r="E617" s="2"/>
      <c r="F617" s="2"/>
      <c r="G617" s="2"/>
      <c r="H617" s="2"/>
      <c r="I617" s="2"/>
      <c r="J617" s="2"/>
      <c r="K617" s="2"/>
      <c r="L617" s="2"/>
      <c r="M617" s="2"/>
      <c r="N617" s="2"/>
      <c r="O617" s="2"/>
      <c r="P617" s="2"/>
      <c r="Q617" s="2"/>
      <c r="R617" s="2"/>
      <c r="S617" s="2"/>
      <c r="T617" s="2"/>
      <c r="U617" s="2"/>
      <c r="V617" s="2"/>
      <c r="W617" s="2"/>
      <c r="X617" s="2"/>
      <c r="Y617" s="2"/>
      <c r="Z617" s="2"/>
    </row>
    <row r="618">
      <c r="A618" s="5"/>
      <c r="B618" s="5"/>
      <c r="C618" s="5"/>
      <c r="D618" s="2"/>
      <c r="E618" s="2"/>
      <c r="F618" s="2"/>
      <c r="G618" s="2"/>
      <c r="H618" s="2"/>
      <c r="I618" s="2"/>
      <c r="J618" s="2"/>
      <c r="K618" s="2"/>
      <c r="L618" s="2"/>
      <c r="M618" s="2"/>
      <c r="N618" s="2"/>
      <c r="O618" s="2"/>
      <c r="P618" s="2"/>
      <c r="Q618" s="2"/>
      <c r="R618" s="2"/>
      <c r="S618" s="2"/>
      <c r="T618" s="2"/>
      <c r="U618" s="2"/>
      <c r="V618" s="2"/>
      <c r="W618" s="2"/>
      <c r="X618" s="2"/>
      <c r="Y618" s="2"/>
      <c r="Z618" s="2"/>
    </row>
    <row r="619">
      <c r="A619" s="5"/>
      <c r="B619" s="5"/>
      <c r="C619" s="5"/>
      <c r="D619" s="2"/>
      <c r="E619" s="2"/>
      <c r="F619" s="2"/>
      <c r="G619" s="2"/>
      <c r="H619" s="2"/>
      <c r="I619" s="2"/>
      <c r="J619" s="2"/>
      <c r="K619" s="2"/>
      <c r="L619" s="2"/>
      <c r="M619" s="2"/>
      <c r="N619" s="2"/>
      <c r="O619" s="2"/>
      <c r="P619" s="2"/>
      <c r="Q619" s="2"/>
      <c r="R619" s="2"/>
      <c r="S619" s="2"/>
      <c r="T619" s="2"/>
      <c r="U619" s="2"/>
      <c r="V619" s="2"/>
      <c r="W619" s="2"/>
      <c r="X619" s="2"/>
      <c r="Y619" s="2"/>
      <c r="Z619" s="2"/>
    </row>
    <row r="620">
      <c r="A620" s="5"/>
      <c r="B620" s="5"/>
      <c r="C620" s="5"/>
      <c r="D620" s="2"/>
      <c r="E620" s="2"/>
      <c r="F620" s="2"/>
      <c r="G620" s="2"/>
      <c r="H620" s="2"/>
      <c r="I620" s="2"/>
      <c r="J620" s="2"/>
      <c r="K620" s="2"/>
      <c r="L620" s="2"/>
      <c r="M620" s="2"/>
      <c r="N620" s="2"/>
      <c r="O620" s="2"/>
      <c r="P620" s="2"/>
      <c r="Q620" s="2"/>
      <c r="R620" s="2"/>
      <c r="S620" s="2"/>
      <c r="T620" s="2"/>
      <c r="U620" s="2"/>
      <c r="V620" s="2"/>
      <c r="W620" s="2"/>
      <c r="X620" s="2"/>
      <c r="Y620" s="2"/>
      <c r="Z620" s="2"/>
    </row>
    <row r="621">
      <c r="A621" s="5"/>
      <c r="B621" s="5"/>
      <c r="C621" s="5"/>
      <c r="D621" s="2"/>
      <c r="E621" s="2"/>
      <c r="F621" s="2"/>
      <c r="G621" s="2"/>
      <c r="H621" s="2"/>
      <c r="I621" s="2"/>
      <c r="J621" s="2"/>
      <c r="K621" s="2"/>
      <c r="L621" s="2"/>
      <c r="M621" s="2"/>
      <c r="N621" s="2"/>
      <c r="O621" s="2"/>
      <c r="P621" s="2"/>
      <c r="Q621" s="2"/>
      <c r="R621" s="2"/>
      <c r="S621" s="2"/>
      <c r="T621" s="2"/>
      <c r="U621" s="2"/>
      <c r="V621" s="2"/>
      <c r="W621" s="2"/>
      <c r="X621" s="2"/>
      <c r="Y621" s="2"/>
      <c r="Z621" s="2"/>
    </row>
    <row r="622">
      <c r="A622" s="5"/>
      <c r="B622" s="5"/>
      <c r="C622" s="5"/>
      <c r="D622" s="2"/>
      <c r="E622" s="2"/>
      <c r="F622" s="2"/>
      <c r="G622" s="2"/>
      <c r="H622" s="2"/>
      <c r="I622" s="2"/>
      <c r="J622" s="2"/>
      <c r="K622" s="2"/>
      <c r="L622" s="2"/>
      <c r="M622" s="2"/>
      <c r="N622" s="2"/>
      <c r="O622" s="2"/>
      <c r="P622" s="2"/>
      <c r="Q622" s="2"/>
      <c r="R622" s="2"/>
      <c r="S622" s="2"/>
      <c r="T622" s="2"/>
      <c r="U622" s="2"/>
      <c r="V622" s="2"/>
      <c r="W622" s="2"/>
      <c r="X622" s="2"/>
      <c r="Y622" s="2"/>
      <c r="Z622" s="2"/>
    </row>
    <row r="623">
      <c r="A623" s="5"/>
      <c r="B623" s="5"/>
      <c r="C623" s="5"/>
      <c r="D623" s="2"/>
      <c r="E623" s="2"/>
      <c r="F623" s="2"/>
      <c r="G623" s="2"/>
      <c r="H623" s="2"/>
      <c r="I623" s="2"/>
      <c r="J623" s="2"/>
      <c r="K623" s="2"/>
      <c r="L623" s="2"/>
      <c r="M623" s="2"/>
      <c r="N623" s="2"/>
      <c r="O623" s="2"/>
      <c r="P623" s="2"/>
      <c r="Q623" s="2"/>
      <c r="R623" s="2"/>
      <c r="S623" s="2"/>
      <c r="T623" s="2"/>
      <c r="U623" s="2"/>
      <c r="V623" s="2"/>
      <c r="W623" s="2"/>
      <c r="X623" s="2"/>
      <c r="Y623" s="2"/>
      <c r="Z623" s="2"/>
    </row>
    <row r="624">
      <c r="A624" s="5"/>
      <c r="B624" s="5"/>
      <c r="C624" s="5"/>
      <c r="D624" s="2"/>
      <c r="E624" s="2"/>
      <c r="F624" s="2"/>
      <c r="G624" s="2"/>
      <c r="H624" s="2"/>
      <c r="I624" s="2"/>
      <c r="J624" s="2"/>
      <c r="K624" s="2"/>
      <c r="L624" s="2"/>
      <c r="M624" s="2"/>
      <c r="N624" s="2"/>
      <c r="O624" s="2"/>
      <c r="P624" s="2"/>
      <c r="Q624" s="2"/>
      <c r="R624" s="2"/>
      <c r="S624" s="2"/>
      <c r="T624" s="2"/>
      <c r="U624" s="2"/>
      <c r="V624" s="2"/>
      <c r="W624" s="2"/>
      <c r="X624" s="2"/>
      <c r="Y624" s="2"/>
      <c r="Z624" s="2"/>
    </row>
    <row r="625">
      <c r="A625" s="5"/>
      <c r="B625" s="5"/>
      <c r="C625" s="5"/>
      <c r="D625" s="2"/>
      <c r="E625" s="2"/>
      <c r="F625" s="2"/>
      <c r="G625" s="2"/>
      <c r="H625" s="2"/>
      <c r="I625" s="2"/>
      <c r="J625" s="2"/>
      <c r="K625" s="2"/>
      <c r="L625" s="2"/>
      <c r="M625" s="2"/>
      <c r="N625" s="2"/>
      <c r="O625" s="2"/>
      <c r="P625" s="2"/>
      <c r="Q625" s="2"/>
      <c r="R625" s="2"/>
      <c r="S625" s="2"/>
      <c r="T625" s="2"/>
      <c r="U625" s="2"/>
      <c r="V625" s="2"/>
      <c r="W625" s="2"/>
      <c r="X625" s="2"/>
      <c r="Y625" s="2"/>
      <c r="Z625" s="2"/>
    </row>
    <row r="626">
      <c r="A626" s="5"/>
      <c r="B626" s="5"/>
      <c r="C626" s="5"/>
      <c r="D626" s="2"/>
      <c r="E626" s="2"/>
      <c r="F626" s="2"/>
      <c r="G626" s="2"/>
      <c r="H626" s="2"/>
      <c r="I626" s="2"/>
      <c r="J626" s="2"/>
      <c r="K626" s="2"/>
      <c r="L626" s="2"/>
      <c r="M626" s="2"/>
      <c r="N626" s="2"/>
      <c r="O626" s="2"/>
      <c r="P626" s="2"/>
      <c r="Q626" s="2"/>
      <c r="R626" s="2"/>
      <c r="S626" s="2"/>
      <c r="T626" s="2"/>
      <c r="U626" s="2"/>
      <c r="V626" s="2"/>
      <c r="W626" s="2"/>
      <c r="X626" s="2"/>
      <c r="Y626" s="2"/>
      <c r="Z626" s="2"/>
    </row>
    <row r="627">
      <c r="A627" s="5"/>
      <c r="B627" s="5"/>
      <c r="C627" s="5"/>
      <c r="D627" s="2"/>
      <c r="E627" s="2"/>
      <c r="F627" s="2"/>
      <c r="G627" s="2"/>
      <c r="H627" s="2"/>
      <c r="I627" s="2"/>
      <c r="J627" s="2"/>
      <c r="K627" s="2"/>
      <c r="L627" s="2"/>
      <c r="M627" s="2"/>
      <c r="N627" s="2"/>
      <c r="O627" s="2"/>
      <c r="P627" s="2"/>
      <c r="Q627" s="2"/>
      <c r="R627" s="2"/>
      <c r="S627" s="2"/>
      <c r="T627" s="2"/>
      <c r="U627" s="2"/>
      <c r="V627" s="2"/>
      <c r="W627" s="2"/>
      <c r="X627" s="2"/>
      <c r="Y627" s="2"/>
      <c r="Z627" s="2"/>
    </row>
    <row r="628">
      <c r="A628" s="5"/>
      <c r="B628" s="5"/>
      <c r="C628" s="5"/>
      <c r="D628" s="2"/>
      <c r="E628" s="2"/>
      <c r="F628" s="2"/>
      <c r="G628" s="2"/>
      <c r="H628" s="2"/>
      <c r="I628" s="2"/>
      <c r="J628" s="2"/>
      <c r="K628" s="2"/>
      <c r="L628" s="2"/>
      <c r="M628" s="2"/>
      <c r="N628" s="2"/>
      <c r="O628" s="2"/>
      <c r="P628" s="2"/>
      <c r="Q628" s="2"/>
      <c r="R628" s="2"/>
      <c r="S628" s="2"/>
      <c r="T628" s="2"/>
      <c r="U628" s="2"/>
      <c r="V628" s="2"/>
      <c r="W628" s="2"/>
      <c r="X628" s="2"/>
      <c r="Y628" s="2"/>
      <c r="Z628" s="2"/>
    </row>
    <row r="629">
      <c r="A629" s="5"/>
      <c r="B629" s="5"/>
      <c r="C629" s="5"/>
      <c r="D629" s="2"/>
      <c r="E629" s="2"/>
      <c r="F629" s="2"/>
      <c r="G629" s="2"/>
      <c r="H629" s="2"/>
      <c r="I629" s="2"/>
      <c r="J629" s="2"/>
      <c r="K629" s="2"/>
      <c r="L629" s="2"/>
      <c r="M629" s="2"/>
      <c r="N629" s="2"/>
      <c r="O629" s="2"/>
      <c r="P629" s="2"/>
      <c r="Q629" s="2"/>
      <c r="R629" s="2"/>
      <c r="S629" s="2"/>
      <c r="T629" s="2"/>
      <c r="U629" s="2"/>
      <c r="V629" s="2"/>
      <c r="W629" s="2"/>
      <c r="X629" s="2"/>
      <c r="Y629" s="2"/>
      <c r="Z629" s="2"/>
    </row>
    <row r="630">
      <c r="A630" s="5"/>
      <c r="B630" s="5"/>
      <c r="C630" s="5"/>
      <c r="D630" s="2"/>
      <c r="E630" s="2"/>
      <c r="F630" s="2"/>
      <c r="G630" s="2"/>
      <c r="H630" s="2"/>
      <c r="I630" s="2"/>
      <c r="J630" s="2"/>
      <c r="K630" s="2"/>
      <c r="L630" s="2"/>
      <c r="M630" s="2"/>
      <c r="N630" s="2"/>
      <c r="O630" s="2"/>
      <c r="P630" s="2"/>
      <c r="Q630" s="2"/>
      <c r="R630" s="2"/>
      <c r="S630" s="2"/>
      <c r="T630" s="2"/>
      <c r="U630" s="2"/>
      <c r="V630" s="2"/>
      <c r="W630" s="2"/>
      <c r="X630" s="2"/>
      <c r="Y630" s="2"/>
      <c r="Z630" s="2"/>
    </row>
    <row r="631">
      <c r="A631" s="5"/>
      <c r="B631" s="5"/>
      <c r="C631" s="5"/>
      <c r="D631" s="2"/>
      <c r="E631" s="2"/>
      <c r="F631" s="2"/>
      <c r="G631" s="2"/>
      <c r="H631" s="2"/>
      <c r="I631" s="2"/>
      <c r="J631" s="2"/>
      <c r="K631" s="2"/>
      <c r="L631" s="2"/>
      <c r="M631" s="2"/>
      <c r="N631" s="2"/>
      <c r="O631" s="2"/>
      <c r="P631" s="2"/>
      <c r="Q631" s="2"/>
      <c r="R631" s="2"/>
      <c r="S631" s="2"/>
      <c r="T631" s="2"/>
      <c r="U631" s="2"/>
      <c r="V631" s="2"/>
      <c r="W631" s="2"/>
      <c r="X631" s="2"/>
      <c r="Y631" s="2"/>
      <c r="Z631" s="2"/>
    </row>
    <row r="632">
      <c r="A632" s="5"/>
      <c r="B632" s="5"/>
      <c r="C632" s="5"/>
      <c r="D632" s="2"/>
      <c r="E632" s="2"/>
      <c r="F632" s="2"/>
      <c r="G632" s="2"/>
      <c r="H632" s="2"/>
      <c r="I632" s="2"/>
      <c r="J632" s="2"/>
      <c r="K632" s="2"/>
      <c r="L632" s="2"/>
      <c r="M632" s="2"/>
      <c r="N632" s="2"/>
      <c r="O632" s="2"/>
      <c r="P632" s="2"/>
      <c r="Q632" s="2"/>
      <c r="R632" s="2"/>
      <c r="S632" s="2"/>
      <c r="T632" s="2"/>
      <c r="U632" s="2"/>
      <c r="V632" s="2"/>
      <c r="W632" s="2"/>
      <c r="X632" s="2"/>
      <c r="Y632" s="2"/>
      <c r="Z632" s="2"/>
    </row>
    <row r="633">
      <c r="A633" s="5"/>
      <c r="B633" s="5"/>
      <c r="C633" s="5"/>
      <c r="D633" s="2"/>
      <c r="E633" s="2"/>
      <c r="F633" s="2"/>
      <c r="G633" s="2"/>
      <c r="H633" s="2"/>
      <c r="I633" s="2"/>
      <c r="J633" s="2"/>
      <c r="K633" s="2"/>
      <c r="L633" s="2"/>
      <c r="M633" s="2"/>
      <c r="N633" s="2"/>
      <c r="O633" s="2"/>
      <c r="P633" s="2"/>
      <c r="Q633" s="2"/>
      <c r="R633" s="2"/>
      <c r="S633" s="2"/>
      <c r="T633" s="2"/>
      <c r="U633" s="2"/>
      <c r="V633" s="2"/>
      <c r="W633" s="2"/>
      <c r="X633" s="2"/>
      <c r="Y633" s="2"/>
      <c r="Z633" s="2"/>
    </row>
    <row r="634">
      <c r="A634" s="5"/>
      <c r="B634" s="5"/>
      <c r="C634" s="5"/>
      <c r="D634" s="2"/>
      <c r="E634" s="2"/>
      <c r="F634" s="2"/>
      <c r="G634" s="2"/>
      <c r="H634" s="2"/>
      <c r="I634" s="2"/>
      <c r="J634" s="2"/>
      <c r="K634" s="2"/>
      <c r="L634" s="2"/>
      <c r="M634" s="2"/>
      <c r="N634" s="2"/>
      <c r="O634" s="2"/>
      <c r="P634" s="2"/>
      <c r="Q634" s="2"/>
      <c r="R634" s="2"/>
      <c r="S634" s="2"/>
      <c r="T634" s="2"/>
      <c r="U634" s="2"/>
      <c r="V634" s="2"/>
      <c r="W634" s="2"/>
      <c r="X634" s="2"/>
      <c r="Y634" s="2"/>
      <c r="Z634" s="2"/>
    </row>
    <row r="635">
      <c r="A635" s="5"/>
      <c r="B635" s="5"/>
      <c r="C635" s="5"/>
      <c r="D635" s="2"/>
      <c r="E635" s="2"/>
      <c r="F635" s="2"/>
      <c r="G635" s="2"/>
      <c r="H635" s="2"/>
      <c r="I635" s="2"/>
      <c r="J635" s="2"/>
      <c r="K635" s="2"/>
      <c r="L635" s="2"/>
      <c r="M635" s="2"/>
      <c r="N635" s="2"/>
      <c r="O635" s="2"/>
      <c r="P635" s="2"/>
      <c r="Q635" s="2"/>
      <c r="R635" s="2"/>
      <c r="S635" s="2"/>
      <c r="T635" s="2"/>
      <c r="U635" s="2"/>
      <c r="V635" s="2"/>
      <c r="W635" s="2"/>
      <c r="X635" s="2"/>
      <c r="Y635" s="2"/>
      <c r="Z635" s="2"/>
    </row>
    <row r="636">
      <c r="A636" s="5"/>
      <c r="B636" s="5"/>
      <c r="C636" s="5"/>
      <c r="D636" s="2"/>
      <c r="E636" s="2"/>
      <c r="F636" s="2"/>
      <c r="G636" s="2"/>
      <c r="H636" s="2"/>
      <c r="I636" s="2"/>
      <c r="J636" s="2"/>
      <c r="K636" s="2"/>
      <c r="L636" s="2"/>
      <c r="M636" s="2"/>
      <c r="N636" s="2"/>
      <c r="O636" s="2"/>
      <c r="P636" s="2"/>
      <c r="Q636" s="2"/>
      <c r="R636" s="2"/>
      <c r="S636" s="2"/>
      <c r="T636" s="2"/>
      <c r="U636" s="2"/>
      <c r="V636" s="2"/>
      <c r="W636" s="2"/>
      <c r="X636" s="2"/>
      <c r="Y636" s="2"/>
      <c r="Z636" s="2"/>
    </row>
    <row r="637">
      <c r="A637" s="5"/>
      <c r="B637" s="5"/>
      <c r="C637" s="5"/>
      <c r="D637" s="2"/>
      <c r="E637" s="2"/>
      <c r="F637" s="2"/>
      <c r="G637" s="2"/>
      <c r="H637" s="2"/>
      <c r="I637" s="2"/>
      <c r="J637" s="2"/>
      <c r="K637" s="2"/>
      <c r="L637" s="2"/>
      <c r="M637" s="2"/>
      <c r="N637" s="2"/>
      <c r="O637" s="2"/>
      <c r="P637" s="2"/>
      <c r="Q637" s="2"/>
      <c r="R637" s="2"/>
      <c r="S637" s="2"/>
      <c r="T637" s="2"/>
      <c r="U637" s="2"/>
      <c r="V637" s="2"/>
      <c r="W637" s="2"/>
      <c r="X637" s="2"/>
      <c r="Y637" s="2"/>
      <c r="Z637" s="2"/>
    </row>
    <row r="638">
      <c r="A638" s="5"/>
      <c r="B638" s="5"/>
      <c r="C638" s="5"/>
      <c r="D638" s="2"/>
      <c r="E638" s="2"/>
      <c r="F638" s="2"/>
      <c r="G638" s="2"/>
      <c r="H638" s="2"/>
      <c r="I638" s="2"/>
      <c r="J638" s="2"/>
      <c r="K638" s="2"/>
      <c r="L638" s="2"/>
      <c r="M638" s="2"/>
      <c r="N638" s="2"/>
      <c r="O638" s="2"/>
      <c r="P638" s="2"/>
      <c r="Q638" s="2"/>
      <c r="R638" s="2"/>
      <c r="S638" s="2"/>
      <c r="T638" s="2"/>
      <c r="U638" s="2"/>
      <c r="V638" s="2"/>
      <c r="W638" s="2"/>
      <c r="X638" s="2"/>
      <c r="Y638" s="2"/>
      <c r="Z638" s="2"/>
    </row>
    <row r="639">
      <c r="A639" s="5"/>
      <c r="B639" s="5"/>
      <c r="C639" s="5"/>
      <c r="D639" s="2"/>
      <c r="E639" s="2"/>
      <c r="F639" s="2"/>
      <c r="G639" s="2"/>
      <c r="H639" s="2"/>
      <c r="I639" s="2"/>
      <c r="J639" s="2"/>
      <c r="K639" s="2"/>
      <c r="L639" s="2"/>
      <c r="M639" s="2"/>
      <c r="N639" s="2"/>
      <c r="O639" s="2"/>
      <c r="P639" s="2"/>
      <c r="Q639" s="2"/>
      <c r="R639" s="2"/>
      <c r="S639" s="2"/>
      <c r="T639" s="2"/>
      <c r="U639" s="2"/>
      <c r="V639" s="2"/>
      <c r="W639" s="2"/>
      <c r="X639" s="2"/>
      <c r="Y639" s="2"/>
      <c r="Z639" s="2"/>
    </row>
    <row r="640">
      <c r="A640" s="5"/>
      <c r="B640" s="5"/>
      <c r="C640" s="5"/>
      <c r="D640" s="2"/>
      <c r="E640" s="2"/>
      <c r="F640" s="2"/>
      <c r="G640" s="2"/>
      <c r="H640" s="2"/>
      <c r="I640" s="2"/>
      <c r="J640" s="2"/>
      <c r="K640" s="2"/>
      <c r="L640" s="2"/>
      <c r="M640" s="2"/>
      <c r="N640" s="2"/>
      <c r="O640" s="2"/>
      <c r="P640" s="2"/>
      <c r="Q640" s="2"/>
      <c r="R640" s="2"/>
      <c r="S640" s="2"/>
      <c r="T640" s="2"/>
      <c r="U640" s="2"/>
      <c r="V640" s="2"/>
      <c r="W640" s="2"/>
      <c r="X640" s="2"/>
      <c r="Y640" s="2"/>
      <c r="Z640" s="2"/>
    </row>
    <row r="641">
      <c r="A641" s="5"/>
      <c r="B641" s="5"/>
      <c r="C641" s="5"/>
      <c r="D641" s="2"/>
      <c r="E641" s="2"/>
      <c r="F641" s="2"/>
      <c r="G641" s="2"/>
      <c r="H641" s="2"/>
      <c r="I641" s="2"/>
      <c r="J641" s="2"/>
      <c r="K641" s="2"/>
      <c r="L641" s="2"/>
      <c r="M641" s="2"/>
      <c r="N641" s="2"/>
      <c r="O641" s="2"/>
      <c r="P641" s="2"/>
      <c r="Q641" s="2"/>
      <c r="R641" s="2"/>
      <c r="S641" s="2"/>
      <c r="T641" s="2"/>
      <c r="U641" s="2"/>
      <c r="V641" s="2"/>
      <c r="W641" s="2"/>
      <c r="X641" s="2"/>
      <c r="Y641" s="2"/>
      <c r="Z641" s="2"/>
    </row>
    <row r="642">
      <c r="A642" s="5"/>
      <c r="B642" s="5"/>
      <c r="C642" s="5"/>
      <c r="D642" s="2"/>
      <c r="E642" s="2"/>
      <c r="F642" s="2"/>
      <c r="G642" s="2"/>
      <c r="H642" s="2"/>
      <c r="I642" s="2"/>
      <c r="J642" s="2"/>
      <c r="K642" s="2"/>
      <c r="L642" s="2"/>
      <c r="M642" s="2"/>
      <c r="N642" s="2"/>
      <c r="O642" s="2"/>
      <c r="P642" s="2"/>
      <c r="Q642" s="2"/>
      <c r="R642" s="2"/>
      <c r="S642" s="2"/>
      <c r="T642" s="2"/>
      <c r="U642" s="2"/>
      <c r="V642" s="2"/>
      <c r="W642" s="2"/>
      <c r="X642" s="2"/>
      <c r="Y642" s="2"/>
      <c r="Z642" s="2"/>
    </row>
    <row r="643">
      <c r="A643" s="5"/>
      <c r="B643" s="5"/>
      <c r="C643" s="5"/>
      <c r="D643" s="2"/>
      <c r="E643" s="2"/>
      <c r="F643" s="2"/>
      <c r="G643" s="2"/>
      <c r="H643" s="2"/>
      <c r="I643" s="2"/>
      <c r="J643" s="2"/>
      <c r="K643" s="2"/>
      <c r="L643" s="2"/>
      <c r="M643" s="2"/>
      <c r="N643" s="2"/>
      <c r="O643" s="2"/>
      <c r="P643" s="2"/>
      <c r="Q643" s="2"/>
      <c r="R643" s="2"/>
      <c r="S643" s="2"/>
      <c r="T643" s="2"/>
      <c r="U643" s="2"/>
      <c r="V643" s="2"/>
      <c r="W643" s="2"/>
      <c r="X643" s="2"/>
      <c r="Y643" s="2"/>
      <c r="Z643" s="2"/>
    </row>
    <row r="644">
      <c r="A644" s="5"/>
      <c r="B644" s="5"/>
      <c r="C644" s="5"/>
      <c r="D644" s="2"/>
      <c r="E644" s="2"/>
      <c r="F644" s="2"/>
      <c r="G644" s="2"/>
      <c r="H644" s="2"/>
      <c r="I644" s="2"/>
      <c r="J644" s="2"/>
      <c r="K644" s="2"/>
      <c r="L644" s="2"/>
      <c r="M644" s="2"/>
      <c r="N644" s="2"/>
      <c r="O644" s="2"/>
      <c r="P644" s="2"/>
      <c r="Q644" s="2"/>
      <c r="R644" s="2"/>
      <c r="S644" s="2"/>
      <c r="T644" s="2"/>
      <c r="U644" s="2"/>
      <c r="V644" s="2"/>
      <c r="W644" s="2"/>
      <c r="X644" s="2"/>
      <c r="Y644" s="2"/>
      <c r="Z644" s="2"/>
    </row>
    <row r="645">
      <c r="A645" s="5"/>
      <c r="B645" s="5"/>
      <c r="C645" s="5"/>
      <c r="D645" s="2"/>
      <c r="E645" s="2"/>
      <c r="F645" s="2"/>
      <c r="G645" s="2"/>
      <c r="H645" s="2"/>
      <c r="I645" s="2"/>
      <c r="J645" s="2"/>
      <c r="K645" s="2"/>
      <c r="L645" s="2"/>
      <c r="M645" s="2"/>
      <c r="N645" s="2"/>
      <c r="O645" s="2"/>
      <c r="P645" s="2"/>
      <c r="Q645" s="2"/>
      <c r="R645" s="2"/>
      <c r="S645" s="2"/>
      <c r="T645" s="2"/>
      <c r="U645" s="2"/>
      <c r="V645" s="2"/>
      <c r="W645" s="2"/>
      <c r="X645" s="2"/>
      <c r="Y645" s="2"/>
      <c r="Z645" s="2"/>
    </row>
    <row r="646">
      <c r="A646" s="5"/>
      <c r="B646" s="5"/>
      <c r="C646" s="5"/>
      <c r="D646" s="2"/>
      <c r="E646" s="2"/>
      <c r="F646" s="2"/>
      <c r="G646" s="2"/>
      <c r="H646" s="2"/>
      <c r="I646" s="2"/>
      <c r="J646" s="2"/>
      <c r="K646" s="2"/>
      <c r="L646" s="2"/>
      <c r="M646" s="2"/>
      <c r="N646" s="2"/>
      <c r="O646" s="2"/>
      <c r="P646" s="2"/>
      <c r="Q646" s="2"/>
      <c r="R646" s="2"/>
      <c r="S646" s="2"/>
      <c r="T646" s="2"/>
      <c r="U646" s="2"/>
      <c r="V646" s="2"/>
      <c r="W646" s="2"/>
      <c r="X646" s="2"/>
      <c r="Y646" s="2"/>
      <c r="Z646" s="2"/>
    </row>
    <row r="647">
      <c r="A647" s="5"/>
      <c r="B647" s="5"/>
      <c r="C647" s="5"/>
      <c r="D647" s="2"/>
      <c r="E647" s="2"/>
      <c r="F647" s="2"/>
      <c r="G647" s="2"/>
      <c r="H647" s="2"/>
      <c r="I647" s="2"/>
      <c r="J647" s="2"/>
      <c r="K647" s="2"/>
      <c r="L647" s="2"/>
      <c r="M647" s="2"/>
      <c r="N647" s="2"/>
      <c r="O647" s="2"/>
      <c r="P647" s="2"/>
      <c r="Q647" s="2"/>
      <c r="R647" s="2"/>
      <c r="S647" s="2"/>
      <c r="T647" s="2"/>
      <c r="U647" s="2"/>
      <c r="V647" s="2"/>
      <c r="W647" s="2"/>
      <c r="X647" s="2"/>
      <c r="Y647" s="2"/>
      <c r="Z647" s="2"/>
    </row>
    <row r="648">
      <c r="A648" s="5"/>
      <c r="B648" s="5"/>
      <c r="C648" s="5"/>
      <c r="D648" s="2"/>
      <c r="E648" s="2"/>
      <c r="F648" s="2"/>
      <c r="G648" s="2"/>
      <c r="H648" s="2"/>
      <c r="I648" s="2"/>
      <c r="J648" s="2"/>
      <c r="K648" s="2"/>
      <c r="L648" s="2"/>
      <c r="M648" s="2"/>
      <c r="N648" s="2"/>
      <c r="O648" s="2"/>
      <c r="P648" s="2"/>
      <c r="Q648" s="2"/>
      <c r="R648" s="2"/>
      <c r="S648" s="2"/>
      <c r="T648" s="2"/>
      <c r="U648" s="2"/>
      <c r="V648" s="2"/>
      <c r="W648" s="2"/>
      <c r="X648" s="2"/>
      <c r="Y648" s="2"/>
      <c r="Z648" s="2"/>
    </row>
    <row r="649">
      <c r="A649" s="5"/>
      <c r="B649" s="5"/>
      <c r="C649" s="5"/>
      <c r="D649" s="2"/>
      <c r="E649" s="2"/>
      <c r="F649" s="2"/>
      <c r="G649" s="2"/>
      <c r="H649" s="2"/>
      <c r="I649" s="2"/>
      <c r="J649" s="2"/>
      <c r="K649" s="2"/>
      <c r="L649" s="2"/>
      <c r="M649" s="2"/>
      <c r="N649" s="2"/>
      <c r="O649" s="2"/>
      <c r="P649" s="2"/>
      <c r="Q649" s="2"/>
      <c r="R649" s="2"/>
      <c r="S649" s="2"/>
      <c r="T649" s="2"/>
      <c r="U649" s="2"/>
      <c r="V649" s="2"/>
      <c r="W649" s="2"/>
      <c r="X649" s="2"/>
      <c r="Y649" s="2"/>
      <c r="Z649" s="2"/>
    </row>
    <row r="650">
      <c r="A650" s="5"/>
      <c r="B650" s="5"/>
      <c r="C650" s="5"/>
      <c r="D650" s="2"/>
      <c r="E650" s="2"/>
      <c r="F650" s="2"/>
      <c r="G650" s="2"/>
      <c r="H650" s="2"/>
      <c r="I650" s="2"/>
      <c r="J650" s="2"/>
      <c r="K650" s="2"/>
      <c r="L650" s="2"/>
      <c r="M650" s="2"/>
      <c r="N650" s="2"/>
      <c r="O650" s="2"/>
      <c r="P650" s="2"/>
      <c r="Q650" s="2"/>
      <c r="R650" s="2"/>
      <c r="S650" s="2"/>
      <c r="T650" s="2"/>
      <c r="U650" s="2"/>
      <c r="V650" s="2"/>
      <c r="W650" s="2"/>
      <c r="X650" s="2"/>
      <c r="Y650" s="2"/>
      <c r="Z650" s="2"/>
    </row>
    <row r="651">
      <c r="A651" s="5"/>
      <c r="B651" s="5"/>
      <c r="C651" s="5"/>
      <c r="D651" s="2"/>
      <c r="E651" s="2"/>
      <c r="F651" s="2"/>
      <c r="G651" s="2"/>
      <c r="H651" s="2"/>
      <c r="I651" s="2"/>
      <c r="J651" s="2"/>
      <c r="K651" s="2"/>
      <c r="L651" s="2"/>
      <c r="M651" s="2"/>
      <c r="N651" s="2"/>
      <c r="O651" s="2"/>
      <c r="P651" s="2"/>
      <c r="Q651" s="2"/>
      <c r="R651" s="2"/>
      <c r="S651" s="2"/>
      <c r="T651" s="2"/>
      <c r="U651" s="2"/>
      <c r="V651" s="2"/>
      <c r="W651" s="2"/>
      <c r="X651" s="2"/>
      <c r="Y651" s="2"/>
      <c r="Z651" s="2"/>
    </row>
    <row r="652">
      <c r="A652" s="5"/>
      <c r="B652" s="5"/>
      <c r="C652" s="5"/>
      <c r="D652" s="2"/>
      <c r="E652" s="2"/>
      <c r="F652" s="2"/>
      <c r="G652" s="2"/>
      <c r="H652" s="2"/>
      <c r="I652" s="2"/>
      <c r="J652" s="2"/>
      <c r="K652" s="2"/>
      <c r="L652" s="2"/>
      <c r="M652" s="2"/>
      <c r="N652" s="2"/>
      <c r="O652" s="2"/>
      <c r="P652" s="2"/>
      <c r="Q652" s="2"/>
      <c r="R652" s="2"/>
      <c r="S652" s="2"/>
      <c r="T652" s="2"/>
      <c r="U652" s="2"/>
      <c r="V652" s="2"/>
      <c r="W652" s="2"/>
      <c r="X652" s="2"/>
      <c r="Y652" s="2"/>
      <c r="Z652" s="2"/>
    </row>
    <row r="653">
      <c r="A653" s="5"/>
      <c r="B653" s="5"/>
      <c r="C653" s="5"/>
      <c r="D653" s="2"/>
      <c r="E653" s="2"/>
      <c r="F653" s="2"/>
      <c r="G653" s="2"/>
      <c r="H653" s="2"/>
      <c r="I653" s="2"/>
      <c r="J653" s="2"/>
      <c r="K653" s="2"/>
      <c r="L653" s="2"/>
      <c r="M653" s="2"/>
      <c r="N653" s="2"/>
      <c r="O653" s="2"/>
      <c r="P653" s="2"/>
      <c r="Q653" s="2"/>
      <c r="R653" s="2"/>
      <c r="S653" s="2"/>
      <c r="T653" s="2"/>
      <c r="U653" s="2"/>
      <c r="V653" s="2"/>
      <c r="W653" s="2"/>
      <c r="X653" s="2"/>
      <c r="Y653" s="2"/>
      <c r="Z653" s="2"/>
    </row>
    <row r="654">
      <c r="A654" s="5"/>
      <c r="B654" s="5"/>
      <c r="C654" s="5"/>
      <c r="D654" s="2"/>
      <c r="E654" s="2"/>
      <c r="F654" s="2"/>
      <c r="G654" s="2"/>
      <c r="H654" s="2"/>
      <c r="I654" s="2"/>
      <c r="J654" s="2"/>
      <c r="K654" s="2"/>
      <c r="L654" s="2"/>
      <c r="M654" s="2"/>
      <c r="N654" s="2"/>
      <c r="O654" s="2"/>
      <c r="P654" s="2"/>
      <c r="Q654" s="2"/>
      <c r="R654" s="2"/>
      <c r="S654" s="2"/>
      <c r="T654" s="2"/>
      <c r="U654" s="2"/>
      <c r="V654" s="2"/>
      <c r="W654" s="2"/>
      <c r="X654" s="2"/>
      <c r="Y654" s="2"/>
      <c r="Z654" s="2"/>
    </row>
    <row r="655">
      <c r="A655" s="5"/>
      <c r="B655" s="5"/>
      <c r="C655" s="5"/>
      <c r="D655" s="2"/>
      <c r="E655" s="2"/>
      <c r="F655" s="2"/>
      <c r="G655" s="2"/>
      <c r="H655" s="2"/>
      <c r="I655" s="2"/>
      <c r="J655" s="2"/>
      <c r="K655" s="2"/>
      <c r="L655" s="2"/>
      <c r="M655" s="2"/>
      <c r="N655" s="2"/>
      <c r="O655" s="2"/>
      <c r="P655" s="2"/>
      <c r="Q655" s="2"/>
      <c r="R655" s="2"/>
      <c r="S655" s="2"/>
      <c r="T655" s="2"/>
      <c r="U655" s="2"/>
      <c r="V655" s="2"/>
      <c r="W655" s="2"/>
      <c r="X655" s="2"/>
      <c r="Y655" s="2"/>
      <c r="Z655" s="2"/>
    </row>
    <row r="656">
      <c r="A656" s="5"/>
      <c r="B656" s="5"/>
      <c r="C656" s="5"/>
      <c r="D656" s="2"/>
      <c r="E656" s="2"/>
      <c r="F656" s="2"/>
      <c r="G656" s="2"/>
      <c r="H656" s="2"/>
      <c r="I656" s="2"/>
      <c r="J656" s="2"/>
      <c r="K656" s="2"/>
      <c r="L656" s="2"/>
      <c r="M656" s="2"/>
      <c r="N656" s="2"/>
      <c r="O656" s="2"/>
      <c r="P656" s="2"/>
      <c r="Q656" s="2"/>
      <c r="R656" s="2"/>
      <c r="S656" s="2"/>
      <c r="T656" s="2"/>
      <c r="U656" s="2"/>
      <c r="V656" s="2"/>
      <c r="W656" s="2"/>
      <c r="X656" s="2"/>
      <c r="Y656" s="2"/>
      <c r="Z656" s="2"/>
    </row>
    <row r="657">
      <c r="A657" s="5"/>
      <c r="B657" s="5"/>
      <c r="C657" s="5"/>
      <c r="D657" s="2"/>
      <c r="E657" s="2"/>
      <c r="F657" s="2"/>
      <c r="G657" s="2"/>
      <c r="H657" s="2"/>
      <c r="I657" s="2"/>
      <c r="J657" s="2"/>
      <c r="K657" s="2"/>
      <c r="L657" s="2"/>
      <c r="M657" s="2"/>
      <c r="N657" s="2"/>
      <c r="O657" s="2"/>
      <c r="P657" s="2"/>
      <c r="Q657" s="2"/>
      <c r="R657" s="2"/>
      <c r="S657" s="2"/>
      <c r="T657" s="2"/>
      <c r="U657" s="2"/>
      <c r="V657" s="2"/>
      <c r="W657" s="2"/>
      <c r="X657" s="2"/>
      <c r="Y657" s="2"/>
      <c r="Z657" s="2"/>
    </row>
    <row r="658">
      <c r="A658" s="5"/>
      <c r="B658" s="5"/>
      <c r="C658" s="5"/>
      <c r="D658" s="2"/>
      <c r="E658" s="2"/>
      <c r="F658" s="2"/>
      <c r="G658" s="2"/>
      <c r="H658" s="2"/>
      <c r="I658" s="2"/>
      <c r="J658" s="2"/>
      <c r="K658" s="2"/>
      <c r="L658" s="2"/>
      <c r="M658" s="2"/>
      <c r="N658" s="2"/>
      <c r="O658" s="2"/>
      <c r="P658" s="2"/>
      <c r="Q658" s="2"/>
      <c r="R658" s="2"/>
      <c r="S658" s="2"/>
      <c r="T658" s="2"/>
      <c r="U658" s="2"/>
      <c r="V658" s="2"/>
      <c r="W658" s="2"/>
      <c r="X658" s="2"/>
      <c r="Y658" s="2"/>
      <c r="Z658" s="2"/>
    </row>
    <row r="659">
      <c r="A659" s="5"/>
      <c r="B659" s="5"/>
      <c r="C659" s="5"/>
      <c r="D659" s="2"/>
      <c r="E659" s="2"/>
      <c r="F659" s="2"/>
      <c r="G659" s="2"/>
      <c r="H659" s="2"/>
      <c r="I659" s="2"/>
      <c r="J659" s="2"/>
      <c r="K659" s="2"/>
      <c r="L659" s="2"/>
      <c r="M659" s="2"/>
      <c r="N659" s="2"/>
      <c r="O659" s="2"/>
      <c r="P659" s="2"/>
      <c r="Q659" s="2"/>
      <c r="R659" s="2"/>
      <c r="S659" s="2"/>
      <c r="T659" s="2"/>
      <c r="U659" s="2"/>
      <c r="V659" s="2"/>
      <c r="W659" s="2"/>
      <c r="X659" s="2"/>
      <c r="Y659" s="2"/>
      <c r="Z659" s="2"/>
    </row>
    <row r="660">
      <c r="A660" s="5"/>
      <c r="B660" s="5"/>
      <c r="C660" s="5"/>
      <c r="D660" s="2"/>
      <c r="E660" s="2"/>
      <c r="F660" s="2"/>
      <c r="G660" s="2"/>
      <c r="H660" s="2"/>
      <c r="I660" s="2"/>
      <c r="J660" s="2"/>
      <c r="K660" s="2"/>
      <c r="L660" s="2"/>
      <c r="M660" s="2"/>
      <c r="N660" s="2"/>
      <c r="O660" s="2"/>
      <c r="P660" s="2"/>
      <c r="Q660" s="2"/>
      <c r="R660" s="2"/>
      <c r="S660" s="2"/>
      <c r="T660" s="2"/>
      <c r="U660" s="2"/>
      <c r="V660" s="2"/>
      <c r="W660" s="2"/>
      <c r="X660" s="2"/>
      <c r="Y660" s="2"/>
      <c r="Z660" s="2"/>
    </row>
    <row r="661">
      <c r="A661" s="5"/>
      <c r="B661" s="5"/>
      <c r="C661" s="5"/>
      <c r="D661" s="2"/>
      <c r="E661" s="2"/>
      <c r="F661" s="2"/>
      <c r="G661" s="2"/>
      <c r="H661" s="2"/>
      <c r="I661" s="2"/>
      <c r="J661" s="2"/>
      <c r="K661" s="2"/>
      <c r="L661" s="2"/>
      <c r="M661" s="2"/>
      <c r="N661" s="2"/>
      <c r="O661" s="2"/>
      <c r="P661" s="2"/>
      <c r="Q661" s="2"/>
      <c r="R661" s="2"/>
      <c r="S661" s="2"/>
      <c r="T661" s="2"/>
      <c r="U661" s="2"/>
      <c r="V661" s="2"/>
      <c r="W661" s="2"/>
      <c r="X661" s="2"/>
      <c r="Y661" s="2"/>
      <c r="Z661" s="2"/>
    </row>
    <row r="662">
      <c r="A662" s="5"/>
      <c r="B662" s="5"/>
      <c r="C662" s="5"/>
      <c r="D662" s="2"/>
      <c r="E662" s="2"/>
      <c r="F662" s="2"/>
      <c r="G662" s="2"/>
      <c r="H662" s="2"/>
      <c r="I662" s="2"/>
      <c r="J662" s="2"/>
      <c r="K662" s="2"/>
      <c r="L662" s="2"/>
      <c r="M662" s="2"/>
      <c r="N662" s="2"/>
      <c r="O662" s="2"/>
      <c r="P662" s="2"/>
      <c r="Q662" s="2"/>
      <c r="R662" s="2"/>
      <c r="S662" s="2"/>
      <c r="T662" s="2"/>
      <c r="U662" s="2"/>
      <c r="V662" s="2"/>
      <c r="W662" s="2"/>
      <c r="X662" s="2"/>
      <c r="Y662" s="2"/>
      <c r="Z662" s="2"/>
    </row>
    <row r="663">
      <c r="A663" s="5"/>
      <c r="B663" s="5"/>
      <c r="C663" s="5"/>
      <c r="D663" s="2"/>
      <c r="E663" s="2"/>
      <c r="F663" s="2"/>
      <c r="G663" s="2"/>
      <c r="H663" s="2"/>
      <c r="I663" s="2"/>
      <c r="J663" s="2"/>
      <c r="K663" s="2"/>
      <c r="L663" s="2"/>
      <c r="M663" s="2"/>
      <c r="N663" s="2"/>
      <c r="O663" s="2"/>
      <c r="P663" s="2"/>
      <c r="Q663" s="2"/>
      <c r="R663" s="2"/>
      <c r="S663" s="2"/>
      <c r="T663" s="2"/>
      <c r="U663" s="2"/>
      <c r="V663" s="2"/>
      <c r="W663" s="2"/>
      <c r="X663" s="2"/>
      <c r="Y663" s="2"/>
      <c r="Z663" s="2"/>
    </row>
    <row r="664">
      <c r="A664" s="5"/>
      <c r="B664" s="5"/>
      <c r="C664" s="5"/>
      <c r="D664" s="2"/>
      <c r="E664" s="2"/>
      <c r="F664" s="2"/>
      <c r="G664" s="2"/>
      <c r="H664" s="2"/>
      <c r="I664" s="2"/>
      <c r="J664" s="2"/>
      <c r="K664" s="2"/>
      <c r="L664" s="2"/>
      <c r="M664" s="2"/>
      <c r="N664" s="2"/>
      <c r="O664" s="2"/>
      <c r="P664" s="2"/>
      <c r="Q664" s="2"/>
      <c r="R664" s="2"/>
      <c r="S664" s="2"/>
      <c r="T664" s="2"/>
      <c r="U664" s="2"/>
      <c r="V664" s="2"/>
      <c r="W664" s="2"/>
      <c r="X664" s="2"/>
      <c r="Y664" s="2"/>
      <c r="Z664" s="2"/>
    </row>
    <row r="665">
      <c r="A665" s="5"/>
      <c r="B665" s="5"/>
      <c r="C665" s="5"/>
      <c r="D665" s="2"/>
      <c r="E665" s="2"/>
      <c r="F665" s="2"/>
      <c r="G665" s="2"/>
      <c r="H665" s="2"/>
      <c r="I665" s="2"/>
      <c r="J665" s="2"/>
      <c r="K665" s="2"/>
      <c r="L665" s="2"/>
      <c r="M665" s="2"/>
      <c r="N665" s="2"/>
      <c r="O665" s="2"/>
      <c r="P665" s="2"/>
      <c r="Q665" s="2"/>
      <c r="R665" s="2"/>
      <c r="S665" s="2"/>
      <c r="T665" s="2"/>
      <c r="U665" s="2"/>
      <c r="V665" s="2"/>
      <c r="W665" s="2"/>
      <c r="X665" s="2"/>
      <c r="Y665" s="2"/>
      <c r="Z665" s="2"/>
    </row>
    <row r="666">
      <c r="A666" s="5"/>
      <c r="B666" s="5"/>
      <c r="C666" s="5"/>
      <c r="D666" s="2"/>
      <c r="E666" s="2"/>
      <c r="F666" s="2"/>
      <c r="G666" s="2"/>
      <c r="H666" s="2"/>
      <c r="I666" s="2"/>
      <c r="J666" s="2"/>
      <c r="K666" s="2"/>
      <c r="L666" s="2"/>
      <c r="M666" s="2"/>
      <c r="N666" s="2"/>
      <c r="O666" s="2"/>
      <c r="P666" s="2"/>
      <c r="Q666" s="2"/>
      <c r="R666" s="2"/>
      <c r="S666" s="2"/>
      <c r="T666" s="2"/>
      <c r="U666" s="2"/>
      <c r="V666" s="2"/>
      <c r="W666" s="2"/>
      <c r="X666" s="2"/>
      <c r="Y666" s="2"/>
      <c r="Z666" s="2"/>
    </row>
    <row r="667">
      <c r="A667" s="5"/>
      <c r="B667" s="5"/>
      <c r="C667" s="5"/>
      <c r="D667" s="2"/>
      <c r="E667" s="2"/>
      <c r="F667" s="2"/>
      <c r="G667" s="2"/>
      <c r="H667" s="2"/>
      <c r="I667" s="2"/>
      <c r="J667" s="2"/>
      <c r="K667" s="2"/>
      <c r="L667" s="2"/>
      <c r="M667" s="2"/>
      <c r="N667" s="2"/>
      <c r="O667" s="2"/>
      <c r="P667" s="2"/>
      <c r="Q667" s="2"/>
      <c r="R667" s="2"/>
      <c r="S667" s="2"/>
      <c r="T667" s="2"/>
      <c r="U667" s="2"/>
      <c r="V667" s="2"/>
      <c r="W667" s="2"/>
      <c r="X667" s="2"/>
      <c r="Y667" s="2"/>
      <c r="Z667" s="2"/>
    </row>
    <row r="668">
      <c r="A668" s="5"/>
      <c r="B668" s="5"/>
      <c r="C668" s="5"/>
      <c r="D668" s="2"/>
      <c r="E668" s="2"/>
      <c r="F668" s="2"/>
      <c r="G668" s="2"/>
      <c r="H668" s="2"/>
      <c r="I668" s="2"/>
      <c r="J668" s="2"/>
      <c r="K668" s="2"/>
      <c r="L668" s="2"/>
      <c r="M668" s="2"/>
      <c r="N668" s="2"/>
      <c r="O668" s="2"/>
      <c r="P668" s="2"/>
      <c r="Q668" s="2"/>
      <c r="R668" s="2"/>
      <c r="S668" s="2"/>
      <c r="T668" s="2"/>
      <c r="U668" s="2"/>
      <c r="V668" s="2"/>
      <c r="W668" s="2"/>
      <c r="X668" s="2"/>
      <c r="Y668" s="2"/>
      <c r="Z668" s="2"/>
    </row>
    <row r="669">
      <c r="A669" s="5"/>
      <c r="B669" s="5"/>
      <c r="C669" s="5"/>
      <c r="D669" s="2"/>
      <c r="E669" s="2"/>
      <c r="F669" s="2"/>
      <c r="G669" s="2"/>
      <c r="H669" s="2"/>
      <c r="I669" s="2"/>
      <c r="J669" s="2"/>
      <c r="K669" s="2"/>
      <c r="L669" s="2"/>
      <c r="M669" s="2"/>
      <c r="N669" s="2"/>
      <c r="O669" s="2"/>
      <c r="P669" s="2"/>
      <c r="Q669" s="2"/>
      <c r="R669" s="2"/>
      <c r="S669" s="2"/>
      <c r="T669" s="2"/>
      <c r="U669" s="2"/>
      <c r="V669" s="2"/>
      <c r="W669" s="2"/>
      <c r="X669" s="2"/>
      <c r="Y669" s="2"/>
      <c r="Z669" s="2"/>
    </row>
    <row r="670">
      <c r="A670" s="5"/>
      <c r="B670" s="5"/>
      <c r="C670" s="5"/>
      <c r="D670" s="2"/>
      <c r="E670" s="2"/>
      <c r="F670" s="2"/>
      <c r="G670" s="2"/>
      <c r="H670" s="2"/>
      <c r="I670" s="2"/>
      <c r="J670" s="2"/>
      <c r="K670" s="2"/>
      <c r="L670" s="2"/>
      <c r="M670" s="2"/>
      <c r="N670" s="2"/>
      <c r="O670" s="2"/>
      <c r="P670" s="2"/>
      <c r="Q670" s="2"/>
      <c r="R670" s="2"/>
      <c r="S670" s="2"/>
      <c r="T670" s="2"/>
      <c r="U670" s="2"/>
      <c r="V670" s="2"/>
      <c r="W670" s="2"/>
      <c r="X670" s="2"/>
      <c r="Y670" s="2"/>
      <c r="Z670" s="2"/>
    </row>
    <row r="671">
      <c r="A671" s="5"/>
      <c r="B671" s="5"/>
      <c r="C671" s="5"/>
      <c r="D671" s="2"/>
      <c r="E671" s="2"/>
      <c r="F671" s="2"/>
      <c r="G671" s="2"/>
      <c r="H671" s="2"/>
      <c r="I671" s="2"/>
      <c r="J671" s="2"/>
      <c r="K671" s="2"/>
      <c r="L671" s="2"/>
      <c r="M671" s="2"/>
      <c r="N671" s="2"/>
      <c r="O671" s="2"/>
      <c r="P671" s="2"/>
      <c r="Q671" s="2"/>
      <c r="R671" s="2"/>
      <c r="S671" s="2"/>
      <c r="T671" s="2"/>
      <c r="U671" s="2"/>
      <c r="V671" s="2"/>
      <c r="W671" s="2"/>
      <c r="X671" s="2"/>
      <c r="Y671" s="2"/>
      <c r="Z671" s="2"/>
    </row>
    <row r="672">
      <c r="A672" s="5"/>
      <c r="B672" s="5"/>
      <c r="C672" s="5"/>
      <c r="D672" s="2"/>
      <c r="E672" s="2"/>
      <c r="F672" s="2"/>
      <c r="G672" s="2"/>
      <c r="H672" s="2"/>
      <c r="I672" s="2"/>
      <c r="J672" s="2"/>
      <c r="K672" s="2"/>
      <c r="L672" s="2"/>
      <c r="M672" s="2"/>
      <c r="N672" s="2"/>
      <c r="O672" s="2"/>
      <c r="P672" s="2"/>
      <c r="Q672" s="2"/>
      <c r="R672" s="2"/>
      <c r="S672" s="2"/>
      <c r="T672" s="2"/>
      <c r="U672" s="2"/>
      <c r="V672" s="2"/>
      <c r="W672" s="2"/>
      <c r="X672" s="2"/>
      <c r="Y672" s="2"/>
      <c r="Z672" s="2"/>
    </row>
    <row r="673">
      <c r="A673" s="5"/>
      <c r="B673" s="5"/>
      <c r="C673" s="5"/>
      <c r="D673" s="2"/>
      <c r="E673" s="2"/>
      <c r="F673" s="2"/>
      <c r="G673" s="2"/>
      <c r="H673" s="2"/>
      <c r="I673" s="2"/>
      <c r="J673" s="2"/>
      <c r="K673" s="2"/>
      <c r="L673" s="2"/>
      <c r="M673" s="2"/>
      <c r="N673" s="2"/>
      <c r="O673" s="2"/>
      <c r="P673" s="2"/>
      <c r="Q673" s="2"/>
      <c r="R673" s="2"/>
      <c r="S673" s="2"/>
      <c r="T673" s="2"/>
      <c r="U673" s="2"/>
      <c r="V673" s="2"/>
      <c r="W673" s="2"/>
      <c r="X673" s="2"/>
      <c r="Y673" s="2"/>
      <c r="Z673" s="2"/>
    </row>
    <row r="674">
      <c r="A674" s="5"/>
      <c r="B674" s="5"/>
      <c r="C674" s="5"/>
      <c r="D674" s="2"/>
      <c r="E674" s="2"/>
      <c r="F674" s="2"/>
      <c r="G674" s="2"/>
      <c r="H674" s="2"/>
      <c r="I674" s="2"/>
      <c r="J674" s="2"/>
      <c r="K674" s="2"/>
      <c r="L674" s="2"/>
      <c r="M674" s="2"/>
      <c r="N674" s="2"/>
      <c r="O674" s="2"/>
      <c r="P674" s="2"/>
      <c r="Q674" s="2"/>
      <c r="R674" s="2"/>
      <c r="S674" s="2"/>
      <c r="T674" s="2"/>
      <c r="U674" s="2"/>
      <c r="V674" s="2"/>
      <c r="W674" s="2"/>
      <c r="X674" s="2"/>
      <c r="Y674" s="2"/>
      <c r="Z674" s="2"/>
    </row>
    <row r="675">
      <c r="A675" s="5"/>
      <c r="B675" s="5"/>
      <c r="C675" s="5"/>
      <c r="D675" s="2"/>
      <c r="E675" s="2"/>
      <c r="F675" s="2"/>
      <c r="G675" s="2"/>
      <c r="H675" s="2"/>
      <c r="I675" s="2"/>
      <c r="J675" s="2"/>
      <c r="K675" s="2"/>
      <c r="L675" s="2"/>
      <c r="M675" s="2"/>
      <c r="N675" s="2"/>
      <c r="O675" s="2"/>
      <c r="P675" s="2"/>
      <c r="Q675" s="2"/>
      <c r="R675" s="2"/>
      <c r="S675" s="2"/>
      <c r="T675" s="2"/>
      <c r="U675" s="2"/>
      <c r="V675" s="2"/>
      <c r="W675" s="2"/>
      <c r="X675" s="2"/>
      <c r="Y675" s="2"/>
      <c r="Z675" s="2"/>
    </row>
    <row r="676">
      <c r="A676" s="5"/>
      <c r="B676" s="5"/>
      <c r="C676" s="5"/>
      <c r="D676" s="2"/>
      <c r="E676" s="2"/>
      <c r="F676" s="2"/>
      <c r="G676" s="2"/>
      <c r="H676" s="2"/>
      <c r="I676" s="2"/>
      <c r="J676" s="2"/>
      <c r="K676" s="2"/>
      <c r="L676" s="2"/>
      <c r="M676" s="2"/>
      <c r="N676" s="2"/>
      <c r="O676" s="2"/>
      <c r="P676" s="2"/>
      <c r="Q676" s="2"/>
      <c r="R676" s="2"/>
      <c r="S676" s="2"/>
      <c r="T676" s="2"/>
      <c r="U676" s="2"/>
      <c r="V676" s="2"/>
      <c r="W676" s="2"/>
      <c r="X676" s="2"/>
      <c r="Y676" s="2"/>
      <c r="Z676" s="2"/>
    </row>
    <row r="677">
      <c r="A677" s="5"/>
      <c r="B677" s="5"/>
      <c r="C677" s="5"/>
      <c r="D677" s="2"/>
      <c r="E677" s="2"/>
      <c r="F677" s="2"/>
      <c r="G677" s="2"/>
      <c r="H677" s="2"/>
      <c r="I677" s="2"/>
      <c r="J677" s="2"/>
      <c r="K677" s="2"/>
      <c r="L677" s="2"/>
      <c r="M677" s="2"/>
      <c r="N677" s="2"/>
      <c r="O677" s="2"/>
      <c r="P677" s="2"/>
      <c r="Q677" s="2"/>
      <c r="R677" s="2"/>
      <c r="S677" s="2"/>
      <c r="T677" s="2"/>
      <c r="U677" s="2"/>
      <c r="V677" s="2"/>
      <c r="W677" s="2"/>
      <c r="X677" s="2"/>
      <c r="Y677" s="2"/>
      <c r="Z677" s="2"/>
    </row>
    <row r="678">
      <c r="A678" s="5"/>
      <c r="B678" s="5"/>
      <c r="C678" s="5"/>
      <c r="D678" s="2"/>
      <c r="E678" s="2"/>
      <c r="F678" s="2"/>
      <c r="G678" s="2"/>
      <c r="H678" s="2"/>
      <c r="I678" s="2"/>
      <c r="J678" s="2"/>
      <c r="K678" s="2"/>
      <c r="L678" s="2"/>
      <c r="M678" s="2"/>
      <c r="N678" s="2"/>
      <c r="O678" s="2"/>
      <c r="P678" s="2"/>
      <c r="Q678" s="2"/>
      <c r="R678" s="2"/>
      <c r="S678" s="2"/>
      <c r="T678" s="2"/>
      <c r="U678" s="2"/>
      <c r="V678" s="2"/>
      <c r="W678" s="2"/>
      <c r="X678" s="2"/>
      <c r="Y678" s="2"/>
      <c r="Z678" s="2"/>
    </row>
    <row r="679">
      <c r="A679" s="5"/>
      <c r="B679" s="5"/>
      <c r="C679" s="5"/>
      <c r="D679" s="2"/>
      <c r="E679" s="2"/>
      <c r="F679" s="2"/>
      <c r="G679" s="2"/>
      <c r="H679" s="2"/>
      <c r="I679" s="2"/>
      <c r="J679" s="2"/>
      <c r="K679" s="2"/>
      <c r="L679" s="2"/>
      <c r="M679" s="2"/>
      <c r="N679" s="2"/>
      <c r="O679" s="2"/>
      <c r="P679" s="2"/>
      <c r="Q679" s="2"/>
      <c r="R679" s="2"/>
      <c r="S679" s="2"/>
      <c r="T679" s="2"/>
      <c r="U679" s="2"/>
      <c r="V679" s="2"/>
      <c r="W679" s="2"/>
      <c r="X679" s="2"/>
      <c r="Y679" s="2"/>
      <c r="Z679" s="2"/>
    </row>
    <row r="680">
      <c r="A680" s="5"/>
      <c r="B680" s="5"/>
      <c r="C680" s="5"/>
      <c r="D680" s="2"/>
      <c r="E680" s="2"/>
      <c r="F680" s="2"/>
      <c r="G680" s="2"/>
      <c r="H680" s="2"/>
      <c r="I680" s="2"/>
      <c r="J680" s="2"/>
      <c r="K680" s="2"/>
      <c r="L680" s="2"/>
      <c r="M680" s="2"/>
      <c r="N680" s="2"/>
      <c r="O680" s="2"/>
      <c r="P680" s="2"/>
      <c r="Q680" s="2"/>
      <c r="R680" s="2"/>
      <c r="S680" s="2"/>
      <c r="T680" s="2"/>
      <c r="U680" s="2"/>
      <c r="V680" s="2"/>
      <c r="W680" s="2"/>
      <c r="X680" s="2"/>
      <c r="Y680" s="2"/>
      <c r="Z680" s="2"/>
    </row>
    <row r="681">
      <c r="A681" s="5"/>
      <c r="B681" s="5"/>
      <c r="C681" s="5"/>
      <c r="D681" s="2"/>
      <c r="E681" s="2"/>
      <c r="F681" s="2"/>
      <c r="G681" s="2"/>
      <c r="H681" s="2"/>
      <c r="I681" s="2"/>
      <c r="J681" s="2"/>
      <c r="K681" s="2"/>
      <c r="L681" s="2"/>
      <c r="M681" s="2"/>
      <c r="N681" s="2"/>
      <c r="O681" s="2"/>
      <c r="P681" s="2"/>
      <c r="Q681" s="2"/>
      <c r="R681" s="2"/>
      <c r="S681" s="2"/>
      <c r="T681" s="2"/>
      <c r="U681" s="2"/>
      <c r="V681" s="2"/>
      <c r="W681" s="2"/>
      <c r="X681" s="2"/>
      <c r="Y681" s="2"/>
      <c r="Z681" s="2"/>
    </row>
    <row r="682">
      <c r="A682" s="5"/>
      <c r="B682" s="5"/>
      <c r="C682" s="5"/>
      <c r="D682" s="2"/>
      <c r="E682" s="2"/>
      <c r="F682" s="2"/>
      <c r="G682" s="2"/>
      <c r="H682" s="2"/>
      <c r="I682" s="2"/>
      <c r="J682" s="2"/>
      <c r="K682" s="2"/>
      <c r="L682" s="2"/>
      <c r="M682" s="2"/>
      <c r="N682" s="2"/>
      <c r="O682" s="2"/>
      <c r="P682" s="2"/>
      <c r="Q682" s="2"/>
      <c r="R682" s="2"/>
      <c r="S682" s="2"/>
      <c r="T682" s="2"/>
      <c r="U682" s="2"/>
      <c r="V682" s="2"/>
      <c r="W682" s="2"/>
      <c r="X682" s="2"/>
      <c r="Y682" s="2"/>
      <c r="Z682" s="2"/>
    </row>
    <row r="683">
      <c r="A683" s="5"/>
      <c r="B683" s="5"/>
      <c r="C683" s="5"/>
      <c r="D683" s="2"/>
      <c r="E683" s="2"/>
      <c r="F683" s="2"/>
      <c r="G683" s="2"/>
      <c r="H683" s="2"/>
      <c r="I683" s="2"/>
      <c r="J683" s="2"/>
      <c r="K683" s="2"/>
      <c r="L683" s="2"/>
      <c r="M683" s="2"/>
      <c r="N683" s="2"/>
      <c r="O683" s="2"/>
      <c r="P683" s="2"/>
      <c r="Q683" s="2"/>
      <c r="R683" s="2"/>
      <c r="S683" s="2"/>
      <c r="T683" s="2"/>
      <c r="U683" s="2"/>
      <c r="V683" s="2"/>
      <c r="W683" s="2"/>
      <c r="X683" s="2"/>
      <c r="Y683" s="2"/>
      <c r="Z683" s="2"/>
    </row>
    <row r="684">
      <c r="A684" s="5"/>
      <c r="B684" s="5"/>
      <c r="C684" s="5"/>
      <c r="D684" s="2"/>
      <c r="E684" s="2"/>
      <c r="F684" s="2"/>
      <c r="G684" s="2"/>
      <c r="H684" s="2"/>
      <c r="I684" s="2"/>
      <c r="J684" s="2"/>
      <c r="K684" s="2"/>
      <c r="L684" s="2"/>
      <c r="M684" s="2"/>
      <c r="N684" s="2"/>
      <c r="O684" s="2"/>
      <c r="P684" s="2"/>
      <c r="Q684" s="2"/>
      <c r="R684" s="2"/>
      <c r="S684" s="2"/>
      <c r="T684" s="2"/>
      <c r="U684" s="2"/>
      <c r="V684" s="2"/>
      <c r="W684" s="2"/>
      <c r="X684" s="2"/>
      <c r="Y684" s="2"/>
      <c r="Z684" s="2"/>
    </row>
    <row r="685">
      <c r="A685" s="5"/>
      <c r="B685" s="5"/>
      <c r="C685" s="5"/>
      <c r="D685" s="2"/>
      <c r="E685" s="2"/>
      <c r="F685" s="2"/>
      <c r="G685" s="2"/>
      <c r="H685" s="2"/>
      <c r="I685" s="2"/>
      <c r="J685" s="2"/>
      <c r="K685" s="2"/>
      <c r="L685" s="2"/>
      <c r="M685" s="2"/>
      <c r="N685" s="2"/>
      <c r="O685" s="2"/>
      <c r="P685" s="2"/>
      <c r="Q685" s="2"/>
      <c r="R685" s="2"/>
      <c r="S685" s="2"/>
      <c r="T685" s="2"/>
      <c r="U685" s="2"/>
      <c r="V685" s="2"/>
      <c r="W685" s="2"/>
      <c r="X685" s="2"/>
      <c r="Y685" s="2"/>
      <c r="Z685" s="2"/>
    </row>
    <row r="686">
      <c r="A686" s="5"/>
      <c r="B686" s="5"/>
      <c r="C686" s="5"/>
      <c r="D686" s="2"/>
      <c r="E686" s="2"/>
      <c r="F686" s="2"/>
      <c r="G686" s="2"/>
      <c r="H686" s="2"/>
      <c r="I686" s="2"/>
      <c r="J686" s="2"/>
      <c r="K686" s="2"/>
      <c r="L686" s="2"/>
      <c r="M686" s="2"/>
      <c r="N686" s="2"/>
      <c r="O686" s="2"/>
      <c r="P686" s="2"/>
      <c r="Q686" s="2"/>
      <c r="R686" s="2"/>
      <c r="S686" s="2"/>
      <c r="T686" s="2"/>
      <c r="U686" s="2"/>
      <c r="V686" s="2"/>
      <c r="W686" s="2"/>
      <c r="X686" s="2"/>
      <c r="Y686" s="2"/>
      <c r="Z686" s="2"/>
    </row>
    <row r="687">
      <c r="A687" s="5"/>
      <c r="B687" s="5"/>
      <c r="C687" s="5"/>
      <c r="D687" s="2"/>
      <c r="E687" s="2"/>
      <c r="F687" s="2"/>
      <c r="G687" s="2"/>
      <c r="H687" s="2"/>
      <c r="I687" s="2"/>
      <c r="J687" s="2"/>
      <c r="K687" s="2"/>
      <c r="L687" s="2"/>
      <c r="M687" s="2"/>
      <c r="N687" s="2"/>
      <c r="O687" s="2"/>
      <c r="P687" s="2"/>
      <c r="Q687" s="2"/>
      <c r="R687" s="2"/>
      <c r="S687" s="2"/>
      <c r="T687" s="2"/>
      <c r="U687" s="2"/>
      <c r="V687" s="2"/>
      <c r="W687" s="2"/>
      <c r="X687" s="2"/>
      <c r="Y687" s="2"/>
      <c r="Z687" s="2"/>
    </row>
    <row r="688">
      <c r="A688" s="5"/>
      <c r="B688" s="5"/>
      <c r="C688" s="5"/>
      <c r="D688" s="2"/>
      <c r="E688" s="2"/>
      <c r="F688" s="2"/>
      <c r="G688" s="2"/>
      <c r="H688" s="2"/>
      <c r="I688" s="2"/>
      <c r="J688" s="2"/>
      <c r="K688" s="2"/>
      <c r="L688" s="2"/>
      <c r="M688" s="2"/>
      <c r="N688" s="2"/>
      <c r="O688" s="2"/>
      <c r="P688" s="2"/>
      <c r="Q688" s="2"/>
      <c r="R688" s="2"/>
      <c r="S688" s="2"/>
      <c r="T688" s="2"/>
      <c r="U688" s="2"/>
      <c r="V688" s="2"/>
      <c r="W688" s="2"/>
      <c r="X688" s="2"/>
      <c r="Y688" s="2"/>
      <c r="Z688" s="2"/>
    </row>
    <row r="689">
      <c r="A689" s="5"/>
      <c r="B689" s="5"/>
      <c r="C689" s="5"/>
      <c r="D689" s="2"/>
      <c r="E689" s="2"/>
      <c r="F689" s="2"/>
      <c r="G689" s="2"/>
      <c r="H689" s="2"/>
      <c r="I689" s="2"/>
      <c r="J689" s="2"/>
      <c r="K689" s="2"/>
      <c r="L689" s="2"/>
      <c r="M689" s="2"/>
      <c r="N689" s="2"/>
      <c r="O689" s="2"/>
      <c r="P689" s="2"/>
      <c r="Q689" s="2"/>
      <c r="R689" s="2"/>
      <c r="S689" s="2"/>
      <c r="T689" s="2"/>
      <c r="U689" s="2"/>
      <c r="V689" s="2"/>
      <c r="W689" s="2"/>
      <c r="X689" s="2"/>
      <c r="Y689" s="2"/>
      <c r="Z689" s="2"/>
    </row>
    <row r="690">
      <c r="A690" s="5"/>
      <c r="B690" s="5"/>
      <c r="C690" s="5"/>
      <c r="D690" s="2"/>
      <c r="E690" s="2"/>
      <c r="F690" s="2"/>
      <c r="G690" s="2"/>
      <c r="H690" s="2"/>
      <c r="I690" s="2"/>
      <c r="J690" s="2"/>
      <c r="K690" s="2"/>
      <c r="L690" s="2"/>
      <c r="M690" s="2"/>
      <c r="N690" s="2"/>
      <c r="O690" s="2"/>
      <c r="P690" s="2"/>
      <c r="Q690" s="2"/>
      <c r="R690" s="2"/>
      <c r="S690" s="2"/>
      <c r="T690" s="2"/>
      <c r="U690" s="2"/>
      <c r="V690" s="2"/>
      <c r="W690" s="2"/>
      <c r="X690" s="2"/>
      <c r="Y690" s="2"/>
      <c r="Z690" s="2"/>
    </row>
    <row r="691">
      <c r="A691" s="5"/>
      <c r="B691" s="5"/>
      <c r="C691" s="5"/>
      <c r="D691" s="2"/>
      <c r="E691" s="2"/>
      <c r="F691" s="2"/>
      <c r="G691" s="2"/>
      <c r="H691" s="2"/>
      <c r="I691" s="2"/>
      <c r="J691" s="2"/>
      <c r="K691" s="2"/>
      <c r="L691" s="2"/>
      <c r="M691" s="2"/>
      <c r="N691" s="2"/>
      <c r="O691" s="2"/>
      <c r="P691" s="2"/>
      <c r="Q691" s="2"/>
      <c r="R691" s="2"/>
      <c r="S691" s="2"/>
      <c r="T691" s="2"/>
      <c r="U691" s="2"/>
      <c r="V691" s="2"/>
      <c r="W691" s="2"/>
      <c r="X691" s="2"/>
      <c r="Y691" s="2"/>
      <c r="Z691" s="2"/>
    </row>
    <row r="692">
      <c r="A692" s="5"/>
      <c r="B692" s="5"/>
      <c r="C692" s="5"/>
      <c r="D692" s="2"/>
      <c r="E692" s="2"/>
      <c r="F692" s="2"/>
      <c r="G692" s="2"/>
      <c r="H692" s="2"/>
      <c r="I692" s="2"/>
      <c r="J692" s="2"/>
      <c r="K692" s="2"/>
      <c r="L692" s="2"/>
      <c r="M692" s="2"/>
      <c r="N692" s="2"/>
      <c r="O692" s="2"/>
      <c r="P692" s="2"/>
      <c r="Q692" s="2"/>
      <c r="R692" s="2"/>
      <c r="S692" s="2"/>
      <c r="T692" s="2"/>
      <c r="U692" s="2"/>
      <c r="V692" s="2"/>
      <c r="W692" s="2"/>
      <c r="X692" s="2"/>
      <c r="Y692" s="2"/>
      <c r="Z692" s="2"/>
    </row>
    <row r="693">
      <c r="A693" s="5"/>
      <c r="B693" s="5"/>
      <c r="C693" s="5"/>
      <c r="D693" s="2"/>
      <c r="E693" s="2"/>
      <c r="F693" s="2"/>
      <c r="G693" s="2"/>
      <c r="H693" s="2"/>
      <c r="I693" s="2"/>
      <c r="J693" s="2"/>
      <c r="K693" s="2"/>
      <c r="L693" s="2"/>
      <c r="M693" s="2"/>
      <c r="N693" s="2"/>
      <c r="O693" s="2"/>
      <c r="P693" s="2"/>
      <c r="Q693" s="2"/>
      <c r="R693" s="2"/>
      <c r="S693" s="2"/>
      <c r="T693" s="2"/>
      <c r="U693" s="2"/>
      <c r="V693" s="2"/>
      <c r="W693" s="2"/>
      <c r="X693" s="2"/>
      <c r="Y693" s="2"/>
      <c r="Z693" s="2"/>
    </row>
    <row r="694">
      <c r="A694" s="5"/>
      <c r="B694" s="5"/>
      <c r="C694" s="5"/>
      <c r="D694" s="2"/>
      <c r="E694" s="2"/>
      <c r="F694" s="2"/>
      <c r="G694" s="2"/>
      <c r="H694" s="2"/>
      <c r="I694" s="2"/>
      <c r="J694" s="2"/>
      <c r="K694" s="2"/>
      <c r="L694" s="2"/>
      <c r="M694" s="2"/>
      <c r="N694" s="2"/>
      <c r="O694" s="2"/>
      <c r="P694" s="2"/>
      <c r="Q694" s="2"/>
      <c r="R694" s="2"/>
      <c r="S694" s="2"/>
      <c r="T694" s="2"/>
      <c r="U694" s="2"/>
      <c r="V694" s="2"/>
      <c r="W694" s="2"/>
      <c r="X694" s="2"/>
      <c r="Y694" s="2"/>
      <c r="Z694" s="2"/>
    </row>
    <row r="695">
      <c r="A695" s="5"/>
      <c r="B695" s="5"/>
      <c r="C695" s="5"/>
      <c r="D695" s="2"/>
      <c r="E695" s="2"/>
      <c r="F695" s="2"/>
      <c r="G695" s="2"/>
      <c r="H695" s="2"/>
      <c r="I695" s="2"/>
      <c r="J695" s="2"/>
      <c r="K695" s="2"/>
      <c r="L695" s="2"/>
      <c r="M695" s="2"/>
      <c r="N695" s="2"/>
      <c r="O695" s="2"/>
      <c r="P695" s="2"/>
      <c r="Q695" s="2"/>
      <c r="R695" s="2"/>
      <c r="S695" s="2"/>
      <c r="T695" s="2"/>
      <c r="U695" s="2"/>
      <c r="V695" s="2"/>
      <c r="W695" s="2"/>
      <c r="X695" s="2"/>
      <c r="Y695" s="2"/>
      <c r="Z695" s="2"/>
    </row>
    <row r="696">
      <c r="A696" s="5"/>
      <c r="B696" s="5"/>
      <c r="C696" s="5"/>
      <c r="D696" s="2"/>
      <c r="E696" s="2"/>
      <c r="F696" s="2"/>
      <c r="G696" s="2"/>
      <c r="H696" s="2"/>
      <c r="I696" s="2"/>
      <c r="J696" s="2"/>
      <c r="K696" s="2"/>
      <c r="L696" s="2"/>
      <c r="M696" s="2"/>
      <c r="N696" s="2"/>
      <c r="O696" s="2"/>
      <c r="P696" s="2"/>
      <c r="Q696" s="2"/>
      <c r="R696" s="2"/>
      <c r="S696" s="2"/>
      <c r="T696" s="2"/>
      <c r="U696" s="2"/>
      <c r="V696" s="2"/>
      <c r="W696" s="2"/>
      <c r="X696" s="2"/>
      <c r="Y696" s="2"/>
      <c r="Z696" s="2"/>
    </row>
    <row r="697">
      <c r="A697" s="5"/>
      <c r="B697" s="5"/>
      <c r="C697" s="5"/>
      <c r="D697" s="2"/>
      <c r="E697" s="2"/>
      <c r="F697" s="2"/>
      <c r="G697" s="2"/>
      <c r="H697" s="2"/>
      <c r="I697" s="2"/>
      <c r="J697" s="2"/>
      <c r="K697" s="2"/>
      <c r="L697" s="2"/>
      <c r="M697" s="2"/>
      <c r="N697" s="2"/>
      <c r="O697" s="2"/>
      <c r="P697" s="2"/>
      <c r="Q697" s="2"/>
      <c r="R697" s="2"/>
      <c r="S697" s="2"/>
      <c r="T697" s="2"/>
      <c r="U697" s="2"/>
      <c r="V697" s="2"/>
      <c r="W697" s="2"/>
      <c r="X697" s="2"/>
      <c r="Y697" s="2"/>
      <c r="Z697" s="2"/>
    </row>
    <row r="698">
      <c r="A698" s="5"/>
      <c r="B698" s="5"/>
      <c r="C698" s="5"/>
      <c r="D698" s="2"/>
      <c r="E698" s="2"/>
      <c r="F698" s="2"/>
      <c r="G698" s="2"/>
      <c r="H698" s="2"/>
      <c r="I698" s="2"/>
      <c r="J698" s="2"/>
      <c r="K698" s="2"/>
      <c r="L698" s="2"/>
      <c r="M698" s="2"/>
      <c r="N698" s="2"/>
      <c r="O698" s="2"/>
      <c r="P698" s="2"/>
      <c r="Q698" s="2"/>
      <c r="R698" s="2"/>
      <c r="S698" s="2"/>
      <c r="T698" s="2"/>
      <c r="U698" s="2"/>
      <c r="V698" s="2"/>
      <c r="W698" s="2"/>
      <c r="X698" s="2"/>
      <c r="Y698" s="2"/>
      <c r="Z698" s="2"/>
    </row>
    <row r="699">
      <c r="A699" s="5"/>
      <c r="B699" s="5"/>
      <c r="C699" s="5"/>
      <c r="D699" s="2"/>
      <c r="E699" s="2"/>
      <c r="F699" s="2"/>
      <c r="G699" s="2"/>
      <c r="H699" s="2"/>
      <c r="I699" s="2"/>
      <c r="J699" s="2"/>
      <c r="K699" s="2"/>
      <c r="L699" s="2"/>
      <c r="M699" s="2"/>
      <c r="N699" s="2"/>
      <c r="O699" s="2"/>
      <c r="P699" s="2"/>
      <c r="Q699" s="2"/>
      <c r="R699" s="2"/>
      <c r="S699" s="2"/>
      <c r="T699" s="2"/>
      <c r="U699" s="2"/>
      <c r="V699" s="2"/>
      <c r="W699" s="2"/>
      <c r="X699" s="2"/>
      <c r="Y699" s="2"/>
      <c r="Z699" s="2"/>
    </row>
    <row r="700">
      <c r="A700" s="5"/>
      <c r="B700" s="5"/>
      <c r="C700" s="5"/>
      <c r="D700" s="2"/>
      <c r="E700" s="2"/>
      <c r="F700" s="2"/>
      <c r="G700" s="2"/>
      <c r="H700" s="2"/>
      <c r="I700" s="2"/>
      <c r="J700" s="2"/>
      <c r="K700" s="2"/>
      <c r="L700" s="2"/>
      <c r="M700" s="2"/>
      <c r="N700" s="2"/>
      <c r="O700" s="2"/>
      <c r="P700" s="2"/>
      <c r="Q700" s="2"/>
      <c r="R700" s="2"/>
      <c r="S700" s="2"/>
      <c r="T700" s="2"/>
      <c r="U700" s="2"/>
      <c r="V700" s="2"/>
      <c r="W700" s="2"/>
      <c r="X700" s="2"/>
      <c r="Y700" s="2"/>
      <c r="Z700" s="2"/>
    </row>
    <row r="701">
      <c r="A701" s="5"/>
      <c r="B701" s="5"/>
      <c r="C701" s="5"/>
      <c r="D701" s="2"/>
      <c r="E701" s="2"/>
      <c r="F701" s="2"/>
      <c r="G701" s="2"/>
      <c r="H701" s="2"/>
      <c r="I701" s="2"/>
      <c r="J701" s="2"/>
      <c r="K701" s="2"/>
      <c r="L701" s="2"/>
      <c r="M701" s="2"/>
      <c r="N701" s="2"/>
      <c r="O701" s="2"/>
      <c r="P701" s="2"/>
      <c r="Q701" s="2"/>
      <c r="R701" s="2"/>
      <c r="S701" s="2"/>
      <c r="T701" s="2"/>
      <c r="U701" s="2"/>
      <c r="V701" s="2"/>
      <c r="W701" s="2"/>
      <c r="X701" s="2"/>
      <c r="Y701" s="2"/>
      <c r="Z701" s="2"/>
    </row>
    <row r="702">
      <c r="A702" s="5"/>
      <c r="B702" s="5"/>
      <c r="C702" s="5"/>
      <c r="D702" s="2"/>
      <c r="E702" s="2"/>
      <c r="F702" s="2"/>
      <c r="G702" s="2"/>
      <c r="H702" s="2"/>
      <c r="I702" s="2"/>
      <c r="J702" s="2"/>
      <c r="K702" s="2"/>
      <c r="L702" s="2"/>
      <c r="M702" s="2"/>
      <c r="N702" s="2"/>
      <c r="O702" s="2"/>
      <c r="P702" s="2"/>
      <c r="Q702" s="2"/>
      <c r="R702" s="2"/>
      <c r="S702" s="2"/>
      <c r="T702" s="2"/>
      <c r="U702" s="2"/>
      <c r="V702" s="2"/>
      <c r="W702" s="2"/>
      <c r="X702" s="2"/>
      <c r="Y702" s="2"/>
      <c r="Z702" s="2"/>
    </row>
    <row r="703">
      <c r="A703" s="5"/>
      <c r="B703" s="5"/>
      <c r="C703" s="5"/>
      <c r="D703" s="2"/>
      <c r="E703" s="2"/>
      <c r="F703" s="2"/>
      <c r="G703" s="2"/>
      <c r="H703" s="2"/>
      <c r="I703" s="2"/>
      <c r="J703" s="2"/>
      <c r="K703" s="2"/>
      <c r="L703" s="2"/>
      <c r="M703" s="2"/>
      <c r="N703" s="2"/>
      <c r="O703" s="2"/>
      <c r="P703" s="2"/>
      <c r="Q703" s="2"/>
      <c r="R703" s="2"/>
      <c r="S703" s="2"/>
      <c r="T703" s="2"/>
      <c r="U703" s="2"/>
      <c r="V703" s="2"/>
      <c r="W703" s="2"/>
      <c r="X703" s="2"/>
      <c r="Y703" s="2"/>
      <c r="Z703" s="2"/>
    </row>
    <row r="704">
      <c r="A704" s="5"/>
      <c r="B704" s="5"/>
      <c r="C704" s="5"/>
      <c r="D704" s="2"/>
      <c r="E704" s="2"/>
      <c r="F704" s="2"/>
      <c r="G704" s="2"/>
      <c r="H704" s="2"/>
      <c r="I704" s="2"/>
      <c r="J704" s="2"/>
      <c r="K704" s="2"/>
      <c r="L704" s="2"/>
      <c r="M704" s="2"/>
      <c r="N704" s="2"/>
      <c r="O704" s="2"/>
      <c r="P704" s="2"/>
      <c r="Q704" s="2"/>
      <c r="R704" s="2"/>
      <c r="S704" s="2"/>
      <c r="T704" s="2"/>
      <c r="U704" s="2"/>
      <c r="V704" s="2"/>
      <c r="W704" s="2"/>
      <c r="X704" s="2"/>
      <c r="Y704" s="2"/>
      <c r="Z704" s="2"/>
    </row>
    <row r="705">
      <c r="A705" s="5"/>
      <c r="B705" s="5"/>
      <c r="C705" s="5"/>
      <c r="D705" s="2"/>
      <c r="E705" s="2"/>
      <c r="F705" s="2"/>
      <c r="G705" s="2"/>
      <c r="H705" s="2"/>
      <c r="I705" s="2"/>
      <c r="J705" s="2"/>
      <c r="K705" s="2"/>
      <c r="L705" s="2"/>
      <c r="M705" s="2"/>
      <c r="N705" s="2"/>
      <c r="O705" s="2"/>
      <c r="P705" s="2"/>
      <c r="Q705" s="2"/>
      <c r="R705" s="2"/>
      <c r="S705" s="2"/>
      <c r="T705" s="2"/>
      <c r="U705" s="2"/>
      <c r="V705" s="2"/>
      <c r="W705" s="2"/>
      <c r="X705" s="2"/>
      <c r="Y705" s="2"/>
      <c r="Z705" s="2"/>
    </row>
    <row r="706">
      <c r="A706" s="5"/>
      <c r="B706" s="5"/>
      <c r="C706" s="5"/>
      <c r="D706" s="2"/>
      <c r="E706" s="2"/>
      <c r="F706" s="2"/>
      <c r="G706" s="2"/>
      <c r="H706" s="2"/>
      <c r="I706" s="2"/>
      <c r="J706" s="2"/>
      <c r="K706" s="2"/>
      <c r="L706" s="2"/>
      <c r="M706" s="2"/>
      <c r="N706" s="2"/>
      <c r="O706" s="2"/>
      <c r="P706" s="2"/>
      <c r="Q706" s="2"/>
      <c r="R706" s="2"/>
      <c r="S706" s="2"/>
      <c r="T706" s="2"/>
      <c r="U706" s="2"/>
      <c r="V706" s="2"/>
      <c r="W706" s="2"/>
      <c r="X706" s="2"/>
      <c r="Y706" s="2"/>
      <c r="Z706" s="2"/>
    </row>
    <row r="707">
      <c r="A707" s="5"/>
      <c r="B707" s="5"/>
      <c r="C707" s="5"/>
      <c r="D707" s="2"/>
      <c r="E707" s="2"/>
      <c r="F707" s="2"/>
      <c r="G707" s="2"/>
      <c r="H707" s="2"/>
      <c r="I707" s="2"/>
      <c r="J707" s="2"/>
      <c r="K707" s="2"/>
      <c r="L707" s="2"/>
      <c r="M707" s="2"/>
      <c r="N707" s="2"/>
      <c r="O707" s="2"/>
      <c r="P707" s="2"/>
      <c r="Q707" s="2"/>
      <c r="R707" s="2"/>
      <c r="S707" s="2"/>
      <c r="T707" s="2"/>
      <c r="U707" s="2"/>
      <c r="V707" s="2"/>
      <c r="W707" s="2"/>
      <c r="X707" s="2"/>
      <c r="Y707" s="2"/>
      <c r="Z707" s="2"/>
    </row>
    <row r="708">
      <c r="A708" s="5"/>
      <c r="B708" s="5"/>
      <c r="C708" s="5"/>
      <c r="D708" s="2"/>
      <c r="E708" s="2"/>
      <c r="F708" s="2"/>
      <c r="G708" s="2"/>
      <c r="H708" s="2"/>
      <c r="I708" s="2"/>
      <c r="J708" s="2"/>
      <c r="K708" s="2"/>
      <c r="L708" s="2"/>
      <c r="M708" s="2"/>
      <c r="N708" s="2"/>
      <c r="O708" s="2"/>
      <c r="P708" s="2"/>
      <c r="Q708" s="2"/>
      <c r="R708" s="2"/>
      <c r="S708" s="2"/>
      <c r="T708" s="2"/>
      <c r="U708" s="2"/>
      <c r="V708" s="2"/>
      <c r="W708" s="2"/>
      <c r="X708" s="2"/>
      <c r="Y708" s="2"/>
      <c r="Z708" s="2"/>
    </row>
    <row r="709">
      <c r="A709" s="5"/>
      <c r="B709" s="5"/>
      <c r="C709" s="5"/>
      <c r="D709" s="2"/>
      <c r="E709" s="2"/>
      <c r="F709" s="2"/>
      <c r="G709" s="2"/>
      <c r="H709" s="2"/>
      <c r="I709" s="2"/>
      <c r="J709" s="2"/>
      <c r="K709" s="2"/>
      <c r="L709" s="2"/>
      <c r="M709" s="2"/>
      <c r="N709" s="2"/>
      <c r="O709" s="2"/>
      <c r="P709" s="2"/>
      <c r="Q709" s="2"/>
      <c r="R709" s="2"/>
      <c r="S709" s="2"/>
      <c r="T709" s="2"/>
      <c r="U709" s="2"/>
      <c r="V709" s="2"/>
      <c r="W709" s="2"/>
      <c r="X709" s="2"/>
      <c r="Y709" s="2"/>
      <c r="Z709" s="2"/>
    </row>
    <row r="710">
      <c r="A710" s="5"/>
      <c r="B710" s="5"/>
      <c r="C710" s="5"/>
      <c r="D710" s="2"/>
      <c r="E710" s="2"/>
      <c r="F710" s="2"/>
      <c r="G710" s="2"/>
      <c r="H710" s="2"/>
      <c r="I710" s="2"/>
      <c r="J710" s="2"/>
      <c r="K710" s="2"/>
      <c r="L710" s="2"/>
      <c r="M710" s="2"/>
      <c r="N710" s="2"/>
      <c r="O710" s="2"/>
      <c r="P710" s="2"/>
      <c r="Q710" s="2"/>
      <c r="R710" s="2"/>
      <c r="S710" s="2"/>
      <c r="T710" s="2"/>
      <c r="U710" s="2"/>
      <c r="V710" s="2"/>
      <c r="W710" s="2"/>
      <c r="X710" s="2"/>
      <c r="Y710" s="2"/>
      <c r="Z710" s="2"/>
    </row>
    <row r="711">
      <c r="A711" s="5"/>
      <c r="B711" s="5"/>
      <c r="C711" s="5"/>
      <c r="D711" s="2"/>
      <c r="E711" s="2"/>
      <c r="F711" s="2"/>
      <c r="G711" s="2"/>
      <c r="H711" s="2"/>
      <c r="I711" s="2"/>
      <c r="J711" s="2"/>
      <c r="K711" s="2"/>
      <c r="L711" s="2"/>
      <c r="M711" s="2"/>
      <c r="N711" s="2"/>
      <c r="O711" s="2"/>
      <c r="P711" s="2"/>
      <c r="Q711" s="2"/>
      <c r="R711" s="2"/>
      <c r="S711" s="2"/>
      <c r="T711" s="2"/>
      <c r="U711" s="2"/>
      <c r="V711" s="2"/>
      <c r="W711" s="2"/>
      <c r="X711" s="2"/>
      <c r="Y711" s="2"/>
      <c r="Z711" s="2"/>
    </row>
    <row r="712">
      <c r="A712" s="5"/>
      <c r="B712" s="5"/>
      <c r="C712" s="5"/>
      <c r="D712" s="2"/>
      <c r="E712" s="2"/>
      <c r="F712" s="2"/>
      <c r="G712" s="2"/>
      <c r="H712" s="2"/>
      <c r="I712" s="2"/>
      <c r="J712" s="2"/>
      <c r="K712" s="2"/>
      <c r="L712" s="2"/>
      <c r="M712" s="2"/>
      <c r="N712" s="2"/>
      <c r="O712" s="2"/>
      <c r="P712" s="2"/>
      <c r="Q712" s="2"/>
      <c r="R712" s="2"/>
      <c r="S712" s="2"/>
      <c r="T712" s="2"/>
      <c r="U712" s="2"/>
      <c r="V712" s="2"/>
      <c r="W712" s="2"/>
      <c r="X712" s="2"/>
      <c r="Y712" s="2"/>
      <c r="Z712" s="2"/>
    </row>
    <row r="713">
      <c r="A713" s="5"/>
      <c r="B713" s="5"/>
      <c r="C713" s="5"/>
      <c r="D713" s="2"/>
      <c r="E713" s="2"/>
      <c r="F713" s="2"/>
      <c r="G713" s="2"/>
      <c r="H713" s="2"/>
      <c r="I713" s="2"/>
      <c r="J713" s="2"/>
      <c r="K713" s="2"/>
      <c r="L713" s="2"/>
      <c r="M713" s="2"/>
      <c r="N713" s="2"/>
      <c r="O713" s="2"/>
      <c r="P713" s="2"/>
      <c r="Q713" s="2"/>
      <c r="R713" s="2"/>
      <c r="S713" s="2"/>
      <c r="T713" s="2"/>
      <c r="U713" s="2"/>
      <c r="V713" s="2"/>
      <c r="W713" s="2"/>
      <c r="X713" s="2"/>
      <c r="Y713" s="2"/>
      <c r="Z713" s="2"/>
    </row>
    <row r="714">
      <c r="A714" s="5"/>
      <c r="B714" s="5"/>
      <c r="C714" s="5"/>
      <c r="D714" s="2"/>
      <c r="E714" s="2"/>
      <c r="F714" s="2"/>
      <c r="G714" s="2"/>
      <c r="H714" s="2"/>
      <c r="I714" s="2"/>
      <c r="J714" s="2"/>
      <c r="K714" s="2"/>
      <c r="L714" s="2"/>
      <c r="M714" s="2"/>
      <c r="N714" s="2"/>
      <c r="O714" s="2"/>
      <c r="P714" s="2"/>
      <c r="Q714" s="2"/>
      <c r="R714" s="2"/>
      <c r="S714" s="2"/>
      <c r="T714" s="2"/>
      <c r="U714" s="2"/>
      <c r="V714" s="2"/>
      <c r="W714" s="2"/>
      <c r="X714" s="2"/>
      <c r="Y714" s="2"/>
      <c r="Z714" s="2"/>
    </row>
    <row r="715">
      <c r="A715" s="5"/>
      <c r="B715" s="5"/>
      <c r="C715" s="5"/>
      <c r="D715" s="2"/>
      <c r="E715" s="2"/>
      <c r="F715" s="2"/>
      <c r="G715" s="2"/>
      <c r="H715" s="2"/>
      <c r="I715" s="2"/>
      <c r="J715" s="2"/>
      <c r="K715" s="2"/>
      <c r="L715" s="2"/>
      <c r="M715" s="2"/>
      <c r="N715" s="2"/>
      <c r="O715" s="2"/>
      <c r="P715" s="2"/>
      <c r="Q715" s="2"/>
      <c r="R715" s="2"/>
      <c r="S715" s="2"/>
      <c r="T715" s="2"/>
      <c r="U715" s="2"/>
      <c r="V715" s="2"/>
      <c r="W715" s="2"/>
      <c r="X715" s="2"/>
      <c r="Y715" s="2"/>
      <c r="Z715" s="2"/>
    </row>
    <row r="716">
      <c r="A716" s="5"/>
      <c r="B716" s="5"/>
      <c r="C716" s="5"/>
      <c r="D716" s="2"/>
      <c r="E716" s="2"/>
      <c r="F716" s="2"/>
      <c r="G716" s="2"/>
      <c r="H716" s="2"/>
      <c r="I716" s="2"/>
      <c r="J716" s="2"/>
      <c r="K716" s="2"/>
      <c r="L716" s="2"/>
      <c r="M716" s="2"/>
      <c r="N716" s="2"/>
      <c r="O716" s="2"/>
      <c r="P716" s="2"/>
      <c r="Q716" s="2"/>
      <c r="R716" s="2"/>
      <c r="S716" s="2"/>
      <c r="T716" s="2"/>
      <c r="U716" s="2"/>
      <c r="V716" s="2"/>
      <c r="W716" s="2"/>
      <c r="X716" s="2"/>
      <c r="Y716" s="2"/>
      <c r="Z716" s="2"/>
    </row>
    <row r="717">
      <c r="A717" s="5"/>
      <c r="B717" s="5"/>
      <c r="C717" s="5"/>
      <c r="D717" s="2"/>
      <c r="E717" s="2"/>
      <c r="F717" s="2"/>
      <c r="G717" s="2"/>
      <c r="H717" s="2"/>
      <c r="I717" s="2"/>
      <c r="J717" s="2"/>
      <c r="K717" s="2"/>
      <c r="L717" s="2"/>
      <c r="M717" s="2"/>
      <c r="N717" s="2"/>
      <c r="O717" s="2"/>
      <c r="P717" s="2"/>
      <c r="Q717" s="2"/>
      <c r="R717" s="2"/>
      <c r="S717" s="2"/>
      <c r="T717" s="2"/>
      <c r="U717" s="2"/>
      <c r="V717" s="2"/>
      <c r="W717" s="2"/>
      <c r="X717" s="2"/>
      <c r="Y717" s="2"/>
      <c r="Z717" s="2"/>
    </row>
    <row r="718">
      <c r="A718" s="5"/>
      <c r="B718" s="5"/>
      <c r="C718" s="5"/>
      <c r="D718" s="2"/>
      <c r="E718" s="2"/>
      <c r="F718" s="2"/>
      <c r="G718" s="2"/>
      <c r="H718" s="2"/>
      <c r="I718" s="2"/>
      <c r="J718" s="2"/>
      <c r="K718" s="2"/>
      <c r="L718" s="2"/>
      <c r="M718" s="2"/>
      <c r="N718" s="2"/>
      <c r="O718" s="2"/>
      <c r="P718" s="2"/>
      <c r="Q718" s="2"/>
      <c r="R718" s="2"/>
      <c r="S718" s="2"/>
      <c r="T718" s="2"/>
      <c r="U718" s="2"/>
      <c r="V718" s="2"/>
      <c r="W718" s="2"/>
      <c r="X718" s="2"/>
      <c r="Y718" s="2"/>
      <c r="Z718" s="2"/>
    </row>
    <row r="719">
      <c r="A719" s="5"/>
      <c r="B719" s="5"/>
      <c r="C719" s="5"/>
      <c r="D719" s="2"/>
      <c r="E719" s="2"/>
      <c r="F719" s="2"/>
      <c r="G719" s="2"/>
      <c r="H719" s="2"/>
      <c r="I719" s="2"/>
      <c r="J719" s="2"/>
      <c r="K719" s="2"/>
      <c r="L719" s="2"/>
      <c r="M719" s="2"/>
      <c r="N719" s="2"/>
      <c r="O719" s="2"/>
      <c r="P719" s="2"/>
      <c r="Q719" s="2"/>
      <c r="R719" s="2"/>
      <c r="S719" s="2"/>
      <c r="T719" s="2"/>
      <c r="U719" s="2"/>
      <c r="V719" s="2"/>
      <c r="W719" s="2"/>
      <c r="X719" s="2"/>
      <c r="Y719" s="2"/>
      <c r="Z719" s="2"/>
    </row>
    <row r="720">
      <c r="A720" s="5"/>
      <c r="B720" s="5"/>
      <c r="C720" s="5"/>
      <c r="D720" s="2"/>
      <c r="E720" s="2"/>
      <c r="F720" s="2"/>
      <c r="G720" s="2"/>
      <c r="H720" s="2"/>
      <c r="I720" s="2"/>
      <c r="J720" s="2"/>
      <c r="K720" s="2"/>
      <c r="L720" s="2"/>
      <c r="M720" s="2"/>
      <c r="N720" s="2"/>
      <c r="O720" s="2"/>
      <c r="P720" s="2"/>
      <c r="Q720" s="2"/>
      <c r="R720" s="2"/>
      <c r="S720" s="2"/>
      <c r="T720" s="2"/>
      <c r="U720" s="2"/>
      <c r="V720" s="2"/>
      <c r="W720" s="2"/>
      <c r="X720" s="2"/>
      <c r="Y720" s="2"/>
      <c r="Z720" s="2"/>
    </row>
    <row r="721">
      <c r="A721" s="5"/>
      <c r="B721" s="5"/>
      <c r="C721" s="5"/>
      <c r="D721" s="2"/>
      <c r="E721" s="2"/>
      <c r="F721" s="2"/>
      <c r="G721" s="2"/>
      <c r="H721" s="2"/>
      <c r="I721" s="2"/>
      <c r="J721" s="2"/>
      <c r="K721" s="2"/>
      <c r="L721" s="2"/>
      <c r="M721" s="2"/>
      <c r="N721" s="2"/>
      <c r="O721" s="2"/>
      <c r="P721" s="2"/>
      <c r="Q721" s="2"/>
      <c r="R721" s="2"/>
      <c r="S721" s="2"/>
      <c r="T721" s="2"/>
      <c r="U721" s="2"/>
      <c r="V721" s="2"/>
      <c r="W721" s="2"/>
      <c r="X721" s="2"/>
      <c r="Y721" s="2"/>
      <c r="Z721" s="2"/>
    </row>
    <row r="722">
      <c r="A722" s="5"/>
      <c r="B722" s="5"/>
      <c r="C722" s="5"/>
      <c r="D722" s="2"/>
      <c r="E722" s="2"/>
      <c r="F722" s="2"/>
      <c r="G722" s="2"/>
      <c r="H722" s="2"/>
      <c r="I722" s="2"/>
      <c r="J722" s="2"/>
      <c r="K722" s="2"/>
      <c r="L722" s="2"/>
      <c r="M722" s="2"/>
      <c r="N722" s="2"/>
      <c r="O722" s="2"/>
      <c r="P722" s="2"/>
      <c r="Q722" s="2"/>
      <c r="R722" s="2"/>
      <c r="S722" s="2"/>
      <c r="T722" s="2"/>
      <c r="U722" s="2"/>
      <c r="V722" s="2"/>
      <c r="W722" s="2"/>
      <c r="X722" s="2"/>
      <c r="Y722" s="2"/>
      <c r="Z722" s="2"/>
    </row>
    <row r="723">
      <c r="A723" s="5"/>
      <c r="B723" s="5"/>
      <c r="C723" s="5"/>
      <c r="D723" s="2"/>
      <c r="E723" s="2"/>
      <c r="F723" s="2"/>
      <c r="G723" s="2"/>
      <c r="H723" s="2"/>
      <c r="I723" s="2"/>
      <c r="J723" s="2"/>
      <c r="K723" s="2"/>
      <c r="L723" s="2"/>
      <c r="M723" s="2"/>
      <c r="N723" s="2"/>
      <c r="O723" s="2"/>
      <c r="P723" s="2"/>
      <c r="Q723" s="2"/>
      <c r="R723" s="2"/>
      <c r="S723" s="2"/>
      <c r="T723" s="2"/>
      <c r="U723" s="2"/>
      <c r="V723" s="2"/>
      <c r="W723" s="2"/>
      <c r="X723" s="2"/>
      <c r="Y723" s="2"/>
      <c r="Z723" s="2"/>
    </row>
    <row r="724">
      <c r="A724" s="5"/>
      <c r="B724" s="5"/>
      <c r="C724" s="5"/>
      <c r="D724" s="2"/>
      <c r="E724" s="2"/>
      <c r="F724" s="2"/>
      <c r="G724" s="2"/>
      <c r="H724" s="2"/>
      <c r="I724" s="2"/>
      <c r="J724" s="2"/>
      <c r="K724" s="2"/>
      <c r="L724" s="2"/>
      <c r="M724" s="2"/>
      <c r="N724" s="2"/>
      <c r="O724" s="2"/>
      <c r="P724" s="2"/>
      <c r="Q724" s="2"/>
      <c r="R724" s="2"/>
      <c r="S724" s="2"/>
      <c r="T724" s="2"/>
      <c r="U724" s="2"/>
      <c r="V724" s="2"/>
      <c r="W724" s="2"/>
      <c r="X724" s="2"/>
      <c r="Y724" s="2"/>
      <c r="Z724" s="2"/>
    </row>
    <row r="725">
      <c r="A725" s="5"/>
      <c r="B725" s="5"/>
      <c r="C725" s="5"/>
      <c r="D725" s="2"/>
      <c r="E725" s="2"/>
      <c r="F725" s="2"/>
      <c r="G725" s="2"/>
      <c r="H725" s="2"/>
      <c r="I725" s="2"/>
      <c r="J725" s="2"/>
      <c r="K725" s="2"/>
      <c r="L725" s="2"/>
      <c r="M725" s="2"/>
      <c r="N725" s="2"/>
      <c r="O725" s="2"/>
      <c r="P725" s="2"/>
      <c r="Q725" s="2"/>
      <c r="R725" s="2"/>
      <c r="S725" s="2"/>
      <c r="T725" s="2"/>
      <c r="U725" s="2"/>
      <c r="V725" s="2"/>
      <c r="W725" s="2"/>
      <c r="X725" s="2"/>
      <c r="Y725" s="2"/>
      <c r="Z725" s="2"/>
    </row>
    <row r="726">
      <c r="A726" s="5"/>
      <c r="B726" s="5"/>
      <c r="C726" s="5"/>
      <c r="D726" s="2"/>
      <c r="E726" s="2"/>
      <c r="F726" s="2"/>
      <c r="G726" s="2"/>
      <c r="H726" s="2"/>
      <c r="I726" s="2"/>
      <c r="J726" s="2"/>
      <c r="K726" s="2"/>
      <c r="L726" s="2"/>
      <c r="M726" s="2"/>
      <c r="N726" s="2"/>
      <c r="O726" s="2"/>
      <c r="P726" s="2"/>
      <c r="Q726" s="2"/>
      <c r="R726" s="2"/>
      <c r="S726" s="2"/>
      <c r="T726" s="2"/>
      <c r="U726" s="2"/>
      <c r="V726" s="2"/>
      <c r="W726" s="2"/>
      <c r="X726" s="2"/>
      <c r="Y726" s="2"/>
      <c r="Z726" s="2"/>
    </row>
    <row r="727">
      <c r="A727" s="5"/>
      <c r="B727" s="5"/>
      <c r="C727" s="5"/>
      <c r="D727" s="2"/>
      <c r="E727" s="2"/>
      <c r="F727" s="2"/>
      <c r="G727" s="2"/>
      <c r="H727" s="2"/>
      <c r="I727" s="2"/>
      <c r="J727" s="2"/>
      <c r="K727" s="2"/>
      <c r="L727" s="2"/>
      <c r="M727" s="2"/>
      <c r="N727" s="2"/>
      <c r="O727" s="2"/>
      <c r="P727" s="2"/>
      <c r="Q727" s="2"/>
      <c r="R727" s="2"/>
      <c r="S727" s="2"/>
      <c r="T727" s="2"/>
      <c r="U727" s="2"/>
      <c r="V727" s="2"/>
      <c r="W727" s="2"/>
      <c r="X727" s="2"/>
      <c r="Y727" s="2"/>
      <c r="Z727" s="2"/>
    </row>
    <row r="728">
      <c r="A728" s="5"/>
      <c r="B728" s="5"/>
      <c r="C728" s="5"/>
      <c r="D728" s="2"/>
      <c r="E728" s="2"/>
      <c r="F728" s="2"/>
      <c r="G728" s="2"/>
      <c r="H728" s="2"/>
      <c r="I728" s="2"/>
      <c r="J728" s="2"/>
      <c r="K728" s="2"/>
      <c r="L728" s="2"/>
      <c r="M728" s="2"/>
      <c r="N728" s="2"/>
      <c r="O728" s="2"/>
      <c r="P728" s="2"/>
      <c r="Q728" s="2"/>
      <c r="R728" s="2"/>
      <c r="S728" s="2"/>
      <c r="T728" s="2"/>
      <c r="U728" s="2"/>
      <c r="V728" s="2"/>
      <c r="W728" s="2"/>
      <c r="X728" s="2"/>
      <c r="Y728" s="2"/>
      <c r="Z728" s="2"/>
    </row>
    <row r="729">
      <c r="A729" s="5"/>
      <c r="B729" s="5"/>
      <c r="C729" s="5"/>
      <c r="D729" s="2"/>
      <c r="E729" s="2"/>
      <c r="F729" s="2"/>
      <c r="G729" s="2"/>
      <c r="H729" s="2"/>
      <c r="I729" s="2"/>
      <c r="J729" s="2"/>
      <c r="K729" s="2"/>
      <c r="L729" s="2"/>
      <c r="M729" s="2"/>
      <c r="N729" s="2"/>
      <c r="O729" s="2"/>
      <c r="P729" s="2"/>
      <c r="Q729" s="2"/>
      <c r="R729" s="2"/>
      <c r="S729" s="2"/>
      <c r="T729" s="2"/>
      <c r="U729" s="2"/>
      <c r="V729" s="2"/>
      <c r="W729" s="2"/>
      <c r="X729" s="2"/>
      <c r="Y729" s="2"/>
      <c r="Z729" s="2"/>
    </row>
    <row r="730">
      <c r="A730" s="5"/>
      <c r="B730" s="5"/>
      <c r="C730" s="5"/>
      <c r="D730" s="2"/>
      <c r="E730" s="2"/>
      <c r="F730" s="2"/>
      <c r="G730" s="2"/>
      <c r="H730" s="2"/>
      <c r="I730" s="2"/>
      <c r="J730" s="2"/>
      <c r="K730" s="2"/>
      <c r="L730" s="2"/>
      <c r="M730" s="2"/>
      <c r="N730" s="2"/>
      <c r="O730" s="2"/>
      <c r="P730" s="2"/>
      <c r="Q730" s="2"/>
      <c r="R730" s="2"/>
      <c r="S730" s="2"/>
      <c r="T730" s="2"/>
      <c r="U730" s="2"/>
      <c r="V730" s="2"/>
      <c r="W730" s="2"/>
      <c r="X730" s="2"/>
      <c r="Y730" s="2"/>
      <c r="Z730" s="2"/>
    </row>
    <row r="731">
      <c r="A731" s="5"/>
      <c r="B731" s="5"/>
      <c r="C731" s="5"/>
      <c r="D731" s="2"/>
      <c r="E731" s="2"/>
      <c r="F731" s="2"/>
      <c r="G731" s="2"/>
      <c r="H731" s="2"/>
      <c r="I731" s="2"/>
      <c r="J731" s="2"/>
      <c r="K731" s="2"/>
      <c r="L731" s="2"/>
      <c r="M731" s="2"/>
      <c r="N731" s="2"/>
      <c r="O731" s="2"/>
      <c r="P731" s="2"/>
      <c r="Q731" s="2"/>
      <c r="R731" s="2"/>
      <c r="S731" s="2"/>
      <c r="T731" s="2"/>
      <c r="U731" s="2"/>
      <c r="V731" s="2"/>
      <c r="W731" s="2"/>
      <c r="X731" s="2"/>
      <c r="Y731" s="2"/>
      <c r="Z731" s="2"/>
    </row>
    <row r="732">
      <c r="A732" s="5"/>
      <c r="B732" s="5"/>
      <c r="C732" s="5"/>
      <c r="D732" s="2"/>
      <c r="E732" s="2"/>
      <c r="F732" s="2"/>
      <c r="G732" s="2"/>
      <c r="H732" s="2"/>
      <c r="I732" s="2"/>
      <c r="J732" s="2"/>
      <c r="K732" s="2"/>
      <c r="L732" s="2"/>
      <c r="M732" s="2"/>
      <c r="N732" s="2"/>
      <c r="O732" s="2"/>
      <c r="P732" s="2"/>
      <c r="Q732" s="2"/>
      <c r="R732" s="2"/>
      <c r="S732" s="2"/>
      <c r="T732" s="2"/>
      <c r="U732" s="2"/>
      <c r="V732" s="2"/>
      <c r="W732" s="2"/>
      <c r="X732" s="2"/>
      <c r="Y732" s="2"/>
      <c r="Z732" s="2"/>
    </row>
    <row r="733">
      <c r="A733" s="5"/>
      <c r="B733" s="5"/>
      <c r="C733" s="5"/>
      <c r="D733" s="2"/>
      <c r="E733" s="2"/>
      <c r="F733" s="2"/>
      <c r="G733" s="2"/>
      <c r="H733" s="2"/>
      <c r="I733" s="2"/>
      <c r="J733" s="2"/>
      <c r="K733" s="2"/>
      <c r="L733" s="2"/>
      <c r="M733" s="2"/>
      <c r="N733" s="2"/>
      <c r="O733" s="2"/>
      <c r="P733" s="2"/>
      <c r="Q733" s="2"/>
      <c r="R733" s="2"/>
      <c r="S733" s="2"/>
      <c r="T733" s="2"/>
      <c r="U733" s="2"/>
      <c r="V733" s="2"/>
      <c r="W733" s="2"/>
      <c r="X733" s="2"/>
      <c r="Y733" s="2"/>
      <c r="Z733" s="2"/>
    </row>
    <row r="734">
      <c r="A734" s="5"/>
      <c r="B734" s="5"/>
      <c r="C734" s="5"/>
      <c r="D734" s="2"/>
      <c r="E734" s="2"/>
      <c r="F734" s="2"/>
      <c r="G734" s="2"/>
      <c r="H734" s="2"/>
      <c r="I734" s="2"/>
      <c r="J734" s="2"/>
      <c r="K734" s="2"/>
      <c r="L734" s="2"/>
      <c r="M734" s="2"/>
      <c r="N734" s="2"/>
      <c r="O734" s="2"/>
      <c r="P734" s="2"/>
      <c r="Q734" s="2"/>
      <c r="R734" s="2"/>
      <c r="S734" s="2"/>
      <c r="T734" s="2"/>
      <c r="U734" s="2"/>
      <c r="V734" s="2"/>
      <c r="W734" s="2"/>
      <c r="X734" s="2"/>
      <c r="Y734" s="2"/>
      <c r="Z734" s="2"/>
    </row>
    <row r="735">
      <c r="A735" s="5"/>
      <c r="B735" s="5"/>
      <c r="C735" s="5"/>
      <c r="D735" s="2"/>
      <c r="E735" s="2"/>
      <c r="F735" s="2"/>
      <c r="G735" s="2"/>
      <c r="H735" s="2"/>
      <c r="I735" s="2"/>
      <c r="J735" s="2"/>
      <c r="K735" s="2"/>
      <c r="L735" s="2"/>
      <c r="M735" s="2"/>
      <c r="N735" s="2"/>
      <c r="O735" s="2"/>
      <c r="P735" s="2"/>
      <c r="Q735" s="2"/>
      <c r="R735" s="2"/>
      <c r="S735" s="2"/>
      <c r="T735" s="2"/>
      <c r="U735" s="2"/>
      <c r="V735" s="2"/>
      <c r="W735" s="2"/>
      <c r="X735" s="2"/>
      <c r="Y735" s="2"/>
      <c r="Z735" s="2"/>
    </row>
    <row r="736">
      <c r="A736" s="5"/>
      <c r="B736" s="5"/>
      <c r="C736" s="5"/>
      <c r="D736" s="2"/>
      <c r="E736" s="2"/>
      <c r="F736" s="2"/>
      <c r="G736" s="2"/>
      <c r="H736" s="2"/>
      <c r="I736" s="2"/>
      <c r="J736" s="2"/>
      <c r="K736" s="2"/>
      <c r="L736" s="2"/>
      <c r="M736" s="2"/>
      <c r="N736" s="2"/>
      <c r="O736" s="2"/>
      <c r="P736" s="2"/>
      <c r="Q736" s="2"/>
      <c r="R736" s="2"/>
      <c r="S736" s="2"/>
      <c r="T736" s="2"/>
      <c r="U736" s="2"/>
      <c r="V736" s="2"/>
      <c r="W736" s="2"/>
      <c r="X736" s="2"/>
      <c r="Y736" s="2"/>
      <c r="Z736" s="2"/>
    </row>
    <row r="737">
      <c r="A737" s="5"/>
      <c r="B737" s="5"/>
      <c r="C737" s="5"/>
      <c r="D737" s="2"/>
      <c r="E737" s="2"/>
      <c r="F737" s="2"/>
      <c r="G737" s="2"/>
      <c r="H737" s="2"/>
      <c r="I737" s="2"/>
      <c r="J737" s="2"/>
      <c r="K737" s="2"/>
      <c r="L737" s="2"/>
      <c r="M737" s="2"/>
      <c r="N737" s="2"/>
      <c r="O737" s="2"/>
      <c r="P737" s="2"/>
      <c r="Q737" s="2"/>
      <c r="R737" s="2"/>
      <c r="S737" s="2"/>
      <c r="T737" s="2"/>
      <c r="U737" s="2"/>
      <c r="V737" s="2"/>
      <c r="W737" s="2"/>
      <c r="X737" s="2"/>
      <c r="Y737" s="2"/>
      <c r="Z737" s="2"/>
    </row>
    <row r="738">
      <c r="A738" s="5"/>
      <c r="B738" s="5"/>
      <c r="C738" s="5"/>
      <c r="D738" s="2"/>
      <c r="E738" s="2"/>
      <c r="F738" s="2"/>
      <c r="G738" s="2"/>
      <c r="H738" s="2"/>
      <c r="I738" s="2"/>
      <c r="J738" s="2"/>
      <c r="K738" s="2"/>
      <c r="L738" s="2"/>
      <c r="M738" s="2"/>
      <c r="N738" s="2"/>
      <c r="O738" s="2"/>
      <c r="P738" s="2"/>
      <c r="Q738" s="2"/>
      <c r="R738" s="2"/>
      <c r="S738" s="2"/>
      <c r="T738" s="2"/>
      <c r="U738" s="2"/>
      <c r="V738" s="2"/>
      <c r="W738" s="2"/>
      <c r="X738" s="2"/>
      <c r="Y738" s="2"/>
      <c r="Z738" s="2"/>
    </row>
    <row r="739">
      <c r="A739" s="5"/>
      <c r="B739" s="5"/>
      <c r="C739" s="5"/>
      <c r="D739" s="2"/>
      <c r="E739" s="2"/>
      <c r="F739" s="2"/>
      <c r="G739" s="2"/>
      <c r="H739" s="2"/>
      <c r="I739" s="2"/>
      <c r="J739" s="2"/>
      <c r="K739" s="2"/>
      <c r="L739" s="2"/>
      <c r="M739" s="2"/>
      <c r="N739" s="2"/>
      <c r="O739" s="2"/>
      <c r="P739" s="2"/>
      <c r="Q739" s="2"/>
      <c r="R739" s="2"/>
      <c r="S739" s="2"/>
      <c r="T739" s="2"/>
      <c r="U739" s="2"/>
      <c r="V739" s="2"/>
      <c r="W739" s="2"/>
      <c r="X739" s="2"/>
      <c r="Y739" s="2"/>
      <c r="Z739" s="2"/>
    </row>
    <row r="740">
      <c r="A740" s="5"/>
      <c r="B740" s="5"/>
      <c r="C740" s="5"/>
      <c r="D740" s="2"/>
      <c r="E740" s="2"/>
      <c r="F740" s="2"/>
      <c r="G740" s="2"/>
      <c r="H740" s="2"/>
      <c r="I740" s="2"/>
      <c r="J740" s="2"/>
      <c r="K740" s="2"/>
      <c r="L740" s="2"/>
      <c r="M740" s="2"/>
      <c r="N740" s="2"/>
      <c r="O740" s="2"/>
      <c r="P740" s="2"/>
      <c r="Q740" s="2"/>
      <c r="R740" s="2"/>
      <c r="S740" s="2"/>
      <c r="T740" s="2"/>
      <c r="U740" s="2"/>
      <c r="V740" s="2"/>
      <c r="W740" s="2"/>
      <c r="X740" s="2"/>
      <c r="Y740" s="2"/>
      <c r="Z740" s="2"/>
    </row>
    <row r="741">
      <c r="A741" s="5"/>
      <c r="B741" s="5"/>
      <c r="C741" s="5"/>
      <c r="D741" s="2"/>
      <c r="E741" s="2"/>
      <c r="F741" s="2"/>
      <c r="G741" s="2"/>
      <c r="H741" s="2"/>
      <c r="I741" s="2"/>
      <c r="J741" s="2"/>
      <c r="K741" s="2"/>
      <c r="L741" s="2"/>
      <c r="M741" s="2"/>
      <c r="N741" s="2"/>
      <c r="O741" s="2"/>
      <c r="P741" s="2"/>
      <c r="Q741" s="2"/>
      <c r="R741" s="2"/>
      <c r="S741" s="2"/>
      <c r="T741" s="2"/>
      <c r="U741" s="2"/>
      <c r="V741" s="2"/>
      <c r="W741" s="2"/>
      <c r="X741" s="2"/>
      <c r="Y741" s="2"/>
      <c r="Z741" s="2"/>
    </row>
    <row r="742">
      <c r="A742" s="5"/>
      <c r="B742" s="5"/>
      <c r="C742" s="5"/>
      <c r="D742" s="2"/>
      <c r="E742" s="2"/>
      <c r="F742" s="2"/>
      <c r="G742" s="2"/>
      <c r="H742" s="2"/>
      <c r="I742" s="2"/>
      <c r="J742" s="2"/>
      <c r="K742" s="2"/>
      <c r="L742" s="2"/>
      <c r="M742" s="2"/>
      <c r="N742" s="2"/>
      <c r="O742" s="2"/>
      <c r="P742" s="2"/>
      <c r="Q742" s="2"/>
      <c r="R742" s="2"/>
      <c r="S742" s="2"/>
      <c r="T742" s="2"/>
      <c r="U742" s="2"/>
      <c r="V742" s="2"/>
      <c r="W742" s="2"/>
      <c r="X742" s="2"/>
      <c r="Y742" s="2"/>
      <c r="Z742" s="2"/>
    </row>
    <row r="743">
      <c r="A743" s="5"/>
      <c r="B743" s="5"/>
      <c r="C743" s="5"/>
      <c r="D743" s="2"/>
      <c r="E743" s="2"/>
      <c r="F743" s="2"/>
      <c r="G743" s="2"/>
      <c r="H743" s="2"/>
      <c r="I743" s="2"/>
      <c r="J743" s="2"/>
      <c r="K743" s="2"/>
      <c r="L743" s="2"/>
      <c r="M743" s="2"/>
      <c r="N743" s="2"/>
      <c r="O743" s="2"/>
      <c r="P743" s="2"/>
      <c r="Q743" s="2"/>
      <c r="R743" s="2"/>
      <c r="S743" s="2"/>
      <c r="T743" s="2"/>
      <c r="U743" s="2"/>
      <c r="V743" s="2"/>
      <c r="W743" s="2"/>
      <c r="X743" s="2"/>
      <c r="Y743" s="2"/>
      <c r="Z743" s="2"/>
    </row>
    <row r="744">
      <c r="A744" s="5"/>
      <c r="B744" s="5"/>
      <c r="C744" s="5"/>
      <c r="D744" s="2"/>
      <c r="E744" s="2"/>
      <c r="F744" s="2"/>
      <c r="G744" s="2"/>
      <c r="H744" s="2"/>
      <c r="I744" s="2"/>
      <c r="J744" s="2"/>
      <c r="K744" s="2"/>
      <c r="L744" s="2"/>
      <c r="M744" s="2"/>
      <c r="N744" s="2"/>
      <c r="O744" s="2"/>
      <c r="P744" s="2"/>
      <c r="Q744" s="2"/>
      <c r="R744" s="2"/>
      <c r="S744" s="2"/>
      <c r="T744" s="2"/>
      <c r="U744" s="2"/>
      <c r="V744" s="2"/>
      <c r="W744" s="2"/>
      <c r="X744" s="2"/>
      <c r="Y744" s="2"/>
      <c r="Z744" s="2"/>
    </row>
    <row r="745">
      <c r="A745" s="5"/>
      <c r="B745" s="5"/>
      <c r="C745" s="5"/>
      <c r="D745" s="2"/>
      <c r="E745" s="2"/>
      <c r="F745" s="2"/>
      <c r="G745" s="2"/>
      <c r="H745" s="2"/>
      <c r="I745" s="2"/>
      <c r="J745" s="2"/>
      <c r="K745" s="2"/>
      <c r="L745" s="2"/>
      <c r="M745" s="2"/>
      <c r="N745" s="2"/>
      <c r="O745" s="2"/>
      <c r="P745" s="2"/>
      <c r="Q745" s="2"/>
      <c r="R745" s="2"/>
      <c r="S745" s="2"/>
      <c r="T745" s="2"/>
      <c r="U745" s="2"/>
      <c r="V745" s="2"/>
      <c r="W745" s="2"/>
      <c r="X745" s="2"/>
      <c r="Y745" s="2"/>
      <c r="Z745" s="2"/>
    </row>
    <row r="746">
      <c r="A746" s="5"/>
      <c r="B746" s="5"/>
      <c r="C746" s="5"/>
      <c r="D746" s="2"/>
      <c r="E746" s="2"/>
      <c r="F746" s="2"/>
      <c r="G746" s="2"/>
      <c r="H746" s="2"/>
      <c r="I746" s="2"/>
      <c r="J746" s="2"/>
      <c r="K746" s="2"/>
      <c r="L746" s="2"/>
      <c r="M746" s="2"/>
      <c r="N746" s="2"/>
      <c r="O746" s="2"/>
      <c r="P746" s="2"/>
      <c r="Q746" s="2"/>
      <c r="R746" s="2"/>
      <c r="S746" s="2"/>
      <c r="T746" s="2"/>
      <c r="U746" s="2"/>
      <c r="V746" s="2"/>
      <c r="W746" s="2"/>
      <c r="X746" s="2"/>
      <c r="Y746" s="2"/>
      <c r="Z746" s="2"/>
    </row>
    <row r="747">
      <c r="A747" s="5"/>
      <c r="B747" s="5"/>
      <c r="C747" s="5"/>
      <c r="D747" s="2"/>
      <c r="E747" s="2"/>
      <c r="F747" s="2"/>
      <c r="G747" s="2"/>
      <c r="H747" s="2"/>
      <c r="I747" s="2"/>
      <c r="J747" s="2"/>
      <c r="K747" s="2"/>
      <c r="L747" s="2"/>
      <c r="M747" s="2"/>
      <c r="N747" s="2"/>
      <c r="O747" s="2"/>
      <c r="P747" s="2"/>
      <c r="Q747" s="2"/>
      <c r="R747" s="2"/>
      <c r="S747" s="2"/>
      <c r="T747" s="2"/>
      <c r="U747" s="2"/>
      <c r="V747" s="2"/>
      <c r="W747" s="2"/>
      <c r="X747" s="2"/>
      <c r="Y747" s="2"/>
      <c r="Z747" s="2"/>
    </row>
    <row r="748">
      <c r="A748" s="5"/>
      <c r="B748" s="5"/>
      <c r="C748" s="5"/>
      <c r="D748" s="2"/>
      <c r="E748" s="2"/>
      <c r="F748" s="2"/>
      <c r="G748" s="2"/>
      <c r="H748" s="2"/>
      <c r="I748" s="2"/>
      <c r="J748" s="2"/>
      <c r="K748" s="2"/>
      <c r="L748" s="2"/>
      <c r="M748" s="2"/>
      <c r="N748" s="2"/>
      <c r="O748" s="2"/>
      <c r="P748" s="2"/>
      <c r="Q748" s="2"/>
      <c r="R748" s="2"/>
      <c r="S748" s="2"/>
      <c r="T748" s="2"/>
      <c r="U748" s="2"/>
      <c r="V748" s="2"/>
      <c r="W748" s="2"/>
      <c r="X748" s="2"/>
      <c r="Y748" s="2"/>
      <c r="Z748" s="2"/>
    </row>
    <row r="749">
      <c r="A749" s="5"/>
      <c r="B749" s="5"/>
      <c r="C749" s="5"/>
      <c r="D749" s="2"/>
      <c r="E749" s="2"/>
      <c r="F749" s="2"/>
      <c r="G749" s="2"/>
      <c r="H749" s="2"/>
      <c r="I749" s="2"/>
      <c r="J749" s="2"/>
      <c r="K749" s="2"/>
      <c r="L749" s="2"/>
      <c r="M749" s="2"/>
      <c r="N749" s="2"/>
      <c r="O749" s="2"/>
      <c r="P749" s="2"/>
      <c r="Q749" s="2"/>
      <c r="R749" s="2"/>
      <c r="S749" s="2"/>
      <c r="T749" s="2"/>
      <c r="U749" s="2"/>
      <c r="V749" s="2"/>
      <c r="W749" s="2"/>
      <c r="X749" s="2"/>
      <c r="Y749" s="2"/>
      <c r="Z749" s="2"/>
    </row>
    <row r="750">
      <c r="A750" s="5"/>
      <c r="B750" s="5"/>
      <c r="C750" s="5"/>
      <c r="D750" s="2"/>
      <c r="E750" s="2"/>
      <c r="F750" s="2"/>
      <c r="G750" s="2"/>
      <c r="H750" s="2"/>
      <c r="I750" s="2"/>
      <c r="J750" s="2"/>
      <c r="K750" s="2"/>
      <c r="L750" s="2"/>
      <c r="M750" s="2"/>
      <c r="N750" s="2"/>
      <c r="O750" s="2"/>
      <c r="P750" s="2"/>
      <c r="Q750" s="2"/>
      <c r="R750" s="2"/>
      <c r="S750" s="2"/>
      <c r="T750" s="2"/>
      <c r="U750" s="2"/>
      <c r="V750" s="2"/>
      <c r="W750" s="2"/>
      <c r="X750" s="2"/>
      <c r="Y750" s="2"/>
      <c r="Z750" s="2"/>
    </row>
    <row r="751">
      <c r="A751" s="5"/>
      <c r="B751" s="5"/>
      <c r="C751" s="5"/>
      <c r="D751" s="2"/>
      <c r="E751" s="2"/>
      <c r="F751" s="2"/>
      <c r="G751" s="2"/>
      <c r="H751" s="2"/>
      <c r="I751" s="2"/>
      <c r="J751" s="2"/>
      <c r="K751" s="2"/>
      <c r="L751" s="2"/>
      <c r="M751" s="2"/>
      <c r="N751" s="2"/>
      <c r="O751" s="2"/>
      <c r="P751" s="2"/>
      <c r="Q751" s="2"/>
      <c r="R751" s="2"/>
      <c r="S751" s="2"/>
      <c r="T751" s="2"/>
      <c r="U751" s="2"/>
      <c r="V751" s="2"/>
      <c r="W751" s="2"/>
      <c r="X751" s="2"/>
      <c r="Y751" s="2"/>
      <c r="Z751" s="2"/>
    </row>
    <row r="752">
      <c r="A752" s="5"/>
      <c r="B752" s="5"/>
      <c r="C752" s="5"/>
      <c r="D752" s="2"/>
      <c r="E752" s="2"/>
      <c r="F752" s="2"/>
      <c r="G752" s="2"/>
      <c r="H752" s="2"/>
      <c r="I752" s="2"/>
      <c r="J752" s="2"/>
      <c r="K752" s="2"/>
      <c r="L752" s="2"/>
      <c r="M752" s="2"/>
      <c r="N752" s="2"/>
      <c r="O752" s="2"/>
      <c r="P752" s="2"/>
      <c r="Q752" s="2"/>
      <c r="R752" s="2"/>
      <c r="S752" s="2"/>
      <c r="T752" s="2"/>
      <c r="U752" s="2"/>
      <c r="V752" s="2"/>
      <c r="W752" s="2"/>
      <c r="X752" s="2"/>
      <c r="Y752" s="2"/>
      <c r="Z752" s="2"/>
    </row>
    <row r="753">
      <c r="A753" s="5"/>
      <c r="B753" s="5"/>
      <c r="C753" s="5"/>
      <c r="D753" s="2"/>
      <c r="E753" s="2"/>
      <c r="F753" s="2"/>
      <c r="G753" s="2"/>
      <c r="H753" s="2"/>
      <c r="I753" s="2"/>
      <c r="J753" s="2"/>
      <c r="K753" s="2"/>
      <c r="L753" s="2"/>
      <c r="M753" s="2"/>
      <c r="N753" s="2"/>
      <c r="O753" s="2"/>
      <c r="P753" s="2"/>
      <c r="Q753" s="2"/>
      <c r="R753" s="2"/>
      <c r="S753" s="2"/>
      <c r="T753" s="2"/>
      <c r="U753" s="2"/>
      <c r="V753" s="2"/>
      <c r="W753" s="2"/>
      <c r="X753" s="2"/>
      <c r="Y753" s="2"/>
      <c r="Z753" s="2"/>
    </row>
    <row r="754">
      <c r="A754" s="5"/>
      <c r="B754" s="5"/>
      <c r="C754" s="5"/>
      <c r="D754" s="2"/>
      <c r="E754" s="2"/>
      <c r="F754" s="2"/>
      <c r="G754" s="2"/>
      <c r="H754" s="2"/>
      <c r="I754" s="2"/>
      <c r="J754" s="2"/>
      <c r="K754" s="2"/>
      <c r="L754" s="2"/>
      <c r="M754" s="2"/>
      <c r="N754" s="2"/>
      <c r="O754" s="2"/>
      <c r="P754" s="2"/>
      <c r="Q754" s="2"/>
      <c r="R754" s="2"/>
      <c r="S754" s="2"/>
      <c r="T754" s="2"/>
      <c r="U754" s="2"/>
      <c r="V754" s="2"/>
      <c r="W754" s="2"/>
      <c r="X754" s="2"/>
      <c r="Y754" s="2"/>
      <c r="Z754" s="2"/>
    </row>
    <row r="755">
      <c r="A755" s="5"/>
      <c r="B755" s="5"/>
      <c r="C755" s="5"/>
      <c r="D755" s="2"/>
      <c r="E755" s="2"/>
      <c r="F755" s="2"/>
      <c r="G755" s="2"/>
      <c r="H755" s="2"/>
      <c r="I755" s="2"/>
      <c r="J755" s="2"/>
      <c r="K755" s="2"/>
      <c r="L755" s="2"/>
      <c r="M755" s="2"/>
      <c r="N755" s="2"/>
      <c r="O755" s="2"/>
      <c r="P755" s="2"/>
      <c r="Q755" s="2"/>
      <c r="R755" s="2"/>
      <c r="S755" s="2"/>
      <c r="T755" s="2"/>
      <c r="U755" s="2"/>
      <c r="V755" s="2"/>
      <c r="W755" s="2"/>
      <c r="X755" s="2"/>
      <c r="Y755" s="2"/>
      <c r="Z755" s="2"/>
    </row>
    <row r="756">
      <c r="A756" s="5"/>
      <c r="B756" s="5"/>
      <c r="C756" s="5"/>
      <c r="D756" s="2"/>
      <c r="E756" s="2"/>
      <c r="F756" s="2"/>
      <c r="G756" s="2"/>
      <c r="H756" s="2"/>
      <c r="I756" s="2"/>
      <c r="J756" s="2"/>
      <c r="K756" s="2"/>
      <c r="L756" s="2"/>
      <c r="M756" s="2"/>
      <c r="N756" s="2"/>
      <c r="O756" s="2"/>
      <c r="P756" s="2"/>
      <c r="Q756" s="2"/>
      <c r="R756" s="2"/>
      <c r="S756" s="2"/>
      <c r="T756" s="2"/>
      <c r="U756" s="2"/>
      <c r="V756" s="2"/>
      <c r="W756" s="2"/>
      <c r="X756" s="2"/>
      <c r="Y756" s="2"/>
      <c r="Z756" s="2"/>
    </row>
    <row r="757">
      <c r="A757" s="5"/>
      <c r="B757" s="5"/>
      <c r="C757" s="5"/>
      <c r="D757" s="2"/>
      <c r="E757" s="2"/>
      <c r="F757" s="2"/>
      <c r="G757" s="2"/>
      <c r="H757" s="2"/>
      <c r="I757" s="2"/>
      <c r="J757" s="2"/>
      <c r="K757" s="2"/>
      <c r="L757" s="2"/>
      <c r="M757" s="2"/>
      <c r="N757" s="2"/>
      <c r="O757" s="2"/>
      <c r="P757" s="2"/>
      <c r="Q757" s="2"/>
      <c r="R757" s="2"/>
      <c r="S757" s="2"/>
      <c r="T757" s="2"/>
      <c r="U757" s="2"/>
      <c r="V757" s="2"/>
      <c r="W757" s="2"/>
      <c r="X757" s="2"/>
      <c r="Y757" s="2"/>
      <c r="Z757" s="2"/>
    </row>
    <row r="758">
      <c r="A758" s="5"/>
      <c r="B758" s="5"/>
      <c r="C758" s="5"/>
      <c r="D758" s="2"/>
      <c r="E758" s="2"/>
      <c r="F758" s="2"/>
      <c r="G758" s="2"/>
      <c r="H758" s="2"/>
      <c r="I758" s="2"/>
      <c r="J758" s="2"/>
      <c r="K758" s="2"/>
      <c r="L758" s="2"/>
      <c r="M758" s="2"/>
      <c r="N758" s="2"/>
      <c r="O758" s="2"/>
      <c r="P758" s="2"/>
      <c r="Q758" s="2"/>
      <c r="R758" s="2"/>
      <c r="S758" s="2"/>
      <c r="T758" s="2"/>
      <c r="U758" s="2"/>
      <c r="V758" s="2"/>
      <c r="W758" s="2"/>
      <c r="X758" s="2"/>
      <c r="Y758" s="2"/>
      <c r="Z758" s="2"/>
    </row>
    <row r="759">
      <c r="A759" s="5"/>
      <c r="B759" s="5"/>
      <c r="C759" s="5"/>
      <c r="D759" s="2"/>
      <c r="E759" s="2"/>
      <c r="F759" s="2"/>
      <c r="G759" s="2"/>
      <c r="H759" s="2"/>
      <c r="I759" s="2"/>
      <c r="J759" s="2"/>
      <c r="K759" s="2"/>
      <c r="L759" s="2"/>
      <c r="M759" s="2"/>
      <c r="N759" s="2"/>
      <c r="O759" s="2"/>
      <c r="P759" s="2"/>
      <c r="Q759" s="2"/>
      <c r="R759" s="2"/>
      <c r="S759" s="2"/>
      <c r="T759" s="2"/>
      <c r="U759" s="2"/>
      <c r="V759" s="2"/>
      <c r="W759" s="2"/>
      <c r="X759" s="2"/>
      <c r="Y759" s="2"/>
      <c r="Z759" s="2"/>
    </row>
    <row r="760">
      <c r="A760" s="5"/>
      <c r="B760" s="5"/>
      <c r="C760" s="5"/>
      <c r="D760" s="2"/>
      <c r="E760" s="2"/>
      <c r="F760" s="2"/>
      <c r="G760" s="2"/>
      <c r="H760" s="2"/>
      <c r="I760" s="2"/>
      <c r="J760" s="2"/>
      <c r="K760" s="2"/>
      <c r="L760" s="2"/>
      <c r="M760" s="2"/>
      <c r="N760" s="2"/>
      <c r="O760" s="2"/>
      <c r="P760" s="2"/>
      <c r="Q760" s="2"/>
      <c r="R760" s="2"/>
      <c r="S760" s="2"/>
      <c r="T760" s="2"/>
      <c r="U760" s="2"/>
      <c r="V760" s="2"/>
      <c r="W760" s="2"/>
      <c r="X760" s="2"/>
      <c r="Y760" s="2"/>
      <c r="Z760" s="2"/>
    </row>
    <row r="761">
      <c r="A761" s="5"/>
      <c r="B761" s="5"/>
      <c r="C761" s="5"/>
      <c r="D761" s="2"/>
      <c r="E761" s="2"/>
      <c r="F761" s="2"/>
      <c r="G761" s="2"/>
      <c r="H761" s="2"/>
      <c r="I761" s="2"/>
      <c r="J761" s="2"/>
      <c r="K761" s="2"/>
      <c r="L761" s="2"/>
      <c r="M761" s="2"/>
      <c r="N761" s="2"/>
      <c r="O761" s="2"/>
      <c r="P761" s="2"/>
      <c r="Q761" s="2"/>
      <c r="R761" s="2"/>
      <c r="S761" s="2"/>
      <c r="T761" s="2"/>
      <c r="U761" s="2"/>
      <c r="V761" s="2"/>
      <c r="W761" s="2"/>
      <c r="X761" s="2"/>
      <c r="Y761" s="2"/>
      <c r="Z761" s="2"/>
    </row>
    <row r="762">
      <c r="A762" s="5"/>
      <c r="B762" s="5"/>
      <c r="C762" s="5"/>
      <c r="D762" s="2"/>
      <c r="E762" s="2"/>
      <c r="F762" s="2"/>
      <c r="G762" s="2"/>
      <c r="H762" s="2"/>
      <c r="I762" s="2"/>
      <c r="J762" s="2"/>
      <c r="K762" s="2"/>
      <c r="L762" s="2"/>
      <c r="M762" s="2"/>
      <c r="N762" s="2"/>
      <c r="O762" s="2"/>
      <c r="P762" s="2"/>
      <c r="Q762" s="2"/>
      <c r="R762" s="2"/>
      <c r="S762" s="2"/>
      <c r="T762" s="2"/>
      <c r="U762" s="2"/>
      <c r="V762" s="2"/>
      <c r="W762" s="2"/>
      <c r="X762" s="2"/>
      <c r="Y762" s="2"/>
      <c r="Z762" s="2"/>
    </row>
    <row r="763">
      <c r="A763" s="5"/>
      <c r="B763" s="5"/>
      <c r="C763" s="5"/>
      <c r="D763" s="2"/>
      <c r="E763" s="2"/>
      <c r="F763" s="2"/>
      <c r="G763" s="2"/>
      <c r="H763" s="2"/>
      <c r="I763" s="2"/>
      <c r="J763" s="2"/>
      <c r="K763" s="2"/>
      <c r="L763" s="2"/>
      <c r="M763" s="2"/>
      <c r="N763" s="2"/>
      <c r="O763" s="2"/>
      <c r="P763" s="2"/>
      <c r="Q763" s="2"/>
      <c r="R763" s="2"/>
      <c r="S763" s="2"/>
      <c r="T763" s="2"/>
      <c r="U763" s="2"/>
      <c r="V763" s="2"/>
      <c r="W763" s="2"/>
      <c r="X763" s="2"/>
      <c r="Y763" s="2"/>
      <c r="Z763" s="2"/>
    </row>
    <row r="764">
      <c r="A764" s="5"/>
      <c r="B764" s="5"/>
      <c r="C764" s="5"/>
      <c r="D764" s="2"/>
      <c r="E764" s="2"/>
      <c r="F764" s="2"/>
      <c r="G764" s="2"/>
      <c r="H764" s="2"/>
      <c r="I764" s="2"/>
      <c r="J764" s="2"/>
      <c r="K764" s="2"/>
      <c r="L764" s="2"/>
      <c r="M764" s="2"/>
      <c r="N764" s="2"/>
      <c r="O764" s="2"/>
      <c r="P764" s="2"/>
      <c r="Q764" s="2"/>
      <c r="R764" s="2"/>
      <c r="S764" s="2"/>
      <c r="T764" s="2"/>
      <c r="U764" s="2"/>
      <c r="V764" s="2"/>
      <c r="W764" s="2"/>
      <c r="X764" s="2"/>
      <c r="Y764" s="2"/>
      <c r="Z764" s="2"/>
    </row>
    <row r="765">
      <c r="A765" s="5"/>
      <c r="B765" s="5"/>
      <c r="C765" s="5"/>
      <c r="D765" s="2"/>
      <c r="E765" s="2"/>
      <c r="F765" s="2"/>
      <c r="G765" s="2"/>
      <c r="H765" s="2"/>
      <c r="I765" s="2"/>
      <c r="J765" s="2"/>
      <c r="K765" s="2"/>
      <c r="L765" s="2"/>
      <c r="M765" s="2"/>
      <c r="N765" s="2"/>
      <c r="O765" s="2"/>
      <c r="P765" s="2"/>
      <c r="Q765" s="2"/>
      <c r="R765" s="2"/>
      <c r="S765" s="2"/>
      <c r="T765" s="2"/>
      <c r="U765" s="2"/>
      <c r="V765" s="2"/>
      <c r="W765" s="2"/>
      <c r="X765" s="2"/>
      <c r="Y765" s="2"/>
      <c r="Z765" s="2"/>
    </row>
    <row r="766">
      <c r="A766" s="5"/>
      <c r="B766" s="5"/>
      <c r="C766" s="5"/>
      <c r="D766" s="2"/>
      <c r="E766" s="2"/>
      <c r="F766" s="2"/>
      <c r="G766" s="2"/>
      <c r="H766" s="2"/>
      <c r="I766" s="2"/>
      <c r="J766" s="2"/>
      <c r="K766" s="2"/>
      <c r="L766" s="2"/>
      <c r="M766" s="2"/>
      <c r="N766" s="2"/>
      <c r="O766" s="2"/>
      <c r="P766" s="2"/>
      <c r="Q766" s="2"/>
      <c r="R766" s="2"/>
      <c r="S766" s="2"/>
      <c r="T766" s="2"/>
      <c r="U766" s="2"/>
      <c r="V766" s="2"/>
      <c r="W766" s="2"/>
      <c r="X766" s="2"/>
      <c r="Y766" s="2"/>
      <c r="Z766" s="2"/>
    </row>
    <row r="767">
      <c r="A767" s="5"/>
      <c r="B767" s="5"/>
      <c r="C767" s="5"/>
      <c r="D767" s="2"/>
      <c r="E767" s="2"/>
      <c r="F767" s="2"/>
      <c r="G767" s="2"/>
      <c r="H767" s="2"/>
      <c r="I767" s="2"/>
      <c r="J767" s="2"/>
      <c r="K767" s="2"/>
      <c r="L767" s="2"/>
      <c r="M767" s="2"/>
      <c r="N767" s="2"/>
      <c r="O767" s="2"/>
      <c r="P767" s="2"/>
      <c r="Q767" s="2"/>
      <c r="R767" s="2"/>
      <c r="S767" s="2"/>
      <c r="T767" s="2"/>
      <c r="U767" s="2"/>
      <c r="V767" s="2"/>
      <c r="W767" s="2"/>
      <c r="X767" s="2"/>
      <c r="Y767" s="2"/>
      <c r="Z767" s="2"/>
    </row>
    <row r="768">
      <c r="A768" s="5"/>
      <c r="B768" s="5"/>
      <c r="C768" s="5"/>
      <c r="D768" s="2"/>
      <c r="E768" s="2"/>
      <c r="F768" s="2"/>
      <c r="G768" s="2"/>
      <c r="H768" s="2"/>
      <c r="I768" s="2"/>
      <c r="J768" s="2"/>
      <c r="K768" s="2"/>
      <c r="L768" s="2"/>
      <c r="M768" s="2"/>
      <c r="N768" s="2"/>
      <c r="O768" s="2"/>
      <c r="P768" s="2"/>
      <c r="Q768" s="2"/>
      <c r="R768" s="2"/>
      <c r="S768" s="2"/>
      <c r="T768" s="2"/>
      <c r="U768" s="2"/>
      <c r="V768" s="2"/>
      <c r="W768" s="2"/>
      <c r="X768" s="2"/>
      <c r="Y768" s="2"/>
      <c r="Z768" s="2"/>
    </row>
    <row r="769">
      <c r="A769" s="5"/>
      <c r="B769" s="5"/>
      <c r="C769" s="5"/>
      <c r="D769" s="2"/>
      <c r="E769" s="2"/>
      <c r="F769" s="2"/>
      <c r="G769" s="2"/>
      <c r="H769" s="2"/>
      <c r="I769" s="2"/>
      <c r="J769" s="2"/>
      <c r="K769" s="2"/>
      <c r="L769" s="2"/>
      <c r="M769" s="2"/>
      <c r="N769" s="2"/>
      <c r="O769" s="2"/>
      <c r="P769" s="2"/>
      <c r="Q769" s="2"/>
      <c r="R769" s="2"/>
      <c r="S769" s="2"/>
      <c r="T769" s="2"/>
      <c r="U769" s="2"/>
      <c r="V769" s="2"/>
      <c r="W769" s="2"/>
      <c r="X769" s="2"/>
      <c r="Y769" s="2"/>
      <c r="Z769" s="2"/>
    </row>
    <row r="770">
      <c r="A770" s="5"/>
      <c r="B770" s="5"/>
      <c r="C770" s="5"/>
      <c r="D770" s="2"/>
      <c r="E770" s="2"/>
      <c r="F770" s="2"/>
      <c r="G770" s="2"/>
      <c r="H770" s="2"/>
      <c r="I770" s="2"/>
      <c r="J770" s="2"/>
      <c r="K770" s="2"/>
      <c r="L770" s="2"/>
      <c r="M770" s="2"/>
      <c r="N770" s="2"/>
      <c r="O770" s="2"/>
      <c r="P770" s="2"/>
      <c r="Q770" s="2"/>
      <c r="R770" s="2"/>
      <c r="S770" s="2"/>
      <c r="T770" s="2"/>
      <c r="U770" s="2"/>
      <c r="V770" s="2"/>
      <c r="W770" s="2"/>
      <c r="X770" s="2"/>
      <c r="Y770" s="2"/>
      <c r="Z770" s="2"/>
    </row>
    <row r="771">
      <c r="A771" s="5"/>
      <c r="B771" s="5"/>
      <c r="C771" s="5"/>
      <c r="D771" s="2"/>
      <c r="E771" s="2"/>
      <c r="F771" s="2"/>
      <c r="G771" s="2"/>
      <c r="H771" s="2"/>
      <c r="I771" s="2"/>
      <c r="J771" s="2"/>
      <c r="K771" s="2"/>
      <c r="L771" s="2"/>
      <c r="M771" s="2"/>
      <c r="N771" s="2"/>
      <c r="O771" s="2"/>
      <c r="P771" s="2"/>
      <c r="Q771" s="2"/>
      <c r="R771" s="2"/>
      <c r="S771" s="2"/>
      <c r="T771" s="2"/>
      <c r="U771" s="2"/>
      <c r="V771" s="2"/>
      <c r="W771" s="2"/>
      <c r="X771" s="2"/>
      <c r="Y771" s="2"/>
      <c r="Z771" s="2"/>
    </row>
    <row r="772">
      <c r="A772" s="5"/>
      <c r="B772" s="5"/>
      <c r="C772" s="5"/>
      <c r="D772" s="2"/>
      <c r="E772" s="2"/>
      <c r="F772" s="2"/>
      <c r="G772" s="2"/>
      <c r="H772" s="2"/>
      <c r="I772" s="2"/>
      <c r="J772" s="2"/>
      <c r="K772" s="2"/>
      <c r="L772" s="2"/>
      <c r="M772" s="2"/>
      <c r="N772" s="2"/>
      <c r="O772" s="2"/>
      <c r="P772" s="2"/>
      <c r="Q772" s="2"/>
      <c r="R772" s="2"/>
      <c r="S772" s="2"/>
      <c r="T772" s="2"/>
      <c r="U772" s="2"/>
      <c r="V772" s="2"/>
      <c r="W772" s="2"/>
      <c r="X772" s="2"/>
      <c r="Y772" s="2"/>
      <c r="Z772" s="2"/>
    </row>
    <row r="773">
      <c r="A773" s="5"/>
      <c r="B773" s="5"/>
      <c r="C773" s="5"/>
      <c r="D773" s="2"/>
      <c r="E773" s="2"/>
      <c r="F773" s="2"/>
      <c r="G773" s="2"/>
      <c r="H773" s="2"/>
      <c r="I773" s="2"/>
      <c r="J773" s="2"/>
      <c r="K773" s="2"/>
      <c r="L773" s="2"/>
      <c r="M773" s="2"/>
      <c r="N773" s="2"/>
      <c r="O773" s="2"/>
      <c r="P773" s="2"/>
      <c r="Q773" s="2"/>
      <c r="R773" s="2"/>
      <c r="S773" s="2"/>
      <c r="T773" s="2"/>
      <c r="U773" s="2"/>
      <c r="V773" s="2"/>
      <c r="W773" s="2"/>
      <c r="X773" s="2"/>
      <c r="Y773" s="2"/>
      <c r="Z773" s="2"/>
    </row>
    <row r="774">
      <c r="A774" s="5"/>
      <c r="B774" s="5"/>
      <c r="C774" s="5"/>
      <c r="D774" s="2"/>
      <c r="E774" s="2"/>
      <c r="F774" s="2"/>
      <c r="G774" s="2"/>
      <c r="H774" s="2"/>
      <c r="I774" s="2"/>
      <c r="J774" s="2"/>
      <c r="K774" s="2"/>
      <c r="L774" s="2"/>
      <c r="M774" s="2"/>
      <c r="N774" s="2"/>
      <c r="O774" s="2"/>
      <c r="P774" s="2"/>
      <c r="Q774" s="2"/>
      <c r="R774" s="2"/>
      <c r="S774" s="2"/>
      <c r="T774" s="2"/>
      <c r="U774" s="2"/>
      <c r="V774" s="2"/>
      <c r="W774" s="2"/>
      <c r="X774" s="2"/>
      <c r="Y774" s="2"/>
      <c r="Z774" s="2"/>
    </row>
    <row r="775">
      <c r="A775" s="5"/>
      <c r="B775" s="5"/>
      <c r="C775" s="5"/>
      <c r="D775" s="2"/>
      <c r="E775" s="2"/>
      <c r="F775" s="2"/>
      <c r="G775" s="2"/>
      <c r="H775" s="2"/>
      <c r="I775" s="2"/>
      <c r="J775" s="2"/>
      <c r="K775" s="2"/>
      <c r="L775" s="2"/>
      <c r="M775" s="2"/>
      <c r="N775" s="2"/>
      <c r="O775" s="2"/>
      <c r="P775" s="2"/>
      <c r="Q775" s="2"/>
      <c r="R775" s="2"/>
      <c r="S775" s="2"/>
      <c r="T775" s="2"/>
      <c r="U775" s="2"/>
      <c r="V775" s="2"/>
      <c r="W775" s="2"/>
      <c r="X775" s="2"/>
      <c r="Y775" s="2"/>
      <c r="Z775" s="2"/>
    </row>
    <row r="776">
      <c r="A776" s="5"/>
      <c r="B776" s="5"/>
      <c r="C776" s="5"/>
      <c r="D776" s="2"/>
      <c r="E776" s="2"/>
      <c r="F776" s="2"/>
      <c r="G776" s="2"/>
      <c r="H776" s="2"/>
      <c r="I776" s="2"/>
      <c r="J776" s="2"/>
      <c r="K776" s="2"/>
      <c r="L776" s="2"/>
      <c r="M776" s="2"/>
      <c r="N776" s="2"/>
      <c r="O776" s="2"/>
      <c r="P776" s="2"/>
      <c r="Q776" s="2"/>
      <c r="R776" s="2"/>
      <c r="S776" s="2"/>
      <c r="T776" s="2"/>
      <c r="U776" s="2"/>
      <c r="V776" s="2"/>
      <c r="W776" s="2"/>
      <c r="X776" s="2"/>
      <c r="Y776" s="2"/>
      <c r="Z776" s="2"/>
    </row>
    <row r="777">
      <c r="A777" s="5"/>
      <c r="B777" s="5"/>
      <c r="C777" s="5"/>
      <c r="D777" s="2"/>
      <c r="E777" s="2"/>
      <c r="F777" s="2"/>
      <c r="G777" s="2"/>
      <c r="H777" s="2"/>
      <c r="I777" s="2"/>
      <c r="J777" s="2"/>
      <c r="K777" s="2"/>
      <c r="L777" s="2"/>
      <c r="M777" s="2"/>
      <c r="N777" s="2"/>
      <c r="O777" s="2"/>
      <c r="P777" s="2"/>
      <c r="Q777" s="2"/>
      <c r="R777" s="2"/>
      <c r="S777" s="2"/>
      <c r="T777" s="2"/>
      <c r="U777" s="2"/>
      <c r="V777" s="2"/>
      <c r="W777" s="2"/>
      <c r="X777" s="2"/>
      <c r="Y777" s="2"/>
      <c r="Z777" s="2"/>
    </row>
    <row r="778">
      <c r="A778" s="5"/>
      <c r="B778" s="5"/>
      <c r="C778" s="5"/>
      <c r="D778" s="2"/>
      <c r="E778" s="2"/>
      <c r="F778" s="2"/>
      <c r="G778" s="2"/>
      <c r="H778" s="2"/>
      <c r="I778" s="2"/>
      <c r="J778" s="2"/>
      <c r="K778" s="2"/>
      <c r="L778" s="2"/>
      <c r="M778" s="2"/>
      <c r="N778" s="2"/>
      <c r="O778" s="2"/>
      <c r="P778" s="2"/>
      <c r="Q778" s="2"/>
      <c r="R778" s="2"/>
      <c r="S778" s="2"/>
      <c r="T778" s="2"/>
      <c r="U778" s="2"/>
      <c r="V778" s="2"/>
      <c r="W778" s="2"/>
      <c r="X778" s="2"/>
      <c r="Y778" s="2"/>
      <c r="Z778" s="2"/>
    </row>
    <row r="779">
      <c r="A779" s="5"/>
      <c r="B779" s="5"/>
      <c r="C779" s="5"/>
      <c r="D779" s="2"/>
      <c r="E779" s="2"/>
      <c r="F779" s="2"/>
      <c r="G779" s="2"/>
      <c r="H779" s="2"/>
      <c r="I779" s="2"/>
      <c r="J779" s="2"/>
      <c r="K779" s="2"/>
      <c r="L779" s="2"/>
      <c r="M779" s="2"/>
      <c r="N779" s="2"/>
      <c r="O779" s="2"/>
      <c r="P779" s="2"/>
      <c r="Q779" s="2"/>
      <c r="R779" s="2"/>
      <c r="S779" s="2"/>
      <c r="T779" s="2"/>
      <c r="U779" s="2"/>
      <c r="V779" s="2"/>
      <c r="W779" s="2"/>
      <c r="X779" s="2"/>
      <c r="Y779" s="2"/>
      <c r="Z779" s="2"/>
    </row>
    <row r="780">
      <c r="A780" s="5"/>
      <c r="B780" s="5"/>
      <c r="C780" s="5"/>
      <c r="D780" s="2"/>
      <c r="E780" s="2"/>
      <c r="F780" s="2"/>
      <c r="G780" s="2"/>
      <c r="H780" s="2"/>
      <c r="I780" s="2"/>
      <c r="J780" s="2"/>
      <c r="K780" s="2"/>
      <c r="L780" s="2"/>
      <c r="M780" s="2"/>
      <c r="N780" s="2"/>
      <c r="O780" s="2"/>
      <c r="P780" s="2"/>
      <c r="Q780" s="2"/>
      <c r="R780" s="2"/>
      <c r="S780" s="2"/>
      <c r="T780" s="2"/>
      <c r="U780" s="2"/>
      <c r="V780" s="2"/>
      <c r="W780" s="2"/>
      <c r="X780" s="2"/>
      <c r="Y780" s="2"/>
      <c r="Z780" s="2"/>
    </row>
    <row r="781">
      <c r="A781" s="5"/>
      <c r="B781" s="5"/>
      <c r="C781" s="5"/>
      <c r="D781" s="2"/>
      <c r="E781" s="2"/>
      <c r="F781" s="2"/>
      <c r="G781" s="2"/>
      <c r="H781" s="2"/>
      <c r="I781" s="2"/>
      <c r="J781" s="2"/>
      <c r="K781" s="2"/>
      <c r="L781" s="2"/>
      <c r="M781" s="2"/>
      <c r="N781" s="2"/>
      <c r="O781" s="2"/>
      <c r="P781" s="2"/>
      <c r="Q781" s="2"/>
      <c r="R781" s="2"/>
      <c r="S781" s="2"/>
      <c r="T781" s="2"/>
      <c r="U781" s="2"/>
      <c r="V781" s="2"/>
      <c r="W781" s="2"/>
      <c r="X781" s="2"/>
      <c r="Y781" s="2"/>
      <c r="Z781" s="2"/>
    </row>
    <row r="782">
      <c r="A782" s="5"/>
      <c r="B782" s="5"/>
      <c r="C782" s="5"/>
      <c r="D782" s="2"/>
      <c r="E782" s="2"/>
      <c r="F782" s="2"/>
      <c r="G782" s="2"/>
      <c r="H782" s="2"/>
      <c r="I782" s="2"/>
      <c r="J782" s="2"/>
      <c r="K782" s="2"/>
      <c r="L782" s="2"/>
      <c r="M782" s="2"/>
      <c r="N782" s="2"/>
      <c r="O782" s="2"/>
      <c r="P782" s="2"/>
      <c r="Q782" s="2"/>
      <c r="R782" s="2"/>
      <c r="S782" s="2"/>
      <c r="T782" s="2"/>
      <c r="U782" s="2"/>
      <c r="V782" s="2"/>
      <c r="W782" s="2"/>
      <c r="X782" s="2"/>
      <c r="Y782" s="2"/>
      <c r="Z782" s="2"/>
    </row>
    <row r="783">
      <c r="A783" s="5"/>
      <c r="B783" s="5"/>
      <c r="C783" s="5"/>
      <c r="D783" s="2"/>
      <c r="E783" s="2"/>
      <c r="F783" s="2"/>
      <c r="G783" s="2"/>
      <c r="H783" s="2"/>
      <c r="I783" s="2"/>
      <c r="J783" s="2"/>
      <c r="K783" s="2"/>
      <c r="L783" s="2"/>
      <c r="M783" s="2"/>
      <c r="N783" s="2"/>
      <c r="O783" s="2"/>
      <c r="P783" s="2"/>
      <c r="Q783" s="2"/>
      <c r="R783" s="2"/>
      <c r="S783" s="2"/>
      <c r="T783" s="2"/>
      <c r="U783" s="2"/>
      <c r="V783" s="2"/>
      <c r="W783" s="2"/>
      <c r="X783" s="2"/>
      <c r="Y783" s="2"/>
      <c r="Z783" s="2"/>
    </row>
    <row r="784">
      <c r="A784" s="5"/>
      <c r="B784" s="5"/>
      <c r="C784" s="5"/>
      <c r="D784" s="2"/>
      <c r="E784" s="2"/>
      <c r="F784" s="2"/>
      <c r="G784" s="2"/>
      <c r="H784" s="2"/>
      <c r="I784" s="2"/>
      <c r="J784" s="2"/>
      <c r="K784" s="2"/>
      <c r="L784" s="2"/>
      <c r="M784" s="2"/>
      <c r="N784" s="2"/>
      <c r="O784" s="2"/>
      <c r="P784" s="2"/>
      <c r="Q784" s="2"/>
      <c r="R784" s="2"/>
      <c r="S784" s="2"/>
      <c r="T784" s="2"/>
      <c r="U784" s="2"/>
      <c r="V784" s="2"/>
      <c r="W784" s="2"/>
      <c r="X784" s="2"/>
      <c r="Y784" s="2"/>
      <c r="Z784" s="2"/>
    </row>
    <row r="785">
      <c r="A785" s="5"/>
      <c r="B785" s="5"/>
      <c r="C785" s="5"/>
      <c r="D785" s="2"/>
      <c r="E785" s="2"/>
      <c r="F785" s="2"/>
      <c r="G785" s="2"/>
      <c r="H785" s="2"/>
      <c r="I785" s="2"/>
      <c r="J785" s="2"/>
      <c r="K785" s="2"/>
      <c r="L785" s="2"/>
      <c r="M785" s="2"/>
      <c r="N785" s="2"/>
      <c r="O785" s="2"/>
      <c r="P785" s="2"/>
      <c r="Q785" s="2"/>
      <c r="R785" s="2"/>
      <c r="S785" s="2"/>
      <c r="T785" s="2"/>
      <c r="U785" s="2"/>
      <c r="V785" s="2"/>
      <c r="W785" s="2"/>
      <c r="X785" s="2"/>
      <c r="Y785" s="2"/>
      <c r="Z785" s="2"/>
    </row>
    <row r="786">
      <c r="A786" s="5"/>
      <c r="B786" s="5"/>
      <c r="C786" s="5"/>
      <c r="D786" s="2"/>
      <c r="E786" s="2"/>
      <c r="F786" s="2"/>
      <c r="G786" s="2"/>
      <c r="H786" s="2"/>
      <c r="I786" s="2"/>
      <c r="J786" s="2"/>
      <c r="K786" s="2"/>
      <c r="L786" s="2"/>
      <c r="M786" s="2"/>
      <c r="N786" s="2"/>
      <c r="O786" s="2"/>
      <c r="P786" s="2"/>
      <c r="Q786" s="2"/>
      <c r="R786" s="2"/>
      <c r="S786" s="2"/>
      <c r="T786" s="2"/>
      <c r="U786" s="2"/>
      <c r="V786" s="2"/>
      <c r="W786" s="2"/>
      <c r="X786" s="2"/>
      <c r="Y786" s="2"/>
      <c r="Z786" s="2"/>
    </row>
    <row r="787">
      <c r="A787" s="5"/>
      <c r="B787" s="5"/>
      <c r="C787" s="5"/>
      <c r="D787" s="2"/>
      <c r="E787" s="2"/>
      <c r="F787" s="2"/>
      <c r="G787" s="2"/>
      <c r="H787" s="2"/>
      <c r="I787" s="2"/>
      <c r="J787" s="2"/>
      <c r="K787" s="2"/>
      <c r="L787" s="2"/>
      <c r="M787" s="2"/>
      <c r="N787" s="2"/>
      <c r="O787" s="2"/>
      <c r="P787" s="2"/>
      <c r="Q787" s="2"/>
      <c r="R787" s="2"/>
      <c r="S787" s="2"/>
      <c r="T787" s="2"/>
      <c r="U787" s="2"/>
      <c r="V787" s="2"/>
      <c r="W787" s="2"/>
      <c r="X787" s="2"/>
      <c r="Y787" s="2"/>
      <c r="Z787" s="2"/>
    </row>
    <row r="788">
      <c r="A788" s="5"/>
      <c r="B788" s="5"/>
      <c r="C788" s="5"/>
      <c r="D788" s="2"/>
      <c r="E788" s="2"/>
      <c r="F788" s="2"/>
      <c r="G788" s="2"/>
      <c r="H788" s="2"/>
      <c r="I788" s="2"/>
      <c r="J788" s="2"/>
      <c r="K788" s="2"/>
      <c r="L788" s="2"/>
      <c r="M788" s="2"/>
      <c r="N788" s="2"/>
      <c r="O788" s="2"/>
      <c r="P788" s="2"/>
      <c r="Q788" s="2"/>
      <c r="R788" s="2"/>
      <c r="S788" s="2"/>
      <c r="T788" s="2"/>
      <c r="U788" s="2"/>
      <c r="V788" s="2"/>
      <c r="W788" s="2"/>
      <c r="X788" s="2"/>
      <c r="Y788" s="2"/>
      <c r="Z788" s="2"/>
    </row>
    <row r="789">
      <c r="A789" s="5"/>
      <c r="B789" s="5"/>
      <c r="C789" s="5"/>
      <c r="D789" s="2"/>
      <c r="E789" s="2"/>
      <c r="F789" s="2"/>
      <c r="G789" s="2"/>
      <c r="H789" s="2"/>
      <c r="I789" s="2"/>
      <c r="J789" s="2"/>
      <c r="K789" s="2"/>
      <c r="L789" s="2"/>
      <c r="M789" s="2"/>
      <c r="N789" s="2"/>
      <c r="O789" s="2"/>
      <c r="P789" s="2"/>
      <c r="Q789" s="2"/>
      <c r="R789" s="2"/>
      <c r="S789" s="2"/>
      <c r="T789" s="2"/>
      <c r="U789" s="2"/>
      <c r="V789" s="2"/>
      <c r="W789" s="2"/>
      <c r="X789" s="2"/>
      <c r="Y789" s="2"/>
      <c r="Z789" s="2"/>
    </row>
    <row r="790">
      <c r="A790" s="5"/>
      <c r="B790" s="5"/>
      <c r="C790" s="5"/>
      <c r="D790" s="2"/>
      <c r="E790" s="2"/>
      <c r="F790" s="2"/>
      <c r="G790" s="2"/>
      <c r="H790" s="2"/>
      <c r="I790" s="2"/>
      <c r="J790" s="2"/>
      <c r="K790" s="2"/>
      <c r="L790" s="2"/>
      <c r="M790" s="2"/>
      <c r="N790" s="2"/>
      <c r="O790" s="2"/>
      <c r="P790" s="2"/>
      <c r="Q790" s="2"/>
      <c r="R790" s="2"/>
      <c r="S790" s="2"/>
      <c r="T790" s="2"/>
      <c r="U790" s="2"/>
      <c r="V790" s="2"/>
      <c r="W790" s="2"/>
      <c r="X790" s="2"/>
      <c r="Y790" s="2"/>
      <c r="Z790" s="2"/>
    </row>
    <row r="791">
      <c r="A791" s="5"/>
      <c r="B791" s="5"/>
      <c r="C791" s="5"/>
      <c r="D791" s="2"/>
      <c r="E791" s="2"/>
      <c r="F791" s="2"/>
      <c r="G791" s="2"/>
      <c r="H791" s="2"/>
      <c r="I791" s="2"/>
      <c r="J791" s="2"/>
      <c r="K791" s="2"/>
      <c r="L791" s="2"/>
      <c r="M791" s="2"/>
      <c r="N791" s="2"/>
      <c r="O791" s="2"/>
      <c r="P791" s="2"/>
      <c r="Q791" s="2"/>
      <c r="R791" s="2"/>
      <c r="S791" s="2"/>
      <c r="T791" s="2"/>
      <c r="U791" s="2"/>
      <c r="V791" s="2"/>
      <c r="W791" s="2"/>
      <c r="X791" s="2"/>
      <c r="Y791" s="2"/>
      <c r="Z791" s="2"/>
    </row>
    <row r="792">
      <c r="A792" s="5"/>
      <c r="B792" s="5"/>
      <c r="C792" s="5"/>
      <c r="D792" s="2"/>
      <c r="E792" s="2"/>
      <c r="F792" s="2"/>
      <c r="G792" s="2"/>
      <c r="H792" s="2"/>
      <c r="I792" s="2"/>
      <c r="J792" s="2"/>
      <c r="K792" s="2"/>
      <c r="L792" s="2"/>
      <c r="M792" s="2"/>
      <c r="N792" s="2"/>
      <c r="O792" s="2"/>
      <c r="P792" s="2"/>
      <c r="Q792" s="2"/>
      <c r="R792" s="2"/>
      <c r="S792" s="2"/>
      <c r="T792" s="2"/>
      <c r="U792" s="2"/>
      <c r="V792" s="2"/>
      <c r="W792" s="2"/>
      <c r="X792" s="2"/>
      <c r="Y792" s="2"/>
      <c r="Z792" s="2"/>
    </row>
    <row r="793">
      <c r="A793" s="5"/>
      <c r="B793" s="5"/>
      <c r="C793" s="5"/>
      <c r="D793" s="2"/>
      <c r="E793" s="2"/>
      <c r="F793" s="2"/>
      <c r="G793" s="2"/>
      <c r="H793" s="2"/>
      <c r="I793" s="2"/>
      <c r="J793" s="2"/>
      <c r="K793" s="2"/>
      <c r="L793" s="2"/>
      <c r="M793" s="2"/>
      <c r="N793" s="2"/>
      <c r="O793" s="2"/>
      <c r="P793" s="2"/>
      <c r="Q793" s="2"/>
      <c r="R793" s="2"/>
      <c r="S793" s="2"/>
      <c r="T793" s="2"/>
      <c r="U793" s="2"/>
      <c r="V793" s="2"/>
      <c r="W793" s="2"/>
      <c r="X793" s="2"/>
      <c r="Y793" s="2"/>
      <c r="Z793" s="2"/>
    </row>
    <row r="794">
      <c r="A794" s="5"/>
      <c r="B794" s="5"/>
      <c r="C794" s="5"/>
      <c r="D794" s="2"/>
      <c r="E794" s="2"/>
      <c r="F794" s="2"/>
      <c r="G794" s="2"/>
      <c r="H794" s="2"/>
      <c r="I794" s="2"/>
      <c r="J794" s="2"/>
      <c r="K794" s="2"/>
      <c r="L794" s="2"/>
      <c r="M794" s="2"/>
      <c r="N794" s="2"/>
      <c r="O794" s="2"/>
      <c r="P794" s="2"/>
      <c r="Q794" s="2"/>
      <c r="R794" s="2"/>
      <c r="S794" s="2"/>
      <c r="T794" s="2"/>
      <c r="U794" s="2"/>
      <c r="V794" s="2"/>
      <c r="W794" s="2"/>
      <c r="X794" s="2"/>
      <c r="Y794" s="2"/>
      <c r="Z794" s="2"/>
    </row>
    <row r="795">
      <c r="A795" s="5"/>
      <c r="B795" s="5"/>
      <c r="C795" s="5"/>
      <c r="D795" s="2"/>
      <c r="E795" s="2"/>
      <c r="F795" s="2"/>
      <c r="G795" s="2"/>
      <c r="H795" s="2"/>
      <c r="I795" s="2"/>
      <c r="J795" s="2"/>
      <c r="K795" s="2"/>
      <c r="L795" s="2"/>
      <c r="M795" s="2"/>
      <c r="N795" s="2"/>
      <c r="O795" s="2"/>
      <c r="P795" s="2"/>
      <c r="Q795" s="2"/>
      <c r="R795" s="2"/>
      <c r="S795" s="2"/>
      <c r="T795" s="2"/>
      <c r="U795" s="2"/>
      <c r="V795" s="2"/>
      <c r="W795" s="2"/>
      <c r="X795" s="2"/>
      <c r="Y795" s="2"/>
      <c r="Z795" s="2"/>
    </row>
    <row r="796">
      <c r="A796" s="5"/>
      <c r="B796" s="5"/>
      <c r="C796" s="5"/>
      <c r="D796" s="2"/>
      <c r="E796" s="2"/>
      <c r="F796" s="2"/>
      <c r="G796" s="2"/>
      <c r="H796" s="2"/>
      <c r="I796" s="2"/>
      <c r="J796" s="2"/>
      <c r="K796" s="2"/>
      <c r="L796" s="2"/>
      <c r="M796" s="2"/>
      <c r="N796" s="2"/>
      <c r="O796" s="2"/>
      <c r="P796" s="2"/>
      <c r="Q796" s="2"/>
      <c r="R796" s="2"/>
      <c r="S796" s="2"/>
      <c r="T796" s="2"/>
      <c r="U796" s="2"/>
      <c r="V796" s="2"/>
      <c r="W796" s="2"/>
      <c r="X796" s="2"/>
      <c r="Y796" s="2"/>
      <c r="Z796" s="2"/>
    </row>
    <row r="797">
      <c r="A797" s="5"/>
      <c r="B797" s="5"/>
      <c r="C797" s="5"/>
      <c r="D797" s="2"/>
      <c r="E797" s="2"/>
      <c r="F797" s="2"/>
      <c r="G797" s="2"/>
      <c r="H797" s="2"/>
      <c r="I797" s="2"/>
      <c r="J797" s="2"/>
      <c r="K797" s="2"/>
      <c r="L797" s="2"/>
      <c r="M797" s="2"/>
      <c r="N797" s="2"/>
      <c r="O797" s="2"/>
      <c r="P797" s="2"/>
      <c r="Q797" s="2"/>
      <c r="R797" s="2"/>
      <c r="S797" s="2"/>
      <c r="T797" s="2"/>
      <c r="U797" s="2"/>
      <c r="V797" s="2"/>
      <c r="W797" s="2"/>
      <c r="X797" s="2"/>
      <c r="Y797" s="2"/>
      <c r="Z797" s="2"/>
    </row>
    <row r="798">
      <c r="A798" s="5"/>
      <c r="B798" s="5"/>
      <c r="C798" s="5"/>
      <c r="D798" s="2"/>
      <c r="E798" s="2"/>
      <c r="F798" s="2"/>
      <c r="G798" s="2"/>
      <c r="H798" s="2"/>
      <c r="I798" s="2"/>
      <c r="J798" s="2"/>
      <c r="K798" s="2"/>
      <c r="L798" s="2"/>
      <c r="M798" s="2"/>
      <c r="N798" s="2"/>
      <c r="O798" s="2"/>
      <c r="P798" s="2"/>
      <c r="Q798" s="2"/>
      <c r="R798" s="2"/>
      <c r="S798" s="2"/>
      <c r="T798" s="2"/>
      <c r="U798" s="2"/>
      <c r="V798" s="2"/>
      <c r="W798" s="2"/>
      <c r="X798" s="2"/>
      <c r="Y798" s="2"/>
      <c r="Z798" s="2"/>
    </row>
    <row r="799">
      <c r="A799" s="5"/>
      <c r="B799" s="5"/>
      <c r="C799" s="5"/>
      <c r="D799" s="2"/>
      <c r="E799" s="2"/>
      <c r="F799" s="2"/>
      <c r="G799" s="2"/>
      <c r="H799" s="2"/>
      <c r="I799" s="2"/>
      <c r="J799" s="2"/>
      <c r="K799" s="2"/>
      <c r="L799" s="2"/>
      <c r="M799" s="2"/>
      <c r="N799" s="2"/>
      <c r="O799" s="2"/>
      <c r="P799" s="2"/>
      <c r="Q799" s="2"/>
      <c r="R799" s="2"/>
      <c r="S799" s="2"/>
      <c r="T799" s="2"/>
      <c r="U799" s="2"/>
      <c r="V799" s="2"/>
      <c r="W799" s="2"/>
      <c r="X799" s="2"/>
      <c r="Y799" s="2"/>
      <c r="Z799" s="2"/>
    </row>
    <row r="800">
      <c r="A800" s="5"/>
      <c r="B800" s="5"/>
      <c r="C800" s="5"/>
      <c r="D800" s="2"/>
      <c r="E800" s="2"/>
      <c r="F800" s="2"/>
      <c r="G800" s="2"/>
      <c r="H800" s="2"/>
      <c r="I800" s="2"/>
      <c r="J800" s="2"/>
      <c r="K800" s="2"/>
      <c r="L800" s="2"/>
      <c r="M800" s="2"/>
      <c r="N800" s="2"/>
      <c r="O800" s="2"/>
      <c r="P800" s="2"/>
      <c r="Q800" s="2"/>
      <c r="R800" s="2"/>
      <c r="S800" s="2"/>
      <c r="T800" s="2"/>
      <c r="U800" s="2"/>
      <c r="V800" s="2"/>
      <c r="W800" s="2"/>
      <c r="X800" s="2"/>
      <c r="Y800" s="2"/>
      <c r="Z800" s="2"/>
    </row>
    <row r="801">
      <c r="A801" s="5"/>
      <c r="B801" s="5"/>
      <c r="C801" s="5"/>
      <c r="D801" s="2"/>
      <c r="E801" s="2"/>
      <c r="F801" s="2"/>
      <c r="G801" s="2"/>
      <c r="H801" s="2"/>
      <c r="I801" s="2"/>
      <c r="J801" s="2"/>
      <c r="K801" s="2"/>
      <c r="L801" s="2"/>
      <c r="M801" s="2"/>
      <c r="N801" s="2"/>
      <c r="O801" s="2"/>
      <c r="P801" s="2"/>
      <c r="Q801" s="2"/>
      <c r="R801" s="2"/>
      <c r="S801" s="2"/>
      <c r="T801" s="2"/>
      <c r="U801" s="2"/>
      <c r="V801" s="2"/>
      <c r="W801" s="2"/>
      <c r="X801" s="2"/>
      <c r="Y801" s="2"/>
      <c r="Z801" s="2"/>
    </row>
    <row r="802">
      <c r="A802" s="5"/>
      <c r="B802" s="5"/>
      <c r="C802" s="5"/>
      <c r="D802" s="2"/>
      <c r="E802" s="2"/>
      <c r="F802" s="2"/>
      <c r="G802" s="2"/>
      <c r="H802" s="2"/>
      <c r="I802" s="2"/>
      <c r="J802" s="2"/>
      <c r="K802" s="2"/>
      <c r="L802" s="2"/>
      <c r="M802" s="2"/>
      <c r="N802" s="2"/>
      <c r="O802" s="2"/>
      <c r="P802" s="2"/>
      <c r="Q802" s="2"/>
      <c r="R802" s="2"/>
      <c r="S802" s="2"/>
      <c r="T802" s="2"/>
      <c r="U802" s="2"/>
      <c r="V802" s="2"/>
      <c r="W802" s="2"/>
      <c r="X802" s="2"/>
      <c r="Y802" s="2"/>
      <c r="Z802" s="2"/>
    </row>
    <row r="803">
      <c r="A803" s="5"/>
      <c r="B803" s="5"/>
      <c r="C803" s="5"/>
      <c r="D803" s="2"/>
      <c r="E803" s="2"/>
      <c r="F803" s="2"/>
      <c r="G803" s="2"/>
      <c r="H803" s="2"/>
      <c r="I803" s="2"/>
      <c r="J803" s="2"/>
      <c r="K803" s="2"/>
      <c r="L803" s="2"/>
      <c r="M803" s="2"/>
      <c r="N803" s="2"/>
      <c r="O803" s="2"/>
      <c r="P803" s="2"/>
      <c r="Q803" s="2"/>
      <c r="R803" s="2"/>
      <c r="S803" s="2"/>
      <c r="T803" s="2"/>
      <c r="U803" s="2"/>
      <c r="V803" s="2"/>
      <c r="W803" s="2"/>
      <c r="X803" s="2"/>
      <c r="Y803" s="2"/>
      <c r="Z803" s="2"/>
    </row>
    <row r="804">
      <c r="A804" s="5"/>
      <c r="B804" s="5"/>
      <c r="C804" s="5"/>
      <c r="D804" s="2"/>
      <c r="E804" s="2"/>
      <c r="F804" s="2"/>
      <c r="G804" s="2"/>
      <c r="H804" s="2"/>
      <c r="I804" s="2"/>
      <c r="J804" s="2"/>
      <c r="K804" s="2"/>
      <c r="L804" s="2"/>
      <c r="M804" s="2"/>
      <c r="N804" s="2"/>
      <c r="O804" s="2"/>
      <c r="P804" s="2"/>
      <c r="Q804" s="2"/>
      <c r="R804" s="2"/>
      <c r="S804" s="2"/>
      <c r="T804" s="2"/>
      <c r="U804" s="2"/>
      <c r="V804" s="2"/>
      <c r="W804" s="2"/>
      <c r="X804" s="2"/>
      <c r="Y804" s="2"/>
      <c r="Z804" s="2"/>
    </row>
    <row r="805">
      <c r="A805" s="5"/>
      <c r="B805" s="5"/>
      <c r="C805" s="5"/>
      <c r="D805" s="2"/>
      <c r="E805" s="2"/>
      <c r="F805" s="2"/>
      <c r="G805" s="2"/>
      <c r="H805" s="2"/>
      <c r="I805" s="2"/>
      <c r="J805" s="2"/>
      <c r="K805" s="2"/>
      <c r="L805" s="2"/>
      <c r="M805" s="2"/>
      <c r="N805" s="2"/>
      <c r="O805" s="2"/>
      <c r="P805" s="2"/>
      <c r="Q805" s="2"/>
      <c r="R805" s="2"/>
      <c r="S805" s="2"/>
      <c r="T805" s="2"/>
      <c r="U805" s="2"/>
      <c r="V805" s="2"/>
      <c r="W805" s="2"/>
      <c r="X805" s="2"/>
      <c r="Y805" s="2"/>
      <c r="Z805" s="2"/>
    </row>
    <row r="806">
      <c r="A806" s="5"/>
      <c r="B806" s="5"/>
      <c r="C806" s="5"/>
      <c r="D806" s="2"/>
      <c r="E806" s="2"/>
      <c r="F806" s="2"/>
      <c r="G806" s="2"/>
      <c r="H806" s="2"/>
      <c r="I806" s="2"/>
      <c r="J806" s="2"/>
      <c r="K806" s="2"/>
      <c r="L806" s="2"/>
      <c r="M806" s="2"/>
      <c r="N806" s="2"/>
      <c r="O806" s="2"/>
      <c r="P806" s="2"/>
      <c r="Q806" s="2"/>
      <c r="R806" s="2"/>
      <c r="S806" s="2"/>
      <c r="T806" s="2"/>
      <c r="U806" s="2"/>
      <c r="V806" s="2"/>
      <c r="W806" s="2"/>
      <c r="X806" s="2"/>
      <c r="Y806" s="2"/>
      <c r="Z806" s="2"/>
    </row>
    <row r="807">
      <c r="A807" s="5"/>
      <c r="B807" s="5"/>
      <c r="C807" s="5"/>
      <c r="D807" s="2"/>
      <c r="E807" s="2"/>
      <c r="F807" s="2"/>
      <c r="G807" s="2"/>
      <c r="H807" s="2"/>
      <c r="I807" s="2"/>
      <c r="J807" s="2"/>
      <c r="K807" s="2"/>
      <c r="L807" s="2"/>
      <c r="M807" s="2"/>
      <c r="N807" s="2"/>
      <c r="O807" s="2"/>
      <c r="P807" s="2"/>
      <c r="Q807" s="2"/>
      <c r="R807" s="2"/>
      <c r="S807" s="2"/>
      <c r="T807" s="2"/>
      <c r="U807" s="2"/>
      <c r="V807" s="2"/>
      <c r="W807" s="2"/>
      <c r="X807" s="2"/>
      <c r="Y807" s="2"/>
      <c r="Z807" s="2"/>
    </row>
    <row r="808">
      <c r="A808" s="5"/>
      <c r="B808" s="5"/>
      <c r="C808" s="5"/>
      <c r="D808" s="2"/>
      <c r="E808" s="2"/>
      <c r="F808" s="2"/>
      <c r="G808" s="2"/>
      <c r="H808" s="2"/>
      <c r="I808" s="2"/>
      <c r="J808" s="2"/>
      <c r="K808" s="2"/>
      <c r="L808" s="2"/>
      <c r="M808" s="2"/>
      <c r="N808" s="2"/>
      <c r="O808" s="2"/>
      <c r="P808" s="2"/>
      <c r="Q808" s="2"/>
      <c r="R808" s="2"/>
      <c r="S808" s="2"/>
      <c r="T808" s="2"/>
      <c r="U808" s="2"/>
      <c r="V808" s="2"/>
      <c r="W808" s="2"/>
      <c r="X808" s="2"/>
      <c r="Y808" s="2"/>
      <c r="Z808" s="2"/>
    </row>
    <row r="809">
      <c r="A809" s="5"/>
      <c r="B809" s="5"/>
      <c r="C809" s="5"/>
      <c r="D809" s="2"/>
      <c r="E809" s="2"/>
      <c r="F809" s="2"/>
      <c r="G809" s="2"/>
      <c r="H809" s="2"/>
      <c r="I809" s="2"/>
      <c r="J809" s="2"/>
      <c r="K809" s="2"/>
      <c r="L809" s="2"/>
      <c r="M809" s="2"/>
      <c r="N809" s="2"/>
      <c r="O809" s="2"/>
      <c r="P809" s="2"/>
      <c r="Q809" s="2"/>
      <c r="R809" s="2"/>
      <c r="S809" s="2"/>
      <c r="T809" s="2"/>
      <c r="U809" s="2"/>
      <c r="V809" s="2"/>
      <c r="W809" s="2"/>
      <c r="X809" s="2"/>
      <c r="Y809" s="2"/>
      <c r="Z809" s="2"/>
    </row>
    <row r="810">
      <c r="A810" s="5"/>
      <c r="B810" s="5"/>
      <c r="C810" s="5"/>
      <c r="D810" s="2"/>
      <c r="E810" s="2"/>
      <c r="F810" s="2"/>
      <c r="G810" s="2"/>
      <c r="H810" s="2"/>
      <c r="I810" s="2"/>
      <c r="J810" s="2"/>
      <c r="K810" s="2"/>
      <c r="L810" s="2"/>
      <c r="M810" s="2"/>
      <c r="N810" s="2"/>
      <c r="O810" s="2"/>
      <c r="P810" s="2"/>
      <c r="Q810" s="2"/>
      <c r="R810" s="2"/>
      <c r="S810" s="2"/>
      <c r="T810" s="2"/>
      <c r="U810" s="2"/>
      <c r="V810" s="2"/>
      <c r="W810" s="2"/>
      <c r="X810" s="2"/>
      <c r="Y810" s="2"/>
      <c r="Z810" s="2"/>
    </row>
    <row r="811">
      <c r="A811" s="5"/>
      <c r="B811" s="5"/>
      <c r="C811" s="5"/>
      <c r="D811" s="2"/>
      <c r="E811" s="2"/>
      <c r="F811" s="2"/>
      <c r="G811" s="2"/>
      <c r="H811" s="2"/>
      <c r="I811" s="2"/>
      <c r="J811" s="2"/>
      <c r="K811" s="2"/>
      <c r="L811" s="2"/>
      <c r="M811" s="2"/>
      <c r="N811" s="2"/>
      <c r="O811" s="2"/>
      <c r="P811" s="2"/>
      <c r="Q811" s="2"/>
      <c r="R811" s="2"/>
      <c r="S811" s="2"/>
      <c r="T811" s="2"/>
      <c r="U811" s="2"/>
      <c r="V811" s="2"/>
      <c r="W811" s="2"/>
      <c r="X811" s="2"/>
      <c r="Y811" s="2"/>
      <c r="Z811" s="2"/>
    </row>
    <row r="812">
      <c r="A812" s="5"/>
      <c r="B812" s="5"/>
      <c r="C812" s="5"/>
      <c r="D812" s="2"/>
      <c r="E812" s="2"/>
      <c r="F812" s="2"/>
      <c r="G812" s="2"/>
      <c r="H812" s="2"/>
      <c r="I812" s="2"/>
      <c r="J812" s="2"/>
      <c r="K812" s="2"/>
      <c r="L812" s="2"/>
      <c r="M812" s="2"/>
      <c r="N812" s="2"/>
      <c r="O812" s="2"/>
      <c r="P812" s="2"/>
      <c r="Q812" s="2"/>
      <c r="R812" s="2"/>
      <c r="S812" s="2"/>
      <c r="T812" s="2"/>
      <c r="U812" s="2"/>
      <c r="V812" s="2"/>
      <c r="W812" s="2"/>
      <c r="X812" s="2"/>
      <c r="Y812" s="2"/>
      <c r="Z812" s="2"/>
    </row>
    <row r="813">
      <c r="A813" s="5"/>
      <c r="B813" s="5"/>
      <c r="C813" s="5"/>
      <c r="D813" s="2"/>
      <c r="E813" s="2"/>
      <c r="F813" s="2"/>
      <c r="G813" s="2"/>
      <c r="H813" s="2"/>
      <c r="I813" s="2"/>
      <c r="J813" s="2"/>
      <c r="K813" s="2"/>
      <c r="L813" s="2"/>
      <c r="M813" s="2"/>
      <c r="N813" s="2"/>
      <c r="O813" s="2"/>
      <c r="P813" s="2"/>
      <c r="Q813" s="2"/>
      <c r="R813" s="2"/>
      <c r="S813" s="2"/>
      <c r="T813" s="2"/>
      <c r="U813" s="2"/>
      <c r="V813" s="2"/>
      <c r="W813" s="2"/>
      <c r="X813" s="2"/>
      <c r="Y813" s="2"/>
      <c r="Z813" s="2"/>
    </row>
    <row r="814">
      <c r="A814" s="5"/>
      <c r="B814" s="5"/>
      <c r="C814" s="5"/>
      <c r="D814" s="2"/>
      <c r="E814" s="2"/>
      <c r="F814" s="2"/>
      <c r="G814" s="2"/>
      <c r="H814" s="2"/>
      <c r="I814" s="2"/>
      <c r="J814" s="2"/>
      <c r="K814" s="2"/>
      <c r="L814" s="2"/>
      <c r="M814" s="2"/>
      <c r="N814" s="2"/>
      <c r="O814" s="2"/>
      <c r="P814" s="2"/>
      <c r="Q814" s="2"/>
      <c r="R814" s="2"/>
      <c r="S814" s="2"/>
      <c r="T814" s="2"/>
      <c r="U814" s="2"/>
      <c r="V814" s="2"/>
      <c r="W814" s="2"/>
      <c r="X814" s="2"/>
      <c r="Y814" s="2"/>
      <c r="Z814" s="2"/>
    </row>
    <row r="815">
      <c r="A815" s="5"/>
      <c r="B815" s="5"/>
      <c r="C815" s="5"/>
      <c r="D815" s="2"/>
      <c r="E815" s="2"/>
      <c r="F815" s="2"/>
      <c r="G815" s="2"/>
      <c r="H815" s="2"/>
      <c r="I815" s="2"/>
      <c r="J815" s="2"/>
      <c r="K815" s="2"/>
      <c r="L815" s="2"/>
      <c r="M815" s="2"/>
      <c r="N815" s="2"/>
      <c r="O815" s="2"/>
      <c r="P815" s="2"/>
      <c r="Q815" s="2"/>
      <c r="R815" s="2"/>
      <c r="S815" s="2"/>
      <c r="T815" s="2"/>
      <c r="U815" s="2"/>
      <c r="V815" s="2"/>
      <c r="W815" s="2"/>
      <c r="X815" s="2"/>
      <c r="Y815" s="2"/>
      <c r="Z815" s="2"/>
    </row>
    <row r="816">
      <c r="A816" s="5"/>
      <c r="B816" s="5"/>
      <c r="C816" s="5"/>
      <c r="D816" s="2"/>
      <c r="E816" s="2"/>
      <c r="F816" s="2"/>
      <c r="G816" s="2"/>
      <c r="H816" s="2"/>
      <c r="I816" s="2"/>
      <c r="J816" s="2"/>
      <c r="K816" s="2"/>
      <c r="L816" s="2"/>
      <c r="M816" s="2"/>
      <c r="N816" s="2"/>
      <c r="O816" s="2"/>
      <c r="P816" s="2"/>
      <c r="Q816" s="2"/>
      <c r="R816" s="2"/>
      <c r="S816" s="2"/>
      <c r="T816" s="2"/>
      <c r="U816" s="2"/>
      <c r="V816" s="2"/>
      <c r="W816" s="2"/>
      <c r="X816" s="2"/>
      <c r="Y816" s="2"/>
      <c r="Z816" s="2"/>
    </row>
    <row r="817">
      <c r="A817" s="5"/>
      <c r="B817" s="5"/>
      <c r="C817" s="5"/>
      <c r="D817" s="2"/>
      <c r="E817" s="2"/>
      <c r="F817" s="2"/>
      <c r="G817" s="2"/>
      <c r="H817" s="2"/>
      <c r="I817" s="2"/>
      <c r="J817" s="2"/>
      <c r="K817" s="2"/>
      <c r="L817" s="2"/>
      <c r="M817" s="2"/>
      <c r="N817" s="2"/>
      <c r="O817" s="2"/>
      <c r="P817" s="2"/>
      <c r="Q817" s="2"/>
      <c r="R817" s="2"/>
      <c r="S817" s="2"/>
      <c r="T817" s="2"/>
      <c r="U817" s="2"/>
      <c r="V817" s="2"/>
      <c r="W817" s="2"/>
      <c r="X817" s="2"/>
      <c r="Y817" s="2"/>
      <c r="Z817" s="2"/>
    </row>
    <row r="818">
      <c r="A818" s="5"/>
      <c r="B818" s="5"/>
      <c r="C818" s="5"/>
      <c r="D818" s="2"/>
      <c r="E818" s="2"/>
      <c r="F818" s="2"/>
      <c r="G818" s="2"/>
      <c r="H818" s="2"/>
      <c r="I818" s="2"/>
      <c r="J818" s="2"/>
      <c r="K818" s="2"/>
      <c r="L818" s="2"/>
      <c r="M818" s="2"/>
      <c r="N818" s="2"/>
      <c r="O818" s="2"/>
      <c r="P818" s="2"/>
      <c r="Q818" s="2"/>
      <c r="R818" s="2"/>
      <c r="S818" s="2"/>
      <c r="T818" s="2"/>
      <c r="U818" s="2"/>
      <c r="V818" s="2"/>
      <c r="W818" s="2"/>
      <c r="X818" s="2"/>
      <c r="Y818" s="2"/>
      <c r="Z818" s="2"/>
    </row>
    <row r="819">
      <c r="A819" s="5"/>
      <c r="B819" s="5"/>
      <c r="C819" s="5"/>
      <c r="D819" s="2"/>
      <c r="E819" s="2"/>
      <c r="F819" s="2"/>
      <c r="G819" s="2"/>
      <c r="H819" s="2"/>
      <c r="I819" s="2"/>
      <c r="J819" s="2"/>
      <c r="K819" s="2"/>
      <c r="L819" s="2"/>
      <c r="M819" s="2"/>
      <c r="N819" s="2"/>
      <c r="O819" s="2"/>
      <c r="P819" s="2"/>
      <c r="Q819" s="2"/>
      <c r="R819" s="2"/>
      <c r="S819" s="2"/>
      <c r="T819" s="2"/>
      <c r="U819" s="2"/>
      <c r="V819" s="2"/>
      <c r="W819" s="2"/>
      <c r="X819" s="2"/>
      <c r="Y819" s="2"/>
      <c r="Z819" s="2"/>
    </row>
    <row r="820">
      <c r="A820" s="5"/>
      <c r="B820" s="5"/>
      <c r="C820" s="5"/>
      <c r="D820" s="2"/>
      <c r="E820" s="2"/>
      <c r="F820" s="2"/>
      <c r="G820" s="2"/>
      <c r="H820" s="2"/>
      <c r="I820" s="2"/>
      <c r="J820" s="2"/>
      <c r="K820" s="2"/>
      <c r="L820" s="2"/>
      <c r="M820" s="2"/>
      <c r="N820" s="2"/>
      <c r="O820" s="2"/>
      <c r="P820" s="2"/>
      <c r="Q820" s="2"/>
      <c r="R820" s="2"/>
      <c r="S820" s="2"/>
      <c r="T820" s="2"/>
      <c r="U820" s="2"/>
      <c r="V820" s="2"/>
      <c r="W820" s="2"/>
      <c r="X820" s="2"/>
      <c r="Y820" s="2"/>
      <c r="Z820" s="2"/>
    </row>
    <row r="821">
      <c r="A821" s="5"/>
      <c r="B821" s="5"/>
      <c r="C821" s="5"/>
      <c r="D821" s="2"/>
      <c r="E821" s="2"/>
      <c r="F821" s="2"/>
      <c r="G821" s="2"/>
      <c r="H821" s="2"/>
      <c r="I821" s="2"/>
      <c r="J821" s="2"/>
      <c r="K821" s="2"/>
      <c r="L821" s="2"/>
      <c r="M821" s="2"/>
      <c r="N821" s="2"/>
      <c r="O821" s="2"/>
      <c r="P821" s="2"/>
      <c r="Q821" s="2"/>
      <c r="R821" s="2"/>
      <c r="S821" s="2"/>
      <c r="T821" s="2"/>
      <c r="U821" s="2"/>
      <c r="V821" s="2"/>
      <c r="W821" s="2"/>
      <c r="X821" s="2"/>
      <c r="Y821" s="2"/>
      <c r="Z821" s="2"/>
    </row>
    <row r="822">
      <c r="A822" s="5"/>
      <c r="B822" s="5"/>
      <c r="C822" s="5"/>
      <c r="D822" s="2"/>
      <c r="E822" s="2"/>
      <c r="F822" s="2"/>
      <c r="G822" s="2"/>
      <c r="H822" s="2"/>
      <c r="I822" s="2"/>
      <c r="J822" s="2"/>
      <c r="K822" s="2"/>
      <c r="L822" s="2"/>
      <c r="M822" s="2"/>
      <c r="N822" s="2"/>
      <c r="O822" s="2"/>
      <c r="P822" s="2"/>
      <c r="Q822" s="2"/>
      <c r="R822" s="2"/>
      <c r="S822" s="2"/>
      <c r="T822" s="2"/>
      <c r="U822" s="2"/>
      <c r="V822" s="2"/>
      <c r="W822" s="2"/>
      <c r="X822" s="2"/>
      <c r="Y822" s="2"/>
      <c r="Z822" s="2"/>
    </row>
    <row r="823">
      <c r="A823" s="5"/>
      <c r="B823" s="5"/>
      <c r="C823" s="5"/>
      <c r="D823" s="2"/>
      <c r="E823" s="2"/>
      <c r="F823" s="2"/>
      <c r="G823" s="2"/>
      <c r="H823" s="2"/>
      <c r="I823" s="2"/>
      <c r="J823" s="2"/>
      <c r="K823" s="2"/>
      <c r="L823" s="2"/>
      <c r="M823" s="2"/>
      <c r="N823" s="2"/>
      <c r="O823" s="2"/>
      <c r="P823" s="2"/>
      <c r="Q823" s="2"/>
      <c r="R823" s="2"/>
      <c r="S823" s="2"/>
      <c r="T823" s="2"/>
      <c r="U823" s="2"/>
      <c r="V823" s="2"/>
      <c r="W823" s="2"/>
      <c r="X823" s="2"/>
      <c r="Y823" s="2"/>
      <c r="Z823" s="2"/>
    </row>
    <row r="824">
      <c r="A824" s="5"/>
      <c r="B824" s="5"/>
      <c r="C824" s="5"/>
      <c r="D824" s="2"/>
      <c r="E824" s="2"/>
      <c r="F824" s="2"/>
      <c r="G824" s="2"/>
      <c r="H824" s="2"/>
      <c r="I824" s="2"/>
      <c r="J824" s="2"/>
      <c r="K824" s="2"/>
      <c r="L824" s="2"/>
      <c r="M824" s="2"/>
      <c r="N824" s="2"/>
      <c r="O824" s="2"/>
      <c r="P824" s="2"/>
      <c r="Q824" s="2"/>
      <c r="R824" s="2"/>
      <c r="S824" s="2"/>
      <c r="T824" s="2"/>
      <c r="U824" s="2"/>
      <c r="V824" s="2"/>
      <c r="W824" s="2"/>
      <c r="X824" s="2"/>
      <c r="Y824" s="2"/>
      <c r="Z824" s="2"/>
    </row>
    <row r="825">
      <c r="A825" s="5"/>
      <c r="B825" s="5"/>
      <c r="C825" s="5"/>
      <c r="D825" s="2"/>
      <c r="E825" s="2"/>
      <c r="F825" s="2"/>
      <c r="G825" s="2"/>
      <c r="H825" s="2"/>
      <c r="I825" s="2"/>
      <c r="J825" s="2"/>
      <c r="K825" s="2"/>
      <c r="L825" s="2"/>
      <c r="M825" s="2"/>
      <c r="N825" s="2"/>
      <c r="O825" s="2"/>
      <c r="P825" s="2"/>
      <c r="Q825" s="2"/>
      <c r="R825" s="2"/>
      <c r="S825" s="2"/>
      <c r="T825" s="2"/>
      <c r="U825" s="2"/>
      <c r="V825" s="2"/>
      <c r="W825" s="2"/>
      <c r="X825" s="2"/>
      <c r="Y825" s="2"/>
      <c r="Z825" s="2"/>
    </row>
    <row r="826">
      <c r="A826" s="5"/>
      <c r="B826" s="5"/>
      <c r="C826" s="5"/>
      <c r="D826" s="2"/>
      <c r="E826" s="2"/>
      <c r="F826" s="2"/>
      <c r="G826" s="2"/>
      <c r="H826" s="2"/>
      <c r="I826" s="2"/>
      <c r="J826" s="2"/>
      <c r="K826" s="2"/>
      <c r="L826" s="2"/>
      <c r="M826" s="2"/>
      <c r="N826" s="2"/>
      <c r="O826" s="2"/>
      <c r="P826" s="2"/>
      <c r="Q826" s="2"/>
      <c r="R826" s="2"/>
      <c r="S826" s="2"/>
      <c r="T826" s="2"/>
      <c r="U826" s="2"/>
      <c r="V826" s="2"/>
      <c r="W826" s="2"/>
      <c r="X826" s="2"/>
      <c r="Y826" s="2"/>
      <c r="Z826" s="2"/>
    </row>
    <row r="827">
      <c r="A827" s="5"/>
      <c r="B827" s="5"/>
      <c r="C827" s="5"/>
      <c r="D827" s="2"/>
      <c r="E827" s="2"/>
      <c r="F827" s="2"/>
      <c r="G827" s="2"/>
      <c r="H827" s="2"/>
      <c r="I827" s="2"/>
      <c r="J827" s="2"/>
      <c r="K827" s="2"/>
      <c r="L827" s="2"/>
      <c r="M827" s="2"/>
      <c r="N827" s="2"/>
      <c r="O827" s="2"/>
      <c r="P827" s="2"/>
      <c r="Q827" s="2"/>
      <c r="R827" s="2"/>
      <c r="S827" s="2"/>
      <c r="T827" s="2"/>
      <c r="U827" s="2"/>
      <c r="V827" s="2"/>
      <c r="W827" s="2"/>
      <c r="X827" s="2"/>
      <c r="Y827" s="2"/>
      <c r="Z827" s="2"/>
    </row>
    <row r="828">
      <c r="A828" s="5"/>
      <c r="B828" s="5"/>
      <c r="C828" s="5"/>
      <c r="D828" s="2"/>
      <c r="E828" s="2"/>
      <c r="F828" s="2"/>
      <c r="G828" s="2"/>
      <c r="H828" s="2"/>
      <c r="I828" s="2"/>
      <c r="J828" s="2"/>
      <c r="K828" s="2"/>
      <c r="L828" s="2"/>
      <c r="M828" s="2"/>
      <c r="N828" s="2"/>
      <c r="O828" s="2"/>
      <c r="P828" s="2"/>
      <c r="Q828" s="2"/>
      <c r="R828" s="2"/>
      <c r="S828" s="2"/>
      <c r="T828" s="2"/>
      <c r="U828" s="2"/>
      <c r="V828" s="2"/>
      <c r="W828" s="2"/>
      <c r="X828" s="2"/>
      <c r="Y828" s="2"/>
      <c r="Z828" s="2"/>
    </row>
    <row r="829">
      <c r="A829" s="5"/>
      <c r="B829" s="5"/>
      <c r="C829" s="5"/>
      <c r="D829" s="2"/>
      <c r="E829" s="2"/>
      <c r="F829" s="2"/>
      <c r="G829" s="2"/>
      <c r="H829" s="2"/>
      <c r="I829" s="2"/>
      <c r="J829" s="2"/>
      <c r="K829" s="2"/>
      <c r="L829" s="2"/>
      <c r="M829" s="2"/>
      <c r="N829" s="2"/>
      <c r="O829" s="2"/>
      <c r="P829" s="2"/>
      <c r="Q829" s="2"/>
      <c r="R829" s="2"/>
      <c r="S829" s="2"/>
      <c r="T829" s="2"/>
      <c r="U829" s="2"/>
      <c r="V829" s="2"/>
      <c r="W829" s="2"/>
      <c r="X829" s="2"/>
      <c r="Y829" s="2"/>
      <c r="Z829" s="2"/>
    </row>
    <row r="830">
      <c r="A830" s="5"/>
      <c r="B830" s="5"/>
      <c r="C830" s="5"/>
      <c r="D830" s="2"/>
      <c r="E830" s="2"/>
      <c r="F830" s="2"/>
      <c r="G830" s="2"/>
      <c r="H830" s="2"/>
      <c r="I830" s="2"/>
      <c r="J830" s="2"/>
      <c r="K830" s="2"/>
      <c r="L830" s="2"/>
      <c r="M830" s="2"/>
      <c r="N830" s="2"/>
      <c r="O830" s="2"/>
      <c r="P830" s="2"/>
      <c r="Q830" s="2"/>
      <c r="R830" s="2"/>
      <c r="S830" s="2"/>
      <c r="T830" s="2"/>
      <c r="U830" s="2"/>
      <c r="V830" s="2"/>
      <c r="W830" s="2"/>
      <c r="X830" s="2"/>
      <c r="Y830" s="2"/>
      <c r="Z830" s="2"/>
    </row>
    <row r="831">
      <c r="A831" s="5"/>
      <c r="B831" s="5"/>
      <c r="C831" s="5"/>
      <c r="D831" s="2"/>
      <c r="E831" s="2"/>
      <c r="F831" s="2"/>
      <c r="G831" s="2"/>
      <c r="H831" s="2"/>
      <c r="I831" s="2"/>
      <c r="J831" s="2"/>
      <c r="K831" s="2"/>
      <c r="L831" s="2"/>
      <c r="M831" s="2"/>
      <c r="N831" s="2"/>
      <c r="O831" s="2"/>
      <c r="P831" s="2"/>
      <c r="Q831" s="2"/>
      <c r="R831" s="2"/>
      <c r="S831" s="2"/>
      <c r="T831" s="2"/>
      <c r="U831" s="2"/>
      <c r="V831" s="2"/>
      <c r="W831" s="2"/>
      <c r="X831" s="2"/>
      <c r="Y831" s="2"/>
      <c r="Z831" s="2"/>
    </row>
    <row r="832">
      <c r="A832" s="5"/>
      <c r="B832" s="5"/>
      <c r="C832" s="5"/>
      <c r="D832" s="2"/>
      <c r="E832" s="2"/>
      <c r="F832" s="2"/>
      <c r="G832" s="2"/>
      <c r="H832" s="2"/>
      <c r="I832" s="2"/>
      <c r="J832" s="2"/>
      <c r="K832" s="2"/>
      <c r="L832" s="2"/>
      <c r="M832" s="2"/>
      <c r="N832" s="2"/>
      <c r="O832" s="2"/>
      <c r="P832" s="2"/>
      <c r="Q832" s="2"/>
      <c r="R832" s="2"/>
      <c r="S832" s="2"/>
      <c r="T832" s="2"/>
      <c r="U832" s="2"/>
      <c r="V832" s="2"/>
      <c r="W832" s="2"/>
      <c r="X832" s="2"/>
      <c r="Y832" s="2"/>
      <c r="Z832" s="2"/>
    </row>
    <row r="833">
      <c r="A833" s="5"/>
      <c r="B833" s="5"/>
      <c r="C833" s="5"/>
      <c r="D833" s="2"/>
      <c r="E833" s="2"/>
      <c r="F833" s="2"/>
      <c r="G833" s="2"/>
      <c r="H833" s="2"/>
      <c r="I833" s="2"/>
      <c r="J833" s="2"/>
      <c r="K833" s="2"/>
      <c r="L833" s="2"/>
      <c r="M833" s="2"/>
      <c r="N833" s="2"/>
      <c r="O833" s="2"/>
      <c r="P833" s="2"/>
      <c r="Q833" s="2"/>
      <c r="R833" s="2"/>
      <c r="S833" s="2"/>
      <c r="T833" s="2"/>
      <c r="U833" s="2"/>
      <c r="V833" s="2"/>
      <c r="W833" s="2"/>
      <c r="X833" s="2"/>
      <c r="Y833" s="2"/>
      <c r="Z833" s="2"/>
    </row>
    <row r="834">
      <c r="A834" s="5"/>
      <c r="B834" s="5"/>
      <c r="C834" s="5"/>
      <c r="D834" s="2"/>
      <c r="E834" s="2"/>
      <c r="F834" s="2"/>
      <c r="G834" s="2"/>
      <c r="H834" s="2"/>
      <c r="I834" s="2"/>
      <c r="J834" s="2"/>
      <c r="K834" s="2"/>
      <c r="L834" s="2"/>
      <c r="M834" s="2"/>
      <c r="N834" s="2"/>
      <c r="O834" s="2"/>
      <c r="P834" s="2"/>
      <c r="Q834" s="2"/>
      <c r="R834" s="2"/>
      <c r="S834" s="2"/>
      <c r="T834" s="2"/>
      <c r="U834" s="2"/>
      <c r="V834" s="2"/>
      <c r="W834" s="2"/>
      <c r="X834" s="2"/>
      <c r="Y834" s="2"/>
      <c r="Z834" s="2"/>
    </row>
    <row r="835">
      <c r="A835" s="5"/>
      <c r="B835" s="5"/>
      <c r="C835" s="5"/>
      <c r="D835" s="2"/>
      <c r="E835" s="2"/>
      <c r="F835" s="2"/>
      <c r="G835" s="2"/>
      <c r="H835" s="2"/>
      <c r="I835" s="2"/>
      <c r="J835" s="2"/>
      <c r="K835" s="2"/>
      <c r="L835" s="2"/>
      <c r="M835" s="2"/>
      <c r="N835" s="2"/>
      <c r="O835" s="2"/>
      <c r="P835" s="2"/>
      <c r="Q835" s="2"/>
      <c r="R835" s="2"/>
      <c r="S835" s="2"/>
      <c r="T835" s="2"/>
      <c r="U835" s="2"/>
      <c r="V835" s="2"/>
      <c r="W835" s="2"/>
      <c r="X835" s="2"/>
      <c r="Y835" s="2"/>
      <c r="Z835" s="2"/>
    </row>
    <row r="836">
      <c r="A836" s="5"/>
      <c r="B836" s="5"/>
      <c r="C836" s="5"/>
      <c r="D836" s="2"/>
      <c r="E836" s="2"/>
      <c r="F836" s="2"/>
      <c r="G836" s="2"/>
      <c r="H836" s="2"/>
      <c r="I836" s="2"/>
      <c r="J836" s="2"/>
      <c r="K836" s="2"/>
      <c r="L836" s="2"/>
      <c r="M836" s="2"/>
      <c r="N836" s="2"/>
      <c r="O836" s="2"/>
      <c r="P836" s="2"/>
      <c r="Q836" s="2"/>
      <c r="R836" s="2"/>
      <c r="S836" s="2"/>
      <c r="T836" s="2"/>
      <c r="U836" s="2"/>
      <c r="V836" s="2"/>
      <c r="W836" s="2"/>
      <c r="X836" s="2"/>
      <c r="Y836" s="2"/>
      <c r="Z836" s="2"/>
    </row>
    <row r="837">
      <c r="A837" s="5"/>
      <c r="B837" s="5"/>
      <c r="C837" s="5"/>
      <c r="D837" s="2"/>
      <c r="E837" s="2"/>
      <c r="F837" s="2"/>
      <c r="G837" s="2"/>
      <c r="H837" s="2"/>
      <c r="I837" s="2"/>
      <c r="J837" s="2"/>
      <c r="K837" s="2"/>
      <c r="L837" s="2"/>
      <c r="M837" s="2"/>
      <c r="N837" s="2"/>
      <c r="O837" s="2"/>
      <c r="P837" s="2"/>
      <c r="Q837" s="2"/>
      <c r="R837" s="2"/>
      <c r="S837" s="2"/>
      <c r="T837" s="2"/>
      <c r="U837" s="2"/>
      <c r="V837" s="2"/>
      <c r="W837" s="2"/>
      <c r="X837" s="2"/>
      <c r="Y837" s="2"/>
      <c r="Z837" s="2"/>
    </row>
    <row r="838">
      <c r="A838" s="5"/>
      <c r="B838" s="5"/>
      <c r="C838" s="5"/>
      <c r="D838" s="2"/>
      <c r="E838" s="2"/>
      <c r="F838" s="2"/>
      <c r="G838" s="2"/>
      <c r="H838" s="2"/>
      <c r="I838" s="2"/>
      <c r="J838" s="2"/>
      <c r="K838" s="2"/>
      <c r="L838" s="2"/>
      <c r="M838" s="2"/>
      <c r="N838" s="2"/>
      <c r="O838" s="2"/>
      <c r="P838" s="2"/>
      <c r="Q838" s="2"/>
      <c r="R838" s="2"/>
      <c r="S838" s="2"/>
      <c r="T838" s="2"/>
      <c r="U838" s="2"/>
      <c r="V838" s="2"/>
      <c r="W838" s="2"/>
      <c r="X838" s="2"/>
      <c r="Y838" s="2"/>
      <c r="Z838" s="2"/>
    </row>
    <row r="839">
      <c r="A839" s="5"/>
      <c r="B839" s="5"/>
      <c r="C839" s="5"/>
      <c r="D839" s="2"/>
      <c r="E839" s="2"/>
      <c r="F839" s="2"/>
      <c r="G839" s="2"/>
      <c r="H839" s="2"/>
      <c r="I839" s="2"/>
      <c r="J839" s="2"/>
      <c r="K839" s="2"/>
      <c r="L839" s="2"/>
      <c r="M839" s="2"/>
      <c r="N839" s="2"/>
      <c r="O839" s="2"/>
      <c r="P839" s="2"/>
      <c r="Q839" s="2"/>
      <c r="R839" s="2"/>
      <c r="S839" s="2"/>
      <c r="T839" s="2"/>
      <c r="U839" s="2"/>
      <c r="V839" s="2"/>
      <c r="W839" s="2"/>
      <c r="X839" s="2"/>
      <c r="Y839" s="2"/>
      <c r="Z839" s="2"/>
    </row>
    <row r="840">
      <c r="A840" s="5"/>
      <c r="B840" s="5"/>
      <c r="C840" s="5"/>
      <c r="D840" s="2"/>
      <c r="E840" s="2"/>
      <c r="F840" s="2"/>
      <c r="G840" s="2"/>
      <c r="H840" s="2"/>
      <c r="I840" s="2"/>
      <c r="J840" s="2"/>
      <c r="K840" s="2"/>
      <c r="L840" s="2"/>
      <c r="M840" s="2"/>
      <c r="N840" s="2"/>
      <c r="O840" s="2"/>
      <c r="P840" s="2"/>
      <c r="Q840" s="2"/>
      <c r="R840" s="2"/>
      <c r="S840" s="2"/>
      <c r="T840" s="2"/>
      <c r="U840" s="2"/>
      <c r="V840" s="2"/>
      <c r="W840" s="2"/>
      <c r="X840" s="2"/>
      <c r="Y840" s="2"/>
      <c r="Z840" s="2"/>
    </row>
    <row r="841">
      <c r="A841" s="5"/>
      <c r="B841" s="5"/>
      <c r="C841" s="5"/>
      <c r="D841" s="2"/>
      <c r="E841" s="2"/>
      <c r="F841" s="2"/>
      <c r="G841" s="2"/>
      <c r="H841" s="2"/>
      <c r="I841" s="2"/>
      <c r="J841" s="2"/>
      <c r="K841" s="2"/>
      <c r="L841" s="2"/>
      <c r="M841" s="2"/>
      <c r="N841" s="2"/>
      <c r="O841" s="2"/>
      <c r="P841" s="2"/>
      <c r="Q841" s="2"/>
      <c r="R841" s="2"/>
      <c r="S841" s="2"/>
      <c r="T841" s="2"/>
      <c r="U841" s="2"/>
      <c r="V841" s="2"/>
      <c r="W841" s="2"/>
      <c r="X841" s="2"/>
      <c r="Y841" s="2"/>
      <c r="Z841" s="2"/>
    </row>
    <row r="842">
      <c r="A842" s="5"/>
      <c r="B842" s="5"/>
      <c r="C842" s="5"/>
      <c r="D842" s="2"/>
      <c r="E842" s="2"/>
      <c r="F842" s="2"/>
      <c r="G842" s="2"/>
      <c r="H842" s="2"/>
      <c r="I842" s="2"/>
      <c r="J842" s="2"/>
      <c r="K842" s="2"/>
      <c r="L842" s="2"/>
      <c r="M842" s="2"/>
      <c r="N842" s="2"/>
      <c r="O842" s="2"/>
      <c r="P842" s="2"/>
      <c r="Q842" s="2"/>
      <c r="R842" s="2"/>
      <c r="S842" s="2"/>
      <c r="T842" s="2"/>
      <c r="U842" s="2"/>
      <c r="V842" s="2"/>
      <c r="W842" s="2"/>
      <c r="X842" s="2"/>
      <c r="Y842" s="2"/>
      <c r="Z842" s="2"/>
    </row>
    <row r="843">
      <c r="A843" s="5"/>
      <c r="B843" s="5"/>
      <c r="C843" s="5"/>
      <c r="D843" s="2"/>
      <c r="E843" s="2"/>
      <c r="F843" s="2"/>
      <c r="G843" s="2"/>
      <c r="H843" s="2"/>
      <c r="I843" s="2"/>
      <c r="J843" s="2"/>
      <c r="K843" s="2"/>
      <c r="L843" s="2"/>
      <c r="M843" s="2"/>
      <c r="N843" s="2"/>
      <c r="O843" s="2"/>
      <c r="P843" s="2"/>
      <c r="Q843" s="2"/>
      <c r="R843" s="2"/>
      <c r="S843" s="2"/>
      <c r="T843" s="2"/>
      <c r="U843" s="2"/>
      <c r="V843" s="2"/>
      <c r="W843" s="2"/>
      <c r="X843" s="2"/>
      <c r="Y843" s="2"/>
      <c r="Z843" s="2"/>
    </row>
    <row r="844">
      <c r="A844" s="5"/>
      <c r="B844" s="5"/>
      <c r="C844" s="5"/>
      <c r="D844" s="2"/>
      <c r="E844" s="2"/>
      <c r="F844" s="2"/>
      <c r="G844" s="2"/>
      <c r="H844" s="2"/>
      <c r="I844" s="2"/>
      <c r="J844" s="2"/>
      <c r="K844" s="2"/>
      <c r="L844" s="2"/>
      <c r="M844" s="2"/>
      <c r="N844" s="2"/>
      <c r="O844" s="2"/>
      <c r="P844" s="2"/>
      <c r="Q844" s="2"/>
      <c r="R844" s="2"/>
      <c r="S844" s="2"/>
      <c r="T844" s="2"/>
      <c r="U844" s="2"/>
      <c r="V844" s="2"/>
      <c r="W844" s="2"/>
      <c r="X844" s="2"/>
      <c r="Y844" s="2"/>
      <c r="Z844" s="2"/>
    </row>
    <row r="845">
      <c r="A845" s="5"/>
      <c r="B845" s="5"/>
      <c r="C845" s="5"/>
      <c r="D845" s="2"/>
      <c r="E845" s="2"/>
      <c r="F845" s="2"/>
      <c r="G845" s="2"/>
      <c r="H845" s="2"/>
      <c r="I845" s="2"/>
      <c r="J845" s="2"/>
      <c r="K845" s="2"/>
      <c r="L845" s="2"/>
      <c r="M845" s="2"/>
      <c r="N845" s="2"/>
      <c r="O845" s="2"/>
      <c r="P845" s="2"/>
      <c r="Q845" s="2"/>
      <c r="R845" s="2"/>
      <c r="S845" s="2"/>
      <c r="T845" s="2"/>
      <c r="U845" s="2"/>
      <c r="V845" s="2"/>
      <c r="W845" s="2"/>
      <c r="X845" s="2"/>
      <c r="Y845" s="2"/>
      <c r="Z845" s="2"/>
    </row>
    <row r="846">
      <c r="A846" s="5"/>
      <c r="B846" s="5"/>
      <c r="C846" s="5"/>
      <c r="D846" s="2"/>
      <c r="E846" s="2"/>
      <c r="F846" s="2"/>
      <c r="G846" s="2"/>
      <c r="H846" s="2"/>
      <c r="I846" s="2"/>
      <c r="J846" s="2"/>
      <c r="K846" s="2"/>
      <c r="L846" s="2"/>
      <c r="M846" s="2"/>
      <c r="N846" s="2"/>
      <c r="O846" s="2"/>
      <c r="P846" s="2"/>
      <c r="Q846" s="2"/>
      <c r="R846" s="2"/>
      <c r="S846" s="2"/>
      <c r="T846" s="2"/>
      <c r="U846" s="2"/>
      <c r="V846" s="2"/>
      <c r="W846" s="2"/>
      <c r="X846" s="2"/>
      <c r="Y846" s="2"/>
      <c r="Z846" s="2"/>
    </row>
    <row r="847">
      <c r="A847" s="5"/>
      <c r="B847" s="5"/>
      <c r="C847" s="5"/>
      <c r="D847" s="2"/>
      <c r="E847" s="2"/>
      <c r="F847" s="2"/>
      <c r="G847" s="2"/>
      <c r="H847" s="2"/>
      <c r="I847" s="2"/>
      <c r="J847" s="2"/>
      <c r="K847" s="2"/>
      <c r="L847" s="2"/>
      <c r="M847" s="2"/>
      <c r="N847" s="2"/>
      <c r="O847" s="2"/>
      <c r="P847" s="2"/>
      <c r="Q847" s="2"/>
      <c r="R847" s="2"/>
      <c r="S847" s="2"/>
      <c r="T847" s="2"/>
      <c r="U847" s="2"/>
      <c r="V847" s="2"/>
      <c r="W847" s="2"/>
      <c r="X847" s="2"/>
      <c r="Y847" s="2"/>
      <c r="Z847" s="2"/>
    </row>
    <row r="848">
      <c r="A848" s="5"/>
      <c r="B848" s="5"/>
      <c r="C848" s="5"/>
      <c r="D848" s="2"/>
      <c r="E848" s="2"/>
      <c r="F848" s="2"/>
      <c r="G848" s="2"/>
      <c r="H848" s="2"/>
      <c r="I848" s="2"/>
      <c r="J848" s="2"/>
      <c r="K848" s="2"/>
      <c r="L848" s="2"/>
      <c r="M848" s="2"/>
      <c r="N848" s="2"/>
      <c r="O848" s="2"/>
      <c r="P848" s="2"/>
      <c r="Q848" s="2"/>
      <c r="R848" s="2"/>
      <c r="S848" s="2"/>
      <c r="T848" s="2"/>
      <c r="U848" s="2"/>
      <c r="V848" s="2"/>
      <c r="W848" s="2"/>
      <c r="X848" s="2"/>
      <c r="Y848" s="2"/>
      <c r="Z848" s="2"/>
    </row>
    <row r="849">
      <c r="A849" s="5"/>
      <c r="B849" s="5"/>
      <c r="C849" s="5"/>
      <c r="D849" s="2"/>
      <c r="E849" s="2"/>
      <c r="F849" s="2"/>
      <c r="G849" s="2"/>
      <c r="H849" s="2"/>
      <c r="I849" s="2"/>
      <c r="J849" s="2"/>
      <c r="K849" s="2"/>
      <c r="L849" s="2"/>
      <c r="M849" s="2"/>
      <c r="N849" s="2"/>
      <c r="O849" s="2"/>
      <c r="P849" s="2"/>
      <c r="Q849" s="2"/>
      <c r="R849" s="2"/>
      <c r="S849" s="2"/>
      <c r="T849" s="2"/>
      <c r="U849" s="2"/>
      <c r="V849" s="2"/>
      <c r="W849" s="2"/>
      <c r="X849" s="2"/>
      <c r="Y849" s="2"/>
      <c r="Z849" s="2"/>
    </row>
    <row r="850">
      <c r="A850" s="5"/>
      <c r="B850" s="5"/>
      <c r="C850" s="5"/>
      <c r="D850" s="2"/>
      <c r="E850" s="2"/>
      <c r="F850" s="2"/>
      <c r="G850" s="2"/>
      <c r="H850" s="2"/>
      <c r="I850" s="2"/>
      <c r="J850" s="2"/>
      <c r="K850" s="2"/>
      <c r="L850" s="2"/>
      <c r="M850" s="2"/>
      <c r="N850" s="2"/>
      <c r="O850" s="2"/>
      <c r="P850" s="2"/>
      <c r="Q850" s="2"/>
      <c r="R850" s="2"/>
      <c r="S850" s="2"/>
      <c r="T850" s="2"/>
      <c r="U850" s="2"/>
      <c r="V850" s="2"/>
      <c r="W850" s="2"/>
      <c r="X850" s="2"/>
      <c r="Y850" s="2"/>
      <c r="Z850" s="2"/>
    </row>
    <row r="851">
      <c r="A851" s="5"/>
      <c r="B851" s="5"/>
      <c r="C851" s="5"/>
      <c r="D851" s="2"/>
      <c r="E851" s="2"/>
      <c r="F851" s="2"/>
      <c r="G851" s="2"/>
      <c r="H851" s="2"/>
      <c r="I851" s="2"/>
      <c r="J851" s="2"/>
      <c r="K851" s="2"/>
      <c r="L851" s="2"/>
      <c r="M851" s="2"/>
      <c r="N851" s="2"/>
      <c r="O851" s="2"/>
      <c r="P851" s="2"/>
      <c r="Q851" s="2"/>
      <c r="R851" s="2"/>
      <c r="S851" s="2"/>
      <c r="T851" s="2"/>
      <c r="U851" s="2"/>
      <c r="V851" s="2"/>
      <c r="W851" s="2"/>
      <c r="X851" s="2"/>
      <c r="Y851" s="2"/>
      <c r="Z851" s="2"/>
    </row>
    <row r="852">
      <c r="A852" s="5"/>
      <c r="B852" s="5"/>
      <c r="C852" s="5"/>
      <c r="D852" s="2"/>
      <c r="E852" s="2"/>
      <c r="F852" s="2"/>
      <c r="G852" s="2"/>
      <c r="H852" s="2"/>
      <c r="I852" s="2"/>
      <c r="J852" s="2"/>
      <c r="K852" s="2"/>
      <c r="L852" s="2"/>
      <c r="M852" s="2"/>
      <c r="N852" s="2"/>
      <c r="O852" s="2"/>
      <c r="P852" s="2"/>
      <c r="Q852" s="2"/>
      <c r="R852" s="2"/>
      <c r="S852" s="2"/>
      <c r="T852" s="2"/>
      <c r="U852" s="2"/>
      <c r="V852" s="2"/>
      <c r="W852" s="2"/>
      <c r="X852" s="2"/>
      <c r="Y852" s="2"/>
      <c r="Z852" s="2"/>
    </row>
    <row r="853">
      <c r="A853" s="5"/>
      <c r="B853" s="5"/>
      <c r="C853" s="5"/>
      <c r="D853" s="2"/>
      <c r="E853" s="2"/>
      <c r="F853" s="2"/>
      <c r="G853" s="2"/>
      <c r="H853" s="2"/>
      <c r="I853" s="2"/>
      <c r="J853" s="2"/>
      <c r="K853" s="2"/>
      <c r="L853" s="2"/>
      <c r="M853" s="2"/>
      <c r="N853" s="2"/>
      <c r="O853" s="2"/>
      <c r="P853" s="2"/>
      <c r="Q853" s="2"/>
      <c r="R853" s="2"/>
      <c r="S853" s="2"/>
      <c r="T853" s="2"/>
      <c r="U853" s="2"/>
      <c r="V853" s="2"/>
      <c r="W853" s="2"/>
      <c r="X853" s="2"/>
      <c r="Y853" s="2"/>
      <c r="Z853" s="2"/>
    </row>
    <row r="854">
      <c r="A854" s="5"/>
      <c r="B854" s="5"/>
      <c r="C854" s="5"/>
      <c r="D854" s="2"/>
      <c r="E854" s="2"/>
      <c r="F854" s="2"/>
      <c r="G854" s="2"/>
      <c r="H854" s="2"/>
      <c r="I854" s="2"/>
      <c r="J854" s="2"/>
      <c r="K854" s="2"/>
      <c r="L854" s="2"/>
      <c r="M854" s="2"/>
      <c r="N854" s="2"/>
      <c r="O854" s="2"/>
      <c r="P854" s="2"/>
      <c r="Q854" s="2"/>
      <c r="R854" s="2"/>
      <c r="S854" s="2"/>
      <c r="T854" s="2"/>
      <c r="U854" s="2"/>
      <c r="V854" s="2"/>
      <c r="W854" s="2"/>
      <c r="X854" s="2"/>
      <c r="Y854" s="2"/>
      <c r="Z854" s="2"/>
    </row>
    <row r="855">
      <c r="A855" s="5"/>
      <c r="B855" s="5"/>
      <c r="C855" s="5"/>
      <c r="D855" s="2"/>
      <c r="E855" s="2"/>
      <c r="F855" s="2"/>
      <c r="G855" s="2"/>
      <c r="H855" s="2"/>
      <c r="I855" s="2"/>
      <c r="J855" s="2"/>
      <c r="K855" s="2"/>
      <c r="L855" s="2"/>
      <c r="M855" s="2"/>
      <c r="N855" s="2"/>
      <c r="O855" s="2"/>
      <c r="P855" s="2"/>
      <c r="Q855" s="2"/>
      <c r="R855" s="2"/>
      <c r="S855" s="2"/>
      <c r="T855" s="2"/>
      <c r="U855" s="2"/>
      <c r="V855" s="2"/>
      <c r="W855" s="2"/>
      <c r="X855" s="2"/>
      <c r="Y855" s="2"/>
      <c r="Z855" s="2"/>
    </row>
    <row r="856">
      <c r="A856" s="5"/>
      <c r="B856" s="5"/>
      <c r="C856" s="5"/>
      <c r="D856" s="2"/>
      <c r="E856" s="2"/>
      <c r="F856" s="2"/>
      <c r="G856" s="2"/>
      <c r="H856" s="2"/>
      <c r="I856" s="2"/>
      <c r="J856" s="2"/>
      <c r="K856" s="2"/>
      <c r="L856" s="2"/>
      <c r="M856" s="2"/>
      <c r="N856" s="2"/>
      <c r="O856" s="2"/>
      <c r="P856" s="2"/>
      <c r="Q856" s="2"/>
      <c r="R856" s="2"/>
      <c r="S856" s="2"/>
      <c r="T856" s="2"/>
      <c r="U856" s="2"/>
      <c r="V856" s="2"/>
      <c r="W856" s="2"/>
      <c r="X856" s="2"/>
      <c r="Y856" s="2"/>
      <c r="Z856" s="2"/>
    </row>
    <row r="857">
      <c r="A857" s="5"/>
      <c r="B857" s="5"/>
      <c r="C857" s="5"/>
      <c r="D857" s="2"/>
      <c r="E857" s="2"/>
      <c r="F857" s="2"/>
      <c r="G857" s="2"/>
      <c r="H857" s="2"/>
      <c r="I857" s="2"/>
      <c r="J857" s="2"/>
      <c r="K857" s="2"/>
      <c r="L857" s="2"/>
      <c r="M857" s="2"/>
      <c r="N857" s="2"/>
      <c r="O857" s="2"/>
      <c r="P857" s="2"/>
      <c r="Q857" s="2"/>
      <c r="R857" s="2"/>
      <c r="S857" s="2"/>
      <c r="T857" s="2"/>
      <c r="U857" s="2"/>
      <c r="V857" s="2"/>
      <c r="W857" s="2"/>
      <c r="X857" s="2"/>
      <c r="Y857" s="2"/>
      <c r="Z857" s="2"/>
    </row>
    <row r="858">
      <c r="A858" s="5"/>
      <c r="B858" s="5"/>
      <c r="C858" s="5"/>
      <c r="D858" s="2"/>
      <c r="E858" s="2"/>
      <c r="F858" s="2"/>
      <c r="G858" s="2"/>
      <c r="H858" s="2"/>
      <c r="I858" s="2"/>
      <c r="J858" s="2"/>
      <c r="K858" s="2"/>
      <c r="L858" s="2"/>
      <c r="M858" s="2"/>
      <c r="N858" s="2"/>
      <c r="O858" s="2"/>
      <c r="P858" s="2"/>
      <c r="Q858" s="2"/>
      <c r="R858" s="2"/>
      <c r="S858" s="2"/>
      <c r="T858" s="2"/>
      <c r="U858" s="2"/>
      <c r="V858" s="2"/>
      <c r="W858" s="2"/>
      <c r="X858" s="2"/>
      <c r="Y858" s="2"/>
      <c r="Z858" s="2"/>
    </row>
    <row r="859">
      <c r="A859" s="5"/>
      <c r="B859" s="5"/>
      <c r="C859" s="5"/>
      <c r="D859" s="2"/>
      <c r="E859" s="2"/>
      <c r="F859" s="2"/>
      <c r="G859" s="2"/>
      <c r="H859" s="2"/>
      <c r="I859" s="2"/>
      <c r="J859" s="2"/>
      <c r="K859" s="2"/>
      <c r="L859" s="2"/>
      <c r="M859" s="2"/>
      <c r="N859" s="2"/>
      <c r="O859" s="2"/>
      <c r="P859" s="2"/>
      <c r="Q859" s="2"/>
      <c r="R859" s="2"/>
      <c r="S859" s="2"/>
      <c r="T859" s="2"/>
      <c r="U859" s="2"/>
      <c r="V859" s="2"/>
      <c r="W859" s="2"/>
      <c r="X859" s="2"/>
      <c r="Y859" s="2"/>
      <c r="Z859" s="2"/>
    </row>
    <row r="860">
      <c r="A860" s="5"/>
      <c r="B860" s="5"/>
      <c r="C860" s="5"/>
      <c r="D860" s="2"/>
      <c r="E860" s="2"/>
      <c r="F860" s="2"/>
      <c r="G860" s="2"/>
      <c r="H860" s="2"/>
      <c r="I860" s="2"/>
      <c r="J860" s="2"/>
      <c r="K860" s="2"/>
      <c r="L860" s="2"/>
      <c r="M860" s="2"/>
      <c r="N860" s="2"/>
      <c r="O860" s="2"/>
      <c r="P860" s="2"/>
      <c r="Q860" s="2"/>
      <c r="R860" s="2"/>
      <c r="S860" s="2"/>
      <c r="T860" s="2"/>
      <c r="U860" s="2"/>
      <c r="V860" s="2"/>
      <c r="W860" s="2"/>
      <c r="X860" s="2"/>
      <c r="Y860" s="2"/>
      <c r="Z860" s="2"/>
    </row>
    <row r="861">
      <c r="A861" s="5"/>
      <c r="B861" s="5"/>
      <c r="C861" s="5"/>
      <c r="D861" s="2"/>
      <c r="E861" s="2"/>
      <c r="F861" s="2"/>
      <c r="G861" s="2"/>
      <c r="H861" s="2"/>
      <c r="I861" s="2"/>
      <c r="J861" s="2"/>
      <c r="K861" s="2"/>
      <c r="L861" s="2"/>
      <c r="M861" s="2"/>
      <c r="N861" s="2"/>
      <c r="O861" s="2"/>
      <c r="P861" s="2"/>
      <c r="Q861" s="2"/>
      <c r="R861" s="2"/>
      <c r="S861" s="2"/>
      <c r="T861" s="2"/>
      <c r="U861" s="2"/>
      <c r="V861" s="2"/>
      <c r="W861" s="2"/>
      <c r="X861" s="2"/>
      <c r="Y861" s="2"/>
      <c r="Z861" s="2"/>
    </row>
    <row r="862">
      <c r="A862" s="5"/>
      <c r="B862" s="5"/>
      <c r="C862" s="5"/>
      <c r="D862" s="2"/>
      <c r="E862" s="2"/>
      <c r="F862" s="2"/>
      <c r="G862" s="2"/>
      <c r="H862" s="2"/>
      <c r="I862" s="2"/>
      <c r="J862" s="2"/>
      <c r="K862" s="2"/>
      <c r="L862" s="2"/>
      <c r="M862" s="2"/>
      <c r="N862" s="2"/>
      <c r="O862" s="2"/>
      <c r="P862" s="2"/>
      <c r="Q862" s="2"/>
      <c r="R862" s="2"/>
      <c r="S862" s="2"/>
      <c r="T862" s="2"/>
      <c r="U862" s="2"/>
      <c r="V862" s="2"/>
      <c r="W862" s="2"/>
      <c r="X862" s="2"/>
      <c r="Y862" s="2"/>
      <c r="Z862" s="2"/>
    </row>
    <row r="863">
      <c r="A863" s="5"/>
      <c r="B863" s="5"/>
      <c r="C863" s="5"/>
      <c r="D863" s="2"/>
      <c r="E863" s="2"/>
      <c r="F863" s="2"/>
      <c r="G863" s="2"/>
      <c r="H863" s="2"/>
      <c r="I863" s="2"/>
      <c r="J863" s="2"/>
      <c r="K863" s="2"/>
      <c r="L863" s="2"/>
      <c r="M863" s="2"/>
      <c r="N863" s="2"/>
      <c r="O863" s="2"/>
      <c r="P863" s="2"/>
      <c r="Q863" s="2"/>
      <c r="R863" s="2"/>
      <c r="S863" s="2"/>
      <c r="T863" s="2"/>
      <c r="U863" s="2"/>
      <c r="V863" s="2"/>
      <c r="W863" s="2"/>
      <c r="X863" s="2"/>
      <c r="Y863" s="2"/>
      <c r="Z863" s="2"/>
    </row>
    <row r="864">
      <c r="A864" s="5"/>
      <c r="B864" s="5"/>
      <c r="C864" s="5"/>
      <c r="D864" s="2"/>
      <c r="E864" s="2"/>
      <c r="F864" s="2"/>
      <c r="G864" s="2"/>
      <c r="H864" s="2"/>
      <c r="I864" s="2"/>
      <c r="J864" s="2"/>
      <c r="K864" s="2"/>
      <c r="L864" s="2"/>
      <c r="M864" s="2"/>
      <c r="N864" s="2"/>
      <c r="O864" s="2"/>
      <c r="P864" s="2"/>
      <c r="Q864" s="2"/>
      <c r="R864" s="2"/>
      <c r="S864" s="2"/>
      <c r="T864" s="2"/>
      <c r="U864" s="2"/>
      <c r="V864" s="2"/>
      <c r="W864" s="2"/>
      <c r="X864" s="2"/>
      <c r="Y864" s="2"/>
      <c r="Z864" s="2"/>
    </row>
    <row r="865">
      <c r="A865" s="5"/>
      <c r="B865" s="5"/>
      <c r="C865" s="5"/>
      <c r="D865" s="2"/>
      <c r="E865" s="2"/>
      <c r="F865" s="2"/>
      <c r="G865" s="2"/>
      <c r="H865" s="2"/>
      <c r="I865" s="2"/>
      <c r="J865" s="2"/>
      <c r="K865" s="2"/>
      <c r="L865" s="2"/>
      <c r="M865" s="2"/>
      <c r="N865" s="2"/>
      <c r="O865" s="2"/>
      <c r="P865" s="2"/>
      <c r="Q865" s="2"/>
      <c r="R865" s="2"/>
      <c r="S865" s="2"/>
      <c r="T865" s="2"/>
      <c r="U865" s="2"/>
      <c r="V865" s="2"/>
      <c r="W865" s="2"/>
      <c r="X865" s="2"/>
      <c r="Y865" s="2"/>
      <c r="Z865" s="2"/>
    </row>
    <row r="866">
      <c r="A866" s="5"/>
      <c r="B866" s="5"/>
      <c r="C866" s="5"/>
      <c r="D866" s="2"/>
      <c r="E866" s="2"/>
      <c r="F866" s="2"/>
      <c r="G866" s="2"/>
      <c r="H866" s="2"/>
      <c r="I866" s="2"/>
      <c r="J866" s="2"/>
      <c r="K866" s="2"/>
      <c r="L866" s="2"/>
      <c r="M866" s="2"/>
      <c r="N866" s="2"/>
      <c r="O866" s="2"/>
      <c r="P866" s="2"/>
      <c r="Q866" s="2"/>
      <c r="R866" s="2"/>
      <c r="S866" s="2"/>
      <c r="T866" s="2"/>
      <c r="U866" s="2"/>
      <c r="V866" s="2"/>
      <c r="W866" s="2"/>
      <c r="X866" s="2"/>
      <c r="Y866" s="2"/>
      <c r="Z866" s="2"/>
    </row>
    <row r="867">
      <c r="A867" s="5"/>
      <c r="B867" s="5"/>
      <c r="C867" s="5"/>
      <c r="D867" s="2"/>
      <c r="E867" s="2"/>
      <c r="F867" s="2"/>
      <c r="G867" s="2"/>
      <c r="H867" s="2"/>
      <c r="I867" s="2"/>
      <c r="J867" s="2"/>
      <c r="K867" s="2"/>
      <c r="L867" s="2"/>
      <c r="M867" s="2"/>
      <c r="N867" s="2"/>
      <c r="O867" s="2"/>
      <c r="P867" s="2"/>
      <c r="Q867" s="2"/>
      <c r="R867" s="2"/>
      <c r="S867" s="2"/>
      <c r="T867" s="2"/>
      <c r="U867" s="2"/>
      <c r="V867" s="2"/>
      <c r="W867" s="2"/>
      <c r="X867" s="2"/>
      <c r="Y867" s="2"/>
      <c r="Z867" s="2"/>
    </row>
    <row r="868">
      <c r="A868" s="5"/>
      <c r="B868" s="5"/>
      <c r="C868" s="5"/>
      <c r="D868" s="2"/>
      <c r="E868" s="2"/>
      <c r="F868" s="2"/>
      <c r="G868" s="2"/>
      <c r="H868" s="2"/>
      <c r="I868" s="2"/>
      <c r="J868" s="2"/>
      <c r="K868" s="2"/>
      <c r="L868" s="2"/>
      <c r="M868" s="2"/>
      <c r="N868" s="2"/>
      <c r="O868" s="2"/>
      <c r="P868" s="2"/>
      <c r="Q868" s="2"/>
      <c r="R868" s="2"/>
      <c r="S868" s="2"/>
      <c r="T868" s="2"/>
      <c r="U868" s="2"/>
      <c r="V868" s="2"/>
      <c r="W868" s="2"/>
      <c r="X868" s="2"/>
      <c r="Y868" s="2"/>
      <c r="Z868" s="2"/>
    </row>
    <row r="869">
      <c r="A869" s="5"/>
      <c r="B869" s="5"/>
      <c r="C869" s="5"/>
      <c r="D869" s="2"/>
      <c r="E869" s="2"/>
      <c r="F869" s="2"/>
      <c r="G869" s="2"/>
      <c r="H869" s="2"/>
      <c r="I869" s="2"/>
      <c r="J869" s="2"/>
      <c r="K869" s="2"/>
      <c r="L869" s="2"/>
      <c r="M869" s="2"/>
      <c r="N869" s="2"/>
      <c r="O869" s="2"/>
      <c r="P869" s="2"/>
      <c r="Q869" s="2"/>
      <c r="R869" s="2"/>
      <c r="S869" s="2"/>
      <c r="T869" s="2"/>
      <c r="U869" s="2"/>
      <c r="V869" s="2"/>
      <c r="W869" s="2"/>
      <c r="X869" s="2"/>
      <c r="Y869" s="2"/>
      <c r="Z869" s="2"/>
    </row>
    <row r="870">
      <c r="A870" s="5"/>
      <c r="B870" s="5"/>
      <c r="C870" s="5"/>
      <c r="D870" s="2"/>
      <c r="E870" s="2"/>
      <c r="F870" s="2"/>
      <c r="G870" s="2"/>
      <c r="H870" s="2"/>
      <c r="I870" s="2"/>
      <c r="J870" s="2"/>
      <c r="K870" s="2"/>
      <c r="L870" s="2"/>
      <c r="M870" s="2"/>
      <c r="N870" s="2"/>
      <c r="O870" s="2"/>
      <c r="P870" s="2"/>
      <c r="Q870" s="2"/>
      <c r="R870" s="2"/>
      <c r="S870" s="2"/>
      <c r="T870" s="2"/>
      <c r="U870" s="2"/>
      <c r="V870" s="2"/>
      <c r="W870" s="2"/>
      <c r="X870" s="2"/>
      <c r="Y870" s="2"/>
      <c r="Z870" s="2"/>
    </row>
    <row r="871">
      <c r="A871" s="5"/>
      <c r="B871" s="5"/>
      <c r="C871" s="5"/>
      <c r="D871" s="2"/>
      <c r="E871" s="2"/>
      <c r="F871" s="2"/>
      <c r="G871" s="2"/>
      <c r="H871" s="2"/>
      <c r="I871" s="2"/>
      <c r="J871" s="2"/>
      <c r="K871" s="2"/>
      <c r="L871" s="2"/>
      <c r="M871" s="2"/>
      <c r="N871" s="2"/>
      <c r="O871" s="2"/>
      <c r="P871" s="2"/>
      <c r="Q871" s="2"/>
      <c r="R871" s="2"/>
      <c r="S871" s="2"/>
      <c r="T871" s="2"/>
      <c r="U871" s="2"/>
      <c r="V871" s="2"/>
      <c r="W871" s="2"/>
      <c r="X871" s="2"/>
      <c r="Y871" s="2"/>
      <c r="Z871" s="2"/>
    </row>
    <row r="872">
      <c r="A872" s="5"/>
      <c r="B872" s="5"/>
      <c r="C872" s="5"/>
      <c r="D872" s="2"/>
      <c r="E872" s="2"/>
      <c r="F872" s="2"/>
      <c r="G872" s="2"/>
      <c r="H872" s="2"/>
      <c r="I872" s="2"/>
      <c r="J872" s="2"/>
      <c r="K872" s="2"/>
      <c r="L872" s="2"/>
      <c r="M872" s="2"/>
      <c r="N872" s="2"/>
      <c r="O872" s="2"/>
      <c r="P872" s="2"/>
      <c r="Q872" s="2"/>
      <c r="R872" s="2"/>
      <c r="S872" s="2"/>
      <c r="T872" s="2"/>
      <c r="U872" s="2"/>
      <c r="V872" s="2"/>
      <c r="W872" s="2"/>
      <c r="X872" s="2"/>
      <c r="Y872" s="2"/>
      <c r="Z872" s="2"/>
    </row>
    <row r="873">
      <c r="A873" s="5"/>
      <c r="B873" s="5"/>
      <c r="C873" s="5"/>
      <c r="D873" s="2"/>
      <c r="E873" s="2"/>
      <c r="F873" s="2"/>
      <c r="G873" s="2"/>
      <c r="H873" s="2"/>
      <c r="I873" s="2"/>
      <c r="J873" s="2"/>
      <c r="K873" s="2"/>
      <c r="L873" s="2"/>
      <c r="M873" s="2"/>
      <c r="N873" s="2"/>
      <c r="O873" s="2"/>
      <c r="P873" s="2"/>
      <c r="Q873" s="2"/>
      <c r="R873" s="2"/>
      <c r="S873" s="2"/>
      <c r="T873" s="2"/>
      <c r="U873" s="2"/>
      <c r="V873" s="2"/>
      <c r="W873" s="2"/>
      <c r="X873" s="2"/>
      <c r="Y873" s="2"/>
      <c r="Z873" s="2"/>
    </row>
    <row r="874">
      <c r="A874" s="5"/>
      <c r="B874" s="5"/>
      <c r="C874" s="5"/>
      <c r="D874" s="2"/>
      <c r="E874" s="2"/>
      <c r="F874" s="2"/>
      <c r="G874" s="2"/>
      <c r="H874" s="2"/>
      <c r="I874" s="2"/>
      <c r="J874" s="2"/>
      <c r="K874" s="2"/>
      <c r="L874" s="2"/>
      <c r="M874" s="2"/>
      <c r="N874" s="2"/>
      <c r="O874" s="2"/>
      <c r="P874" s="2"/>
      <c r="Q874" s="2"/>
      <c r="R874" s="2"/>
      <c r="S874" s="2"/>
      <c r="T874" s="2"/>
      <c r="U874" s="2"/>
      <c r="V874" s="2"/>
      <c r="W874" s="2"/>
      <c r="X874" s="2"/>
      <c r="Y874" s="2"/>
      <c r="Z874" s="2"/>
    </row>
    <row r="875">
      <c r="A875" s="5"/>
      <c r="B875" s="5"/>
      <c r="C875" s="5"/>
      <c r="D875" s="2"/>
      <c r="E875" s="2"/>
      <c r="F875" s="2"/>
      <c r="G875" s="2"/>
      <c r="H875" s="2"/>
      <c r="I875" s="2"/>
      <c r="J875" s="2"/>
      <c r="K875" s="2"/>
      <c r="L875" s="2"/>
      <c r="M875" s="2"/>
      <c r="N875" s="2"/>
      <c r="O875" s="2"/>
      <c r="P875" s="2"/>
      <c r="Q875" s="2"/>
      <c r="R875" s="2"/>
      <c r="S875" s="2"/>
      <c r="T875" s="2"/>
      <c r="U875" s="2"/>
      <c r="V875" s="2"/>
      <c r="W875" s="2"/>
      <c r="X875" s="2"/>
      <c r="Y875" s="2"/>
      <c r="Z875" s="2"/>
    </row>
    <row r="876">
      <c r="A876" s="5"/>
      <c r="B876" s="5"/>
      <c r="C876" s="5"/>
      <c r="D876" s="2"/>
      <c r="E876" s="2"/>
      <c r="F876" s="2"/>
      <c r="G876" s="2"/>
      <c r="H876" s="2"/>
      <c r="I876" s="2"/>
      <c r="J876" s="2"/>
      <c r="K876" s="2"/>
      <c r="L876" s="2"/>
      <c r="M876" s="2"/>
      <c r="N876" s="2"/>
      <c r="O876" s="2"/>
      <c r="P876" s="2"/>
      <c r="Q876" s="2"/>
      <c r="R876" s="2"/>
      <c r="S876" s="2"/>
      <c r="T876" s="2"/>
      <c r="U876" s="2"/>
      <c r="V876" s="2"/>
      <c r="W876" s="2"/>
      <c r="X876" s="2"/>
      <c r="Y876" s="2"/>
      <c r="Z876" s="2"/>
    </row>
    <row r="877">
      <c r="A877" s="5"/>
      <c r="B877" s="5"/>
      <c r="C877" s="5"/>
      <c r="D877" s="2"/>
      <c r="E877" s="2"/>
      <c r="F877" s="2"/>
      <c r="G877" s="2"/>
      <c r="H877" s="2"/>
      <c r="I877" s="2"/>
      <c r="J877" s="2"/>
      <c r="K877" s="2"/>
      <c r="L877" s="2"/>
      <c r="M877" s="2"/>
      <c r="N877" s="2"/>
      <c r="O877" s="2"/>
      <c r="P877" s="2"/>
      <c r="Q877" s="2"/>
      <c r="R877" s="2"/>
      <c r="S877" s="2"/>
      <c r="T877" s="2"/>
      <c r="U877" s="2"/>
      <c r="V877" s="2"/>
      <c r="W877" s="2"/>
      <c r="X877" s="2"/>
      <c r="Y877" s="2"/>
      <c r="Z877" s="2"/>
    </row>
    <row r="878">
      <c r="A878" s="5"/>
      <c r="B878" s="5"/>
      <c r="C878" s="5"/>
      <c r="D878" s="2"/>
      <c r="E878" s="2"/>
      <c r="F878" s="2"/>
      <c r="G878" s="2"/>
      <c r="H878" s="2"/>
      <c r="I878" s="2"/>
      <c r="J878" s="2"/>
      <c r="K878" s="2"/>
      <c r="L878" s="2"/>
      <c r="M878" s="2"/>
      <c r="N878" s="2"/>
      <c r="O878" s="2"/>
      <c r="P878" s="2"/>
      <c r="Q878" s="2"/>
      <c r="R878" s="2"/>
      <c r="S878" s="2"/>
      <c r="T878" s="2"/>
      <c r="U878" s="2"/>
      <c r="V878" s="2"/>
      <c r="W878" s="2"/>
      <c r="X878" s="2"/>
      <c r="Y878" s="2"/>
      <c r="Z878" s="2"/>
    </row>
    <row r="879">
      <c r="A879" s="5"/>
      <c r="B879" s="5"/>
      <c r="C879" s="5"/>
      <c r="D879" s="2"/>
      <c r="E879" s="2"/>
      <c r="F879" s="2"/>
      <c r="G879" s="2"/>
      <c r="H879" s="2"/>
      <c r="I879" s="2"/>
      <c r="J879" s="2"/>
      <c r="K879" s="2"/>
      <c r="L879" s="2"/>
      <c r="M879" s="2"/>
      <c r="N879" s="2"/>
      <c r="O879" s="2"/>
      <c r="P879" s="2"/>
      <c r="Q879" s="2"/>
      <c r="R879" s="2"/>
      <c r="S879" s="2"/>
      <c r="T879" s="2"/>
      <c r="U879" s="2"/>
      <c r="V879" s="2"/>
      <c r="W879" s="2"/>
      <c r="X879" s="2"/>
      <c r="Y879" s="2"/>
      <c r="Z879" s="2"/>
    </row>
    <row r="880">
      <c r="A880" s="5"/>
      <c r="B880" s="5"/>
      <c r="C880" s="5"/>
      <c r="D880" s="2"/>
      <c r="E880" s="2"/>
      <c r="F880" s="2"/>
      <c r="G880" s="2"/>
      <c r="H880" s="2"/>
      <c r="I880" s="2"/>
      <c r="J880" s="2"/>
      <c r="K880" s="2"/>
      <c r="L880" s="2"/>
      <c r="M880" s="2"/>
      <c r="N880" s="2"/>
      <c r="O880" s="2"/>
      <c r="P880" s="2"/>
      <c r="Q880" s="2"/>
      <c r="R880" s="2"/>
      <c r="S880" s="2"/>
      <c r="T880" s="2"/>
      <c r="U880" s="2"/>
      <c r="V880" s="2"/>
      <c r="W880" s="2"/>
      <c r="X880" s="2"/>
      <c r="Y880" s="2"/>
      <c r="Z880" s="2"/>
    </row>
    <row r="881">
      <c r="A881" s="5"/>
      <c r="B881" s="5"/>
      <c r="C881" s="5"/>
      <c r="D881" s="2"/>
      <c r="E881" s="2"/>
      <c r="F881" s="2"/>
      <c r="G881" s="2"/>
      <c r="H881" s="2"/>
      <c r="I881" s="2"/>
      <c r="J881" s="2"/>
      <c r="K881" s="2"/>
      <c r="L881" s="2"/>
      <c r="M881" s="2"/>
      <c r="N881" s="2"/>
      <c r="O881" s="2"/>
      <c r="P881" s="2"/>
      <c r="Q881" s="2"/>
      <c r="R881" s="2"/>
      <c r="S881" s="2"/>
      <c r="T881" s="2"/>
      <c r="U881" s="2"/>
      <c r="V881" s="2"/>
      <c r="W881" s="2"/>
      <c r="X881" s="2"/>
      <c r="Y881" s="2"/>
      <c r="Z881" s="2"/>
    </row>
    <row r="882">
      <c r="A882" s="5"/>
      <c r="B882" s="5"/>
      <c r="C882" s="5"/>
      <c r="D882" s="2"/>
      <c r="E882" s="2"/>
      <c r="F882" s="2"/>
      <c r="G882" s="2"/>
      <c r="H882" s="2"/>
      <c r="I882" s="2"/>
      <c r="J882" s="2"/>
      <c r="K882" s="2"/>
      <c r="L882" s="2"/>
      <c r="M882" s="2"/>
      <c r="N882" s="2"/>
      <c r="O882" s="2"/>
      <c r="P882" s="2"/>
      <c r="Q882" s="2"/>
      <c r="R882" s="2"/>
      <c r="S882" s="2"/>
      <c r="T882" s="2"/>
      <c r="U882" s="2"/>
      <c r="V882" s="2"/>
      <c r="W882" s="2"/>
      <c r="X882" s="2"/>
      <c r="Y882" s="2"/>
      <c r="Z882" s="2"/>
    </row>
    <row r="883">
      <c r="A883" s="5"/>
      <c r="B883" s="5"/>
      <c r="C883" s="5"/>
      <c r="D883" s="2"/>
      <c r="E883" s="2"/>
      <c r="F883" s="2"/>
      <c r="G883" s="2"/>
      <c r="H883" s="2"/>
      <c r="I883" s="2"/>
      <c r="J883" s="2"/>
      <c r="K883" s="2"/>
      <c r="L883" s="2"/>
      <c r="M883" s="2"/>
      <c r="N883" s="2"/>
      <c r="O883" s="2"/>
      <c r="P883" s="2"/>
      <c r="Q883" s="2"/>
      <c r="R883" s="2"/>
      <c r="S883" s="2"/>
      <c r="T883" s="2"/>
      <c r="U883" s="2"/>
      <c r="V883" s="2"/>
      <c r="W883" s="2"/>
      <c r="X883" s="2"/>
      <c r="Y883" s="2"/>
      <c r="Z883" s="2"/>
    </row>
    <row r="884">
      <c r="A884" s="5"/>
      <c r="B884" s="5"/>
      <c r="C884" s="5"/>
      <c r="D884" s="2"/>
      <c r="E884" s="2"/>
      <c r="F884" s="2"/>
      <c r="G884" s="2"/>
      <c r="H884" s="2"/>
      <c r="I884" s="2"/>
      <c r="J884" s="2"/>
      <c r="K884" s="2"/>
      <c r="L884" s="2"/>
      <c r="M884" s="2"/>
      <c r="N884" s="2"/>
      <c r="O884" s="2"/>
      <c r="P884" s="2"/>
      <c r="Q884" s="2"/>
      <c r="R884" s="2"/>
      <c r="S884" s="2"/>
      <c r="T884" s="2"/>
      <c r="U884" s="2"/>
      <c r="V884" s="2"/>
      <c r="W884" s="2"/>
      <c r="X884" s="2"/>
      <c r="Y884" s="2"/>
      <c r="Z884" s="2"/>
    </row>
    <row r="885">
      <c r="A885" s="5"/>
      <c r="B885" s="5"/>
      <c r="C885" s="5"/>
      <c r="D885" s="2"/>
      <c r="E885" s="2"/>
      <c r="F885" s="2"/>
      <c r="G885" s="2"/>
      <c r="H885" s="2"/>
      <c r="I885" s="2"/>
      <c r="J885" s="2"/>
      <c r="K885" s="2"/>
      <c r="L885" s="2"/>
      <c r="M885" s="2"/>
      <c r="N885" s="2"/>
      <c r="O885" s="2"/>
      <c r="P885" s="2"/>
      <c r="Q885" s="2"/>
      <c r="R885" s="2"/>
      <c r="S885" s="2"/>
      <c r="T885" s="2"/>
      <c r="U885" s="2"/>
      <c r="V885" s="2"/>
      <c r="W885" s="2"/>
      <c r="X885" s="2"/>
      <c r="Y885" s="2"/>
      <c r="Z885" s="2"/>
    </row>
    <row r="886">
      <c r="A886" s="5"/>
      <c r="B886" s="5"/>
      <c r="C886" s="5"/>
      <c r="D886" s="2"/>
      <c r="E886" s="2"/>
      <c r="F886" s="2"/>
      <c r="G886" s="2"/>
      <c r="H886" s="2"/>
      <c r="I886" s="2"/>
      <c r="J886" s="2"/>
      <c r="K886" s="2"/>
      <c r="L886" s="2"/>
      <c r="M886" s="2"/>
      <c r="N886" s="2"/>
      <c r="O886" s="2"/>
      <c r="P886" s="2"/>
      <c r="Q886" s="2"/>
      <c r="R886" s="2"/>
      <c r="S886" s="2"/>
      <c r="T886" s="2"/>
      <c r="U886" s="2"/>
      <c r="V886" s="2"/>
      <c r="W886" s="2"/>
      <c r="X886" s="2"/>
      <c r="Y886" s="2"/>
      <c r="Z886" s="2"/>
    </row>
    <row r="887">
      <c r="A887" s="5"/>
      <c r="B887" s="5"/>
      <c r="C887" s="5"/>
      <c r="D887" s="2"/>
      <c r="E887" s="2"/>
      <c r="F887" s="2"/>
      <c r="G887" s="2"/>
      <c r="H887" s="2"/>
      <c r="I887" s="2"/>
      <c r="J887" s="2"/>
      <c r="K887" s="2"/>
      <c r="L887" s="2"/>
      <c r="M887" s="2"/>
      <c r="N887" s="2"/>
      <c r="O887" s="2"/>
      <c r="P887" s="2"/>
      <c r="Q887" s="2"/>
      <c r="R887" s="2"/>
      <c r="S887" s="2"/>
      <c r="T887" s="2"/>
      <c r="U887" s="2"/>
      <c r="V887" s="2"/>
      <c r="W887" s="2"/>
      <c r="X887" s="2"/>
      <c r="Y887" s="2"/>
      <c r="Z887" s="2"/>
    </row>
    <row r="888">
      <c r="A888" s="5"/>
      <c r="B888" s="5"/>
      <c r="C888" s="5"/>
      <c r="D888" s="2"/>
      <c r="E888" s="2"/>
      <c r="F888" s="2"/>
      <c r="G888" s="2"/>
      <c r="H888" s="2"/>
      <c r="I888" s="2"/>
      <c r="J888" s="2"/>
      <c r="K888" s="2"/>
      <c r="L888" s="2"/>
      <c r="M888" s="2"/>
      <c r="N888" s="2"/>
      <c r="O888" s="2"/>
      <c r="P888" s="2"/>
      <c r="Q888" s="2"/>
      <c r="R888" s="2"/>
      <c r="S888" s="2"/>
      <c r="T888" s="2"/>
      <c r="U888" s="2"/>
      <c r="V888" s="2"/>
      <c r="W888" s="2"/>
      <c r="X888" s="2"/>
      <c r="Y888" s="2"/>
      <c r="Z888" s="2"/>
    </row>
    <row r="889">
      <c r="A889" s="5"/>
      <c r="B889" s="5"/>
      <c r="C889" s="5"/>
      <c r="D889" s="2"/>
      <c r="E889" s="2"/>
      <c r="F889" s="2"/>
      <c r="G889" s="2"/>
      <c r="H889" s="2"/>
      <c r="I889" s="2"/>
      <c r="J889" s="2"/>
      <c r="K889" s="2"/>
      <c r="L889" s="2"/>
      <c r="M889" s="2"/>
      <c r="N889" s="2"/>
      <c r="O889" s="2"/>
      <c r="P889" s="2"/>
      <c r="Q889" s="2"/>
      <c r="R889" s="2"/>
      <c r="S889" s="2"/>
      <c r="T889" s="2"/>
      <c r="U889" s="2"/>
      <c r="V889" s="2"/>
      <c r="W889" s="2"/>
      <c r="X889" s="2"/>
      <c r="Y889" s="2"/>
      <c r="Z889" s="2"/>
    </row>
    <row r="890">
      <c r="A890" s="5"/>
      <c r="B890" s="5"/>
      <c r="C890" s="5"/>
      <c r="D890" s="2"/>
      <c r="E890" s="2"/>
      <c r="F890" s="2"/>
      <c r="G890" s="2"/>
      <c r="H890" s="2"/>
      <c r="I890" s="2"/>
      <c r="J890" s="2"/>
      <c r="K890" s="2"/>
      <c r="L890" s="2"/>
      <c r="M890" s="2"/>
      <c r="N890" s="2"/>
      <c r="O890" s="2"/>
      <c r="P890" s="2"/>
      <c r="Q890" s="2"/>
      <c r="R890" s="2"/>
      <c r="S890" s="2"/>
      <c r="T890" s="2"/>
      <c r="U890" s="2"/>
      <c r="V890" s="2"/>
      <c r="W890" s="2"/>
      <c r="X890" s="2"/>
      <c r="Y890" s="2"/>
      <c r="Z890" s="2"/>
    </row>
    <row r="891">
      <c r="A891" s="5"/>
      <c r="B891" s="5"/>
      <c r="C891" s="5"/>
      <c r="D891" s="2"/>
      <c r="E891" s="2"/>
      <c r="F891" s="2"/>
      <c r="G891" s="2"/>
      <c r="H891" s="2"/>
      <c r="I891" s="2"/>
      <c r="J891" s="2"/>
      <c r="K891" s="2"/>
      <c r="L891" s="2"/>
      <c r="M891" s="2"/>
      <c r="N891" s="2"/>
      <c r="O891" s="2"/>
      <c r="P891" s="2"/>
      <c r="Q891" s="2"/>
      <c r="R891" s="2"/>
      <c r="S891" s="2"/>
      <c r="T891" s="2"/>
      <c r="U891" s="2"/>
      <c r="V891" s="2"/>
      <c r="W891" s="2"/>
      <c r="X891" s="2"/>
      <c r="Y891" s="2"/>
      <c r="Z891" s="2"/>
    </row>
    <row r="892">
      <c r="A892" s="5"/>
      <c r="B892" s="5"/>
      <c r="C892" s="5"/>
      <c r="D892" s="2"/>
      <c r="E892" s="2"/>
      <c r="F892" s="2"/>
      <c r="G892" s="2"/>
      <c r="H892" s="2"/>
      <c r="I892" s="2"/>
      <c r="J892" s="2"/>
      <c r="K892" s="2"/>
      <c r="L892" s="2"/>
      <c r="M892" s="2"/>
      <c r="N892" s="2"/>
      <c r="O892" s="2"/>
      <c r="P892" s="2"/>
      <c r="Q892" s="2"/>
      <c r="R892" s="2"/>
      <c r="S892" s="2"/>
      <c r="T892" s="2"/>
      <c r="U892" s="2"/>
      <c r="V892" s="2"/>
      <c r="W892" s="2"/>
      <c r="X892" s="2"/>
      <c r="Y892" s="2"/>
      <c r="Z892" s="2"/>
    </row>
    <row r="893">
      <c r="A893" s="5"/>
      <c r="B893" s="5"/>
      <c r="C893" s="5"/>
      <c r="D893" s="2"/>
      <c r="E893" s="2"/>
      <c r="F893" s="2"/>
      <c r="G893" s="2"/>
      <c r="H893" s="2"/>
      <c r="I893" s="2"/>
      <c r="J893" s="2"/>
      <c r="K893" s="2"/>
      <c r="L893" s="2"/>
      <c r="M893" s="2"/>
      <c r="N893" s="2"/>
      <c r="O893" s="2"/>
      <c r="P893" s="2"/>
      <c r="Q893" s="2"/>
      <c r="R893" s="2"/>
      <c r="S893" s="2"/>
      <c r="T893" s="2"/>
      <c r="U893" s="2"/>
      <c r="V893" s="2"/>
      <c r="W893" s="2"/>
      <c r="X893" s="2"/>
      <c r="Y893" s="2"/>
      <c r="Z893" s="2"/>
    </row>
    <row r="894">
      <c r="A894" s="5"/>
      <c r="B894" s="5"/>
      <c r="C894" s="5"/>
      <c r="D894" s="2"/>
      <c r="E894" s="2"/>
      <c r="F894" s="2"/>
      <c r="G894" s="2"/>
      <c r="H894" s="2"/>
      <c r="I894" s="2"/>
      <c r="J894" s="2"/>
      <c r="K894" s="2"/>
      <c r="L894" s="2"/>
      <c r="M894" s="2"/>
      <c r="N894" s="2"/>
      <c r="O894" s="2"/>
      <c r="P894" s="2"/>
      <c r="Q894" s="2"/>
      <c r="R894" s="2"/>
      <c r="S894" s="2"/>
      <c r="T894" s="2"/>
      <c r="U894" s="2"/>
      <c r="V894" s="2"/>
      <c r="W894" s="2"/>
      <c r="X894" s="2"/>
      <c r="Y894" s="2"/>
      <c r="Z894" s="2"/>
    </row>
    <row r="895">
      <c r="A895" s="5"/>
      <c r="B895" s="5"/>
      <c r="C895" s="5"/>
      <c r="D895" s="2"/>
      <c r="E895" s="2"/>
      <c r="F895" s="2"/>
      <c r="G895" s="2"/>
      <c r="H895" s="2"/>
      <c r="I895" s="2"/>
      <c r="J895" s="2"/>
      <c r="K895" s="2"/>
      <c r="L895" s="2"/>
      <c r="M895" s="2"/>
      <c r="N895" s="2"/>
      <c r="O895" s="2"/>
      <c r="P895" s="2"/>
      <c r="Q895" s="2"/>
      <c r="R895" s="2"/>
      <c r="S895" s="2"/>
      <c r="T895" s="2"/>
      <c r="U895" s="2"/>
      <c r="V895" s="2"/>
      <c r="W895" s="2"/>
      <c r="X895" s="2"/>
      <c r="Y895" s="2"/>
      <c r="Z895" s="2"/>
    </row>
    <row r="896">
      <c r="A896" s="5"/>
      <c r="B896" s="5"/>
      <c r="C896" s="5"/>
      <c r="D896" s="2"/>
      <c r="E896" s="2"/>
      <c r="F896" s="2"/>
      <c r="G896" s="2"/>
      <c r="H896" s="2"/>
      <c r="I896" s="2"/>
      <c r="J896" s="2"/>
      <c r="K896" s="2"/>
      <c r="L896" s="2"/>
      <c r="M896" s="2"/>
      <c r="N896" s="2"/>
      <c r="O896" s="2"/>
      <c r="P896" s="2"/>
      <c r="Q896" s="2"/>
      <c r="R896" s="2"/>
      <c r="S896" s="2"/>
      <c r="T896" s="2"/>
      <c r="U896" s="2"/>
      <c r="V896" s="2"/>
      <c r="W896" s="2"/>
      <c r="X896" s="2"/>
      <c r="Y896" s="2"/>
      <c r="Z896" s="2"/>
    </row>
    <row r="897">
      <c r="A897" s="5"/>
      <c r="B897" s="5"/>
      <c r="C897" s="5"/>
      <c r="D897" s="2"/>
      <c r="E897" s="2"/>
      <c r="F897" s="2"/>
      <c r="G897" s="2"/>
      <c r="H897" s="2"/>
      <c r="I897" s="2"/>
      <c r="J897" s="2"/>
      <c r="K897" s="2"/>
      <c r="L897" s="2"/>
      <c r="M897" s="2"/>
      <c r="N897" s="2"/>
      <c r="O897" s="2"/>
      <c r="P897" s="2"/>
      <c r="Q897" s="2"/>
      <c r="R897" s="2"/>
      <c r="S897" s="2"/>
      <c r="T897" s="2"/>
      <c r="U897" s="2"/>
      <c r="V897" s="2"/>
      <c r="W897" s="2"/>
      <c r="X897" s="2"/>
      <c r="Y897" s="2"/>
      <c r="Z897" s="2"/>
    </row>
    <row r="898">
      <c r="A898" s="5"/>
      <c r="B898" s="5"/>
      <c r="C898" s="5"/>
      <c r="D898" s="2"/>
      <c r="E898" s="2"/>
      <c r="F898" s="2"/>
      <c r="G898" s="2"/>
      <c r="H898" s="2"/>
      <c r="I898" s="2"/>
      <c r="J898" s="2"/>
      <c r="K898" s="2"/>
      <c r="L898" s="2"/>
      <c r="M898" s="2"/>
      <c r="N898" s="2"/>
      <c r="O898" s="2"/>
      <c r="P898" s="2"/>
      <c r="Q898" s="2"/>
      <c r="R898" s="2"/>
      <c r="S898" s="2"/>
      <c r="T898" s="2"/>
      <c r="U898" s="2"/>
      <c r="V898" s="2"/>
      <c r="W898" s="2"/>
      <c r="X898" s="2"/>
      <c r="Y898" s="2"/>
      <c r="Z898" s="2"/>
    </row>
    <row r="899">
      <c r="A899" s="5"/>
      <c r="B899" s="5"/>
      <c r="C899" s="5"/>
      <c r="D899" s="2"/>
      <c r="E899" s="2"/>
      <c r="F899" s="2"/>
      <c r="G899" s="2"/>
      <c r="H899" s="2"/>
      <c r="I899" s="2"/>
      <c r="J899" s="2"/>
      <c r="K899" s="2"/>
      <c r="L899" s="2"/>
      <c r="M899" s="2"/>
      <c r="N899" s="2"/>
      <c r="O899" s="2"/>
      <c r="P899" s="2"/>
      <c r="Q899" s="2"/>
      <c r="R899" s="2"/>
      <c r="S899" s="2"/>
      <c r="T899" s="2"/>
      <c r="U899" s="2"/>
      <c r="V899" s="2"/>
      <c r="W899" s="2"/>
      <c r="X899" s="2"/>
      <c r="Y899" s="2"/>
      <c r="Z899" s="2"/>
    </row>
    <row r="900">
      <c r="A900" s="5"/>
      <c r="B900" s="5"/>
      <c r="C900" s="5"/>
      <c r="D900" s="2"/>
      <c r="E900" s="2"/>
      <c r="F900" s="2"/>
      <c r="G900" s="2"/>
      <c r="H900" s="2"/>
      <c r="I900" s="2"/>
      <c r="J900" s="2"/>
      <c r="K900" s="2"/>
      <c r="L900" s="2"/>
      <c r="M900" s="2"/>
      <c r="N900" s="2"/>
      <c r="O900" s="2"/>
      <c r="P900" s="2"/>
      <c r="Q900" s="2"/>
      <c r="R900" s="2"/>
      <c r="S900" s="2"/>
      <c r="T900" s="2"/>
      <c r="U900" s="2"/>
      <c r="V900" s="2"/>
      <c r="W900" s="2"/>
      <c r="X900" s="2"/>
      <c r="Y900" s="2"/>
      <c r="Z900" s="2"/>
    </row>
    <row r="901">
      <c r="A901" s="5"/>
      <c r="B901" s="5"/>
      <c r="C901" s="5"/>
      <c r="D901" s="2"/>
      <c r="E901" s="2"/>
      <c r="F901" s="2"/>
      <c r="G901" s="2"/>
      <c r="H901" s="2"/>
      <c r="I901" s="2"/>
      <c r="J901" s="2"/>
      <c r="K901" s="2"/>
      <c r="L901" s="2"/>
      <c r="M901" s="2"/>
      <c r="N901" s="2"/>
      <c r="O901" s="2"/>
      <c r="P901" s="2"/>
      <c r="Q901" s="2"/>
      <c r="R901" s="2"/>
      <c r="S901" s="2"/>
      <c r="T901" s="2"/>
      <c r="U901" s="2"/>
      <c r="V901" s="2"/>
      <c r="W901" s="2"/>
      <c r="X901" s="2"/>
      <c r="Y901" s="2"/>
      <c r="Z901" s="2"/>
    </row>
    <row r="902">
      <c r="A902" s="5"/>
      <c r="B902" s="5"/>
      <c r="C902" s="5"/>
      <c r="D902" s="2"/>
      <c r="E902" s="2"/>
      <c r="F902" s="2"/>
      <c r="G902" s="2"/>
      <c r="H902" s="2"/>
      <c r="I902" s="2"/>
      <c r="J902" s="2"/>
      <c r="K902" s="2"/>
      <c r="L902" s="2"/>
      <c r="M902" s="2"/>
      <c r="N902" s="2"/>
      <c r="O902" s="2"/>
      <c r="P902" s="2"/>
      <c r="Q902" s="2"/>
      <c r="R902" s="2"/>
      <c r="S902" s="2"/>
      <c r="T902" s="2"/>
      <c r="U902" s="2"/>
      <c r="V902" s="2"/>
      <c r="W902" s="2"/>
      <c r="X902" s="2"/>
      <c r="Y902" s="2"/>
      <c r="Z902" s="2"/>
    </row>
    <row r="903">
      <c r="A903" s="5"/>
      <c r="B903" s="5"/>
      <c r="C903" s="5"/>
      <c r="D903" s="2"/>
      <c r="E903" s="2"/>
      <c r="F903" s="2"/>
      <c r="G903" s="2"/>
      <c r="H903" s="2"/>
      <c r="I903" s="2"/>
      <c r="J903" s="2"/>
      <c r="K903" s="2"/>
      <c r="L903" s="2"/>
      <c r="M903" s="2"/>
      <c r="N903" s="2"/>
      <c r="O903" s="2"/>
      <c r="P903" s="2"/>
      <c r="Q903" s="2"/>
      <c r="R903" s="2"/>
      <c r="S903" s="2"/>
      <c r="T903" s="2"/>
      <c r="U903" s="2"/>
      <c r="V903" s="2"/>
      <c r="W903" s="2"/>
      <c r="X903" s="2"/>
      <c r="Y903" s="2"/>
      <c r="Z903" s="2"/>
    </row>
    <row r="904">
      <c r="A904" s="5"/>
      <c r="B904" s="5"/>
      <c r="C904" s="5"/>
      <c r="D904" s="2"/>
      <c r="E904" s="2"/>
      <c r="F904" s="2"/>
      <c r="G904" s="2"/>
      <c r="H904" s="2"/>
      <c r="I904" s="2"/>
      <c r="J904" s="2"/>
      <c r="K904" s="2"/>
      <c r="L904" s="2"/>
      <c r="M904" s="2"/>
      <c r="N904" s="2"/>
      <c r="O904" s="2"/>
      <c r="P904" s="2"/>
      <c r="Q904" s="2"/>
      <c r="R904" s="2"/>
      <c r="S904" s="2"/>
      <c r="T904" s="2"/>
      <c r="U904" s="2"/>
      <c r="V904" s="2"/>
      <c r="W904" s="2"/>
      <c r="X904" s="2"/>
      <c r="Y904" s="2"/>
      <c r="Z904" s="2"/>
    </row>
    <row r="905">
      <c r="A905" s="5"/>
      <c r="B905" s="5"/>
      <c r="C905" s="5"/>
      <c r="D905" s="2"/>
      <c r="E905" s="2"/>
      <c r="F905" s="2"/>
      <c r="G905" s="2"/>
      <c r="H905" s="2"/>
      <c r="I905" s="2"/>
      <c r="J905" s="2"/>
      <c r="K905" s="2"/>
      <c r="L905" s="2"/>
      <c r="M905" s="2"/>
      <c r="N905" s="2"/>
      <c r="O905" s="2"/>
      <c r="P905" s="2"/>
      <c r="Q905" s="2"/>
      <c r="R905" s="2"/>
      <c r="S905" s="2"/>
      <c r="T905" s="2"/>
      <c r="U905" s="2"/>
      <c r="V905" s="2"/>
      <c r="W905" s="2"/>
      <c r="X905" s="2"/>
      <c r="Y905" s="2"/>
      <c r="Z905" s="2"/>
    </row>
    <row r="906">
      <c r="A906" s="5"/>
      <c r="B906" s="5"/>
      <c r="C906" s="5"/>
      <c r="D906" s="2"/>
      <c r="E906" s="2"/>
      <c r="F906" s="2"/>
      <c r="G906" s="2"/>
      <c r="H906" s="2"/>
      <c r="I906" s="2"/>
      <c r="J906" s="2"/>
      <c r="K906" s="2"/>
      <c r="L906" s="2"/>
      <c r="M906" s="2"/>
      <c r="N906" s="2"/>
      <c r="O906" s="2"/>
      <c r="P906" s="2"/>
      <c r="Q906" s="2"/>
      <c r="R906" s="2"/>
      <c r="S906" s="2"/>
      <c r="T906" s="2"/>
      <c r="U906" s="2"/>
      <c r="V906" s="2"/>
      <c r="W906" s="2"/>
      <c r="X906" s="2"/>
      <c r="Y906" s="2"/>
      <c r="Z906" s="2"/>
    </row>
    <row r="907">
      <c r="A907" s="5"/>
      <c r="B907" s="5"/>
      <c r="C907" s="5"/>
      <c r="D907" s="2"/>
      <c r="E907" s="2"/>
      <c r="F907" s="2"/>
      <c r="G907" s="2"/>
      <c r="H907" s="2"/>
      <c r="I907" s="2"/>
      <c r="J907" s="2"/>
      <c r="K907" s="2"/>
      <c r="L907" s="2"/>
      <c r="M907" s="2"/>
      <c r="N907" s="2"/>
      <c r="O907" s="2"/>
      <c r="P907" s="2"/>
      <c r="Q907" s="2"/>
      <c r="R907" s="2"/>
      <c r="S907" s="2"/>
      <c r="T907" s="2"/>
      <c r="U907" s="2"/>
      <c r="V907" s="2"/>
      <c r="W907" s="2"/>
      <c r="X907" s="2"/>
      <c r="Y907" s="2"/>
      <c r="Z907" s="2"/>
    </row>
    <row r="908">
      <c r="A908" s="5"/>
      <c r="B908" s="5"/>
      <c r="C908" s="5"/>
      <c r="D908" s="2"/>
      <c r="E908" s="2"/>
      <c r="F908" s="2"/>
      <c r="G908" s="2"/>
      <c r="H908" s="2"/>
      <c r="I908" s="2"/>
      <c r="J908" s="2"/>
      <c r="K908" s="2"/>
      <c r="L908" s="2"/>
      <c r="M908" s="2"/>
      <c r="N908" s="2"/>
      <c r="O908" s="2"/>
      <c r="P908" s="2"/>
      <c r="Q908" s="2"/>
      <c r="R908" s="2"/>
      <c r="S908" s="2"/>
      <c r="T908" s="2"/>
      <c r="U908" s="2"/>
      <c r="V908" s="2"/>
      <c r="W908" s="2"/>
      <c r="X908" s="2"/>
      <c r="Y908" s="2"/>
      <c r="Z908" s="2"/>
    </row>
    <row r="909">
      <c r="A909" s="5"/>
      <c r="B909" s="5"/>
      <c r="C909" s="5"/>
      <c r="D909" s="2"/>
      <c r="E909" s="2"/>
      <c r="F909" s="2"/>
      <c r="G909" s="2"/>
      <c r="H909" s="2"/>
      <c r="I909" s="2"/>
      <c r="J909" s="2"/>
      <c r="K909" s="2"/>
      <c r="L909" s="2"/>
      <c r="M909" s="2"/>
      <c r="N909" s="2"/>
      <c r="O909" s="2"/>
      <c r="P909" s="2"/>
      <c r="Q909" s="2"/>
      <c r="R909" s="2"/>
      <c r="S909" s="2"/>
      <c r="T909" s="2"/>
      <c r="U909" s="2"/>
      <c r="V909" s="2"/>
      <c r="W909" s="2"/>
      <c r="X909" s="2"/>
      <c r="Y909" s="2"/>
      <c r="Z909" s="2"/>
    </row>
    <row r="910">
      <c r="A910" s="5"/>
      <c r="B910" s="5"/>
      <c r="C910" s="5"/>
      <c r="D910" s="2"/>
      <c r="E910" s="2"/>
      <c r="F910" s="2"/>
      <c r="G910" s="2"/>
      <c r="H910" s="2"/>
      <c r="I910" s="2"/>
      <c r="J910" s="2"/>
      <c r="K910" s="2"/>
      <c r="L910" s="2"/>
      <c r="M910" s="2"/>
      <c r="N910" s="2"/>
      <c r="O910" s="2"/>
      <c r="P910" s="2"/>
      <c r="Q910" s="2"/>
      <c r="R910" s="2"/>
      <c r="S910" s="2"/>
      <c r="T910" s="2"/>
      <c r="U910" s="2"/>
      <c r="V910" s="2"/>
      <c r="W910" s="2"/>
      <c r="X910" s="2"/>
      <c r="Y910" s="2"/>
      <c r="Z910" s="2"/>
    </row>
    <row r="911">
      <c r="A911" s="5"/>
      <c r="B911" s="5"/>
      <c r="C911" s="5"/>
      <c r="D911" s="2"/>
      <c r="E911" s="2"/>
      <c r="F911" s="2"/>
      <c r="G911" s="2"/>
      <c r="H911" s="2"/>
      <c r="I911" s="2"/>
      <c r="J911" s="2"/>
      <c r="K911" s="2"/>
      <c r="L911" s="2"/>
      <c r="M911" s="2"/>
      <c r="N911" s="2"/>
      <c r="O911" s="2"/>
      <c r="P911" s="2"/>
      <c r="Q911" s="2"/>
      <c r="R911" s="2"/>
      <c r="S911" s="2"/>
      <c r="T911" s="2"/>
      <c r="U911" s="2"/>
      <c r="V911" s="2"/>
      <c r="W911" s="2"/>
      <c r="X911" s="2"/>
      <c r="Y911" s="2"/>
      <c r="Z911" s="2"/>
    </row>
    <row r="912">
      <c r="A912" s="5"/>
      <c r="B912" s="5"/>
      <c r="C912" s="5"/>
      <c r="D912" s="2"/>
      <c r="E912" s="2"/>
      <c r="F912" s="2"/>
      <c r="G912" s="2"/>
      <c r="H912" s="2"/>
      <c r="I912" s="2"/>
      <c r="J912" s="2"/>
      <c r="K912" s="2"/>
      <c r="L912" s="2"/>
      <c r="M912" s="2"/>
      <c r="N912" s="2"/>
      <c r="O912" s="2"/>
      <c r="P912" s="2"/>
      <c r="Q912" s="2"/>
      <c r="R912" s="2"/>
      <c r="S912" s="2"/>
      <c r="T912" s="2"/>
      <c r="U912" s="2"/>
      <c r="V912" s="2"/>
      <c r="W912" s="2"/>
      <c r="X912" s="2"/>
      <c r="Y912" s="2"/>
      <c r="Z912" s="2"/>
    </row>
    <row r="913">
      <c r="A913" s="5"/>
      <c r="B913" s="5"/>
      <c r="C913" s="5"/>
      <c r="D913" s="2"/>
      <c r="E913" s="2"/>
      <c r="F913" s="2"/>
      <c r="G913" s="2"/>
      <c r="H913" s="2"/>
      <c r="I913" s="2"/>
      <c r="J913" s="2"/>
      <c r="K913" s="2"/>
      <c r="L913" s="2"/>
      <c r="M913" s="2"/>
      <c r="N913" s="2"/>
      <c r="O913" s="2"/>
      <c r="P913" s="2"/>
      <c r="Q913" s="2"/>
      <c r="R913" s="2"/>
      <c r="S913" s="2"/>
      <c r="T913" s="2"/>
      <c r="U913" s="2"/>
      <c r="V913" s="2"/>
      <c r="W913" s="2"/>
      <c r="X913" s="2"/>
      <c r="Y913" s="2"/>
      <c r="Z913" s="2"/>
    </row>
    <row r="914">
      <c r="A914" s="5"/>
      <c r="B914" s="5"/>
      <c r="C914" s="5"/>
      <c r="D914" s="2"/>
      <c r="E914" s="2"/>
      <c r="F914" s="2"/>
      <c r="G914" s="2"/>
      <c r="H914" s="2"/>
      <c r="I914" s="2"/>
      <c r="J914" s="2"/>
      <c r="K914" s="2"/>
      <c r="L914" s="2"/>
      <c r="M914" s="2"/>
      <c r="N914" s="2"/>
      <c r="O914" s="2"/>
      <c r="P914" s="2"/>
      <c r="Q914" s="2"/>
      <c r="R914" s="2"/>
      <c r="S914" s="2"/>
      <c r="T914" s="2"/>
      <c r="U914" s="2"/>
      <c r="V914" s="2"/>
      <c r="W914" s="2"/>
      <c r="X914" s="2"/>
      <c r="Y914" s="2"/>
      <c r="Z914" s="2"/>
    </row>
    <row r="915">
      <c r="A915" s="5"/>
      <c r="B915" s="5"/>
      <c r="C915" s="5"/>
      <c r="D915" s="2"/>
      <c r="E915" s="2"/>
      <c r="F915" s="2"/>
      <c r="G915" s="2"/>
      <c r="H915" s="2"/>
      <c r="I915" s="2"/>
      <c r="J915" s="2"/>
      <c r="K915" s="2"/>
      <c r="L915" s="2"/>
      <c r="M915" s="2"/>
      <c r="N915" s="2"/>
      <c r="O915" s="2"/>
      <c r="P915" s="2"/>
      <c r="Q915" s="2"/>
      <c r="R915" s="2"/>
      <c r="S915" s="2"/>
      <c r="T915" s="2"/>
      <c r="U915" s="2"/>
      <c r="V915" s="2"/>
      <c r="W915" s="2"/>
      <c r="X915" s="2"/>
      <c r="Y915" s="2"/>
      <c r="Z915" s="2"/>
    </row>
    <row r="916">
      <c r="A916" s="5"/>
      <c r="B916" s="5"/>
      <c r="C916" s="5"/>
      <c r="D916" s="2"/>
      <c r="E916" s="2"/>
      <c r="F916" s="2"/>
      <c r="G916" s="2"/>
      <c r="H916" s="2"/>
      <c r="I916" s="2"/>
      <c r="J916" s="2"/>
      <c r="K916" s="2"/>
      <c r="L916" s="2"/>
      <c r="M916" s="2"/>
      <c r="N916" s="2"/>
      <c r="O916" s="2"/>
      <c r="P916" s="2"/>
      <c r="Q916" s="2"/>
      <c r="R916" s="2"/>
      <c r="S916" s="2"/>
      <c r="T916" s="2"/>
      <c r="U916" s="2"/>
      <c r="V916" s="2"/>
      <c r="W916" s="2"/>
      <c r="X916" s="2"/>
      <c r="Y916" s="2"/>
      <c r="Z916" s="2"/>
    </row>
    <row r="917">
      <c r="A917" s="5"/>
      <c r="B917" s="5"/>
      <c r="C917" s="5"/>
      <c r="D917" s="2"/>
      <c r="E917" s="2"/>
      <c r="F917" s="2"/>
      <c r="G917" s="2"/>
      <c r="H917" s="2"/>
      <c r="I917" s="2"/>
      <c r="J917" s="2"/>
      <c r="K917" s="2"/>
      <c r="L917" s="2"/>
      <c r="M917" s="2"/>
      <c r="N917" s="2"/>
      <c r="O917" s="2"/>
      <c r="P917" s="2"/>
      <c r="Q917" s="2"/>
      <c r="R917" s="2"/>
      <c r="S917" s="2"/>
      <c r="T917" s="2"/>
      <c r="U917" s="2"/>
      <c r="V917" s="2"/>
      <c r="W917" s="2"/>
      <c r="X917" s="2"/>
      <c r="Y917" s="2"/>
      <c r="Z917" s="2"/>
    </row>
    <row r="918">
      <c r="A918" s="5"/>
      <c r="B918" s="5"/>
      <c r="C918" s="5"/>
      <c r="D918" s="2"/>
      <c r="E918" s="2"/>
      <c r="F918" s="2"/>
      <c r="G918" s="2"/>
      <c r="H918" s="2"/>
      <c r="I918" s="2"/>
      <c r="J918" s="2"/>
      <c r="K918" s="2"/>
      <c r="L918" s="2"/>
      <c r="M918" s="2"/>
      <c r="N918" s="2"/>
      <c r="O918" s="2"/>
      <c r="P918" s="2"/>
      <c r="Q918" s="2"/>
      <c r="R918" s="2"/>
      <c r="S918" s="2"/>
      <c r="T918" s="2"/>
      <c r="U918" s="2"/>
      <c r="V918" s="2"/>
      <c r="W918" s="2"/>
      <c r="X918" s="2"/>
      <c r="Y918" s="2"/>
      <c r="Z918" s="2"/>
    </row>
    <row r="919">
      <c r="A919" s="5"/>
      <c r="B919" s="5"/>
      <c r="C919" s="5"/>
      <c r="D919" s="2"/>
      <c r="E919" s="2"/>
      <c r="F919" s="2"/>
      <c r="G919" s="2"/>
      <c r="H919" s="2"/>
      <c r="I919" s="2"/>
      <c r="J919" s="2"/>
      <c r="K919" s="2"/>
      <c r="L919" s="2"/>
      <c r="M919" s="2"/>
      <c r="N919" s="2"/>
      <c r="O919" s="2"/>
      <c r="P919" s="2"/>
      <c r="Q919" s="2"/>
      <c r="R919" s="2"/>
      <c r="S919" s="2"/>
      <c r="T919" s="2"/>
      <c r="U919" s="2"/>
      <c r="V919" s="2"/>
      <c r="W919" s="2"/>
      <c r="X919" s="2"/>
      <c r="Y919" s="2"/>
      <c r="Z919" s="2"/>
    </row>
    <row r="920">
      <c r="A920" s="5"/>
      <c r="B920" s="5"/>
      <c r="C920" s="5"/>
      <c r="D920" s="2"/>
      <c r="E920" s="2"/>
      <c r="F920" s="2"/>
      <c r="G920" s="2"/>
      <c r="H920" s="2"/>
      <c r="I920" s="2"/>
      <c r="J920" s="2"/>
      <c r="K920" s="2"/>
      <c r="L920" s="2"/>
      <c r="M920" s="2"/>
      <c r="N920" s="2"/>
      <c r="O920" s="2"/>
      <c r="P920" s="2"/>
      <c r="Q920" s="2"/>
      <c r="R920" s="2"/>
      <c r="S920" s="2"/>
      <c r="T920" s="2"/>
      <c r="U920" s="2"/>
      <c r="V920" s="2"/>
      <c r="W920" s="2"/>
      <c r="X920" s="2"/>
      <c r="Y920" s="2"/>
      <c r="Z920" s="2"/>
    </row>
    <row r="921">
      <c r="A921" s="5"/>
      <c r="B921" s="5"/>
      <c r="C921" s="5"/>
      <c r="D921" s="2"/>
      <c r="E921" s="2"/>
      <c r="F921" s="2"/>
      <c r="G921" s="2"/>
      <c r="H921" s="2"/>
      <c r="I921" s="2"/>
      <c r="J921" s="2"/>
      <c r="K921" s="2"/>
      <c r="L921" s="2"/>
      <c r="M921" s="2"/>
      <c r="N921" s="2"/>
      <c r="O921" s="2"/>
      <c r="P921" s="2"/>
      <c r="Q921" s="2"/>
      <c r="R921" s="2"/>
      <c r="S921" s="2"/>
      <c r="T921" s="2"/>
      <c r="U921" s="2"/>
      <c r="V921" s="2"/>
      <c r="W921" s="2"/>
      <c r="X921" s="2"/>
      <c r="Y921" s="2"/>
      <c r="Z921" s="2"/>
    </row>
    <row r="922">
      <c r="A922" s="5"/>
      <c r="B922" s="5"/>
      <c r="C922" s="5"/>
      <c r="D922" s="2"/>
      <c r="E922" s="2"/>
      <c r="F922" s="2"/>
      <c r="G922" s="2"/>
      <c r="H922" s="2"/>
      <c r="I922" s="2"/>
      <c r="J922" s="2"/>
      <c r="K922" s="2"/>
      <c r="L922" s="2"/>
      <c r="M922" s="2"/>
      <c r="N922" s="2"/>
      <c r="O922" s="2"/>
      <c r="P922" s="2"/>
      <c r="Q922" s="2"/>
      <c r="R922" s="2"/>
      <c r="S922" s="2"/>
      <c r="T922" s="2"/>
      <c r="U922" s="2"/>
      <c r="V922" s="2"/>
      <c r="W922" s="2"/>
      <c r="X922" s="2"/>
      <c r="Y922" s="2"/>
      <c r="Z922" s="2"/>
    </row>
    <row r="923">
      <c r="A923" s="5"/>
      <c r="B923" s="5"/>
      <c r="C923" s="5"/>
      <c r="D923" s="2"/>
      <c r="E923" s="2"/>
      <c r="F923" s="2"/>
      <c r="G923" s="2"/>
      <c r="H923" s="2"/>
      <c r="I923" s="2"/>
      <c r="J923" s="2"/>
      <c r="K923" s="2"/>
      <c r="L923" s="2"/>
      <c r="M923" s="2"/>
      <c r="N923" s="2"/>
      <c r="O923" s="2"/>
      <c r="P923" s="2"/>
      <c r="Q923" s="2"/>
      <c r="R923" s="2"/>
      <c r="S923" s="2"/>
      <c r="T923" s="2"/>
      <c r="U923" s="2"/>
      <c r="V923" s="2"/>
      <c r="W923" s="2"/>
      <c r="X923" s="2"/>
      <c r="Y923" s="2"/>
      <c r="Z923" s="2"/>
    </row>
    <row r="924">
      <c r="A924" s="5"/>
      <c r="B924" s="5"/>
      <c r="C924" s="5"/>
      <c r="D924" s="2"/>
      <c r="E924" s="2"/>
      <c r="F924" s="2"/>
      <c r="G924" s="2"/>
      <c r="H924" s="2"/>
      <c r="I924" s="2"/>
      <c r="J924" s="2"/>
      <c r="K924" s="2"/>
      <c r="L924" s="2"/>
      <c r="M924" s="2"/>
      <c r="N924" s="2"/>
      <c r="O924" s="2"/>
      <c r="P924" s="2"/>
      <c r="Q924" s="2"/>
      <c r="R924" s="2"/>
      <c r="S924" s="2"/>
      <c r="T924" s="2"/>
      <c r="U924" s="2"/>
      <c r="V924" s="2"/>
      <c r="W924" s="2"/>
      <c r="X924" s="2"/>
      <c r="Y924" s="2"/>
      <c r="Z924" s="2"/>
    </row>
    <row r="925">
      <c r="A925" s="5"/>
      <c r="B925" s="5"/>
      <c r="C925" s="5"/>
      <c r="D925" s="2"/>
      <c r="E925" s="2"/>
      <c r="F925" s="2"/>
      <c r="G925" s="2"/>
      <c r="H925" s="2"/>
      <c r="I925" s="2"/>
      <c r="J925" s="2"/>
      <c r="K925" s="2"/>
      <c r="L925" s="2"/>
      <c r="M925" s="2"/>
      <c r="N925" s="2"/>
      <c r="O925" s="2"/>
      <c r="P925" s="2"/>
      <c r="Q925" s="2"/>
      <c r="R925" s="2"/>
      <c r="S925" s="2"/>
      <c r="T925" s="2"/>
      <c r="U925" s="2"/>
      <c r="V925" s="2"/>
      <c r="W925" s="2"/>
      <c r="X925" s="2"/>
      <c r="Y925" s="2"/>
      <c r="Z925" s="2"/>
    </row>
    <row r="926">
      <c r="A926" s="5"/>
      <c r="B926" s="5"/>
      <c r="C926" s="5"/>
      <c r="D926" s="2"/>
      <c r="E926" s="2"/>
      <c r="F926" s="2"/>
      <c r="G926" s="2"/>
      <c r="H926" s="2"/>
      <c r="I926" s="2"/>
      <c r="J926" s="2"/>
      <c r="K926" s="2"/>
      <c r="L926" s="2"/>
      <c r="M926" s="2"/>
      <c r="N926" s="2"/>
      <c r="O926" s="2"/>
      <c r="P926" s="2"/>
      <c r="Q926" s="2"/>
      <c r="R926" s="2"/>
      <c r="S926" s="2"/>
      <c r="T926" s="2"/>
      <c r="U926" s="2"/>
      <c r="V926" s="2"/>
      <c r="W926" s="2"/>
      <c r="X926" s="2"/>
      <c r="Y926" s="2"/>
      <c r="Z926" s="2"/>
    </row>
    <row r="927">
      <c r="A927" s="5"/>
      <c r="B927" s="5"/>
      <c r="C927" s="5"/>
      <c r="D927" s="2"/>
      <c r="E927" s="2"/>
      <c r="F927" s="2"/>
      <c r="G927" s="2"/>
      <c r="H927" s="2"/>
      <c r="I927" s="2"/>
      <c r="J927" s="2"/>
      <c r="K927" s="2"/>
      <c r="L927" s="2"/>
      <c r="M927" s="2"/>
      <c r="N927" s="2"/>
      <c r="O927" s="2"/>
      <c r="P927" s="2"/>
      <c r="Q927" s="2"/>
      <c r="R927" s="2"/>
      <c r="S927" s="2"/>
      <c r="T927" s="2"/>
      <c r="U927" s="2"/>
      <c r="V927" s="2"/>
      <c r="W927" s="2"/>
      <c r="X927" s="2"/>
      <c r="Y927" s="2"/>
      <c r="Z927" s="2"/>
    </row>
    <row r="928">
      <c r="A928" s="5"/>
      <c r="B928" s="5"/>
      <c r="C928" s="5"/>
      <c r="D928" s="2"/>
      <c r="E928" s="2"/>
      <c r="F928" s="2"/>
      <c r="G928" s="2"/>
      <c r="H928" s="2"/>
      <c r="I928" s="2"/>
      <c r="J928" s="2"/>
      <c r="K928" s="2"/>
      <c r="L928" s="2"/>
      <c r="M928" s="2"/>
      <c r="N928" s="2"/>
      <c r="O928" s="2"/>
      <c r="P928" s="2"/>
      <c r="Q928" s="2"/>
      <c r="R928" s="2"/>
      <c r="S928" s="2"/>
      <c r="T928" s="2"/>
      <c r="U928" s="2"/>
      <c r="V928" s="2"/>
      <c r="W928" s="2"/>
      <c r="X928" s="2"/>
      <c r="Y928" s="2"/>
      <c r="Z928" s="2"/>
    </row>
    <row r="929">
      <c r="A929" s="5"/>
      <c r="B929" s="5"/>
      <c r="C929" s="5"/>
      <c r="D929" s="2"/>
      <c r="E929" s="2"/>
      <c r="F929" s="2"/>
      <c r="G929" s="2"/>
      <c r="H929" s="2"/>
      <c r="I929" s="2"/>
      <c r="J929" s="2"/>
      <c r="K929" s="2"/>
      <c r="L929" s="2"/>
      <c r="M929" s="2"/>
      <c r="N929" s="2"/>
      <c r="O929" s="2"/>
      <c r="P929" s="2"/>
      <c r="Q929" s="2"/>
      <c r="R929" s="2"/>
      <c r="S929" s="2"/>
      <c r="T929" s="2"/>
      <c r="U929" s="2"/>
      <c r="V929" s="2"/>
      <c r="W929" s="2"/>
      <c r="X929" s="2"/>
      <c r="Y929" s="2"/>
      <c r="Z929" s="2"/>
    </row>
    <row r="930">
      <c r="A930" s="5"/>
      <c r="B930" s="5"/>
      <c r="C930" s="5"/>
      <c r="D930" s="2"/>
      <c r="E930" s="2"/>
      <c r="F930" s="2"/>
      <c r="G930" s="2"/>
      <c r="H930" s="2"/>
      <c r="I930" s="2"/>
      <c r="J930" s="2"/>
      <c r="K930" s="2"/>
      <c r="L930" s="2"/>
      <c r="M930" s="2"/>
      <c r="N930" s="2"/>
      <c r="O930" s="2"/>
      <c r="P930" s="2"/>
      <c r="Q930" s="2"/>
      <c r="R930" s="2"/>
      <c r="S930" s="2"/>
      <c r="T930" s="2"/>
      <c r="U930" s="2"/>
      <c r="V930" s="2"/>
      <c r="W930" s="2"/>
      <c r="X930" s="2"/>
      <c r="Y930" s="2"/>
      <c r="Z930" s="2"/>
    </row>
    <row r="931">
      <c r="A931" s="5"/>
      <c r="B931" s="5"/>
      <c r="C931" s="5"/>
      <c r="D931" s="2"/>
      <c r="E931" s="2"/>
      <c r="F931" s="2"/>
      <c r="G931" s="2"/>
      <c r="H931" s="2"/>
      <c r="I931" s="2"/>
      <c r="J931" s="2"/>
      <c r="K931" s="2"/>
      <c r="L931" s="2"/>
      <c r="M931" s="2"/>
      <c r="N931" s="2"/>
      <c r="O931" s="2"/>
      <c r="P931" s="2"/>
      <c r="Q931" s="2"/>
      <c r="R931" s="2"/>
      <c r="S931" s="2"/>
      <c r="T931" s="2"/>
      <c r="U931" s="2"/>
      <c r="V931" s="2"/>
      <c r="W931" s="2"/>
      <c r="X931" s="2"/>
      <c r="Y931" s="2"/>
      <c r="Z931" s="2"/>
    </row>
    <row r="932">
      <c r="A932" s="5"/>
      <c r="B932" s="5"/>
      <c r="C932" s="5"/>
      <c r="D932" s="2"/>
      <c r="E932" s="2"/>
      <c r="F932" s="2"/>
      <c r="G932" s="2"/>
      <c r="H932" s="2"/>
      <c r="I932" s="2"/>
      <c r="J932" s="2"/>
      <c r="K932" s="2"/>
      <c r="L932" s="2"/>
      <c r="M932" s="2"/>
      <c r="N932" s="2"/>
      <c r="O932" s="2"/>
      <c r="P932" s="2"/>
      <c r="Q932" s="2"/>
      <c r="R932" s="2"/>
      <c r="S932" s="2"/>
      <c r="T932" s="2"/>
      <c r="U932" s="2"/>
      <c r="V932" s="2"/>
      <c r="W932" s="2"/>
      <c r="X932" s="2"/>
      <c r="Y932" s="2"/>
      <c r="Z932" s="2"/>
    </row>
    <row r="933">
      <c r="A933" s="5"/>
      <c r="B933" s="5"/>
      <c r="C933" s="5"/>
      <c r="D933" s="2"/>
      <c r="E933" s="2"/>
      <c r="F933" s="2"/>
      <c r="G933" s="2"/>
      <c r="H933" s="2"/>
      <c r="I933" s="2"/>
      <c r="J933" s="2"/>
      <c r="K933" s="2"/>
      <c r="L933" s="2"/>
      <c r="M933" s="2"/>
      <c r="N933" s="2"/>
      <c r="O933" s="2"/>
      <c r="P933" s="2"/>
      <c r="Q933" s="2"/>
      <c r="R933" s="2"/>
      <c r="S933" s="2"/>
      <c r="T933" s="2"/>
      <c r="U933" s="2"/>
      <c r="V933" s="2"/>
      <c r="W933" s="2"/>
      <c r="X933" s="2"/>
      <c r="Y933" s="2"/>
      <c r="Z933" s="2"/>
    </row>
    <row r="934">
      <c r="A934" s="5"/>
      <c r="B934" s="5"/>
      <c r="C934" s="5"/>
      <c r="D934" s="2"/>
      <c r="E934" s="2"/>
      <c r="F934" s="2"/>
      <c r="G934" s="2"/>
      <c r="H934" s="2"/>
      <c r="I934" s="2"/>
      <c r="J934" s="2"/>
      <c r="K934" s="2"/>
      <c r="L934" s="2"/>
      <c r="M934" s="2"/>
      <c r="N934" s="2"/>
      <c r="O934" s="2"/>
      <c r="P934" s="2"/>
      <c r="Q934" s="2"/>
      <c r="R934" s="2"/>
      <c r="S934" s="2"/>
      <c r="T934" s="2"/>
      <c r="U934" s="2"/>
      <c r="V934" s="2"/>
      <c r="W934" s="2"/>
      <c r="X934" s="2"/>
      <c r="Y934" s="2"/>
      <c r="Z934" s="2"/>
    </row>
    <row r="935">
      <c r="A935" s="5"/>
      <c r="B935" s="5"/>
      <c r="C935" s="5"/>
      <c r="D935" s="2"/>
      <c r="E935" s="2"/>
      <c r="F935" s="2"/>
      <c r="G935" s="2"/>
      <c r="H935" s="2"/>
      <c r="I935" s="2"/>
      <c r="J935" s="2"/>
      <c r="K935" s="2"/>
      <c r="L935" s="2"/>
      <c r="M935" s="2"/>
      <c r="N935" s="2"/>
      <c r="O935" s="2"/>
      <c r="P935" s="2"/>
      <c r="Q935" s="2"/>
      <c r="R935" s="2"/>
      <c r="S935" s="2"/>
      <c r="T935" s="2"/>
      <c r="U935" s="2"/>
      <c r="V935" s="2"/>
      <c r="W935" s="2"/>
      <c r="X935" s="2"/>
      <c r="Y935" s="2"/>
      <c r="Z935" s="2"/>
    </row>
    <row r="936">
      <c r="A936" s="5"/>
      <c r="B936" s="5"/>
      <c r="C936" s="5"/>
      <c r="D936" s="2"/>
      <c r="E936" s="2"/>
      <c r="F936" s="2"/>
      <c r="G936" s="2"/>
      <c r="H936" s="2"/>
      <c r="I936" s="2"/>
      <c r="J936" s="2"/>
      <c r="K936" s="2"/>
      <c r="L936" s="2"/>
      <c r="M936" s="2"/>
      <c r="N936" s="2"/>
      <c r="O936" s="2"/>
      <c r="P936" s="2"/>
      <c r="Q936" s="2"/>
      <c r="R936" s="2"/>
      <c r="S936" s="2"/>
      <c r="T936" s="2"/>
      <c r="U936" s="2"/>
      <c r="V936" s="2"/>
      <c r="W936" s="2"/>
      <c r="X936" s="2"/>
      <c r="Y936" s="2"/>
      <c r="Z936" s="2"/>
    </row>
    <row r="937">
      <c r="A937" s="5"/>
      <c r="B937" s="5"/>
      <c r="C937" s="5"/>
      <c r="D937" s="2"/>
      <c r="E937" s="2"/>
      <c r="F937" s="2"/>
      <c r="G937" s="2"/>
      <c r="H937" s="2"/>
      <c r="I937" s="2"/>
      <c r="J937" s="2"/>
      <c r="K937" s="2"/>
      <c r="L937" s="2"/>
      <c r="M937" s="2"/>
      <c r="N937" s="2"/>
      <c r="O937" s="2"/>
      <c r="P937" s="2"/>
      <c r="Q937" s="2"/>
      <c r="R937" s="2"/>
      <c r="S937" s="2"/>
      <c r="T937" s="2"/>
      <c r="U937" s="2"/>
      <c r="V937" s="2"/>
      <c r="W937" s="2"/>
      <c r="X937" s="2"/>
      <c r="Y937" s="2"/>
      <c r="Z937" s="2"/>
    </row>
    <row r="938">
      <c r="A938" s="5"/>
      <c r="B938" s="5"/>
      <c r="C938" s="5"/>
      <c r="D938" s="2"/>
      <c r="E938" s="2"/>
      <c r="F938" s="2"/>
      <c r="G938" s="2"/>
      <c r="H938" s="2"/>
      <c r="I938" s="2"/>
      <c r="J938" s="2"/>
      <c r="K938" s="2"/>
      <c r="L938" s="2"/>
      <c r="M938" s="2"/>
      <c r="N938" s="2"/>
      <c r="O938" s="2"/>
      <c r="P938" s="2"/>
      <c r="Q938" s="2"/>
      <c r="R938" s="2"/>
      <c r="S938" s="2"/>
      <c r="T938" s="2"/>
      <c r="U938" s="2"/>
      <c r="V938" s="2"/>
      <c r="W938" s="2"/>
      <c r="X938" s="2"/>
      <c r="Y938" s="2"/>
      <c r="Z938" s="2"/>
    </row>
    <row r="939">
      <c r="A939" s="5"/>
      <c r="B939" s="5"/>
      <c r="C939" s="5"/>
      <c r="D939" s="2"/>
      <c r="E939" s="2"/>
      <c r="F939" s="2"/>
      <c r="G939" s="2"/>
      <c r="H939" s="2"/>
      <c r="I939" s="2"/>
      <c r="J939" s="2"/>
      <c r="K939" s="2"/>
      <c r="L939" s="2"/>
      <c r="M939" s="2"/>
      <c r="N939" s="2"/>
      <c r="O939" s="2"/>
      <c r="P939" s="2"/>
      <c r="Q939" s="2"/>
      <c r="R939" s="2"/>
      <c r="S939" s="2"/>
      <c r="T939" s="2"/>
      <c r="U939" s="2"/>
      <c r="V939" s="2"/>
      <c r="W939" s="2"/>
      <c r="X939" s="2"/>
      <c r="Y939" s="2"/>
      <c r="Z939" s="2"/>
    </row>
    <row r="940">
      <c r="A940" s="5"/>
      <c r="B940" s="5"/>
      <c r="C940" s="5"/>
      <c r="D940" s="2"/>
      <c r="E940" s="2"/>
      <c r="F940" s="2"/>
      <c r="G940" s="2"/>
      <c r="H940" s="2"/>
      <c r="I940" s="2"/>
      <c r="J940" s="2"/>
      <c r="K940" s="2"/>
      <c r="L940" s="2"/>
      <c r="M940" s="2"/>
      <c r="N940" s="2"/>
      <c r="O940" s="2"/>
      <c r="P940" s="2"/>
      <c r="Q940" s="2"/>
      <c r="R940" s="2"/>
      <c r="S940" s="2"/>
      <c r="T940" s="2"/>
      <c r="U940" s="2"/>
      <c r="V940" s="2"/>
      <c r="W940" s="2"/>
      <c r="X940" s="2"/>
      <c r="Y940" s="2"/>
      <c r="Z940" s="2"/>
    </row>
    <row r="941">
      <c r="A941" s="5"/>
      <c r="B941" s="5"/>
      <c r="C941" s="5"/>
      <c r="D941" s="2"/>
      <c r="E941" s="2"/>
      <c r="F941" s="2"/>
      <c r="G941" s="2"/>
      <c r="H941" s="2"/>
      <c r="I941" s="2"/>
      <c r="J941" s="2"/>
      <c r="K941" s="2"/>
      <c r="L941" s="2"/>
      <c r="M941" s="2"/>
      <c r="N941" s="2"/>
      <c r="O941" s="2"/>
      <c r="P941" s="2"/>
      <c r="Q941" s="2"/>
      <c r="R941" s="2"/>
      <c r="S941" s="2"/>
      <c r="T941" s="2"/>
      <c r="U941" s="2"/>
      <c r="V941" s="2"/>
      <c r="W941" s="2"/>
      <c r="X941" s="2"/>
      <c r="Y941" s="2"/>
      <c r="Z941" s="2"/>
    </row>
    <row r="942">
      <c r="A942" s="5"/>
      <c r="B942" s="5"/>
      <c r="C942" s="5"/>
      <c r="D942" s="2"/>
      <c r="E942" s="2"/>
      <c r="F942" s="2"/>
      <c r="G942" s="2"/>
      <c r="H942" s="2"/>
      <c r="I942" s="2"/>
      <c r="J942" s="2"/>
      <c r="K942" s="2"/>
      <c r="L942" s="2"/>
      <c r="M942" s="2"/>
      <c r="N942" s="2"/>
      <c r="O942" s="2"/>
      <c r="P942" s="2"/>
      <c r="Q942" s="2"/>
      <c r="R942" s="2"/>
      <c r="S942" s="2"/>
      <c r="T942" s="2"/>
      <c r="U942" s="2"/>
      <c r="V942" s="2"/>
      <c r="W942" s="2"/>
      <c r="X942" s="2"/>
      <c r="Y942" s="2"/>
      <c r="Z942" s="2"/>
    </row>
    <row r="943">
      <c r="A943" s="5"/>
      <c r="B943" s="5"/>
      <c r="C943" s="5"/>
      <c r="D943" s="2"/>
      <c r="E943" s="2"/>
      <c r="F943" s="2"/>
      <c r="G943" s="2"/>
      <c r="H943" s="2"/>
      <c r="I943" s="2"/>
      <c r="J943" s="2"/>
      <c r="K943" s="2"/>
      <c r="L943" s="2"/>
      <c r="M943" s="2"/>
      <c r="N943" s="2"/>
      <c r="O943" s="2"/>
      <c r="P943" s="2"/>
      <c r="Q943" s="2"/>
      <c r="R943" s="2"/>
      <c r="S943" s="2"/>
      <c r="T943" s="2"/>
      <c r="U943" s="2"/>
      <c r="V943" s="2"/>
      <c r="W943" s="2"/>
      <c r="X943" s="2"/>
      <c r="Y943" s="2"/>
      <c r="Z943" s="2"/>
    </row>
    <row r="944">
      <c r="A944" s="5"/>
      <c r="B944" s="5"/>
      <c r="C944" s="5"/>
      <c r="D944" s="2"/>
      <c r="E944" s="2"/>
      <c r="F944" s="2"/>
      <c r="G944" s="2"/>
      <c r="H944" s="2"/>
      <c r="I944" s="2"/>
      <c r="J944" s="2"/>
      <c r="K944" s="2"/>
      <c r="L944" s="2"/>
      <c r="M944" s="2"/>
      <c r="N944" s="2"/>
      <c r="O944" s="2"/>
      <c r="P944" s="2"/>
      <c r="Q944" s="2"/>
      <c r="R944" s="2"/>
      <c r="S944" s="2"/>
      <c r="T944" s="2"/>
      <c r="U944" s="2"/>
      <c r="V944" s="2"/>
      <c r="W944" s="2"/>
      <c r="X944" s="2"/>
      <c r="Y944" s="2"/>
      <c r="Z944" s="2"/>
    </row>
    <row r="945">
      <c r="A945" s="5"/>
      <c r="B945" s="5"/>
      <c r="C945" s="5"/>
      <c r="D945" s="2"/>
      <c r="E945" s="2"/>
      <c r="F945" s="2"/>
      <c r="G945" s="2"/>
      <c r="H945" s="2"/>
      <c r="I945" s="2"/>
      <c r="J945" s="2"/>
      <c r="K945" s="2"/>
      <c r="L945" s="2"/>
      <c r="M945" s="2"/>
      <c r="N945" s="2"/>
      <c r="O945" s="2"/>
      <c r="P945" s="2"/>
      <c r="Q945" s="2"/>
      <c r="R945" s="2"/>
      <c r="S945" s="2"/>
      <c r="T945" s="2"/>
      <c r="U945" s="2"/>
      <c r="V945" s="2"/>
      <c r="W945" s="2"/>
      <c r="X945" s="2"/>
      <c r="Y945" s="2"/>
      <c r="Z945" s="2"/>
    </row>
    <row r="946">
      <c r="A946" s="5"/>
      <c r="B946" s="5"/>
      <c r="C946" s="5"/>
      <c r="D946" s="2"/>
      <c r="E946" s="2"/>
      <c r="F946" s="2"/>
      <c r="G946" s="2"/>
      <c r="H946" s="2"/>
      <c r="I946" s="2"/>
      <c r="J946" s="2"/>
      <c r="K946" s="2"/>
      <c r="L946" s="2"/>
      <c r="M946" s="2"/>
      <c r="N946" s="2"/>
      <c r="O946" s="2"/>
      <c r="P946" s="2"/>
      <c r="Q946" s="2"/>
      <c r="R946" s="2"/>
      <c r="S946" s="2"/>
      <c r="T946" s="2"/>
      <c r="U946" s="2"/>
      <c r="V946" s="2"/>
      <c r="W946" s="2"/>
      <c r="X946" s="2"/>
      <c r="Y946" s="2"/>
      <c r="Z946" s="2"/>
    </row>
    <row r="947">
      <c r="A947" s="5"/>
      <c r="B947" s="5"/>
      <c r="C947" s="5"/>
      <c r="D947" s="2"/>
      <c r="E947" s="2"/>
      <c r="F947" s="2"/>
      <c r="G947" s="2"/>
      <c r="H947" s="2"/>
      <c r="I947" s="2"/>
      <c r="J947" s="2"/>
      <c r="K947" s="2"/>
      <c r="L947" s="2"/>
      <c r="M947" s="2"/>
      <c r="N947" s="2"/>
      <c r="O947" s="2"/>
      <c r="P947" s="2"/>
      <c r="Q947" s="2"/>
      <c r="R947" s="2"/>
      <c r="S947" s="2"/>
      <c r="T947" s="2"/>
      <c r="U947" s="2"/>
      <c r="V947" s="2"/>
      <c r="W947" s="2"/>
      <c r="X947" s="2"/>
      <c r="Y947" s="2"/>
      <c r="Z947" s="2"/>
    </row>
    <row r="948">
      <c r="A948" s="5"/>
      <c r="B948" s="5"/>
      <c r="C948" s="5"/>
      <c r="D948" s="2"/>
      <c r="E948" s="2"/>
      <c r="F948" s="2"/>
      <c r="G948" s="2"/>
      <c r="H948" s="2"/>
      <c r="I948" s="2"/>
      <c r="J948" s="2"/>
      <c r="K948" s="2"/>
      <c r="L948" s="2"/>
      <c r="M948" s="2"/>
      <c r="N948" s="2"/>
      <c r="O948" s="2"/>
      <c r="P948" s="2"/>
      <c r="Q948" s="2"/>
      <c r="R948" s="2"/>
      <c r="S948" s="2"/>
      <c r="T948" s="2"/>
      <c r="U948" s="2"/>
      <c r="V948" s="2"/>
      <c r="W948" s="2"/>
      <c r="X948" s="2"/>
      <c r="Y948" s="2"/>
      <c r="Z948" s="2"/>
    </row>
    <row r="949">
      <c r="A949" s="5"/>
      <c r="B949" s="5"/>
      <c r="C949" s="5"/>
      <c r="D949" s="2"/>
      <c r="E949" s="2"/>
      <c r="F949" s="2"/>
      <c r="G949" s="2"/>
      <c r="H949" s="2"/>
      <c r="I949" s="2"/>
      <c r="J949" s="2"/>
      <c r="K949" s="2"/>
      <c r="L949" s="2"/>
      <c r="M949" s="2"/>
      <c r="N949" s="2"/>
      <c r="O949" s="2"/>
      <c r="P949" s="2"/>
      <c r="Q949" s="2"/>
      <c r="R949" s="2"/>
      <c r="S949" s="2"/>
      <c r="T949" s="2"/>
      <c r="U949" s="2"/>
      <c r="V949" s="2"/>
      <c r="W949" s="2"/>
      <c r="X949" s="2"/>
      <c r="Y949" s="2"/>
      <c r="Z949" s="2"/>
    </row>
    <row r="950">
      <c r="A950" s="5"/>
      <c r="B950" s="5"/>
      <c r="C950" s="5"/>
      <c r="D950" s="2"/>
      <c r="E950" s="2"/>
      <c r="F950" s="2"/>
      <c r="G950" s="2"/>
      <c r="H950" s="2"/>
      <c r="I950" s="2"/>
      <c r="J950" s="2"/>
      <c r="K950" s="2"/>
      <c r="L950" s="2"/>
      <c r="M950" s="2"/>
      <c r="N950" s="2"/>
      <c r="O950" s="2"/>
      <c r="P950" s="2"/>
      <c r="Q950" s="2"/>
      <c r="R950" s="2"/>
      <c r="S950" s="2"/>
      <c r="T950" s="2"/>
      <c r="U950" s="2"/>
      <c r="V950" s="2"/>
      <c r="W950" s="2"/>
      <c r="X950" s="2"/>
      <c r="Y950" s="2"/>
      <c r="Z950" s="2"/>
    </row>
    <row r="951">
      <c r="A951" s="5"/>
      <c r="B951" s="5"/>
      <c r="C951" s="5"/>
      <c r="D951" s="2"/>
      <c r="E951" s="2"/>
      <c r="F951" s="2"/>
      <c r="G951" s="2"/>
      <c r="H951" s="2"/>
      <c r="I951" s="2"/>
      <c r="J951" s="2"/>
      <c r="K951" s="2"/>
      <c r="L951" s="2"/>
      <c r="M951" s="2"/>
      <c r="N951" s="2"/>
      <c r="O951" s="2"/>
      <c r="P951" s="2"/>
      <c r="Q951" s="2"/>
      <c r="R951" s="2"/>
      <c r="S951" s="2"/>
      <c r="T951" s="2"/>
      <c r="U951" s="2"/>
      <c r="V951" s="2"/>
      <c r="W951" s="2"/>
      <c r="X951" s="2"/>
      <c r="Y951" s="2"/>
      <c r="Z951" s="2"/>
    </row>
    <row r="952">
      <c r="A952" s="5"/>
      <c r="B952" s="5"/>
      <c r="C952" s="5"/>
      <c r="D952" s="2"/>
      <c r="E952" s="2"/>
      <c r="F952" s="2"/>
      <c r="G952" s="2"/>
      <c r="H952" s="2"/>
      <c r="I952" s="2"/>
      <c r="J952" s="2"/>
      <c r="K952" s="2"/>
      <c r="L952" s="2"/>
      <c r="M952" s="2"/>
      <c r="N952" s="2"/>
      <c r="O952" s="2"/>
      <c r="P952" s="2"/>
      <c r="Q952" s="2"/>
      <c r="R952" s="2"/>
      <c r="S952" s="2"/>
      <c r="T952" s="2"/>
      <c r="U952" s="2"/>
      <c r="V952" s="2"/>
      <c r="W952" s="2"/>
      <c r="X952" s="2"/>
      <c r="Y952" s="2"/>
      <c r="Z952" s="2"/>
    </row>
    <row r="953">
      <c r="A953" s="5"/>
      <c r="B953" s="5"/>
      <c r="C953" s="5"/>
      <c r="D953" s="2"/>
      <c r="E953" s="2"/>
      <c r="F953" s="2"/>
      <c r="G953" s="2"/>
      <c r="H953" s="2"/>
      <c r="I953" s="2"/>
      <c r="J953" s="2"/>
      <c r="K953" s="2"/>
      <c r="L953" s="2"/>
      <c r="M953" s="2"/>
      <c r="N953" s="2"/>
      <c r="O953" s="2"/>
      <c r="P953" s="2"/>
      <c r="Q953" s="2"/>
      <c r="R953" s="2"/>
      <c r="S953" s="2"/>
      <c r="T953" s="2"/>
      <c r="U953" s="2"/>
      <c r="V953" s="2"/>
      <c r="W953" s="2"/>
      <c r="X953" s="2"/>
      <c r="Y953" s="2"/>
      <c r="Z953" s="2"/>
    </row>
    <row r="954">
      <c r="A954" s="5"/>
      <c r="B954" s="5"/>
      <c r="C954" s="5"/>
      <c r="D954" s="2"/>
      <c r="E954" s="2"/>
      <c r="F954" s="2"/>
      <c r="G954" s="2"/>
      <c r="H954" s="2"/>
      <c r="I954" s="2"/>
      <c r="J954" s="2"/>
      <c r="K954" s="2"/>
      <c r="L954" s="2"/>
      <c r="M954" s="2"/>
      <c r="N954" s="2"/>
      <c r="O954" s="2"/>
      <c r="P954" s="2"/>
      <c r="Q954" s="2"/>
      <c r="R954" s="2"/>
      <c r="S954" s="2"/>
      <c r="T954" s="2"/>
      <c r="U954" s="2"/>
      <c r="V954" s="2"/>
      <c r="W954" s="2"/>
      <c r="X954" s="2"/>
      <c r="Y954" s="2"/>
      <c r="Z954" s="2"/>
    </row>
    <row r="955">
      <c r="A955" s="5"/>
      <c r="B955" s="5"/>
      <c r="C955" s="5"/>
      <c r="D955" s="2"/>
      <c r="E955" s="2"/>
      <c r="F955" s="2"/>
      <c r="G955" s="2"/>
      <c r="H955" s="2"/>
      <c r="I955" s="2"/>
      <c r="J955" s="2"/>
      <c r="K955" s="2"/>
      <c r="L955" s="2"/>
      <c r="M955" s="2"/>
      <c r="N955" s="2"/>
      <c r="O955" s="2"/>
      <c r="P955" s="2"/>
      <c r="Q955" s="2"/>
      <c r="R955" s="2"/>
      <c r="S955" s="2"/>
      <c r="T955" s="2"/>
      <c r="U955" s="2"/>
      <c r="V955" s="2"/>
      <c r="W955" s="2"/>
      <c r="X955" s="2"/>
      <c r="Y955" s="2"/>
      <c r="Z955" s="2"/>
    </row>
    <row r="956">
      <c r="A956" s="5"/>
      <c r="B956" s="5"/>
      <c r="C956" s="5"/>
      <c r="D956" s="2"/>
      <c r="E956" s="2"/>
      <c r="F956" s="2"/>
      <c r="G956" s="2"/>
      <c r="H956" s="2"/>
      <c r="I956" s="2"/>
      <c r="J956" s="2"/>
      <c r="K956" s="2"/>
      <c r="L956" s="2"/>
      <c r="M956" s="2"/>
      <c r="N956" s="2"/>
      <c r="O956" s="2"/>
      <c r="P956" s="2"/>
      <c r="Q956" s="2"/>
      <c r="R956" s="2"/>
      <c r="S956" s="2"/>
      <c r="T956" s="2"/>
      <c r="U956" s="2"/>
      <c r="V956" s="2"/>
      <c r="W956" s="2"/>
      <c r="X956" s="2"/>
      <c r="Y956" s="2"/>
      <c r="Z956" s="2"/>
    </row>
    <row r="957">
      <c r="A957" s="5"/>
      <c r="B957" s="5"/>
      <c r="C957" s="5"/>
      <c r="D957" s="2"/>
      <c r="E957" s="2"/>
      <c r="F957" s="2"/>
      <c r="G957" s="2"/>
      <c r="H957" s="2"/>
      <c r="I957" s="2"/>
      <c r="J957" s="2"/>
      <c r="K957" s="2"/>
      <c r="L957" s="2"/>
      <c r="M957" s="2"/>
      <c r="N957" s="2"/>
      <c r="O957" s="2"/>
      <c r="P957" s="2"/>
      <c r="Q957" s="2"/>
      <c r="R957" s="2"/>
      <c r="S957" s="2"/>
      <c r="T957" s="2"/>
      <c r="U957" s="2"/>
      <c r="V957" s="2"/>
      <c r="W957" s="2"/>
      <c r="X957" s="2"/>
      <c r="Y957" s="2"/>
      <c r="Z957" s="2"/>
    </row>
    <row r="958">
      <c r="A958" s="5"/>
      <c r="B958" s="5"/>
      <c r="C958" s="5"/>
      <c r="D958" s="2"/>
      <c r="E958" s="2"/>
      <c r="F958" s="2"/>
      <c r="G958" s="2"/>
      <c r="H958" s="2"/>
      <c r="I958" s="2"/>
      <c r="J958" s="2"/>
      <c r="K958" s="2"/>
      <c r="L958" s="2"/>
      <c r="M958" s="2"/>
      <c r="N958" s="2"/>
      <c r="O958" s="2"/>
      <c r="P958" s="2"/>
      <c r="Q958" s="2"/>
      <c r="R958" s="2"/>
      <c r="S958" s="2"/>
      <c r="T958" s="2"/>
      <c r="U958" s="2"/>
      <c r="V958" s="2"/>
      <c r="W958" s="2"/>
      <c r="X958" s="2"/>
      <c r="Y958" s="2"/>
      <c r="Z958" s="2"/>
    </row>
    <row r="959">
      <c r="A959" s="5"/>
      <c r="B959" s="5"/>
      <c r="C959" s="5"/>
      <c r="D959" s="2"/>
      <c r="E959" s="2"/>
      <c r="F959" s="2"/>
      <c r="G959" s="2"/>
      <c r="H959" s="2"/>
      <c r="I959" s="2"/>
      <c r="J959" s="2"/>
      <c r="K959" s="2"/>
      <c r="L959" s="2"/>
      <c r="M959" s="2"/>
      <c r="N959" s="2"/>
      <c r="O959" s="2"/>
      <c r="P959" s="2"/>
      <c r="Q959" s="2"/>
      <c r="R959" s="2"/>
      <c r="S959" s="2"/>
      <c r="T959" s="2"/>
      <c r="U959" s="2"/>
      <c r="V959" s="2"/>
      <c r="W959" s="2"/>
      <c r="X959" s="2"/>
      <c r="Y959" s="2"/>
      <c r="Z959" s="2"/>
    </row>
    <row r="960">
      <c r="A960" s="5"/>
      <c r="B960" s="5"/>
      <c r="C960" s="5"/>
      <c r="D960" s="2"/>
      <c r="E960" s="2"/>
      <c r="F960" s="2"/>
      <c r="G960" s="2"/>
      <c r="H960" s="2"/>
      <c r="I960" s="2"/>
      <c r="J960" s="2"/>
      <c r="K960" s="2"/>
      <c r="L960" s="2"/>
      <c r="M960" s="2"/>
      <c r="N960" s="2"/>
      <c r="O960" s="2"/>
      <c r="P960" s="2"/>
      <c r="Q960" s="2"/>
      <c r="R960" s="2"/>
      <c r="S960" s="2"/>
      <c r="T960" s="2"/>
      <c r="U960" s="2"/>
      <c r="V960" s="2"/>
      <c r="W960" s="2"/>
      <c r="X960" s="2"/>
      <c r="Y960" s="2"/>
      <c r="Z960" s="2"/>
    </row>
    <row r="961">
      <c r="A961" s="5"/>
      <c r="B961" s="5"/>
      <c r="C961" s="5"/>
      <c r="D961" s="2"/>
      <c r="E961" s="2"/>
      <c r="F961" s="2"/>
      <c r="G961" s="2"/>
      <c r="H961" s="2"/>
      <c r="I961" s="2"/>
      <c r="J961" s="2"/>
      <c r="K961" s="2"/>
      <c r="L961" s="2"/>
      <c r="M961" s="2"/>
      <c r="N961" s="2"/>
      <c r="O961" s="2"/>
      <c r="P961" s="2"/>
      <c r="Q961" s="2"/>
      <c r="R961" s="2"/>
      <c r="S961" s="2"/>
      <c r="T961" s="2"/>
      <c r="U961" s="2"/>
      <c r="V961" s="2"/>
      <c r="W961" s="2"/>
      <c r="X961" s="2"/>
      <c r="Y961" s="2"/>
      <c r="Z961" s="2"/>
    </row>
    <row r="962">
      <c r="A962" s="5"/>
      <c r="B962" s="5"/>
      <c r="C962" s="5"/>
      <c r="D962" s="2"/>
      <c r="E962" s="2"/>
      <c r="F962" s="2"/>
      <c r="G962" s="2"/>
      <c r="H962" s="2"/>
      <c r="I962" s="2"/>
      <c r="J962" s="2"/>
      <c r="K962" s="2"/>
      <c r="L962" s="2"/>
      <c r="M962" s="2"/>
      <c r="N962" s="2"/>
      <c r="O962" s="2"/>
      <c r="P962" s="2"/>
      <c r="Q962" s="2"/>
      <c r="R962" s="2"/>
      <c r="S962" s="2"/>
      <c r="T962" s="2"/>
      <c r="U962" s="2"/>
      <c r="V962" s="2"/>
      <c r="W962" s="2"/>
      <c r="X962" s="2"/>
      <c r="Y962" s="2"/>
      <c r="Z962" s="2"/>
    </row>
    <row r="963">
      <c r="A963" s="5"/>
      <c r="B963" s="5"/>
      <c r="C963" s="5"/>
      <c r="D963" s="2"/>
      <c r="E963" s="2"/>
      <c r="F963" s="2"/>
      <c r="G963" s="2"/>
      <c r="H963" s="2"/>
      <c r="I963" s="2"/>
      <c r="J963" s="2"/>
      <c r="K963" s="2"/>
      <c r="L963" s="2"/>
      <c r="M963" s="2"/>
      <c r="N963" s="2"/>
      <c r="O963" s="2"/>
      <c r="P963" s="2"/>
      <c r="Q963" s="2"/>
      <c r="R963" s="2"/>
      <c r="S963" s="2"/>
      <c r="T963" s="2"/>
      <c r="U963" s="2"/>
      <c r="V963" s="2"/>
      <c r="W963" s="2"/>
      <c r="X963" s="2"/>
      <c r="Y963" s="2"/>
      <c r="Z963" s="2"/>
    </row>
    <row r="964">
      <c r="A964" s="5"/>
      <c r="B964" s="5"/>
      <c r="C964" s="5"/>
      <c r="D964" s="2"/>
      <c r="E964" s="2"/>
      <c r="F964" s="2"/>
      <c r="G964" s="2"/>
      <c r="H964" s="2"/>
      <c r="I964" s="2"/>
      <c r="J964" s="2"/>
      <c r="K964" s="2"/>
      <c r="L964" s="2"/>
      <c r="M964" s="2"/>
      <c r="N964" s="2"/>
      <c r="O964" s="2"/>
      <c r="P964" s="2"/>
      <c r="Q964" s="2"/>
      <c r="R964" s="2"/>
      <c r="S964" s="2"/>
      <c r="T964" s="2"/>
      <c r="U964" s="2"/>
      <c r="V964" s="2"/>
      <c r="W964" s="2"/>
      <c r="X964" s="2"/>
      <c r="Y964" s="2"/>
      <c r="Z964" s="2"/>
    </row>
    <row r="965">
      <c r="A965" s="5"/>
      <c r="B965" s="5"/>
      <c r="C965" s="5"/>
      <c r="D965" s="2"/>
      <c r="E965" s="2"/>
      <c r="F965" s="2"/>
      <c r="G965" s="2"/>
      <c r="H965" s="2"/>
      <c r="I965" s="2"/>
      <c r="J965" s="2"/>
      <c r="K965" s="2"/>
      <c r="L965" s="2"/>
      <c r="M965" s="2"/>
      <c r="N965" s="2"/>
      <c r="O965" s="2"/>
      <c r="P965" s="2"/>
      <c r="Q965" s="2"/>
      <c r="R965" s="2"/>
      <c r="S965" s="2"/>
      <c r="T965" s="2"/>
      <c r="U965" s="2"/>
      <c r="V965" s="2"/>
      <c r="W965" s="2"/>
      <c r="X965" s="2"/>
      <c r="Y965" s="2"/>
      <c r="Z965" s="2"/>
    </row>
    <row r="966">
      <c r="A966" s="5"/>
      <c r="B966" s="5"/>
      <c r="C966" s="5"/>
      <c r="D966" s="2"/>
      <c r="E966" s="2"/>
      <c r="F966" s="2"/>
      <c r="G966" s="2"/>
      <c r="H966" s="2"/>
      <c r="I966" s="2"/>
      <c r="J966" s="2"/>
      <c r="K966" s="2"/>
      <c r="L966" s="2"/>
      <c r="M966" s="2"/>
      <c r="N966" s="2"/>
      <c r="O966" s="2"/>
      <c r="P966" s="2"/>
      <c r="Q966" s="2"/>
      <c r="R966" s="2"/>
      <c r="S966" s="2"/>
      <c r="T966" s="2"/>
      <c r="U966" s="2"/>
      <c r="V966" s="2"/>
      <c r="W966" s="2"/>
      <c r="X966" s="2"/>
      <c r="Y966" s="2"/>
      <c r="Z966" s="2"/>
    </row>
    <row r="967">
      <c r="A967" s="5"/>
      <c r="B967" s="5"/>
      <c r="C967" s="5"/>
      <c r="D967" s="2"/>
      <c r="E967" s="2"/>
      <c r="F967" s="2"/>
      <c r="G967" s="2"/>
      <c r="H967" s="2"/>
      <c r="I967" s="2"/>
      <c r="J967" s="2"/>
      <c r="K967" s="2"/>
      <c r="L967" s="2"/>
      <c r="M967" s="2"/>
      <c r="N967" s="2"/>
      <c r="O967" s="2"/>
      <c r="P967" s="2"/>
      <c r="Q967" s="2"/>
      <c r="R967" s="2"/>
      <c r="S967" s="2"/>
      <c r="T967" s="2"/>
      <c r="U967" s="2"/>
      <c r="V967" s="2"/>
      <c r="W967" s="2"/>
      <c r="X967" s="2"/>
      <c r="Y967" s="2"/>
      <c r="Z967" s="2"/>
    </row>
    <row r="968">
      <c r="A968" s="5"/>
      <c r="B968" s="5"/>
      <c r="C968" s="5"/>
      <c r="D968" s="2"/>
      <c r="E968" s="2"/>
      <c r="F968" s="2"/>
      <c r="G968" s="2"/>
      <c r="H968" s="2"/>
      <c r="I968" s="2"/>
      <c r="J968" s="2"/>
      <c r="K968" s="2"/>
      <c r="L968" s="2"/>
      <c r="M968" s="2"/>
      <c r="N968" s="2"/>
      <c r="O968" s="2"/>
      <c r="P968" s="2"/>
      <c r="Q968" s="2"/>
      <c r="R968" s="2"/>
      <c r="S968" s="2"/>
      <c r="T968" s="2"/>
      <c r="U968" s="2"/>
      <c r="V968" s="2"/>
      <c r="W968" s="2"/>
      <c r="X968" s="2"/>
      <c r="Y968" s="2"/>
      <c r="Z968" s="2"/>
    </row>
    <row r="969">
      <c r="A969" s="5"/>
      <c r="B969" s="5"/>
      <c r="C969" s="5"/>
      <c r="D969" s="2"/>
      <c r="E969" s="2"/>
      <c r="F969" s="2"/>
      <c r="G969" s="2"/>
      <c r="H969" s="2"/>
      <c r="I969" s="2"/>
      <c r="J969" s="2"/>
      <c r="K969" s="2"/>
      <c r="L969" s="2"/>
      <c r="M969" s="2"/>
      <c r="N969" s="2"/>
      <c r="O969" s="2"/>
      <c r="P969" s="2"/>
      <c r="Q969" s="2"/>
      <c r="R969" s="2"/>
      <c r="S969" s="2"/>
      <c r="T969" s="2"/>
      <c r="U969" s="2"/>
      <c r="V969" s="2"/>
      <c r="W969" s="2"/>
      <c r="X969" s="2"/>
      <c r="Y969" s="2"/>
      <c r="Z969" s="2"/>
    </row>
    <row r="970">
      <c r="A970" s="5"/>
      <c r="B970" s="5"/>
      <c r="C970" s="5"/>
      <c r="D970" s="2"/>
      <c r="E970" s="2"/>
      <c r="F970" s="2"/>
      <c r="G970" s="2"/>
      <c r="H970" s="2"/>
      <c r="I970" s="2"/>
      <c r="J970" s="2"/>
      <c r="K970" s="2"/>
      <c r="L970" s="2"/>
      <c r="M970" s="2"/>
      <c r="N970" s="2"/>
      <c r="O970" s="2"/>
      <c r="P970" s="2"/>
      <c r="Q970" s="2"/>
      <c r="R970" s="2"/>
      <c r="S970" s="2"/>
      <c r="T970" s="2"/>
      <c r="U970" s="2"/>
      <c r="V970" s="2"/>
      <c r="W970" s="2"/>
      <c r="X970" s="2"/>
      <c r="Y970" s="2"/>
      <c r="Z970" s="2"/>
    </row>
    <row r="971">
      <c r="A971" s="5"/>
      <c r="B971" s="5"/>
      <c r="C971" s="5"/>
      <c r="D971" s="2"/>
      <c r="E971" s="2"/>
      <c r="F971" s="2"/>
      <c r="G971" s="2"/>
      <c r="H971" s="2"/>
      <c r="I971" s="2"/>
      <c r="J971" s="2"/>
      <c r="K971" s="2"/>
      <c r="L971" s="2"/>
      <c r="M971" s="2"/>
      <c r="N971" s="2"/>
      <c r="O971" s="2"/>
      <c r="P971" s="2"/>
      <c r="Q971" s="2"/>
      <c r="R971" s="2"/>
      <c r="S971" s="2"/>
      <c r="T971" s="2"/>
      <c r="U971" s="2"/>
      <c r="V971" s="2"/>
      <c r="W971" s="2"/>
      <c r="X971" s="2"/>
      <c r="Y971" s="2"/>
      <c r="Z971" s="2"/>
    </row>
    <row r="972">
      <c r="A972" s="5"/>
      <c r="B972" s="5"/>
      <c r="C972" s="5"/>
      <c r="D972" s="2"/>
      <c r="E972" s="2"/>
      <c r="F972" s="2"/>
      <c r="G972" s="2"/>
      <c r="H972" s="2"/>
      <c r="I972" s="2"/>
      <c r="J972" s="2"/>
      <c r="K972" s="2"/>
      <c r="L972" s="2"/>
      <c r="M972" s="2"/>
      <c r="N972" s="2"/>
      <c r="O972" s="2"/>
      <c r="P972" s="2"/>
      <c r="Q972" s="2"/>
      <c r="R972" s="2"/>
      <c r="S972" s="2"/>
      <c r="T972" s="2"/>
      <c r="U972" s="2"/>
      <c r="V972" s="2"/>
      <c r="W972" s="2"/>
      <c r="X972" s="2"/>
      <c r="Y972" s="2"/>
      <c r="Z972" s="2"/>
    </row>
    <row r="973">
      <c r="A973" s="5"/>
      <c r="B973" s="5"/>
      <c r="C973" s="5"/>
      <c r="D973" s="2"/>
      <c r="E973" s="2"/>
      <c r="F973" s="2"/>
      <c r="G973" s="2"/>
      <c r="H973" s="2"/>
      <c r="I973" s="2"/>
      <c r="J973" s="2"/>
      <c r="K973" s="2"/>
      <c r="L973" s="2"/>
      <c r="M973" s="2"/>
      <c r="N973" s="2"/>
      <c r="O973" s="2"/>
      <c r="P973" s="2"/>
      <c r="Q973" s="2"/>
      <c r="R973" s="2"/>
      <c r="S973" s="2"/>
      <c r="T973" s="2"/>
      <c r="U973" s="2"/>
      <c r="V973" s="2"/>
      <c r="W973" s="2"/>
      <c r="X973" s="2"/>
      <c r="Y973" s="2"/>
      <c r="Z973" s="2"/>
    </row>
    <row r="974">
      <c r="A974" s="5"/>
      <c r="B974" s="5"/>
      <c r="C974" s="5"/>
      <c r="D974" s="2"/>
      <c r="E974" s="2"/>
      <c r="F974" s="2"/>
      <c r="G974" s="2"/>
      <c r="H974" s="2"/>
      <c r="I974" s="2"/>
      <c r="J974" s="2"/>
      <c r="K974" s="2"/>
      <c r="L974" s="2"/>
      <c r="M974" s="2"/>
      <c r="N974" s="2"/>
      <c r="O974" s="2"/>
      <c r="P974" s="2"/>
      <c r="Q974" s="2"/>
      <c r="R974" s="2"/>
      <c r="S974" s="2"/>
      <c r="T974" s="2"/>
      <c r="U974" s="2"/>
      <c r="V974" s="2"/>
      <c r="W974" s="2"/>
      <c r="X974" s="2"/>
      <c r="Y974" s="2"/>
      <c r="Z974" s="2"/>
    </row>
    <row r="975">
      <c r="A975" s="5"/>
      <c r="B975" s="5"/>
      <c r="C975" s="5"/>
      <c r="D975" s="2"/>
      <c r="E975" s="2"/>
      <c r="F975" s="2"/>
      <c r="G975" s="2"/>
      <c r="H975" s="2"/>
      <c r="I975" s="2"/>
      <c r="J975" s="2"/>
      <c r="K975" s="2"/>
      <c r="L975" s="2"/>
      <c r="M975" s="2"/>
      <c r="N975" s="2"/>
      <c r="O975" s="2"/>
      <c r="P975" s="2"/>
      <c r="Q975" s="2"/>
      <c r="R975" s="2"/>
      <c r="S975" s="2"/>
      <c r="T975" s="2"/>
      <c r="U975" s="2"/>
      <c r="V975" s="2"/>
      <c r="W975" s="2"/>
      <c r="X975" s="2"/>
      <c r="Y975" s="2"/>
      <c r="Z975" s="2"/>
    </row>
    <row r="976">
      <c r="A976" s="5"/>
      <c r="B976" s="5"/>
      <c r="C976" s="5"/>
      <c r="D976" s="2"/>
      <c r="E976" s="2"/>
      <c r="F976" s="2"/>
      <c r="G976" s="2"/>
      <c r="H976" s="2"/>
      <c r="I976" s="2"/>
      <c r="J976" s="2"/>
      <c r="K976" s="2"/>
      <c r="L976" s="2"/>
      <c r="M976" s="2"/>
      <c r="N976" s="2"/>
      <c r="O976" s="2"/>
      <c r="P976" s="2"/>
      <c r="Q976" s="2"/>
      <c r="R976" s="2"/>
      <c r="S976" s="2"/>
      <c r="T976" s="2"/>
      <c r="U976" s="2"/>
      <c r="V976" s="2"/>
      <c r="W976" s="2"/>
      <c r="X976" s="2"/>
      <c r="Y976" s="2"/>
      <c r="Z976" s="2"/>
    </row>
    <row r="977">
      <c r="A977" s="5"/>
      <c r="B977" s="5"/>
      <c r="C977" s="5"/>
      <c r="D977" s="2"/>
      <c r="E977" s="2"/>
      <c r="F977" s="2"/>
      <c r="G977" s="2"/>
      <c r="H977" s="2"/>
      <c r="I977" s="2"/>
      <c r="J977" s="2"/>
      <c r="K977" s="2"/>
      <c r="L977" s="2"/>
      <c r="M977" s="2"/>
      <c r="N977" s="2"/>
      <c r="O977" s="2"/>
      <c r="P977" s="2"/>
      <c r="Q977" s="2"/>
      <c r="R977" s="2"/>
      <c r="S977" s="2"/>
      <c r="T977" s="2"/>
      <c r="U977" s="2"/>
      <c r="V977" s="2"/>
      <c r="W977" s="2"/>
      <c r="X977" s="2"/>
      <c r="Y977" s="2"/>
      <c r="Z977" s="2"/>
    </row>
    <row r="978">
      <c r="A978" s="5"/>
      <c r="B978" s="5"/>
      <c r="C978" s="5"/>
      <c r="D978" s="2"/>
      <c r="E978" s="2"/>
      <c r="F978" s="2"/>
      <c r="G978" s="2"/>
      <c r="H978" s="2"/>
      <c r="I978" s="2"/>
      <c r="J978" s="2"/>
      <c r="K978" s="2"/>
      <c r="L978" s="2"/>
      <c r="M978" s="2"/>
      <c r="N978" s="2"/>
      <c r="O978" s="2"/>
      <c r="P978" s="2"/>
      <c r="Q978" s="2"/>
      <c r="R978" s="2"/>
      <c r="S978" s="2"/>
      <c r="T978" s="2"/>
      <c r="U978" s="2"/>
      <c r="V978" s="2"/>
      <c r="W978" s="2"/>
      <c r="X978" s="2"/>
      <c r="Y978" s="2"/>
      <c r="Z978" s="2"/>
    </row>
    <row r="979">
      <c r="A979" s="5"/>
      <c r="B979" s="5"/>
      <c r="C979" s="5"/>
      <c r="D979" s="2"/>
      <c r="E979" s="2"/>
      <c r="F979" s="2"/>
      <c r="G979" s="2"/>
      <c r="H979" s="2"/>
      <c r="I979" s="2"/>
      <c r="J979" s="2"/>
      <c r="K979" s="2"/>
      <c r="L979" s="2"/>
      <c r="M979" s="2"/>
      <c r="N979" s="2"/>
      <c r="O979" s="2"/>
      <c r="P979" s="2"/>
      <c r="Q979" s="2"/>
      <c r="R979" s="2"/>
      <c r="S979" s="2"/>
      <c r="T979" s="2"/>
      <c r="U979" s="2"/>
      <c r="V979" s="2"/>
      <c r="W979" s="2"/>
      <c r="X979" s="2"/>
      <c r="Y979" s="2"/>
      <c r="Z979" s="2"/>
    </row>
    <row r="980">
      <c r="A980" s="5"/>
      <c r="B980" s="5"/>
      <c r="C980" s="5"/>
      <c r="D980" s="2"/>
      <c r="E980" s="2"/>
      <c r="F980" s="2"/>
      <c r="G980" s="2"/>
      <c r="H980" s="2"/>
      <c r="I980" s="2"/>
      <c r="J980" s="2"/>
      <c r="K980" s="2"/>
      <c r="L980" s="2"/>
      <c r="M980" s="2"/>
      <c r="N980" s="2"/>
      <c r="O980" s="2"/>
      <c r="P980" s="2"/>
      <c r="Q980" s="2"/>
      <c r="R980" s="2"/>
      <c r="S980" s="2"/>
      <c r="T980" s="2"/>
      <c r="U980" s="2"/>
      <c r="V980" s="2"/>
      <c r="W980" s="2"/>
      <c r="X980" s="2"/>
      <c r="Y980" s="2"/>
      <c r="Z980" s="2"/>
    </row>
    <row r="981">
      <c r="A981" s="5"/>
      <c r="B981" s="5"/>
      <c r="C981" s="5"/>
      <c r="D981" s="2"/>
      <c r="E981" s="2"/>
      <c r="F981" s="2"/>
      <c r="G981" s="2"/>
      <c r="H981" s="2"/>
      <c r="I981" s="2"/>
      <c r="J981" s="2"/>
      <c r="K981" s="2"/>
      <c r="L981" s="2"/>
      <c r="M981" s="2"/>
      <c r="N981" s="2"/>
      <c r="O981" s="2"/>
      <c r="P981" s="2"/>
      <c r="Q981" s="2"/>
      <c r="R981" s="2"/>
      <c r="S981" s="2"/>
      <c r="T981" s="2"/>
      <c r="U981" s="2"/>
      <c r="V981" s="2"/>
      <c r="W981" s="2"/>
      <c r="X981" s="2"/>
      <c r="Y981" s="2"/>
      <c r="Z981" s="2"/>
    </row>
    <row r="982">
      <c r="A982" s="5"/>
      <c r="B982" s="5"/>
      <c r="C982" s="5"/>
      <c r="D982" s="2"/>
      <c r="E982" s="2"/>
      <c r="F982" s="2"/>
      <c r="G982" s="2"/>
      <c r="H982" s="2"/>
      <c r="I982" s="2"/>
      <c r="J982" s="2"/>
      <c r="K982" s="2"/>
      <c r="L982" s="2"/>
      <c r="M982" s="2"/>
      <c r="N982" s="2"/>
      <c r="O982" s="2"/>
      <c r="P982" s="2"/>
      <c r="Q982" s="2"/>
      <c r="R982" s="2"/>
      <c r="S982" s="2"/>
      <c r="T982" s="2"/>
      <c r="U982" s="2"/>
      <c r="V982" s="2"/>
      <c r="W982" s="2"/>
      <c r="X982" s="2"/>
      <c r="Y982" s="2"/>
      <c r="Z982" s="2"/>
    </row>
    <row r="983">
      <c r="A983" s="5"/>
      <c r="B983" s="5"/>
      <c r="C983" s="5"/>
      <c r="D983" s="2"/>
      <c r="E983" s="2"/>
      <c r="F983" s="2"/>
      <c r="G983" s="2"/>
      <c r="H983" s="2"/>
      <c r="I983" s="2"/>
      <c r="J983" s="2"/>
      <c r="K983" s="2"/>
      <c r="L983" s="2"/>
      <c r="M983" s="2"/>
      <c r="N983" s="2"/>
      <c r="O983" s="2"/>
      <c r="P983" s="2"/>
      <c r="Q983" s="2"/>
      <c r="R983" s="2"/>
      <c r="S983" s="2"/>
      <c r="T983" s="2"/>
      <c r="U983" s="2"/>
      <c r="V983" s="2"/>
      <c r="W983" s="2"/>
      <c r="X983" s="2"/>
      <c r="Y983" s="2"/>
      <c r="Z983" s="2"/>
    </row>
    <row r="984">
      <c r="A984" s="5"/>
      <c r="B984" s="5"/>
      <c r="C984" s="5"/>
      <c r="D984" s="2"/>
      <c r="E984" s="2"/>
      <c r="F984" s="2"/>
      <c r="G984" s="2"/>
      <c r="H984" s="2"/>
      <c r="I984" s="2"/>
      <c r="J984" s="2"/>
      <c r="K984" s="2"/>
      <c r="L984" s="2"/>
      <c r="M984" s="2"/>
      <c r="N984" s="2"/>
      <c r="O984" s="2"/>
      <c r="P984" s="2"/>
      <c r="Q984" s="2"/>
      <c r="R984" s="2"/>
      <c r="S984" s="2"/>
      <c r="T984" s="2"/>
      <c r="U984" s="2"/>
      <c r="V984" s="2"/>
      <c r="W984" s="2"/>
      <c r="X984" s="2"/>
      <c r="Y984" s="2"/>
      <c r="Z984" s="2"/>
    </row>
    <row r="985">
      <c r="A985" s="5"/>
      <c r="B985" s="5"/>
      <c r="C985" s="5"/>
      <c r="D985" s="2"/>
      <c r="E985" s="2"/>
      <c r="F985" s="2"/>
      <c r="G985" s="2"/>
      <c r="H985" s="2"/>
      <c r="I985" s="2"/>
      <c r="J985" s="2"/>
      <c r="K985" s="2"/>
      <c r="L985" s="2"/>
      <c r="M985" s="2"/>
      <c r="N985" s="2"/>
      <c r="O985" s="2"/>
      <c r="P985" s="2"/>
      <c r="Q985" s="2"/>
      <c r="R985" s="2"/>
      <c r="S985" s="2"/>
      <c r="T985" s="2"/>
      <c r="U985" s="2"/>
      <c r="V985" s="2"/>
      <c r="W985" s="2"/>
      <c r="X985" s="2"/>
      <c r="Y985" s="2"/>
      <c r="Z985" s="2"/>
    </row>
    <row r="986">
      <c r="A986" s="5"/>
      <c r="B986" s="5"/>
      <c r="C986" s="5"/>
      <c r="D986" s="2"/>
      <c r="E986" s="2"/>
      <c r="F986" s="2"/>
      <c r="G986" s="2"/>
      <c r="H986" s="2"/>
      <c r="I986" s="2"/>
      <c r="J986" s="2"/>
      <c r="K986" s="2"/>
      <c r="L986" s="2"/>
      <c r="M986" s="2"/>
      <c r="N986" s="2"/>
      <c r="O986" s="2"/>
      <c r="P986" s="2"/>
      <c r="Q986" s="2"/>
      <c r="R986" s="2"/>
      <c r="S986" s="2"/>
      <c r="T986" s="2"/>
      <c r="U986" s="2"/>
      <c r="V986" s="2"/>
      <c r="W986" s="2"/>
      <c r="X986" s="2"/>
      <c r="Y986" s="2"/>
      <c r="Z986" s="2"/>
    </row>
    <row r="987">
      <c r="A987" s="5"/>
      <c r="B987" s="5"/>
      <c r="C987" s="5"/>
      <c r="D987" s="2"/>
      <c r="E987" s="2"/>
      <c r="F987" s="2"/>
      <c r="G987" s="2"/>
      <c r="H987" s="2"/>
      <c r="I987" s="2"/>
      <c r="J987" s="2"/>
      <c r="K987" s="2"/>
      <c r="L987" s="2"/>
      <c r="M987" s="2"/>
      <c r="N987" s="2"/>
      <c r="O987" s="2"/>
      <c r="P987" s="2"/>
      <c r="Q987" s="2"/>
      <c r="R987" s="2"/>
      <c r="S987" s="2"/>
      <c r="T987" s="2"/>
      <c r="U987" s="2"/>
      <c r="V987" s="2"/>
      <c r="W987" s="2"/>
      <c r="X987" s="2"/>
      <c r="Y987" s="2"/>
      <c r="Z987" s="2"/>
    </row>
    <row r="988">
      <c r="A988" s="5"/>
      <c r="B988" s="5"/>
      <c r="C988" s="5"/>
      <c r="D988" s="2"/>
      <c r="E988" s="2"/>
      <c r="F988" s="2"/>
      <c r="G988" s="2"/>
      <c r="H988" s="2"/>
      <c r="I988" s="2"/>
      <c r="J988" s="2"/>
      <c r="K988" s="2"/>
      <c r="L988" s="2"/>
      <c r="M988" s="2"/>
      <c r="N988" s="2"/>
      <c r="O988" s="2"/>
      <c r="P988" s="2"/>
      <c r="Q988" s="2"/>
      <c r="R988" s="2"/>
      <c r="S988" s="2"/>
      <c r="T988" s="2"/>
      <c r="U988" s="2"/>
      <c r="V988" s="2"/>
      <c r="W988" s="2"/>
      <c r="X988" s="2"/>
      <c r="Y988" s="2"/>
      <c r="Z988" s="2"/>
    </row>
    <row r="989">
      <c r="A989" s="5"/>
      <c r="B989" s="5"/>
      <c r="C989" s="5"/>
      <c r="D989" s="2"/>
      <c r="E989" s="2"/>
      <c r="F989" s="2"/>
      <c r="G989" s="2"/>
      <c r="H989" s="2"/>
      <c r="I989" s="2"/>
      <c r="J989" s="2"/>
      <c r="K989" s="2"/>
      <c r="L989" s="2"/>
      <c r="M989" s="2"/>
      <c r="N989" s="2"/>
      <c r="O989" s="2"/>
      <c r="P989" s="2"/>
      <c r="Q989" s="2"/>
      <c r="R989" s="2"/>
      <c r="S989" s="2"/>
      <c r="T989" s="2"/>
      <c r="U989" s="2"/>
      <c r="V989" s="2"/>
      <c r="W989" s="2"/>
      <c r="X989" s="2"/>
      <c r="Y989" s="2"/>
      <c r="Z989" s="2"/>
    </row>
    <row r="990">
      <c r="A990" s="5"/>
      <c r="B990" s="5"/>
      <c r="C990" s="5"/>
      <c r="D990" s="2"/>
      <c r="E990" s="2"/>
      <c r="F990" s="2"/>
      <c r="G990" s="2"/>
      <c r="H990" s="2"/>
      <c r="I990" s="2"/>
      <c r="J990" s="2"/>
      <c r="K990" s="2"/>
      <c r="L990" s="2"/>
      <c r="M990" s="2"/>
      <c r="N990" s="2"/>
      <c r="O990" s="2"/>
      <c r="P990" s="2"/>
      <c r="Q990" s="2"/>
      <c r="R990" s="2"/>
      <c r="S990" s="2"/>
      <c r="T990" s="2"/>
      <c r="U990" s="2"/>
      <c r="V990" s="2"/>
      <c r="W990" s="2"/>
      <c r="X990" s="2"/>
      <c r="Y990" s="2"/>
      <c r="Z990" s="2"/>
    </row>
    <row r="991">
      <c r="A991" s="5"/>
      <c r="B991" s="5"/>
      <c r="C991" s="5"/>
      <c r="D991" s="2"/>
      <c r="E991" s="2"/>
      <c r="F991" s="2"/>
      <c r="G991" s="2"/>
      <c r="H991" s="2"/>
      <c r="I991" s="2"/>
      <c r="J991" s="2"/>
      <c r="K991" s="2"/>
      <c r="L991" s="2"/>
      <c r="M991" s="2"/>
      <c r="N991" s="2"/>
      <c r="O991" s="2"/>
      <c r="P991" s="2"/>
      <c r="Q991" s="2"/>
      <c r="R991" s="2"/>
      <c r="S991" s="2"/>
      <c r="T991" s="2"/>
      <c r="U991" s="2"/>
      <c r="V991" s="2"/>
      <c r="W991" s="2"/>
      <c r="X991" s="2"/>
      <c r="Y991" s="2"/>
      <c r="Z991" s="2"/>
    </row>
    <row r="992">
      <c r="A992" s="5"/>
      <c r="B992" s="5"/>
      <c r="C992" s="5"/>
      <c r="D992" s="2"/>
      <c r="E992" s="2"/>
      <c r="F992" s="2"/>
      <c r="G992" s="2"/>
      <c r="H992" s="2"/>
      <c r="I992" s="2"/>
      <c r="J992" s="2"/>
      <c r="K992" s="2"/>
      <c r="L992" s="2"/>
      <c r="M992" s="2"/>
      <c r="N992" s="2"/>
      <c r="O992" s="2"/>
      <c r="P992" s="2"/>
      <c r="Q992" s="2"/>
      <c r="R992" s="2"/>
      <c r="S992" s="2"/>
      <c r="T992" s="2"/>
      <c r="U992" s="2"/>
      <c r="V992" s="2"/>
      <c r="W992" s="2"/>
      <c r="X992" s="2"/>
      <c r="Y992" s="2"/>
      <c r="Z992" s="2"/>
    </row>
    <row r="993">
      <c r="A993" s="5"/>
      <c r="B993" s="5"/>
      <c r="C993" s="5"/>
      <c r="D993" s="2"/>
      <c r="E993" s="2"/>
      <c r="F993" s="2"/>
      <c r="G993" s="2"/>
      <c r="H993" s="2"/>
      <c r="I993" s="2"/>
      <c r="J993" s="2"/>
      <c r="K993" s="2"/>
      <c r="L993" s="2"/>
      <c r="M993" s="2"/>
      <c r="N993" s="2"/>
      <c r="O993" s="2"/>
      <c r="P993" s="2"/>
      <c r="Q993" s="2"/>
      <c r="R993" s="2"/>
      <c r="S993" s="2"/>
      <c r="T993" s="2"/>
      <c r="U993" s="2"/>
      <c r="V993" s="2"/>
      <c r="W993" s="2"/>
      <c r="X993" s="2"/>
      <c r="Y993" s="2"/>
      <c r="Z993" s="2"/>
    </row>
    <row r="994">
      <c r="A994" s="5"/>
      <c r="B994" s="5"/>
      <c r="C994" s="5"/>
      <c r="D994" s="2"/>
      <c r="E994" s="2"/>
      <c r="F994" s="2"/>
      <c r="G994" s="2"/>
      <c r="H994" s="2"/>
      <c r="I994" s="2"/>
      <c r="J994" s="2"/>
      <c r="K994" s="2"/>
      <c r="L994" s="2"/>
      <c r="M994" s="2"/>
      <c r="N994" s="2"/>
      <c r="O994" s="2"/>
      <c r="P994" s="2"/>
      <c r="Q994" s="2"/>
      <c r="R994" s="2"/>
      <c r="S994" s="2"/>
      <c r="T994" s="2"/>
      <c r="U994" s="2"/>
      <c r="V994" s="2"/>
      <c r="W994" s="2"/>
      <c r="X994" s="2"/>
      <c r="Y994" s="2"/>
      <c r="Z994" s="2"/>
    </row>
    <row r="995">
      <c r="A995" s="5"/>
      <c r="B995" s="5"/>
      <c r="C995" s="5"/>
      <c r="D995" s="2"/>
      <c r="E995" s="2"/>
      <c r="F995" s="2"/>
      <c r="G995" s="2"/>
      <c r="H995" s="2"/>
      <c r="I995" s="2"/>
      <c r="J995" s="2"/>
      <c r="K995" s="2"/>
      <c r="L995" s="2"/>
      <c r="M995" s="2"/>
      <c r="N995" s="2"/>
      <c r="O995" s="2"/>
      <c r="P995" s="2"/>
      <c r="Q995" s="2"/>
      <c r="R995" s="2"/>
      <c r="S995" s="2"/>
      <c r="T995" s="2"/>
      <c r="U995" s="2"/>
      <c r="V995" s="2"/>
      <c r="W995" s="2"/>
      <c r="X995" s="2"/>
      <c r="Y995" s="2"/>
      <c r="Z995" s="2"/>
    </row>
    <row r="996">
      <c r="A996" s="5"/>
      <c r="B996" s="5"/>
      <c r="C996" s="5"/>
      <c r="D996" s="2"/>
      <c r="E996" s="2"/>
      <c r="F996" s="2"/>
      <c r="G996" s="2"/>
      <c r="H996" s="2"/>
      <c r="I996" s="2"/>
      <c r="J996" s="2"/>
      <c r="K996" s="2"/>
      <c r="L996" s="2"/>
      <c r="M996" s="2"/>
      <c r="N996" s="2"/>
      <c r="O996" s="2"/>
      <c r="P996" s="2"/>
      <c r="Q996" s="2"/>
      <c r="R996" s="2"/>
      <c r="S996" s="2"/>
      <c r="T996" s="2"/>
      <c r="U996" s="2"/>
      <c r="V996" s="2"/>
      <c r="W996" s="2"/>
      <c r="X996" s="2"/>
      <c r="Y996" s="2"/>
      <c r="Z996" s="2"/>
    </row>
    <row r="997">
      <c r="A997" s="5"/>
      <c r="B997" s="5"/>
      <c r="C997" s="5"/>
      <c r="D997" s="2"/>
      <c r="E997" s="2"/>
      <c r="F997" s="2"/>
      <c r="G997" s="2"/>
      <c r="H997" s="2"/>
      <c r="I997" s="2"/>
      <c r="J997" s="2"/>
      <c r="K997" s="2"/>
      <c r="L997" s="2"/>
      <c r="M997" s="2"/>
      <c r="N997" s="2"/>
      <c r="O997" s="2"/>
      <c r="P997" s="2"/>
      <c r="Q997" s="2"/>
      <c r="R997" s="2"/>
      <c r="S997" s="2"/>
      <c r="T997" s="2"/>
      <c r="U997" s="2"/>
      <c r="V997" s="2"/>
      <c r="W997" s="2"/>
      <c r="X997" s="2"/>
      <c r="Y997" s="2"/>
      <c r="Z997" s="2"/>
    </row>
    <row r="998">
      <c r="A998" s="5"/>
      <c r="B998" s="5"/>
      <c r="C998" s="5"/>
      <c r="D998" s="2"/>
      <c r="E998" s="2"/>
      <c r="F998" s="2"/>
      <c r="G998" s="2"/>
      <c r="H998" s="2"/>
      <c r="I998" s="2"/>
      <c r="J998" s="2"/>
      <c r="K998" s="2"/>
      <c r="L998" s="2"/>
      <c r="M998" s="2"/>
      <c r="N998" s="2"/>
      <c r="O998" s="2"/>
      <c r="P998" s="2"/>
      <c r="Q998" s="2"/>
      <c r="R998" s="2"/>
      <c r="S998" s="2"/>
      <c r="T998" s="2"/>
      <c r="U998" s="2"/>
      <c r="V998" s="2"/>
      <c r="W998" s="2"/>
      <c r="X998" s="2"/>
      <c r="Y998" s="2"/>
      <c r="Z998" s="2"/>
    </row>
    <row r="999">
      <c r="A999" s="5"/>
      <c r="B999" s="5"/>
      <c r="C999" s="5"/>
      <c r="D999" s="2"/>
      <c r="E999" s="2"/>
      <c r="F999" s="2"/>
      <c r="G999" s="2"/>
      <c r="H999" s="2"/>
      <c r="I999" s="2"/>
      <c r="J999" s="2"/>
      <c r="K999" s="2"/>
      <c r="L999" s="2"/>
      <c r="M999" s="2"/>
      <c r="N999" s="2"/>
      <c r="O999" s="2"/>
      <c r="P999" s="2"/>
      <c r="Q999" s="2"/>
      <c r="R999" s="2"/>
      <c r="S999" s="2"/>
      <c r="T999" s="2"/>
      <c r="U999" s="2"/>
      <c r="V999" s="2"/>
      <c r="W999" s="2"/>
      <c r="X999" s="2"/>
      <c r="Y999" s="2"/>
      <c r="Z999" s="2"/>
    </row>
    <row r="1000">
      <c r="A1000" s="5"/>
      <c r="B1000" s="5"/>
      <c r="C1000" s="5"/>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hyperlinks>
    <hyperlink r:id="rId1" ref="B20"/>
    <hyperlink r:id="rId2" ref="B21"/>
  </hyperlinks>
  <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 t="s">
        <v>4813</v>
      </c>
    </row>
    <row r="3">
      <c r="A3" s="10" t="s">
        <v>4814</v>
      </c>
    </row>
    <row r="6">
      <c r="A6" s="10" t="s">
        <v>4815</v>
      </c>
    </row>
    <row r="8">
      <c r="A8" s="10" t="s">
        <v>4816</v>
      </c>
    </row>
    <row r="11">
      <c r="A11" s="58" t="s">
        <v>4817</v>
      </c>
    </row>
    <row r="12">
      <c r="A12" s="58" t="s">
        <v>4818</v>
      </c>
    </row>
    <row r="13">
      <c r="A13" s="10" t="s">
        <v>4819</v>
      </c>
    </row>
    <row r="14">
      <c r="A14" s="59" t="s">
        <v>1055</v>
      </c>
    </row>
  </sheetData>
  <hyperlinks>
    <hyperlink r:id="rId1" ref="A11"/>
    <hyperlink r:id="rId2" ref="A12"/>
    <hyperlink r:id="rId3" ref="A14"/>
  </hyperlinks>
  <drawing r:id="rId4"/>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7.13"/>
    <col customWidth="1" min="4" max="5" width="19.75"/>
  </cols>
  <sheetData>
    <row r="1">
      <c r="A1" s="60"/>
      <c r="B1" s="60" t="s">
        <v>4820</v>
      </c>
      <c r="C1" s="61" t="s">
        <v>4821</v>
      </c>
      <c r="D1" s="62" t="s">
        <v>4822</v>
      </c>
      <c r="E1" s="60" t="s">
        <v>4823</v>
      </c>
      <c r="F1" s="63" t="s">
        <v>4824</v>
      </c>
    </row>
    <row r="2">
      <c r="A2" s="60"/>
      <c r="B2" s="60" t="s">
        <v>4825</v>
      </c>
      <c r="C2" s="62"/>
      <c r="D2" s="64">
        <v>46016.68402777778</v>
      </c>
      <c r="E2" s="64">
        <v>46016.6875</v>
      </c>
      <c r="F2" s="65">
        <f t="shared" ref="F2:F16" si="1">E2-D2</f>
        <v>0.003472222219</v>
      </c>
    </row>
    <row r="3">
      <c r="A3" s="60"/>
      <c r="B3" s="60" t="s">
        <v>4826</v>
      </c>
      <c r="C3" s="61" t="s">
        <v>4827</v>
      </c>
      <c r="D3" s="66">
        <v>46016.69215476852</v>
      </c>
      <c r="E3" s="66">
        <v>46016.71136403935</v>
      </c>
      <c r="F3" s="65">
        <f t="shared" si="1"/>
        <v>0.01920927083</v>
      </c>
    </row>
    <row r="4">
      <c r="A4" s="60"/>
      <c r="B4" s="60" t="s">
        <v>4828</v>
      </c>
      <c r="C4" s="61" t="s">
        <v>4827</v>
      </c>
      <c r="D4" s="66">
        <v>46017.59250982639</v>
      </c>
      <c r="E4" s="64">
        <v>46017.68305555556</v>
      </c>
      <c r="F4" s="65">
        <f t="shared" si="1"/>
        <v>0.09054572917</v>
      </c>
    </row>
    <row r="5">
      <c r="A5" s="60"/>
      <c r="B5" s="60" t="s">
        <v>4829</v>
      </c>
      <c r="C5" s="67" t="s">
        <v>4830</v>
      </c>
      <c r="D5" s="64">
        <v>46019.601331018515</v>
      </c>
      <c r="E5" s="66">
        <v>46019.62091888889</v>
      </c>
      <c r="F5" s="65">
        <f t="shared" si="1"/>
        <v>0.01958787037</v>
      </c>
    </row>
    <row r="6">
      <c r="A6" s="60"/>
      <c r="B6" s="60" t="s">
        <v>4831</v>
      </c>
      <c r="C6" s="61" t="s">
        <v>4827</v>
      </c>
      <c r="D6" s="66">
        <v>46019.947293634264</v>
      </c>
      <c r="E6" s="66">
        <v>46019.97117517361</v>
      </c>
      <c r="F6" s="65">
        <f t="shared" si="1"/>
        <v>0.02388153935</v>
      </c>
    </row>
    <row r="7">
      <c r="A7" s="60"/>
      <c r="B7" s="60" t="s">
        <v>4832</v>
      </c>
      <c r="C7" s="61" t="s">
        <v>4827</v>
      </c>
      <c r="D7" s="64">
        <v>46021.771458333336</v>
      </c>
      <c r="E7" s="66">
        <v>46021.809385636574</v>
      </c>
      <c r="F7" s="65">
        <f t="shared" si="1"/>
        <v>0.03792730324</v>
      </c>
    </row>
    <row r="8">
      <c r="A8" s="60"/>
      <c r="B8" s="60" t="s">
        <v>4833</v>
      </c>
      <c r="C8" s="61" t="s">
        <v>4827</v>
      </c>
      <c r="D8" s="68">
        <v>46022.90138888889</v>
      </c>
      <c r="E8" s="69">
        <v>46022.946786597226</v>
      </c>
      <c r="F8" s="65">
        <f t="shared" si="1"/>
        <v>0.04539770834</v>
      </c>
    </row>
    <row r="9">
      <c r="A9" s="60"/>
      <c r="B9" s="60" t="s">
        <v>4834</v>
      </c>
      <c r="C9" s="61" t="s">
        <v>4827</v>
      </c>
      <c r="D9" s="66">
        <v>46022.99024885417</v>
      </c>
      <c r="E9" s="66">
        <v>46023.02902141203</v>
      </c>
      <c r="F9" s="65">
        <f t="shared" si="1"/>
        <v>0.03877255786</v>
      </c>
    </row>
    <row r="10">
      <c r="A10" s="60"/>
      <c r="B10" s="70" t="s">
        <v>4835</v>
      </c>
      <c r="C10" s="61" t="s">
        <v>4827</v>
      </c>
      <c r="D10" s="62">
        <v>46023.96634971065</v>
      </c>
      <c r="E10" s="62">
        <v>46024.020697361106</v>
      </c>
      <c r="F10" s="65">
        <f t="shared" si="1"/>
        <v>0.05434765045</v>
      </c>
    </row>
    <row r="11">
      <c r="A11" s="60"/>
      <c r="B11" s="60" t="s">
        <v>4836</v>
      </c>
      <c r="C11" s="61" t="s">
        <v>4827</v>
      </c>
      <c r="D11" s="71">
        <v>46024.547800925924</v>
      </c>
      <c r="E11" s="71">
        <v>46024.58964266204</v>
      </c>
      <c r="F11" s="65">
        <f t="shared" si="1"/>
        <v>0.04184173611</v>
      </c>
    </row>
    <row r="12">
      <c r="A12" s="60"/>
      <c r="B12" s="70" t="s">
        <v>4837</v>
      </c>
      <c r="C12" s="61" t="s">
        <v>4827</v>
      </c>
      <c r="D12" s="62">
        <v>46024.772787141206</v>
      </c>
      <c r="E12" s="62">
        <v>46024.778916400464</v>
      </c>
      <c r="F12" s="65">
        <f t="shared" si="1"/>
        <v>0.006129259258</v>
      </c>
    </row>
    <row r="13">
      <c r="A13" s="60"/>
      <c r="B13" s="70" t="s">
        <v>4838</v>
      </c>
      <c r="C13" s="67" t="s">
        <v>4839</v>
      </c>
      <c r="D13" s="62">
        <v>46024.90256324074</v>
      </c>
      <c r="E13" s="71">
        <v>46025.000393518516</v>
      </c>
      <c r="F13" s="65">
        <f t="shared" si="1"/>
        <v>0.09783027777</v>
      </c>
    </row>
    <row r="14">
      <c r="A14" s="60"/>
      <c r="B14" s="70" t="s">
        <v>4840</v>
      </c>
      <c r="C14" s="67" t="s">
        <v>4841</v>
      </c>
      <c r="D14" s="62">
        <v>46025.39168914352</v>
      </c>
      <c r="E14" s="71">
        <v>46025.40314814815</v>
      </c>
      <c r="F14" s="65">
        <f t="shared" si="1"/>
        <v>0.01145900463</v>
      </c>
    </row>
    <row r="15">
      <c r="A15" s="60"/>
      <c r="B15" s="70" t="s">
        <v>4842</v>
      </c>
      <c r="C15" s="67" t="s">
        <v>4841</v>
      </c>
      <c r="D15" s="62">
        <v>46025.811039872686</v>
      </c>
      <c r="E15" s="62">
        <v>46025.83942771991</v>
      </c>
      <c r="F15" s="65">
        <f t="shared" si="1"/>
        <v>0.02838784723</v>
      </c>
    </row>
    <row r="16">
      <c r="A16" s="60"/>
      <c r="B16" s="70" t="s">
        <v>4843</v>
      </c>
      <c r="C16" s="67" t="s">
        <v>4841</v>
      </c>
      <c r="D16" s="62">
        <v>46025.92378986111</v>
      </c>
      <c r="E16" s="62">
        <v>46026.04911299769</v>
      </c>
      <c r="F16" s="65">
        <f t="shared" si="1"/>
        <v>0.1253231366</v>
      </c>
    </row>
    <row r="17">
      <c r="A17" s="60"/>
      <c r="B17" s="70" t="s">
        <v>4844</v>
      </c>
      <c r="C17" s="62"/>
      <c r="D17" s="62"/>
      <c r="E17" s="62"/>
      <c r="F17" s="63"/>
    </row>
    <row r="18">
      <c r="A18" s="60"/>
      <c r="B18" s="70" t="s">
        <v>4845</v>
      </c>
      <c r="C18" s="62"/>
      <c r="D18" s="62"/>
      <c r="E18" s="62"/>
      <c r="F18" s="63"/>
    </row>
    <row r="19">
      <c r="A19" s="60"/>
      <c r="B19" s="70" t="s">
        <v>4846</v>
      </c>
      <c r="C19" s="62"/>
      <c r="D19" s="62"/>
      <c r="E19" s="62"/>
      <c r="F19" s="63"/>
    </row>
    <row r="20">
      <c r="A20" s="60"/>
      <c r="B20" s="60"/>
      <c r="C20" s="62"/>
      <c r="D20" s="62"/>
      <c r="E20" s="62"/>
      <c r="F20" s="63"/>
    </row>
    <row r="21">
      <c r="A21" s="60"/>
      <c r="B21" s="60"/>
      <c r="C21" s="62"/>
      <c r="D21" s="62"/>
      <c r="E21" s="62"/>
      <c r="F21" s="63"/>
    </row>
    <row r="22">
      <c r="A22" s="60"/>
      <c r="B22" s="60"/>
      <c r="C22" s="62"/>
      <c r="D22" s="62"/>
      <c r="E22" s="62"/>
      <c r="F22" s="63"/>
    </row>
    <row r="23">
      <c r="A23" s="60"/>
      <c r="B23" s="60"/>
      <c r="C23" s="62"/>
      <c r="D23" s="62"/>
      <c r="E23" s="62"/>
      <c r="F23" s="65">
        <f>sum(F2:F22)</f>
        <v>0.6441131134</v>
      </c>
    </row>
    <row r="24">
      <c r="D24" s="72"/>
      <c r="E24" s="72"/>
    </row>
    <row r="25">
      <c r="D25" s="72"/>
      <c r="E25" s="72"/>
    </row>
    <row r="26">
      <c r="D26" s="72"/>
      <c r="E26" s="72"/>
    </row>
    <row r="27">
      <c r="D27" s="72"/>
    </row>
    <row r="28">
      <c r="D28" s="72"/>
    </row>
    <row r="29">
      <c r="D29" s="10" t="s">
        <v>4847</v>
      </c>
    </row>
    <row r="30">
      <c r="D30" s="10" t="s">
        <v>4848</v>
      </c>
    </row>
    <row r="31">
      <c r="D31" s="10" t="s">
        <v>4849</v>
      </c>
    </row>
    <row r="32">
      <c r="D32" s="10" t="s">
        <v>4850</v>
      </c>
    </row>
    <row r="33">
      <c r="D33" s="72"/>
    </row>
    <row r="34">
      <c r="D34" s="72"/>
    </row>
    <row r="35">
      <c r="D35" s="72"/>
    </row>
    <row r="36">
      <c r="D36" s="72"/>
    </row>
    <row r="37">
      <c r="D37" s="72"/>
    </row>
    <row r="38">
      <c r="D38" s="72"/>
    </row>
    <row r="39">
      <c r="D39" s="72"/>
    </row>
    <row r="40">
      <c r="D40" s="72"/>
    </row>
    <row r="41">
      <c r="D41" s="72"/>
    </row>
    <row r="42">
      <c r="D42" s="72"/>
    </row>
    <row r="43">
      <c r="D43" s="72"/>
    </row>
    <row r="44">
      <c r="D44" s="72"/>
    </row>
    <row r="45">
      <c r="D45" s="72"/>
    </row>
    <row r="46">
      <c r="D46" s="72"/>
    </row>
    <row r="47">
      <c r="D47" s="72"/>
    </row>
    <row r="48">
      <c r="D48" s="72"/>
    </row>
    <row r="49">
      <c r="D49" s="72"/>
    </row>
    <row r="50">
      <c r="D50" s="72"/>
    </row>
    <row r="51">
      <c r="D51" s="72"/>
    </row>
    <row r="52">
      <c r="D52" s="72"/>
    </row>
    <row r="53">
      <c r="D53" s="72"/>
    </row>
    <row r="54">
      <c r="D54" s="72"/>
    </row>
    <row r="55">
      <c r="D55" s="72"/>
    </row>
    <row r="56">
      <c r="D56" s="72"/>
    </row>
    <row r="57">
      <c r="D57" s="72"/>
    </row>
    <row r="58">
      <c r="D58" s="72"/>
    </row>
    <row r="59">
      <c r="D59" s="72"/>
    </row>
    <row r="60">
      <c r="D60" s="72"/>
    </row>
    <row r="61">
      <c r="D61" s="72"/>
    </row>
    <row r="62">
      <c r="D62" s="72"/>
    </row>
    <row r="63">
      <c r="D63" s="72"/>
    </row>
    <row r="64">
      <c r="D64" s="72"/>
    </row>
    <row r="65">
      <c r="D65" s="72"/>
    </row>
    <row r="66">
      <c r="D66" s="72"/>
    </row>
    <row r="67">
      <c r="D67" s="72"/>
    </row>
    <row r="68">
      <c r="D68" s="72"/>
    </row>
    <row r="69">
      <c r="D69" s="72"/>
    </row>
    <row r="70">
      <c r="D70" s="72"/>
    </row>
    <row r="71">
      <c r="D71" s="72"/>
    </row>
    <row r="72">
      <c r="D72" s="72"/>
    </row>
    <row r="73">
      <c r="D73" s="72"/>
    </row>
    <row r="74">
      <c r="D74" s="72"/>
    </row>
    <row r="75">
      <c r="D75" s="72"/>
    </row>
    <row r="76">
      <c r="D76" s="72"/>
    </row>
    <row r="77">
      <c r="D77" s="72"/>
    </row>
    <row r="78">
      <c r="D78" s="72"/>
    </row>
    <row r="79">
      <c r="D79" s="72"/>
    </row>
    <row r="80">
      <c r="D80" s="72"/>
    </row>
    <row r="81">
      <c r="D81" s="72"/>
    </row>
    <row r="82">
      <c r="D82" s="72"/>
    </row>
    <row r="83">
      <c r="D83" s="72"/>
    </row>
    <row r="84">
      <c r="D84" s="72"/>
    </row>
    <row r="85">
      <c r="D85" s="72"/>
    </row>
    <row r="86">
      <c r="D86" s="72"/>
    </row>
    <row r="87">
      <c r="D87" s="72"/>
    </row>
    <row r="88">
      <c r="D88" s="72"/>
    </row>
    <row r="89">
      <c r="D89" s="72"/>
    </row>
    <row r="90">
      <c r="D90" s="72"/>
    </row>
    <row r="91">
      <c r="D91" s="72"/>
    </row>
    <row r="92">
      <c r="D92" s="72"/>
    </row>
    <row r="93">
      <c r="D93" s="72"/>
    </row>
    <row r="94">
      <c r="D94" s="72"/>
    </row>
    <row r="95">
      <c r="D95" s="72"/>
    </row>
    <row r="96">
      <c r="D96" s="72"/>
    </row>
    <row r="97">
      <c r="D97" s="72"/>
    </row>
    <row r="98">
      <c r="D98" s="72"/>
    </row>
    <row r="99">
      <c r="D99" s="72"/>
    </row>
    <row r="100">
      <c r="D100" s="72"/>
    </row>
    <row r="101">
      <c r="D101" s="72"/>
    </row>
    <row r="102">
      <c r="D102" s="72"/>
    </row>
    <row r="103">
      <c r="D103" s="72"/>
    </row>
    <row r="104">
      <c r="D104" s="72"/>
    </row>
    <row r="105">
      <c r="D105" s="72"/>
    </row>
    <row r="106">
      <c r="D106" s="72"/>
    </row>
    <row r="107">
      <c r="D107" s="72"/>
    </row>
    <row r="108">
      <c r="D108" s="72"/>
    </row>
    <row r="109">
      <c r="D109" s="72"/>
    </row>
    <row r="110">
      <c r="D110" s="72"/>
    </row>
    <row r="111">
      <c r="D111" s="72"/>
    </row>
    <row r="112">
      <c r="D112" s="72"/>
    </row>
    <row r="113">
      <c r="D113" s="72"/>
    </row>
    <row r="114">
      <c r="D114" s="72"/>
    </row>
    <row r="115">
      <c r="D115" s="72"/>
    </row>
    <row r="116">
      <c r="D116" s="72"/>
    </row>
    <row r="117">
      <c r="D117" s="72"/>
    </row>
    <row r="118">
      <c r="D118" s="72"/>
    </row>
    <row r="119">
      <c r="D119" s="72"/>
    </row>
    <row r="120">
      <c r="D120" s="72"/>
    </row>
    <row r="121">
      <c r="D121" s="72"/>
    </row>
    <row r="122">
      <c r="D122" s="72"/>
    </row>
    <row r="123">
      <c r="D123" s="72"/>
    </row>
    <row r="124">
      <c r="D124" s="72"/>
    </row>
    <row r="125">
      <c r="D125" s="72"/>
    </row>
    <row r="126">
      <c r="D126" s="72"/>
    </row>
    <row r="127">
      <c r="D127" s="72"/>
    </row>
    <row r="128">
      <c r="D128" s="72"/>
    </row>
    <row r="129">
      <c r="D129" s="72"/>
    </row>
    <row r="130">
      <c r="D130" s="72"/>
    </row>
    <row r="131">
      <c r="D131" s="72"/>
    </row>
    <row r="132">
      <c r="D132" s="72"/>
    </row>
    <row r="133">
      <c r="D133" s="72"/>
    </row>
    <row r="134">
      <c r="D134" s="72"/>
    </row>
    <row r="135">
      <c r="D135" s="72"/>
    </row>
    <row r="136">
      <c r="D136" s="72"/>
    </row>
    <row r="137">
      <c r="D137" s="72"/>
    </row>
    <row r="138">
      <c r="D138" s="72"/>
    </row>
    <row r="139">
      <c r="D139" s="72"/>
    </row>
    <row r="140">
      <c r="D140" s="72"/>
    </row>
    <row r="141">
      <c r="D141" s="72"/>
    </row>
    <row r="142">
      <c r="D142" s="72"/>
    </row>
    <row r="143">
      <c r="D143" s="72"/>
    </row>
    <row r="144">
      <c r="D144" s="72"/>
    </row>
    <row r="145">
      <c r="D145" s="72"/>
    </row>
    <row r="146">
      <c r="D146" s="72"/>
    </row>
    <row r="147">
      <c r="D147" s="72"/>
    </row>
    <row r="148">
      <c r="D148" s="72"/>
    </row>
    <row r="149">
      <c r="D149" s="72"/>
    </row>
    <row r="150">
      <c r="D150" s="72"/>
    </row>
    <row r="151">
      <c r="D151" s="72"/>
    </row>
    <row r="152">
      <c r="D152" s="72"/>
    </row>
    <row r="153">
      <c r="D153" s="72"/>
    </row>
    <row r="154">
      <c r="D154" s="72"/>
    </row>
    <row r="155">
      <c r="D155" s="72"/>
    </row>
    <row r="156">
      <c r="D156" s="72"/>
    </row>
    <row r="157">
      <c r="D157" s="72"/>
    </row>
    <row r="158">
      <c r="D158" s="72"/>
    </row>
    <row r="159">
      <c r="D159" s="72"/>
    </row>
    <row r="160">
      <c r="D160" s="72"/>
    </row>
    <row r="161">
      <c r="D161" s="72"/>
    </row>
    <row r="162">
      <c r="D162" s="72"/>
    </row>
    <row r="163">
      <c r="D163" s="72"/>
    </row>
    <row r="164">
      <c r="D164" s="72"/>
    </row>
    <row r="165">
      <c r="D165" s="72"/>
    </row>
    <row r="166">
      <c r="D166" s="72"/>
    </row>
    <row r="167">
      <c r="D167" s="72"/>
    </row>
    <row r="168">
      <c r="D168" s="72"/>
    </row>
    <row r="169">
      <c r="D169" s="72"/>
    </row>
    <row r="170">
      <c r="D170" s="72"/>
    </row>
    <row r="171">
      <c r="D171" s="72"/>
    </row>
    <row r="172">
      <c r="D172" s="72"/>
    </row>
    <row r="173">
      <c r="D173" s="72"/>
    </row>
    <row r="174">
      <c r="D174" s="72"/>
    </row>
    <row r="175">
      <c r="D175" s="72"/>
    </row>
    <row r="176">
      <c r="D176" s="72"/>
    </row>
    <row r="177">
      <c r="D177" s="72"/>
    </row>
    <row r="178">
      <c r="D178" s="72"/>
    </row>
    <row r="179">
      <c r="D179" s="72"/>
    </row>
    <row r="180">
      <c r="D180" s="72"/>
    </row>
    <row r="181">
      <c r="D181" s="72"/>
    </row>
    <row r="182">
      <c r="D182" s="72"/>
    </row>
    <row r="183">
      <c r="D183" s="72"/>
    </row>
    <row r="184">
      <c r="D184" s="72"/>
    </row>
    <row r="185">
      <c r="D185" s="72"/>
    </row>
    <row r="186">
      <c r="D186" s="72"/>
    </row>
    <row r="187">
      <c r="D187" s="72"/>
    </row>
    <row r="188">
      <c r="D188" s="72"/>
    </row>
    <row r="189">
      <c r="D189" s="72"/>
    </row>
    <row r="190">
      <c r="D190" s="72"/>
    </row>
    <row r="191">
      <c r="D191" s="72"/>
    </row>
    <row r="192">
      <c r="D192" s="72"/>
    </row>
    <row r="193">
      <c r="D193" s="72"/>
    </row>
    <row r="194">
      <c r="D194" s="72"/>
    </row>
    <row r="195">
      <c r="D195" s="72"/>
    </row>
    <row r="196">
      <c r="D196" s="72"/>
    </row>
    <row r="197">
      <c r="D197" s="72"/>
    </row>
    <row r="198">
      <c r="D198" s="72"/>
    </row>
    <row r="199">
      <c r="D199" s="72"/>
    </row>
    <row r="200">
      <c r="D200" s="72"/>
    </row>
    <row r="201">
      <c r="D201" s="72"/>
    </row>
    <row r="202">
      <c r="D202" s="72"/>
    </row>
    <row r="203">
      <c r="D203" s="72"/>
    </row>
    <row r="204">
      <c r="D204" s="72"/>
    </row>
    <row r="205">
      <c r="D205" s="72"/>
    </row>
    <row r="206">
      <c r="D206" s="72"/>
    </row>
    <row r="207">
      <c r="D207" s="72"/>
    </row>
    <row r="208">
      <c r="D208" s="72"/>
    </row>
    <row r="209">
      <c r="D209" s="72"/>
    </row>
    <row r="210">
      <c r="D210" s="72"/>
    </row>
    <row r="211">
      <c r="D211" s="72"/>
    </row>
    <row r="212">
      <c r="D212" s="72"/>
    </row>
    <row r="213">
      <c r="D213" s="72"/>
    </row>
    <row r="214">
      <c r="D214" s="72"/>
    </row>
    <row r="215">
      <c r="D215" s="72"/>
    </row>
    <row r="216">
      <c r="D216" s="72"/>
    </row>
    <row r="217">
      <c r="D217" s="72"/>
    </row>
    <row r="218">
      <c r="D218" s="72"/>
    </row>
    <row r="219">
      <c r="D219" s="72"/>
    </row>
    <row r="220">
      <c r="D220" s="72"/>
    </row>
    <row r="221">
      <c r="D221" s="72"/>
    </row>
    <row r="222">
      <c r="D222" s="72"/>
    </row>
    <row r="223">
      <c r="D223" s="72"/>
    </row>
    <row r="224">
      <c r="D224" s="72"/>
    </row>
    <row r="225">
      <c r="D225" s="72"/>
    </row>
    <row r="226">
      <c r="D226" s="72"/>
    </row>
    <row r="227">
      <c r="D227" s="72"/>
    </row>
    <row r="228">
      <c r="D228" s="72"/>
    </row>
    <row r="229">
      <c r="D229" s="72"/>
    </row>
    <row r="230">
      <c r="D230" s="72"/>
    </row>
    <row r="231">
      <c r="D231" s="72"/>
    </row>
    <row r="232">
      <c r="D232" s="72"/>
    </row>
    <row r="233">
      <c r="D233" s="72"/>
    </row>
    <row r="234">
      <c r="D234" s="72"/>
    </row>
    <row r="235">
      <c r="D235" s="72"/>
    </row>
    <row r="236">
      <c r="D236" s="72"/>
    </row>
    <row r="237">
      <c r="D237" s="72"/>
    </row>
    <row r="238">
      <c r="D238" s="72"/>
    </row>
    <row r="239">
      <c r="D239" s="72"/>
    </row>
    <row r="240">
      <c r="D240" s="72"/>
    </row>
    <row r="241">
      <c r="D241" s="72"/>
    </row>
    <row r="242">
      <c r="D242" s="72"/>
    </row>
    <row r="243">
      <c r="D243" s="72"/>
    </row>
    <row r="244">
      <c r="D244" s="72"/>
    </row>
    <row r="245">
      <c r="D245" s="72"/>
    </row>
    <row r="246">
      <c r="D246" s="72"/>
    </row>
    <row r="247">
      <c r="D247" s="72"/>
    </row>
    <row r="248">
      <c r="D248" s="72"/>
    </row>
    <row r="249">
      <c r="D249" s="72"/>
    </row>
    <row r="250">
      <c r="D250" s="72"/>
    </row>
    <row r="251">
      <c r="D251" s="72"/>
    </row>
    <row r="252">
      <c r="D252" s="72"/>
    </row>
    <row r="253">
      <c r="D253" s="72"/>
    </row>
    <row r="254">
      <c r="D254" s="72"/>
    </row>
    <row r="255">
      <c r="D255" s="72"/>
    </row>
    <row r="256">
      <c r="D256" s="72"/>
    </row>
    <row r="257">
      <c r="D257" s="72"/>
    </row>
    <row r="258">
      <c r="D258" s="72"/>
    </row>
    <row r="259">
      <c r="D259" s="72"/>
    </row>
    <row r="260">
      <c r="D260" s="72"/>
    </row>
    <row r="261">
      <c r="D261" s="72"/>
    </row>
    <row r="262">
      <c r="D262" s="72"/>
    </row>
    <row r="263">
      <c r="D263" s="72"/>
    </row>
    <row r="264">
      <c r="D264" s="72"/>
    </row>
    <row r="265">
      <c r="D265" s="72"/>
    </row>
    <row r="266">
      <c r="D266" s="72"/>
    </row>
    <row r="267">
      <c r="D267" s="72"/>
    </row>
    <row r="268">
      <c r="D268" s="72"/>
    </row>
    <row r="269">
      <c r="D269" s="72"/>
    </row>
    <row r="270">
      <c r="D270" s="72"/>
    </row>
    <row r="271">
      <c r="D271" s="72"/>
    </row>
    <row r="272">
      <c r="D272" s="72"/>
    </row>
    <row r="273">
      <c r="D273" s="72"/>
    </row>
    <row r="274">
      <c r="D274" s="72"/>
    </row>
    <row r="275">
      <c r="D275" s="72"/>
    </row>
    <row r="276">
      <c r="D276" s="72"/>
    </row>
    <row r="277">
      <c r="D277" s="72"/>
    </row>
    <row r="278">
      <c r="D278" s="72"/>
    </row>
    <row r="279">
      <c r="D279" s="72"/>
    </row>
    <row r="280">
      <c r="D280" s="72"/>
    </row>
    <row r="281">
      <c r="D281" s="72"/>
    </row>
    <row r="282">
      <c r="D282" s="72"/>
    </row>
    <row r="283">
      <c r="D283" s="72"/>
    </row>
    <row r="284">
      <c r="D284" s="72"/>
    </row>
    <row r="285">
      <c r="D285" s="72"/>
    </row>
    <row r="286">
      <c r="D286" s="72"/>
    </row>
    <row r="287">
      <c r="D287" s="72"/>
    </row>
    <row r="288">
      <c r="D288" s="72"/>
    </row>
    <row r="289">
      <c r="D289" s="72"/>
    </row>
    <row r="290">
      <c r="D290" s="72"/>
    </row>
    <row r="291">
      <c r="D291" s="72"/>
    </row>
    <row r="292">
      <c r="D292" s="72"/>
    </row>
    <row r="293">
      <c r="D293" s="72"/>
    </row>
    <row r="294">
      <c r="D294" s="72"/>
    </row>
    <row r="295">
      <c r="D295" s="72"/>
    </row>
    <row r="296">
      <c r="D296" s="72"/>
    </row>
    <row r="297">
      <c r="D297" s="72"/>
    </row>
    <row r="298">
      <c r="D298" s="72"/>
    </row>
    <row r="299">
      <c r="D299" s="72"/>
    </row>
    <row r="300">
      <c r="D300" s="72"/>
    </row>
    <row r="301">
      <c r="D301" s="72"/>
    </row>
    <row r="302">
      <c r="D302" s="72"/>
    </row>
    <row r="303">
      <c r="D303" s="72"/>
    </row>
    <row r="304">
      <c r="D304" s="72"/>
    </row>
    <row r="305">
      <c r="D305" s="72"/>
    </row>
    <row r="306">
      <c r="D306" s="72"/>
    </row>
    <row r="307">
      <c r="D307" s="72"/>
    </row>
    <row r="308">
      <c r="D308" s="72"/>
    </row>
    <row r="309">
      <c r="D309" s="72"/>
    </row>
    <row r="310">
      <c r="D310" s="72"/>
    </row>
    <row r="311">
      <c r="D311" s="72"/>
    </row>
    <row r="312">
      <c r="D312" s="72"/>
    </row>
    <row r="313">
      <c r="D313" s="72"/>
    </row>
    <row r="314">
      <c r="D314" s="72"/>
    </row>
    <row r="315">
      <c r="D315" s="72"/>
    </row>
    <row r="316">
      <c r="D316" s="72"/>
    </row>
    <row r="317">
      <c r="D317" s="72"/>
    </row>
    <row r="318">
      <c r="D318" s="72"/>
    </row>
    <row r="319">
      <c r="D319" s="72"/>
    </row>
    <row r="320">
      <c r="D320" s="72"/>
    </row>
    <row r="321">
      <c r="D321" s="72"/>
    </row>
    <row r="322">
      <c r="D322" s="72"/>
    </row>
    <row r="323">
      <c r="D323" s="72"/>
    </row>
    <row r="324">
      <c r="D324" s="72"/>
    </row>
    <row r="325">
      <c r="D325" s="72"/>
    </row>
    <row r="326">
      <c r="D326" s="72"/>
    </row>
    <row r="327">
      <c r="D327" s="72"/>
    </row>
    <row r="328">
      <c r="D328" s="72"/>
    </row>
    <row r="329">
      <c r="D329" s="72"/>
    </row>
    <row r="330">
      <c r="D330" s="72"/>
    </row>
    <row r="331">
      <c r="D331" s="72"/>
    </row>
    <row r="332">
      <c r="D332" s="72"/>
    </row>
    <row r="333">
      <c r="D333" s="72"/>
    </row>
    <row r="334">
      <c r="D334" s="72"/>
    </row>
    <row r="335">
      <c r="D335" s="72"/>
    </row>
    <row r="336">
      <c r="D336" s="72"/>
    </row>
    <row r="337">
      <c r="D337" s="72"/>
    </row>
    <row r="338">
      <c r="D338" s="72"/>
    </row>
    <row r="339">
      <c r="D339" s="72"/>
    </row>
    <row r="340">
      <c r="D340" s="72"/>
    </row>
    <row r="341">
      <c r="D341" s="72"/>
    </row>
    <row r="342">
      <c r="D342" s="72"/>
    </row>
    <row r="343">
      <c r="D343" s="72"/>
    </row>
    <row r="344">
      <c r="D344" s="72"/>
    </row>
    <row r="345">
      <c r="D345" s="72"/>
    </row>
    <row r="346">
      <c r="D346" s="72"/>
    </row>
    <row r="347">
      <c r="D347" s="72"/>
    </row>
    <row r="348">
      <c r="D348" s="72"/>
    </row>
    <row r="349">
      <c r="D349" s="72"/>
    </row>
    <row r="350">
      <c r="D350" s="72"/>
    </row>
    <row r="351">
      <c r="D351" s="72"/>
    </row>
    <row r="352">
      <c r="D352" s="72"/>
    </row>
    <row r="353">
      <c r="D353" s="72"/>
    </row>
    <row r="354">
      <c r="D354" s="72"/>
    </row>
    <row r="355">
      <c r="D355" s="72"/>
    </row>
    <row r="356">
      <c r="D356" s="72"/>
    </row>
    <row r="357">
      <c r="D357" s="72"/>
    </row>
    <row r="358">
      <c r="D358" s="72"/>
    </row>
    <row r="359">
      <c r="D359" s="72"/>
    </row>
    <row r="360">
      <c r="D360" s="72"/>
    </row>
    <row r="361">
      <c r="D361" s="72"/>
    </row>
    <row r="362">
      <c r="D362" s="72"/>
    </row>
    <row r="363">
      <c r="D363" s="72"/>
    </row>
    <row r="364">
      <c r="D364" s="72"/>
    </row>
    <row r="365">
      <c r="D365" s="72"/>
    </row>
    <row r="366">
      <c r="D366" s="72"/>
    </row>
    <row r="367">
      <c r="D367" s="72"/>
    </row>
    <row r="368">
      <c r="D368" s="72"/>
    </row>
    <row r="369">
      <c r="D369" s="72"/>
    </row>
    <row r="370">
      <c r="D370" s="72"/>
    </row>
    <row r="371">
      <c r="D371" s="72"/>
    </row>
    <row r="372">
      <c r="D372" s="72"/>
    </row>
    <row r="373">
      <c r="D373" s="72"/>
    </row>
    <row r="374">
      <c r="D374" s="72"/>
    </row>
    <row r="375">
      <c r="D375" s="72"/>
    </row>
    <row r="376">
      <c r="D376" s="72"/>
    </row>
    <row r="377">
      <c r="D377" s="72"/>
    </row>
    <row r="378">
      <c r="D378" s="72"/>
    </row>
    <row r="379">
      <c r="D379" s="72"/>
    </row>
    <row r="380">
      <c r="D380" s="72"/>
    </row>
    <row r="381">
      <c r="D381" s="72"/>
    </row>
    <row r="382">
      <c r="D382" s="72"/>
    </row>
    <row r="383">
      <c r="D383" s="72"/>
    </row>
    <row r="384">
      <c r="D384" s="72"/>
    </row>
    <row r="385">
      <c r="D385" s="72"/>
    </row>
    <row r="386">
      <c r="D386" s="72"/>
    </row>
    <row r="387">
      <c r="D387" s="72"/>
    </row>
    <row r="388">
      <c r="D388" s="72"/>
    </row>
    <row r="389">
      <c r="D389" s="72"/>
    </row>
    <row r="390">
      <c r="D390" s="72"/>
    </row>
    <row r="391">
      <c r="D391" s="72"/>
    </row>
    <row r="392">
      <c r="D392" s="72"/>
    </row>
    <row r="393">
      <c r="D393" s="72"/>
    </row>
    <row r="394">
      <c r="D394" s="72"/>
    </row>
    <row r="395">
      <c r="D395" s="72"/>
    </row>
    <row r="396">
      <c r="D396" s="72"/>
    </row>
    <row r="397">
      <c r="D397" s="72"/>
    </row>
    <row r="398">
      <c r="D398" s="72"/>
    </row>
    <row r="399">
      <c r="D399" s="72"/>
    </row>
    <row r="400">
      <c r="D400" s="72"/>
    </row>
    <row r="401">
      <c r="D401" s="72"/>
    </row>
    <row r="402">
      <c r="D402" s="72"/>
    </row>
    <row r="403">
      <c r="D403" s="72"/>
    </row>
    <row r="404">
      <c r="D404" s="72"/>
    </row>
    <row r="405">
      <c r="D405" s="72"/>
    </row>
    <row r="406">
      <c r="D406" s="72"/>
    </row>
    <row r="407">
      <c r="D407" s="72"/>
    </row>
    <row r="408">
      <c r="D408" s="72"/>
    </row>
    <row r="409">
      <c r="D409" s="72"/>
    </row>
    <row r="410">
      <c r="D410" s="72"/>
    </row>
    <row r="411">
      <c r="D411" s="72"/>
    </row>
    <row r="412">
      <c r="D412" s="72"/>
    </row>
    <row r="413">
      <c r="D413" s="72"/>
    </row>
    <row r="414">
      <c r="D414" s="72"/>
    </row>
    <row r="415">
      <c r="D415" s="72"/>
    </row>
    <row r="416">
      <c r="D416" s="72"/>
    </row>
    <row r="417">
      <c r="D417" s="72"/>
    </row>
    <row r="418">
      <c r="D418" s="72"/>
    </row>
    <row r="419">
      <c r="D419" s="72"/>
    </row>
    <row r="420">
      <c r="D420" s="72"/>
    </row>
    <row r="421">
      <c r="D421" s="72"/>
    </row>
    <row r="422">
      <c r="D422" s="72"/>
    </row>
    <row r="423">
      <c r="D423" s="72"/>
    </row>
    <row r="424">
      <c r="D424" s="72"/>
    </row>
    <row r="425">
      <c r="D425" s="72"/>
    </row>
    <row r="426">
      <c r="D426" s="72"/>
    </row>
    <row r="427">
      <c r="D427" s="72"/>
    </row>
    <row r="428">
      <c r="D428" s="72"/>
    </row>
    <row r="429">
      <c r="D429" s="72"/>
    </row>
    <row r="430">
      <c r="D430" s="72"/>
    </row>
    <row r="431">
      <c r="D431" s="72"/>
    </row>
    <row r="432">
      <c r="D432" s="72"/>
    </row>
    <row r="433">
      <c r="D433" s="72"/>
    </row>
    <row r="434">
      <c r="D434" s="72"/>
    </row>
    <row r="435">
      <c r="D435" s="72"/>
    </row>
    <row r="436">
      <c r="D436" s="72"/>
    </row>
    <row r="437">
      <c r="D437" s="72"/>
    </row>
    <row r="438">
      <c r="D438" s="72"/>
    </row>
    <row r="439">
      <c r="D439" s="72"/>
    </row>
    <row r="440">
      <c r="D440" s="72"/>
    </row>
    <row r="441">
      <c r="D441" s="72"/>
    </row>
    <row r="442">
      <c r="D442" s="72"/>
    </row>
    <row r="443">
      <c r="D443" s="72"/>
    </row>
    <row r="444">
      <c r="D444" s="72"/>
    </row>
    <row r="445">
      <c r="D445" s="72"/>
    </row>
    <row r="446">
      <c r="D446" s="72"/>
    </row>
    <row r="447">
      <c r="D447" s="72"/>
    </row>
    <row r="448">
      <c r="D448" s="72"/>
    </row>
    <row r="449">
      <c r="D449" s="72"/>
    </row>
    <row r="450">
      <c r="D450" s="72"/>
    </row>
    <row r="451">
      <c r="D451" s="72"/>
    </row>
    <row r="452">
      <c r="D452" s="72"/>
    </row>
    <row r="453">
      <c r="D453" s="72"/>
    </row>
    <row r="454">
      <c r="D454" s="72"/>
    </row>
    <row r="455">
      <c r="D455" s="72"/>
    </row>
    <row r="456">
      <c r="D456" s="72"/>
    </row>
    <row r="457">
      <c r="D457" s="72"/>
    </row>
    <row r="458">
      <c r="D458" s="72"/>
    </row>
    <row r="459">
      <c r="D459" s="72"/>
    </row>
    <row r="460">
      <c r="D460" s="72"/>
    </row>
    <row r="461">
      <c r="D461" s="72"/>
    </row>
    <row r="462">
      <c r="D462" s="72"/>
    </row>
    <row r="463">
      <c r="D463" s="72"/>
    </row>
    <row r="464">
      <c r="D464" s="72"/>
    </row>
    <row r="465">
      <c r="D465" s="72"/>
    </row>
    <row r="466">
      <c r="D466" s="72"/>
    </row>
    <row r="467">
      <c r="D467" s="72"/>
    </row>
    <row r="468">
      <c r="D468" s="72"/>
    </row>
    <row r="469">
      <c r="D469" s="72"/>
    </row>
    <row r="470">
      <c r="D470" s="72"/>
    </row>
    <row r="471">
      <c r="D471" s="72"/>
    </row>
    <row r="472">
      <c r="D472" s="72"/>
    </row>
    <row r="473">
      <c r="D473" s="72"/>
    </row>
    <row r="474">
      <c r="D474" s="72"/>
    </row>
    <row r="475">
      <c r="D475" s="72"/>
    </row>
    <row r="476">
      <c r="D476" s="72"/>
    </row>
    <row r="477">
      <c r="D477" s="72"/>
    </row>
    <row r="478">
      <c r="D478" s="72"/>
    </row>
    <row r="479">
      <c r="D479" s="72"/>
    </row>
    <row r="480">
      <c r="D480" s="72"/>
    </row>
    <row r="481">
      <c r="D481" s="72"/>
    </row>
    <row r="482">
      <c r="D482" s="72"/>
    </row>
    <row r="483">
      <c r="D483" s="72"/>
    </row>
    <row r="484">
      <c r="D484" s="72"/>
    </row>
    <row r="485">
      <c r="D485" s="72"/>
    </row>
    <row r="486">
      <c r="D486" s="72"/>
    </row>
    <row r="487">
      <c r="D487" s="72"/>
    </row>
    <row r="488">
      <c r="D488" s="72"/>
    </row>
    <row r="489">
      <c r="D489" s="72"/>
    </row>
    <row r="490">
      <c r="D490" s="72"/>
    </row>
    <row r="491">
      <c r="D491" s="72"/>
    </row>
    <row r="492">
      <c r="D492" s="72"/>
    </row>
    <row r="493">
      <c r="D493" s="72"/>
    </row>
    <row r="494">
      <c r="D494" s="72"/>
    </row>
    <row r="495">
      <c r="D495" s="72"/>
    </row>
    <row r="496">
      <c r="D496" s="72"/>
    </row>
    <row r="497">
      <c r="D497" s="72"/>
    </row>
    <row r="498">
      <c r="D498" s="72"/>
    </row>
    <row r="499">
      <c r="D499" s="72"/>
    </row>
    <row r="500">
      <c r="D500" s="72"/>
    </row>
    <row r="501">
      <c r="D501" s="72"/>
    </row>
    <row r="502">
      <c r="D502" s="72"/>
    </row>
    <row r="503">
      <c r="D503" s="72"/>
    </row>
    <row r="504">
      <c r="D504" s="72"/>
    </row>
    <row r="505">
      <c r="D505" s="72"/>
    </row>
    <row r="506">
      <c r="D506" s="72"/>
    </row>
    <row r="507">
      <c r="D507" s="72"/>
    </row>
    <row r="508">
      <c r="D508" s="72"/>
    </row>
    <row r="509">
      <c r="D509" s="72"/>
    </row>
    <row r="510">
      <c r="D510" s="72"/>
    </row>
    <row r="511">
      <c r="D511" s="72"/>
    </row>
    <row r="512">
      <c r="D512" s="72"/>
    </row>
    <row r="513">
      <c r="D513" s="72"/>
    </row>
    <row r="514">
      <c r="D514" s="72"/>
    </row>
    <row r="515">
      <c r="D515" s="72"/>
    </row>
    <row r="516">
      <c r="D516" s="72"/>
    </row>
    <row r="517">
      <c r="D517" s="72"/>
    </row>
    <row r="518">
      <c r="D518" s="72"/>
    </row>
    <row r="519">
      <c r="D519" s="72"/>
    </row>
    <row r="520">
      <c r="D520" s="72"/>
    </row>
    <row r="521">
      <c r="D521" s="72"/>
    </row>
    <row r="522">
      <c r="D522" s="72"/>
    </row>
    <row r="523">
      <c r="D523" s="72"/>
    </row>
    <row r="524">
      <c r="D524" s="72"/>
    </row>
    <row r="525">
      <c r="D525" s="72"/>
    </row>
    <row r="526">
      <c r="D526" s="72"/>
    </row>
    <row r="527">
      <c r="D527" s="72"/>
    </row>
    <row r="528">
      <c r="D528" s="72"/>
    </row>
    <row r="529">
      <c r="D529" s="72"/>
    </row>
    <row r="530">
      <c r="D530" s="72"/>
    </row>
    <row r="531">
      <c r="D531" s="72"/>
    </row>
    <row r="532">
      <c r="D532" s="72"/>
    </row>
    <row r="533">
      <c r="D533" s="72"/>
    </row>
    <row r="534">
      <c r="D534" s="72"/>
    </row>
    <row r="535">
      <c r="D535" s="72"/>
    </row>
    <row r="536">
      <c r="D536" s="72"/>
    </row>
    <row r="537">
      <c r="D537" s="72"/>
    </row>
    <row r="538">
      <c r="D538" s="72"/>
    </row>
    <row r="539">
      <c r="D539" s="72"/>
    </row>
    <row r="540">
      <c r="D540" s="72"/>
    </row>
    <row r="541">
      <c r="D541" s="72"/>
    </row>
    <row r="542">
      <c r="D542" s="72"/>
    </row>
    <row r="543">
      <c r="D543" s="72"/>
    </row>
    <row r="544">
      <c r="D544" s="72"/>
    </row>
    <row r="545">
      <c r="D545" s="72"/>
    </row>
    <row r="546">
      <c r="D546" s="72"/>
    </row>
    <row r="547">
      <c r="D547" s="72"/>
    </row>
    <row r="548">
      <c r="D548" s="72"/>
    </row>
    <row r="549">
      <c r="D549" s="72"/>
    </row>
    <row r="550">
      <c r="D550" s="72"/>
    </row>
    <row r="551">
      <c r="D551" s="72"/>
    </row>
    <row r="552">
      <c r="D552" s="72"/>
    </row>
    <row r="553">
      <c r="D553" s="72"/>
    </row>
    <row r="554">
      <c r="D554" s="72"/>
    </row>
    <row r="555">
      <c r="D555" s="72"/>
    </row>
    <row r="556">
      <c r="D556" s="72"/>
    </row>
    <row r="557">
      <c r="D557" s="72"/>
    </row>
    <row r="558">
      <c r="D558" s="72"/>
    </row>
    <row r="559">
      <c r="D559" s="72"/>
    </row>
    <row r="560">
      <c r="D560" s="72"/>
    </row>
    <row r="561">
      <c r="D561" s="72"/>
    </row>
    <row r="562">
      <c r="D562" s="72"/>
    </row>
    <row r="563">
      <c r="D563" s="72"/>
    </row>
    <row r="564">
      <c r="D564" s="72"/>
    </row>
    <row r="565">
      <c r="D565" s="72"/>
    </row>
    <row r="566">
      <c r="D566" s="72"/>
    </row>
    <row r="567">
      <c r="D567" s="72"/>
    </row>
    <row r="568">
      <c r="D568" s="72"/>
    </row>
    <row r="569">
      <c r="D569" s="72"/>
    </row>
    <row r="570">
      <c r="D570" s="72"/>
    </row>
    <row r="571">
      <c r="D571" s="72"/>
    </row>
    <row r="572">
      <c r="D572" s="72"/>
    </row>
    <row r="573">
      <c r="D573" s="72"/>
    </row>
    <row r="574">
      <c r="D574" s="72"/>
    </row>
    <row r="575">
      <c r="D575" s="72"/>
    </row>
    <row r="576">
      <c r="D576" s="72"/>
    </row>
    <row r="577">
      <c r="D577" s="72"/>
    </row>
    <row r="578">
      <c r="D578" s="72"/>
    </row>
    <row r="579">
      <c r="D579" s="72"/>
    </row>
    <row r="580">
      <c r="D580" s="72"/>
    </row>
    <row r="581">
      <c r="D581" s="72"/>
    </row>
    <row r="582">
      <c r="D582" s="72"/>
    </row>
    <row r="583">
      <c r="D583" s="72"/>
    </row>
    <row r="584">
      <c r="D584" s="72"/>
    </row>
    <row r="585">
      <c r="D585" s="72"/>
    </row>
    <row r="586">
      <c r="D586" s="72"/>
    </row>
    <row r="587">
      <c r="D587" s="72"/>
    </row>
    <row r="588">
      <c r="D588" s="72"/>
    </row>
    <row r="589">
      <c r="D589" s="72"/>
    </row>
    <row r="590">
      <c r="D590" s="72"/>
    </row>
    <row r="591">
      <c r="D591" s="72"/>
    </row>
    <row r="592">
      <c r="D592" s="72"/>
    </row>
    <row r="593">
      <c r="D593" s="72"/>
    </row>
    <row r="594">
      <c r="D594" s="72"/>
    </row>
    <row r="595">
      <c r="D595" s="72"/>
    </row>
    <row r="596">
      <c r="D596" s="72"/>
    </row>
    <row r="597">
      <c r="D597" s="72"/>
    </row>
    <row r="598">
      <c r="D598" s="72"/>
    </row>
    <row r="599">
      <c r="D599" s="72"/>
    </row>
    <row r="600">
      <c r="D600" s="72"/>
    </row>
    <row r="601">
      <c r="D601" s="72"/>
    </row>
    <row r="602">
      <c r="D602" s="72"/>
    </row>
    <row r="603">
      <c r="D603" s="72"/>
    </row>
    <row r="604">
      <c r="D604" s="72"/>
    </row>
    <row r="605">
      <c r="D605" s="72"/>
    </row>
    <row r="606">
      <c r="D606" s="72"/>
    </row>
    <row r="607">
      <c r="D607" s="72"/>
    </row>
    <row r="608">
      <c r="D608" s="72"/>
    </row>
    <row r="609">
      <c r="D609" s="72"/>
    </row>
    <row r="610">
      <c r="D610" s="72"/>
    </row>
    <row r="611">
      <c r="D611" s="72"/>
    </row>
    <row r="612">
      <c r="D612" s="72"/>
    </row>
    <row r="613">
      <c r="D613" s="72"/>
    </row>
    <row r="614">
      <c r="D614" s="72"/>
    </row>
    <row r="615">
      <c r="D615" s="72"/>
    </row>
    <row r="616">
      <c r="D616" s="72"/>
    </row>
    <row r="617">
      <c r="D617" s="72"/>
    </row>
    <row r="618">
      <c r="D618" s="72"/>
    </row>
    <row r="619">
      <c r="D619" s="72"/>
    </row>
    <row r="620">
      <c r="D620" s="72"/>
    </row>
    <row r="621">
      <c r="D621" s="72"/>
    </row>
    <row r="622">
      <c r="D622" s="72"/>
    </row>
    <row r="623">
      <c r="D623" s="72"/>
    </row>
    <row r="624">
      <c r="D624" s="72"/>
    </row>
    <row r="625">
      <c r="D625" s="72"/>
    </row>
    <row r="626">
      <c r="D626" s="72"/>
    </row>
    <row r="627">
      <c r="D627" s="72"/>
    </row>
    <row r="628">
      <c r="D628" s="72"/>
    </row>
    <row r="629">
      <c r="D629" s="72"/>
    </row>
    <row r="630">
      <c r="D630" s="72"/>
    </row>
    <row r="631">
      <c r="D631" s="72"/>
    </row>
    <row r="632">
      <c r="D632" s="72"/>
    </row>
    <row r="633">
      <c r="D633" s="72"/>
    </row>
    <row r="634">
      <c r="D634" s="72"/>
    </row>
    <row r="635">
      <c r="D635" s="72"/>
    </row>
    <row r="636">
      <c r="D636" s="72"/>
    </row>
    <row r="637">
      <c r="D637" s="72"/>
    </row>
    <row r="638">
      <c r="D638" s="72"/>
    </row>
    <row r="639">
      <c r="D639" s="72"/>
    </row>
    <row r="640">
      <c r="D640" s="72"/>
    </row>
    <row r="641">
      <c r="D641" s="72"/>
    </row>
    <row r="642">
      <c r="D642" s="72"/>
    </row>
    <row r="643">
      <c r="D643" s="72"/>
    </row>
    <row r="644">
      <c r="D644" s="72"/>
    </row>
    <row r="645">
      <c r="D645" s="72"/>
    </row>
    <row r="646">
      <c r="D646" s="72"/>
    </row>
    <row r="647">
      <c r="D647" s="72"/>
    </row>
    <row r="648">
      <c r="D648" s="72"/>
    </row>
    <row r="649">
      <c r="D649" s="72"/>
    </row>
    <row r="650">
      <c r="D650" s="72"/>
    </row>
    <row r="651">
      <c r="D651" s="72"/>
    </row>
    <row r="652">
      <c r="D652" s="72"/>
    </row>
    <row r="653">
      <c r="D653" s="72"/>
    </row>
    <row r="654">
      <c r="D654" s="72"/>
    </row>
    <row r="655">
      <c r="D655" s="72"/>
    </row>
    <row r="656">
      <c r="D656" s="72"/>
    </row>
    <row r="657">
      <c r="D657" s="72"/>
    </row>
    <row r="658">
      <c r="D658" s="72"/>
    </row>
    <row r="659">
      <c r="D659" s="72"/>
    </row>
    <row r="660">
      <c r="D660" s="72"/>
    </row>
    <row r="661">
      <c r="D661" s="72"/>
    </row>
    <row r="662">
      <c r="D662" s="72"/>
    </row>
    <row r="663">
      <c r="D663" s="72"/>
    </row>
    <row r="664">
      <c r="D664" s="72"/>
    </row>
    <row r="665">
      <c r="D665" s="72"/>
    </row>
    <row r="666">
      <c r="D666" s="72"/>
    </row>
    <row r="667">
      <c r="D667" s="72"/>
    </row>
    <row r="668">
      <c r="D668" s="72"/>
    </row>
    <row r="669">
      <c r="D669" s="72"/>
    </row>
    <row r="670">
      <c r="D670" s="72"/>
    </row>
    <row r="671">
      <c r="D671" s="72"/>
    </row>
    <row r="672">
      <c r="D672" s="72"/>
    </row>
    <row r="673">
      <c r="D673" s="72"/>
    </row>
    <row r="674">
      <c r="D674" s="72"/>
    </row>
    <row r="675">
      <c r="D675" s="72"/>
    </row>
    <row r="676">
      <c r="D676" s="72"/>
    </row>
    <row r="677">
      <c r="D677" s="72"/>
    </row>
    <row r="678">
      <c r="D678" s="72"/>
    </row>
    <row r="679">
      <c r="D679" s="72"/>
    </row>
    <row r="680">
      <c r="D680" s="72"/>
    </row>
    <row r="681">
      <c r="D681" s="72"/>
    </row>
    <row r="682">
      <c r="D682" s="72"/>
    </row>
    <row r="683">
      <c r="D683" s="72"/>
    </row>
    <row r="684">
      <c r="D684" s="72"/>
    </row>
    <row r="685">
      <c r="D685" s="72"/>
    </row>
    <row r="686">
      <c r="D686" s="72"/>
    </row>
    <row r="687">
      <c r="D687" s="72"/>
    </row>
    <row r="688">
      <c r="D688" s="72"/>
    </row>
    <row r="689">
      <c r="D689" s="72"/>
    </row>
    <row r="690">
      <c r="D690" s="72"/>
    </row>
    <row r="691">
      <c r="D691" s="72"/>
    </row>
    <row r="692">
      <c r="D692" s="72"/>
    </row>
    <row r="693">
      <c r="D693" s="72"/>
    </row>
    <row r="694">
      <c r="D694" s="72"/>
    </row>
    <row r="695">
      <c r="D695" s="72"/>
    </row>
    <row r="696">
      <c r="D696" s="72"/>
    </row>
    <row r="697">
      <c r="D697" s="72"/>
    </row>
    <row r="698">
      <c r="D698" s="72"/>
    </row>
    <row r="699">
      <c r="D699" s="72"/>
    </row>
    <row r="700">
      <c r="D700" s="72"/>
    </row>
    <row r="701">
      <c r="D701" s="72"/>
    </row>
    <row r="702">
      <c r="D702" s="72"/>
    </row>
    <row r="703">
      <c r="D703" s="72"/>
    </row>
    <row r="704">
      <c r="D704" s="72"/>
    </row>
    <row r="705">
      <c r="D705" s="72"/>
    </row>
    <row r="706">
      <c r="D706" s="72"/>
    </row>
    <row r="707">
      <c r="D707" s="72"/>
    </row>
    <row r="708">
      <c r="D708" s="72"/>
    </row>
    <row r="709">
      <c r="D709" s="72"/>
    </row>
    <row r="710">
      <c r="D710" s="72"/>
    </row>
    <row r="711">
      <c r="D711" s="72"/>
    </row>
    <row r="712">
      <c r="D712" s="72"/>
    </row>
    <row r="713">
      <c r="D713" s="72"/>
    </row>
    <row r="714">
      <c r="D714" s="72"/>
    </row>
    <row r="715">
      <c r="D715" s="72"/>
    </row>
    <row r="716">
      <c r="D716" s="72"/>
    </row>
    <row r="717">
      <c r="D717" s="72"/>
    </row>
    <row r="718">
      <c r="D718" s="72"/>
    </row>
    <row r="719">
      <c r="D719" s="72"/>
    </row>
    <row r="720">
      <c r="D720" s="72"/>
    </row>
    <row r="721">
      <c r="D721" s="72"/>
    </row>
    <row r="722">
      <c r="D722" s="72"/>
    </row>
    <row r="723">
      <c r="D723" s="72"/>
    </row>
    <row r="724">
      <c r="D724" s="72"/>
    </row>
    <row r="725">
      <c r="D725" s="72"/>
    </row>
    <row r="726">
      <c r="D726" s="72"/>
    </row>
    <row r="727">
      <c r="D727" s="72"/>
    </row>
    <row r="728">
      <c r="D728" s="72"/>
    </row>
    <row r="729">
      <c r="D729" s="72"/>
    </row>
    <row r="730">
      <c r="D730" s="72"/>
    </row>
    <row r="731">
      <c r="D731" s="72"/>
    </row>
    <row r="732">
      <c r="D732" s="72"/>
    </row>
    <row r="733">
      <c r="D733" s="72"/>
    </row>
    <row r="734">
      <c r="D734" s="72"/>
    </row>
    <row r="735">
      <c r="D735" s="72"/>
    </row>
    <row r="736">
      <c r="D736" s="72"/>
    </row>
    <row r="737">
      <c r="D737" s="72"/>
    </row>
    <row r="738">
      <c r="D738" s="72"/>
    </row>
    <row r="739">
      <c r="D739" s="72"/>
    </row>
    <row r="740">
      <c r="D740" s="72"/>
    </row>
    <row r="741">
      <c r="D741" s="72"/>
    </row>
    <row r="742">
      <c r="D742" s="72"/>
    </row>
    <row r="743">
      <c r="D743" s="72"/>
    </row>
    <row r="744">
      <c r="D744" s="72"/>
    </row>
    <row r="745">
      <c r="D745" s="72"/>
    </row>
    <row r="746">
      <c r="D746" s="72"/>
    </row>
    <row r="747">
      <c r="D747" s="72"/>
    </row>
    <row r="748">
      <c r="D748" s="72"/>
    </row>
    <row r="749">
      <c r="D749" s="72"/>
    </row>
    <row r="750">
      <c r="D750" s="72"/>
    </row>
    <row r="751">
      <c r="D751" s="72"/>
    </row>
    <row r="752">
      <c r="D752" s="72"/>
    </row>
    <row r="753">
      <c r="D753" s="72"/>
    </row>
    <row r="754">
      <c r="D754" s="72"/>
    </row>
    <row r="755">
      <c r="D755" s="72"/>
    </row>
    <row r="756">
      <c r="D756" s="72"/>
    </row>
    <row r="757">
      <c r="D757" s="72"/>
    </row>
    <row r="758">
      <c r="D758" s="72"/>
    </row>
    <row r="759">
      <c r="D759" s="72"/>
    </row>
    <row r="760">
      <c r="D760" s="72"/>
    </row>
    <row r="761">
      <c r="D761" s="72"/>
    </row>
    <row r="762">
      <c r="D762" s="72"/>
    </row>
    <row r="763">
      <c r="D763" s="72"/>
    </row>
    <row r="764">
      <c r="D764" s="72"/>
    </row>
    <row r="765">
      <c r="D765" s="72"/>
    </row>
    <row r="766">
      <c r="D766" s="72"/>
    </row>
    <row r="767">
      <c r="D767" s="72"/>
    </row>
    <row r="768">
      <c r="D768" s="72"/>
    </row>
    <row r="769">
      <c r="D769" s="72"/>
    </row>
    <row r="770">
      <c r="D770" s="72"/>
    </row>
    <row r="771">
      <c r="D771" s="72"/>
    </row>
    <row r="772">
      <c r="D772" s="72"/>
    </row>
    <row r="773">
      <c r="D773" s="72"/>
    </row>
    <row r="774">
      <c r="D774" s="72"/>
    </row>
    <row r="775">
      <c r="D775" s="72"/>
    </row>
    <row r="776">
      <c r="D776" s="72"/>
    </row>
    <row r="777">
      <c r="D777" s="72"/>
    </row>
    <row r="778">
      <c r="D778" s="72"/>
    </row>
    <row r="779">
      <c r="D779" s="72"/>
    </row>
    <row r="780">
      <c r="D780" s="72"/>
    </row>
    <row r="781">
      <c r="D781" s="72"/>
    </row>
    <row r="782">
      <c r="D782" s="72"/>
    </row>
    <row r="783">
      <c r="D783" s="72"/>
    </row>
    <row r="784">
      <c r="D784" s="72"/>
    </row>
    <row r="785">
      <c r="D785" s="72"/>
    </row>
    <row r="786">
      <c r="D786" s="72"/>
    </row>
    <row r="787">
      <c r="D787" s="72"/>
    </row>
    <row r="788">
      <c r="D788" s="72"/>
    </row>
    <row r="789">
      <c r="D789" s="72"/>
    </row>
    <row r="790">
      <c r="D790" s="72"/>
    </row>
    <row r="791">
      <c r="D791" s="72"/>
    </row>
    <row r="792">
      <c r="D792" s="72"/>
    </row>
    <row r="793">
      <c r="D793" s="72"/>
    </row>
    <row r="794">
      <c r="D794" s="72"/>
    </row>
    <row r="795">
      <c r="D795" s="72"/>
    </row>
    <row r="796">
      <c r="D796" s="72"/>
    </row>
    <row r="797">
      <c r="D797" s="72"/>
    </row>
    <row r="798">
      <c r="D798" s="72"/>
    </row>
    <row r="799">
      <c r="D799" s="72"/>
    </row>
    <row r="800">
      <c r="D800" s="72"/>
    </row>
    <row r="801">
      <c r="D801" s="72"/>
    </row>
    <row r="802">
      <c r="D802" s="72"/>
    </row>
    <row r="803">
      <c r="D803" s="72"/>
    </row>
    <row r="804">
      <c r="D804" s="72"/>
    </row>
    <row r="805">
      <c r="D805" s="72"/>
    </row>
    <row r="806">
      <c r="D806" s="72"/>
    </row>
    <row r="807">
      <c r="D807" s="72"/>
    </row>
    <row r="808">
      <c r="D808" s="72"/>
    </row>
    <row r="809">
      <c r="D809" s="72"/>
    </row>
    <row r="810">
      <c r="D810" s="72"/>
    </row>
    <row r="811">
      <c r="D811" s="72"/>
    </row>
    <row r="812">
      <c r="D812" s="72"/>
    </row>
    <row r="813">
      <c r="D813" s="72"/>
    </row>
    <row r="814">
      <c r="D814" s="72"/>
    </row>
    <row r="815">
      <c r="D815" s="72"/>
    </row>
    <row r="816">
      <c r="D816" s="72"/>
    </row>
    <row r="817">
      <c r="D817" s="72"/>
    </row>
    <row r="818">
      <c r="D818" s="72"/>
    </row>
    <row r="819">
      <c r="D819" s="72"/>
    </row>
    <row r="820">
      <c r="D820" s="72"/>
    </row>
    <row r="821">
      <c r="D821" s="72"/>
    </row>
    <row r="822">
      <c r="D822" s="72"/>
    </row>
    <row r="823">
      <c r="D823" s="72"/>
    </row>
    <row r="824">
      <c r="D824" s="72"/>
    </row>
    <row r="825">
      <c r="D825" s="72"/>
    </row>
    <row r="826">
      <c r="D826" s="72"/>
    </row>
    <row r="827">
      <c r="D827" s="72"/>
    </row>
    <row r="828">
      <c r="D828" s="72"/>
    </row>
    <row r="829">
      <c r="D829" s="72"/>
    </row>
    <row r="830">
      <c r="D830" s="72"/>
    </row>
    <row r="831">
      <c r="D831" s="72"/>
    </row>
    <row r="832">
      <c r="D832" s="72"/>
    </row>
    <row r="833">
      <c r="D833" s="72"/>
    </row>
    <row r="834">
      <c r="D834" s="72"/>
    </row>
    <row r="835">
      <c r="D835" s="72"/>
    </row>
    <row r="836">
      <c r="D836" s="72"/>
    </row>
    <row r="837">
      <c r="D837" s="72"/>
    </row>
    <row r="838">
      <c r="D838" s="72"/>
    </row>
    <row r="839">
      <c r="D839" s="72"/>
    </row>
    <row r="840">
      <c r="D840" s="72"/>
    </row>
    <row r="841">
      <c r="D841" s="72"/>
    </row>
    <row r="842">
      <c r="D842" s="72"/>
    </row>
    <row r="843">
      <c r="D843" s="72"/>
    </row>
    <row r="844">
      <c r="D844" s="72"/>
    </row>
    <row r="845">
      <c r="D845" s="72"/>
    </row>
    <row r="846">
      <c r="D846" s="72"/>
    </row>
    <row r="847">
      <c r="D847" s="72"/>
    </row>
    <row r="848">
      <c r="D848" s="72"/>
    </row>
    <row r="849">
      <c r="D849" s="72"/>
    </row>
    <row r="850">
      <c r="D850" s="72"/>
    </row>
    <row r="851">
      <c r="D851" s="72"/>
    </row>
    <row r="852">
      <c r="D852" s="72"/>
    </row>
    <row r="853">
      <c r="D853" s="72"/>
    </row>
    <row r="854">
      <c r="D854" s="72"/>
    </row>
    <row r="855">
      <c r="D855" s="72"/>
    </row>
    <row r="856">
      <c r="D856" s="72"/>
    </row>
    <row r="857">
      <c r="D857" s="72"/>
    </row>
    <row r="858">
      <c r="D858" s="72"/>
    </row>
    <row r="859">
      <c r="D859" s="72"/>
    </row>
    <row r="860">
      <c r="D860" s="72"/>
    </row>
    <row r="861">
      <c r="D861" s="72"/>
    </row>
    <row r="862">
      <c r="D862" s="72"/>
    </row>
    <row r="863">
      <c r="D863" s="72"/>
    </row>
    <row r="864">
      <c r="D864" s="72"/>
    </row>
    <row r="865">
      <c r="D865" s="72"/>
    </row>
    <row r="866">
      <c r="D866" s="72"/>
    </row>
    <row r="867">
      <c r="D867" s="72"/>
    </row>
    <row r="868">
      <c r="D868" s="72"/>
    </row>
    <row r="869">
      <c r="D869" s="72"/>
    </row>
    <row r="870">
      <c r="D870" s="72"/>
    </row>
    <row r="871">
      <c r="D871" s="72"/>
    </row>
    <row r="872">
      <c r="D872" s="72"/>
    </row>
    <row r="873">
      <c r="D873" s="72"/>
    </row>
    <row r="874">
      <c r="D874" s="72"/>
    </row>
    <row r="875">
      <c r="D875" s="72"/>
    </row>
    <row r="876">
      <c r="D876" s="72"/>
    </row>
    <row r="877">
      <c r="D877" s="72"/>
    </row>
    <row r="878">
      <c r="D878" s="72"/>
    </row>
    <row r="879">
      <c r="D879" s="72"/>
    </row>
    <row r="880">
      <c r="D880" s="72"/>
    </row>
    <row r="881">
      <c r="D881" s="72"/>
    </row>
    <row r="882">
      <c r="D882" s="72"/>
    </row>
    <row r="883">
      <c r="D883" s="72"/>
    </row>
    <row r="884">
      <c r="D884" s="72"/>
    </row>
    <row r="885">
      <c r="D885" s="72"/>
    </row>
    <row r="886">
      <c r="D886" s="72"/>
    </row>
    <row r="887">
      <c r="D887" s="72"/>
    </row>
    <row r="888">
      <c r="D888" s="72"/>
    </row>
    <row r="889">
      <c r="D889" s="72"/>
    </row>
    <row r="890">
      <c r="D890" s="72"/>
    </row>
    <row r="891">
      <c r="D891" s="72"/>
    </row>
    <row r="892">
      <c r="D892" s="72"/>
    </row>
    <row r="893">
      <c r="D893" s="72"/>
    </row>
    <row r="894">
      <c r="D894" s="72"/>
    </row>
    <row r="895">
      <c r="D895" s="72"/>
    </row>
    <row r="896">
      <c r="D896" s="72"/>
    </row>
    <row r="897">
      <c r="D897" s="72"/>
    </row>
    <row r="898">
      <c r="D898" s="72"/>
    </row>
    <row r="899">
      <c r="D899" s="72"/>
    </row>
    <row r="900">
      <c r="D900" s="72"/>
    </row>
    <row r="901">
      <c r="D901" s="72"/>
    </row>
    <row r="902">
      <c r="D902" s="72"/>
    </row>
    <row r="903">
      <c r="D903" s="72"/>
    </row>
    <row r="904">
      <c r="D904" s="72"/>
    </row>
    <row r="905">
      <c r="D905" s="72"/>
    </row>
    <row r="906">
      <c r="D906" s="72"/>
    </row>
    <row r="907">
      <c r="D907" s="72"/>
    </row>
    <row r="908">
      <c r="D908" s="72"/>
    </row>
    <row r="909">
      <c r="D909" s="72"/>
    </row>
    <row r="910">
      <c r="D910" s="72"/>
    </row>
    <row r="911">
      <c r="D911" s="72"/>
    </row>
    <row r="912">
      <c r="D912" s="72"/>
    </row>
    <row r="913">
      <c r="D913" s="72"/>
    </row>
    <row r="914">
      <c r="D914" s="72"/>
    </row>
    <row r="915">
      <c r="D915" s="72"/>
    </row>
    <row r="916">
      <c r="D916" s="72"/>
    </row>
    <row r="917">
      <c r="D917" s="72"/>
    </row>
    <row r="918">
      <c r="D918" s="72"/>
    </row>
    <row r="919">
      <c r="D919" s="72"/>
    </row>
    <row r="920">
      <c r="D920" s="72"/>
    </row>
    <row r="921">
      <c r="D921" s="72"/>
    </row>
    <row r="922">
      <c r="D922" s="72"/>
    </row>
    <row r="923">
      <c r="D923" s="72"/>
    </row>
    <row r="924">
      <c r="D924" s="72"/>
    </row>
    <row r="925">
      <c r="D925" s="72"/>
    </row>
    <row r="926">
      <c r="D926" s="72"/>
    </row>
    <row r="927">
      <c r="D927" s="72"/>
    </row>
    <row r="928">
      <c r="D928" s="72"/>
    </row>
    <row r="929">
      <c r="D929" s="72"/>
    </row>
    <row r="930">
      <c r="D930" s="72"/>
    </row>
    <row r="931">
      <c r="D931" s="72"/>
    </row>
    <row r="932">
      <c r="D932" s="72"/>
    </row>
    <row r="933">
      <c r="D933" s="72"/>
    </row>
    <row r="934">
      <c r="D934" s="72"/>
    </row>
    <row r="935">
      <c r="D935" s="72"/>
    </row>
    <row r="936">
      <c r="D936" s="72"/>
    </row>
    <row r="937">
      <c r="D937" s="72"/>
    </row>
    <row r="938">
      <c r="D938" s="72"/>
    </row>
    <row r="939">
      <c r="D939" s="72"/>
    </row>
    <row r="940">
      <c r="D940" s="72"/>
    </row>
    <row r="941">
      <c r="D941" s="72"/>
    </row>
    <row r="942">
      <c r="D942" s="72"/>
    </row>
    <row r="943">
      <c r="D943" s="72"/>
    </row>
    <row r="944">
      <c r="D944" s="72"/>
    </row>
    <row r="945">
      <c r="D945" s="72"/>
    </row>
    <row r="946">
      <c r="D946" s="72"/>
    </row>
    <row r="947">
      <c r="D947" s="72"/>
    </row>
    <row r="948">
      <c r="D948" s="72"/>
    </row>
    <row r="949">
      <c r="D949" s="72"/>
    </row>
    <row r="950">
      <c r="D950" s="72"/>
    </row>
    <row r="951">
      <c r="D951" s="72"/>
    </row>
    <row r="952">
      <c r="D952" s="72"/>
    </row>
    <row r="953">
      <c r="D953" s="72"/>
    </row>
    <row r="954">
      <c r="D954" s="72"/>
    </row>
    <row r="955">
      <c r="D955" s="72"/>
    </row>
    <row r="956">
      <c r="D956" s="72"/>
    </row>
    <row r="957">
      <c r="D957" s="72"/>
    </row>
    <row r="958">
      <c r="D958" s="72"/>
    </row>
    <row r="959">
      <c r="D959" s="72"/>
    </row>
    <row r="960">
      <c r="D960" s="72"/>
    </row>
    <row r="961">
      <c r="D961" s="72"/>
    </row>
    <row r="962">
      <c r="D962" s="72"/>
    </row>
    <row r="963">
      <c r="D963" s="72"/>
    </row>
    <row r="964">
      <c r="D964" s="72"/>
    </row>
    <row r="965">
      <c r="D965" s="72"/>
    </row>
    <row r="966">
      <c r="D966" s="72"/>
    </row>
    <row r="967">
      <c r="D967" s="72"/>
    </row>
    <row r="968">
      <c r="D968" s="72"/>
    </row>
    <row r="969">
      <c r="D969" s="72"/>
    </row>
    <row r="970">
      <c r="D970" s="72"/>
    </row>
    <row r="971">
      <c r="D971" s="72"/>
    </row>
    <row r="972">
      <c r="D972" s="72"/>
    </row>
    <row r="973">
      <c r="D973" s="72"/>
    </row>
    <row r="974">
      <c r="D974" s="72"/>
    </row>
    <row r="975">
      <c r="D975" s="72"/>
    </row>
    <row r="976">
      <c r="D976" s="72"/>
    </row>
    <row r="977">
      <c r="D977" s="72"/>
    </row>
    <row r="978">
      <c r="D978" s="72"/>
    </row>
    <row r="979">
      <c r="D979" s="72"/>
    </row>
    <row r="980">
      <c r="D980" s="72"/>
    </row>
    <row r="981">
      <c r="D981" s="72"/>
    </row>
    <row r="982">
      <c r="D982" s="72"/>
    </row>
    <row r="983">
      <c r="D983" s="72"/>
    </row>
    <row r="984">
      <c r="D984" s="72"/>
    </row>
    <row r="985">
      <c r="D985" s="72"/>
    </row>
    <row r="986">
      <c r="D986" s="72"/>
    </row>
    <row r="987">
      <c r="D987" s="72"/>
    </row>
    <row r="988">
      <c r="D988" s="72"/>
    </row>
    <row r="989">
      <c r="D989" s="72"/>
    </row>
    <row r="990">
      <c r="D990" s="72"/>
    </row>
    <row r="991">
      <c r="D991" s="72"/>
    </row>
    <row r="992">
      <c r="D992" s="72"/>
    </row>
    <row r="993">
      <c r="D993" s="72"/>
    </row>
    <row r="994">
      <c r="D994" s="72"/>
    </row>
    <row r="995">
      <c r="D995" s="72"/>
    </row>
    <row r="996">
      <c r="D996" s="72"/>
    </row>
    <row r="997">
      <c r="D997" s="72"/>
    </row>
    <row r="998">
      <c r="D998" s="72"/>
    </row>
    <row r="999">
      <c r="D999" s="72"/>
    </row>
    <row r="1000">
      <c r="D1000" s="72"/>
    </row>
    <row r="1001">
      <c r="D1001" s="72"/>
    </row>
    <row r="1002">
      <c r="D1002" s="72"/>
    </row>
    <row r="1003">
      <c r="D1003" s="72"/>
    </row>
    <row r="1004">
      <c r="D1004" s="72"/>
    </row>
    <row r="1005">
      <c r="D1005" s="72"/>
    </row>
    <row r="1006">
      <c r="D1006" s="72"/>
    </row>
    <row r="1007">
      <c r="D1007" s="72"/>
    </row>
  </sheetData>
  <drawing r:id="rId1"/>
</worksheet>
</file>